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  <Override PartName="/xl/threadedComments/threadedComment3.xml" ContentType="application/vnd.ms-excel.threadedcomments+xml"/>
  <Override PartName="/xl/threadedComments/threadedComment4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diff\"/>
    </mc:Choice>
  </mc:AlternateContent>
  <bookViews>
    <workbookView xWindow="-105" yWindow="-105" windowWidth="23250" windowHeight="12450" tabRatio="932" firstSheet="25" activeTab="32"/>
  </bookViews>
  <sheets>
    <sheet name="Mercato" sheetId="85" r:id="rId1"/>
    <sheet name="Mercato vs Società" sheetId="87" r:id="rId2"/>
    <sheet name="Società - PubblicoPrivato" sheetId="106" r:id="rId3"/>
    <sheet name="Business Plan--&gt;" sheetId="2" r:id="rId4"/>
    <sheet name="CE" sheetId="6" r:id="rId5"/>
    <sheet name="SP" sheetId="7" r:id="rId6"/>
    <sheet name="RF" sheetId="8" r:id="rId7"/>
    <sheet name="Input BP--&gt;" sheetId="13" r:id="rId8"/>
    <sheet name="Ricavi" sheetId="14" r:id="rId9"/>
    <sheet name="Costi" sheetId="15" r:id="rId10"/>
    <sheet name="Personale" sheetId="54" r:id="rId11"/>
    <sheet name="Capex" sheetId="16" r:id="rId12"/>
    <sheet name="Immobilizzazioni" sheetId="72" r:id="rId13"/>
    <sheet name="Immobilizzazioni acquisti23" sheetId="113" r:id="rId14"/>
    <sheet name="Calcolo Aliquota media Imm.Mate" sheetId="111" r:id="rId15"/>
    <sheet name="CCN" sheetId="17" r:id="rId16"/>
    <sheet name="Finanziamenti" sheetId="18" r:id="rId17"/>
    <sheet name="Altri Finanziatori" sheetId="115" r:id="rId18"/>
    <sheet name="Dettaglio Affidamenti" sheetId="114" r:id="rId19"/>
    <sheet name="Inflazione" sheetId="101" r:id="rId20"/>
    <sheet name="DatiBilancio--&gt;" sheetId="52" r:id="rId21"/>
    <sheet name="BdV" sheetId="53" r:id="rId22"/>
    <sheet name="Commesse--&gt;" sheetId="76" r:id="rId23"/>
    <sheet name="Commese al 30 giugno 23" sheetId="107" r:id="rId24"/>
    <sheet name="Analisi Commesse" sheetId="78" r:id="rId25"/>
    <sheet name="Commesse in essere dic22" sheetId="24" r:id="rId26"/>
    <sheet name="DatiSoc--&gt;" sheetId="22" r:id="rId27"/>
    <sheet name="Finanziamenti al 30.06" sheetId="109" r:id="rId28"/>
    <sheet name="Leasing al 30.06" sheetId="110" r:id="rId29"/>
    <sheet name="Leasing attrezzature" sheetId="112" r:id="rId30"/>
    <sheet name="Finanziamenti2023" sheetId="23" r:id="rId31"/>
    <sheet name="Leasing costo annu" sheetId="29" r:id="rId32"/>
    <sheet name="Leasing in essere" sheetId="30" r:id="rId33"/>
  </sheets>
  <definedNames>
    <definedName name="_xlnm._FilterDatabase" localSheetId="24" hidden="1">'Analisi Commesse'!$B$2:$BV$514</definedName>
    <definedName name="_xlnm._FilterDatabase" localSheetId="21" hidden="1">BdV!$A$1:$AM$758</definedName>
    <definedName name="_xlnm._FilterDatabase" localSheetId="14" hidden="1">'Calcolo Aliquota media Imm.Mate'!$B$1:$G$1079</definedName>
    <definedName name="_xlnm._FilterDatabase" localSheetId="25" hidden="1">'Commesse in essere dic22'!$A$1:$JQ$456</definedName>
    <definedName name="_xlnm._FilterDatabase" localSheetId="9" hidden="1">Costi!$B$2:$AA$121</definedName>
    <definedName name="_xlnm._FilterDatabase" localSheetId="12" hidden="1">Immobilizzazioni!$B$1:$Y$1362</definedName>
    <definedName name="AnniBP" localSheetId="17">#REF!</definedName>
    <definedName name="AnniBP">#REF!</definedName>
    <definedName name="_xlnm.Print_Area" localSheetId="25">'Commesse in essere dic22'!$A$1:$L$172</definedName>
    <definedName name="_xlnm.Print_Titles" localSheetId="25">'Commesse in essere dic22'!$5:$5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2" i="7" l="1"/>
  <c r="X13" i="7"/>
  <c r="I20" i="8"/>
  <c r="D43" i="54"/>
  <c r="J29" i="54"/>
  <c r="P29" i="54"/>
  <c r="G29" i="54"/>
  <c r="AB15" i="14"/>
  <c r="J13" i="14"/>
  <c r="H41" i="8"/>
  <c r="K279" i="53"/>
  <c r="V72" i="14"/>
  <c r="G11" i="6"/>
  <c r="G9" i="6"/>
  <c r="H21" i="17"/>
  <c r="G21" i="17"/>
  <c r="F21" i="17"/>
  <c r="H20" i="17"/>
  <c r="G20" i="17"/>
  <c r="F20" i="17"/>
  <c r="G52" i="17"/>
  <c r="F52" i="17"/>
  <c r="G51" i="17"/>
  <c r="H51" i="17"/>
  <c r="F51" i="17"/>
  <c r="H45" i="17"/>
  <c r="G44" i="17"/>
  <c r="O34" i="7"/>
  <c r="N34" i="7"/>
  <c r="M34" i="7"/>
  <c r="L34" i="7"/>
  <c r="K34" i="7"/>
  <c r="H33" i="115"/>
  <c r="G33" i="115"/>
  <c r="F28" i="115"/>
  <c r="E28" i="115"/>
  <c r="D28" i="115"/>
  <c r="C28" i="115"/>
  <c r="F27" i="115"/>
  <c r="F33" i="115"/>
  <c r="E27" i="115"/>
  <c r="E33" i="115"/>
  <c r="D27" i="115"/>
  <c r="C27" i="115"/>
  <c r="D26" i="115"/>
  <c r="C26" i="115"/>
  <c r="D25" i="115"/>
  <c r="C25" i="115"/>
  <c r="D24" i="115"/>
  <c r="C24" i="115"/>
  <c r="D23" i="115"/>
  <c r="C23" i="115"/>
  <c r="D22" i="115"/>
  <c r="C22" i="115"/>
  <c r="D19" i="115"/>
  <c r="C19" i="115"/>
  <c r="D18" i="115"/>
  <c r="C18" i="115"/>
  <c r="D17" i="115"/>
  <c r="C17" i="115"/>
  <c r="D16" i="115"/>
  <c r="C16" i="115"/>
  <c r="D15" i="115"/>
  <c r="D33" i="115"/>
  <c r="C15" i="115"/>
  <c r="C33" i="115"/>
  <c r="H76" i="7"/>
  <c r="L76" i="14"/>
  <c r="L77" i="14"/>
  <c r="K76" i="14"/>
  <c r="O33" i="7"/>
  <c r="O32" i="7"/>
  <c r="N32" i="7"/>
  <c r="L32" i="7"/>
  <c r="M54" i="18"/>
  <c r="M53" i="18"/>
  <c r="L53" i="18"/>
  <c r="J53" i="18"/>
  <c r="T139" i="18"/>
  <c r="T138" i="18"/>
  <c r="S138" i="18"/>
  <c r="Q138" i="18"/>
  <c r="P138" i="18"/>
  <c r="T132" i="18"/>
  <c r="T126" i="18"/>
  <c r="T120" i="18"/>
  <c r="T113" i="18"/>
  <c r="T107" i="18"/>
  <c r="T101" i="18"/>
  <c r="T95" i="18"/>
  <c r="T89" i="18"/>
  <c r="T83" i="18"/>
  <c r="T77" i="18"/>
  <c r="T71" i="18"/>
  <c r="T65" i="18"/>
  <c r="S60" i="18"/>
  <c r="T60" i="18"/>
  <c r="T61" i="18"/>
  <c r="P66" i="18"/>
  <c r="Q66" i="18"/>
  <c r="R66" i="18"/>
  <c r="S66" i="18"/>
  <c r="T66" i="18"/>
  <c r="T67" i="18"/>
  <c r="P72" i="18"/>
  <c r="Q72" i="18"/>
  <c r="R72" i="18"/>
  <c r="S72" i="18"/>
  <c r="T72" i="18"/>
  <c r="T73" i="18"/>
  <c r="S78" i="18"/>
  <c r="T78" i="18"/>
  <c r="T79" i="18"/>
  <c r="P84" i="18"/>
  <c r="Q84" i="18"/>
  <c r="R84" i="18"/>
  <c r="S84" i="18"/>
  <c r="T84" i="18"/>
  <c r="T85" i="18"/>
  <c r="P90" i="18"/>
  <c r="Q90" i="18"/>
  <c r="R90" i="18"/>
  <c r="S90" i="18"/>
  <c r="T90" i="18"/>
  <c r="T92" i="18"/>
  <c r="T91" i="18"/>
  <c r="P96" i="18"/>
  <c r="Q96" i="18"/>
  <c r="R96" i="18"/>
  <c r="S96" i="18"/>
  <c r="T96" i="18"/>
  <c r="T97" i="18"/>
  <c r="T134" i="18"/>
  <c r="S134" i="18"/>
  <c r="R134" i="18"/>
  <c r="Q134" i="18"/>
  <c r="P134" i="18"/>
  <c r="T133" i="18"/>
  <c r="S133" i="18"/>
  <c r="S135" i="18"/>
  <c r="S136" i="18"/>
  <c r="T128" i="18"/>
  <c r="R128" i="18"/>
  <c r="Q128" i="18"/>
  <c r="P128" i="18"/>
  <c r="T127" i="18"/>
  <c r="S127" i="18"/>
  <c r="T122" i="18"/>
  <c r="T121" i="18"/>
  <c r="S121" i="18"/>
  <c r="R121" i="18"/>
  <c r="Q121" i="18"/>
  <c r="P121" i="18"/>
  <c r="T115" i="18"/>
  <c r="T114" i="18"/>
  <c r="S114" i="18"/>
  <c r="R114" i="18"/>
  <c r="Q114" i="18"/>
  <c r="P114" i="18"/>
  <c r="T109" i="18"/>
  <c r="T108" i="18"/>
  <c r="T110" i="18"/>
  <c r="S108" i="18"/>
  <c r="R108" i="18"/>
  <c r="Q108" i="18"/>
  <c r="P108" i="18"/>
  <c r="T103" i="18"/>
  <c r="T102" i="18"/>
  <c r="S102" i="18"/>
  <c r="R102" i="18"/>
  <c r="Q102" i="18"/>
  <c r="P102" i="18"/>
  <c r="T74" i="18"/>
  <c r="T59" i="18"/>
  <c r="I1080" i="111"/>
  <c r="H6" i="111"/>
  <c r="K87" i="14"/>
  <c r="J87" i="14"/>
  <c r="H52" i="17"/>
  <c r="I52" i="17"/>
  <c r="I51" i="17"/>
  <c r="T123" i="18"/>
  <c r="T62" i="18"/>
  <c r="T116" i="18"/>
  <c r="T98" i="18"/>
  <c r="T135" i="18"/>
  <c r="T136" i="18"/>
  <c r="T68" i="18"/>
  <c r="T129" i="18"/>
  <c r="T80" i="18"/>
  <c r="T104" i="18"/>
  <c r="T86" i="18"/>
  <c r="N50" i="113"/>
  <c r="O50" i="113"/>
  <c r="P50" i="113"/>
  <c r="Q50" i="113"/>
  <c r="R50" i="113"/>
  <c r="S50" i="113"/>
  <c r="M50" i="113"/>
  <c r="L50" i="113"/>
  <c r="N49" i="113"/>
  <c r="O49" i="113"/>
  <c r="P49" i="113"/>
  <c r="Q49" i="113"/>
  <c r="R49" i="113"/>
  <c r="S49" i="113"/>
  <c r="M49" i="113"/>
  <c r="L49" i="113"/>
  <c r="N47" i="113"/>
  <c r="O47" i="113"/>
  <c r="P47" i="113"/>
  <c r="Q47" i="113"/>
  <c r="R47" i="113"/>
  <c r="S47" i="113"/>
  <c r="M47" i="113"/>
  <c r="L47" i="113"/>
  <c r="O46" i="113"/>
  <c r="P46" i="113"/>
  <c r="Q46" i="113"/>
  <c r="R46" i="113"/>
  <c r="S46" i="113"/>
  <c r="N46" i="113"/>
  <c r="M46" i="113"/>
  <c r="L46" i="113"/>
  <c r="M45" i="113"/>
  <c r="N45" i="113"/>
  <c r="O45" i="113"/>
  <c r="P45" i="113"/>
  <c r="Q45" i="113"/>
  <c r="R45" i="113"/>
  <c r="S45" i="113"/>
  <c r="L45" i="113"/>
  <c r="N44" i="113"/>
  <c r="O44" i="113"/>
  <c r="P44" i="113"/>
  <c r="Q44" i="113"/>
  <c r="R44" i="113"/>
  <c r="S44" i="113"/>
  <c r="M44" i="113"/>
  <c r="L44" i="113"/>
  <c r="N43" i="113"/>
  <c r="O43" i="113"/>
  <c r="P43" i="113"/>
  <c r="Q43" i="113"/>
  <c r="R43" i="113"/>
  <c r="S43" i="113"/>
  <c r="M43" i="113"/>
  <c r="L43" i="113"/>
  <c r="M42" i="113"/>
  <c r="N42" i="113"/>
  <c r="O42" i="113"/>
  <c r="P42" i="113"/>
  <c r="Q42" i="113"/>
  <c r="R42" i="113"/>
  <c r="S42" i="113"/>
  <c r="L42" i="113"/>
  <c r="N41" i="113"/>
  <c r="O41" i="113"/>
  <c r="P41" i="113"/>
  <c r="Q41" i="113"/>
  <c r="R41" i="113"/>
  <c r="S41" i="113"/>
  <c r="M41" i="113"/>
  <c r="L41" i="113"/>
  <c r="N40" i="113"/>
  <c r="O40" i="113"/>
  <c r="P40" i="113"/>
  <c r="Q40" i="113"/>
  <c r="R40" i="113"/>
  <c r="S40" i="113"/>
  <c r="M40" i="113"/>
  <c r="L40" i="113"/>
  <c r="M39" i="113"/>
  <c r="N39" i="113"/>
  <c r="O39" i="113"/>
  <c r="P39" i="113"/>
  <c r="Q39" i="113"/>
  <c r="R39" i="113"/>
  <c r="S39" i="113"/>
  <c r="L39" i="113"/>
  <c r="N38" i="113"/>
  <c r="O38" i="113"/>
  <c r="P38" i="113"/>
  <c r="Q38" i="113"/>
  <c r="R38" i="113"/>
  <c r="S38" i="113"/>
  <c r="M38" i="113"/>
  <c r="L38" i="113"/>
  <c r="N37" i="113"/>
  <c r="O37" i="113"/>
  <c r="P37" i="113"/>
  <c r="Q37" i="113"/>
  <c r="R37" i="113"/>
  <c r="S37" i="113"/>
  <c r="M37" i="113"/>
  <c r="L37" i="113"/>
  <c r="N36" i="113"/>
  <c r="O36" i="113"/>
  <c r="P36" i="113"/>
  <c r="Q36" i="113"/>
  <c r="R36" i="113"/>
  <c r="S36" i="113"/>
  <c r="M36" i="113"/>
  <c r="L36" i="113"/>
  <c r="N35" i="113"/>
  <c r="O35" i="113"/>
  <c r="P35" i="113"/>
  <c r="Q35" i="113"/>
  <c r="R35" i="113"/>
  <c r="S35" i="113"/>
  <c r="M35" i="113"/>
  <c r="L35" i="113"/>
  <c r="M34" i="113"/>
  <c r="N34" i="113"/>
  <c r="O34" i="113"/>
  <c r="P34" i="113"/>
  <c r="Q34" i="113"/>
  <c r="R34" i="113"/>
  <c r="S34" i="113"/>
  <c r="L34" i="113"/>
  <c r="S33" i="113"/>
  <c r="M33" i="113"/>
  <c r="N33" i="113"/>
  <c r="O33" i="113"/>
  <c r="P33" i="113"/>
  <c r="Q33" i="113"/>
  <c r="R33" i="113"/>
  <c r="L33" i="113"/>
  <c r="M31" i="113"/>
  <c r="N31" i="113"/>
  <c r="O31" i="113"/>
  <c r="P31" i="113"/>
  <c r="Q31" i="113"/>
  <c r="R31" i="113"/>
  <c r="S31" i="113"/>
  <c r="T31" i="113"/>
  <c r="U31" i="113"/>
  <c r="V31" i="113"/>
  <c r="L31" i="113"/>
  <c r="M30" i="113"/>
  <c r="N30" i="113"/>
  <c r="O30" i="113"/>
  <c r="P30" i="113"/>
  <c r="Q30" i="113"/>
  <c r="R30" i="113"/>
  <c r="S30" i="113"/>
  <c r="T30" i="113"/>
  <c r="U30" i="113"/>
  <c r="V30" i="113"/>
  <c r="L30" i="113"/>
  <c r="N29" i="113"/>
  <c r="O29" i="113"/>
  <c r="P29" i="113"/>
  <c r="Q29" i="113"/>
  <c r="R29" i="113"/>
  <c r="S29" i="113"/>
  <c r="T29" i="113"/>
  <c r="U29" i="113"/>
  <c r="V29" i="113"/>
  <c r="M29" i="113"/>
  <c r="L29" i="113"/>
  <c r="M28" i="113"/>
  <c r="N28" i="113"/>
  <c r="O28" i="113"/>
  <c r="P28" i="113"/>
  <c r="Q28" i="113"/>
  <c r="R28" i="113"/>
  <c r="S28" i="113"/>
  <c r="T28" i="113"/>
  <c r="U28" i="113"/>
  <c r="V28" i="113"/>
  <c r="L28" i="113"/>
  <c r="O27" i="113"/>
  <c r="P27" i="113"/>
  <c r="Q27" i="113"/>
  <c r="R27" i="113"/>
  <c r="S27" i="113"/>
  <c r="T27" i="113"/>
  <c r="U27" i="113"/>
  <c r="V27" i="113"/>
  <c r="N27" i="113"/>
  <c r="M27" i="113"/>
  <c r="L27" i="113"/>
  <c r="M26" i="113"/>
  <c r="N26" i="113"/>
  <c r="O26" i="113"/>
  <c r="P26" i="113"/>
  <c r="Q26" i="113"/>
  <c r="R26" i="113"/>
  <c r="S26" i="113"/>
  <c r="T26" i="113"/>
  <c r="U26" i="113"/>
  <c r="V26" i="113"/>
  <c r="L26" i="113"/>
  <c r="M25" i="113"/>
  <c r="N25" i="113"/>
  <c r="O25" i="113"/>
  <c r="P25" i="113"/>
  <c r="Q25" i="113"/>
  <c r="R25" i="113"/>
  <c r="S25" i="113"/>
  <c r="T25" i="113"/>
  <c r="U25" i="113"/>
  <c r="V25" i="113"/>
  <c r="L25" i="113"/>
  <c r="M24" i="113"/>
  <c r="N24" i="113"/>
  <c r="O24" i="113"/>
  <c r="P24" i="113"/>
  <c r="Q24" i="113"/>
  <c r="R24" i="113"/>
  <c r="S24" i="113"/>
  <c r="T24" i="113"/>
  <c r="U24" i="113"/>
  <c r="V24" i="113"/>
  <c r="L24" i="113"/>
  <c r="M23" i="113"/>
  <c r="N23" i="113"/>
  <c r="O23" i="113"/>
  <c r="P23" i="113"/>
  <c r="Q23" i="113"/>
  <c r="R23" i="113"/>
  <c r="S23" i="113"/>
  <c r="T23" i="113"/>
  <c r="U23" i="113"/>
  <c r="V23" i="113"/>
  <c r="L23" i="113"/>
  <c r="M22" i="113"/>
  <c r="N22" i="113"/>
  <c r="O22" i="113"/>
  <c r="P22" i="113"/>
  <c r="Q22" i="113"/>
  <c r="R22" i="113"/>
  <c r="S22" i="113"/>
  <c r="T22" i="113"/>
  <c r="U22" i="113"/>
  <c r="V22" i="113"/>
  <c r="L22" i="113"/>
  <c r="V21" i="113"/>
  <c r="U21" i="113"/>
  <c r="T21" i="113"/>
  <c r="N21" i="113"/>
  <c r="O21" i="113"/>
  <c r="P21" i="113"/>
  <c r="Q21" i="113"/>
  <c r="R21" i="113"/>
  <c r="S21" i="113"/>
  <c r="M21" i="113"/>
  <c r="L21" i="113"/>
  <c r="M19" i="113"/>
  <c r="N19" i="113"/>
  <c r="O19" i="113"/>
  <c r="P19" i="113"/>
  <c r="Q19" i="113"/>
  <c r="R19" i="113"/>
  <c r="S19" i="113"/>
  <c r="T19" i="113"/>
  <c r="L19" i="113"/>
  <c r="M18" i="113"/>
  <c r="N18" i="113"/>
  <c r="O18" i="113"/>
  <c r="P18" i="113"/>
  <c r="Q18" i="113"/>
  <c r="R18" i="113"/>
  <c r="S18" i="113"/>
  <c r="T18" i="113"/>
  <c r="L18" i="113"/>
  <c r="M17" i="113"/>
  <c r="N17" i="113"/>
  <c r="O17" i="113"/>
  <c r="P17" i="113"/>
  <c r="Q17" i="113"/>
  <c r="R17" i="113"/>
  <c r="S17" i="113"/>
  <c r="T17" i="113"/>
  <c r="L17" i="113"/>
  <c r="M16" i="113"/>
  <c r="N16" i="113"/>
  <c r="O16" i="113"/>
  <c r="P16" i="113"/>
  <c r="Q16" i="113"/>
  <c r="R16" i="113"/>
  <c r="S16" i="113"/>
  <c r="T16" i="113"/>
  <c r="L16" i="113"/>
  <c r="M15" i="113"/>
  <c r="N15" i="113"/>
  <c r="O15" i="113"/>
  <c r="P15" i="113"/>
  <c r="Q15" i="113"/>
  <c r="R15" i="113"/>
  <c r="S15" i="113"/>
  <c r="T15" i="113"/>
  <c r="L15" i="113"/>
  <c r="M14" i="113"/>
  <c r="N14" i="113"/>
  <c r="O14" i="113"/>
  <c r="P14" i="113"/>
  <c r="Q14" i="113"/>
  <c r="R14" i="113"/>
  <c r="S14" i="113"/>
  <c r="T14" i="113"/>
  <c r="L14" i="113"/>
  <c r="T13" i="113"/>
  <c r="S13" i="113"/>
  <c r="R13" i="113"/>
  <c r="Q13" i="113"/>
  <c r="M13" i="113"/>
  <c r="N13" i="113"/>
  <c r="O13" i="113"/>
  <c r="P13" i="113"/>
  <c r="L13" i="113"/>
  <c r="M67" i="113"/>
  <c r="N67" i="113"/>
  <c r="O67" i="113"/>
  <c r="P67" i="113"/>
  <c r="Q67" i="113"/>
  <c r="L67" i="113"/>
  <c r="M66" i="113"/>
  <c r="N66" i="113"/>
  <c r="O66" i="113"/>
  <c r="P66" i="113"/>
  <c r="Q66" i="113"/>
  <c r="L66" i="113"/>
  <c r="M65" i="113"/>
  <c r="N65" i="113"/>
  <c r="O65" i="113"/>
  <c r="P65" i="113"/>
  <c r="Q65" i="113"/>
  <c r="L65" i="113"/>
  <c r="M63" i="113"/>
  <c r="N63" i="113"/>
  <c r="O63" i="113"/>
  <c r="P63" i="113"/>
  <c r="Q63" i="113"/>
  <c r="L63" i="113"/>
  <c r="M62" i="113"/>
  <c r="N62" i="113"/>
  <c r="O62" i="113"/>
  <c r="P62" i="113"/>
  <c r="Q62" i="113"/>
  <c r="L62" i="113"/>
  <c r="M61" i="113"/>
  <c r="N61" i="113"/>
  <c r="O61" i="113"/>
  <c r="P61" i="113"/>
  <c r="Q61" i="113"/>
  <c r="L61" i="113"/>
  <c r="M60" i="113"/>
  <c r="N60" i="113"/>
  <c r="O60" i="113"/>
  <c r="P60" i="113"/>
  <c r="Q60" i="113"/>
  <c r="L60" i="113"/>
  <c r="M59" i="113"/>
  <c r="N59" i="113"/>
  <c r="O59" i="113"/>
  <c r="P59" i="113"/>
  <c r="Q59" i="113"/>
  <c r="L59" i="113"/>
  <c r="M58" i="113"/>
  <c r="N58" i="113"/>
  <c r="O58" i="113"/>
  <c r="P58" i="113"/>
  <c r="Q58" i="113"/>
  <c r="L58" i="113"/>
  <c r="M57" i="113"/>
  <c r="N57" i="113"/>
  <c r="O57" i="113"/>
  <c r="P57" i="113"/>
  <c r="Q57" i="113"/>
  <c r="L57" i="113"/>
  <c r="M56" i="113"/>
  <c r="N56" i="113"/>
  <c r="O56" i="113"/>
  <c r="P56" i="113"/>
  <c r="Q56" i="113"/>
  <c r="L56" i="113"/>
  <c r="N54" i="113"/>
  <c r="O54" i="113"/>
  <c r="P54" i="113"/>
  <c r="Q54" i="113"/>
  <c r="M54" i="113"/>
  <c r="L54" i="113"/>
  <c r="M52" i="113"/>
  <c r="N52" i="113"/>
  <c r="O52" i="113"/>
  <c r="P52" i="113"/>
  <c r="Q52" i="113"/>
  <c r="L52" i="113"/>
  <c r="M11" i="113"/>
  <c r="N11" i="113"/>
  <c r="O11" i="113"/>
  <c r="P11" i="113"/>
  <c r="Q11" i="113"/>
  <c r="L11" i="113"/>
  <c r="M10" i="113"/>
  <c r="N10" i="113"/>
  <c r="O10" i="113"/>
  <c r="P10" i="113"/>
  <c r="Q10" i="113"/>
  <c r="L10" i="113"/>
  <c r="M9" i="113"/>
  <c r="N9" i="113"/>
  <c r="O9" i="113"/>
  <c r="P9" i="113"/>
  <c r="Q9" i="113"/>
  <c r="L9" i="113"/>
  <c r="M8" i="113"/>
  <c r="N8" i="113"/>
  <c r="O8" i="113"/>
  <c r="P8" i="113"/>
  <c r="Q8" i="113"/>
  <c r="L8" i="113"/>
  <c r="M7" i="113"/>
  <c r="N7" i="113"/>
  <c r="O7" i="113"/>
  <c r="P7" i="113"/>
  <c r="Q7" i="113"/>
  <c r="L7" i="113"/>
  <c r="N6" i="113"/>
  <c r="O6" i="113"/>
  <c r="P6" i="113"/>
  <c r="Q6" i="113"/>
  <c r="M6" i="113"/>
  <c r="L6" i="113"/>
  <c r="L5" i="113"/>
  <c r="M5" i="113"/>
  <c r="N5" i="113"/>
  <c r="O5" i="113"/>
  <c r="P5" i="113"/>
  <c r="Q5" i="113"/>
  <c r="AI4" i="113"/>
  <c r="AJ4" i="113"/>
  <c r="AK4" i="113"/>
  <c r="AL4" i="113"/>
  <c r="AM4" i="113"/>
  <c r="AN4" i="113"/>
  <c r="AO4" i="113"/>
  <c r="AP4" i="113"/>
  <c r="AQ4" i="113"/>
  <c r="AR4" i="113"/>
  <c r="AS4" i="113"/>
  <c r="AT4" i="113"/>
  <c r="AU4" i="113"/>
  <c r="AV4" i="113"/>
  <c r="AW4" i="113"/>
  <c r="AX4" i="113"/>
  <c r="AY4" i="113"/>
  <c r="AZ4" i="113"/>
  <c r="BA4" i="113"/>
  <c r="AH4" i="113"/>
  <c r="Q4" i="113"/>
  <c r="P4" i="113"/>
  <c r="O4" i="113"/>
  <c r="N4" i="113"/>
  <c r="M4" i="113"/>
  <c r="J50" i="113"/>
  <c r="J46" i="113"/>
  <c r="J41" i="113"/>
  <c r="J38" i="113"/>
  <c r="J33" i="113"/>
  <c r="J11" i="113"/>
  <c r="J10" i="113"/>
  <c r="J4" i="113"/>
  <c r="I4" i="113"/>
  <c r="L4" i="113"/>
  <c r="I50" i="113"/>
  <c r="I49" i="113"/>
  <c r="I47" i="113"/>
  <c r="I46" i="113"/>
  <c r="I45" i="113"/>
  <c r="I44" i="113"/>
  <c r="I43" i="113"/>
  <c r="I42" i="113"/>
  <c r="I41" i="113"/>
  <c r="I40" i="113"/>
  <c r="I39" i="113"/>
  <c r="I38" i="113"/>
  <c r="I37" i="113"/>
  <c r="I36" i="113"/>
  <c r="I35" i="113"/>
  <c r="I34" i="113"/>
  <c r="I33" i="113"/>
  <c r="I54" i="113"/>
  <c r="I52" i="113"/>
  <c r="I31" i="113"/>
  <c r="I30" i="113"/>
  <c r="I29" i="113"/>
  <c r="I28" i="113"/>
  <c r="I27" i="113"/>
  <c r="I26" i="113"/>
  <c r="I25" i="113"/>
  <c r="I24" i="113"/>
  <c r="I23" i="113"/>
  <c r="J23" i="113"/>
  <c r="I22" i="113"/>
  <c r="I21" i="113"/>
  <c r="I19" i="113"/>
  <c r="I18" i="113"/>
  <c r="I17" i="113"/>
  <c r="I16" i="113"/>
  <c r="I15" i="113"/>
  <c r="I14" i="113"/>
  <c r="J14" i="113"/>
  <c r="I13" i="113"/>
  <c r="I67" i="113"/>
  <c r="I66" i="113"/>
  <c r="I65" i="113"/>
  <c r="I63" i="113"/>
  <c r="I62" i="113"/>
  <c r="I61" i="113"/>
  <c r="I60" i="113"/>
  <c r="I59" i="113"/>
  <c r="I58" i="113"/>
  <c r="I57" i="113"/>
  <c r="I56" i="113"/>
  <c r="I11" i="113"/>
  <c r="I10" i="113"/>
  <c r="I9" i="113"/>
  <c r="I8" i="113"/>
  <c r="I7" i="113"/>
  <c r="I6" i="113"/>
  <c r="I5" i="113"/>
  <c r="J13" i="113"/>
  <c r="J22" i="113"/>
  <c r="J30" i="113"/>
  <c r="J39" i="113"/>
  <c r="J47" i="113"/>
  <c r="J59" i="113"/>
  <c r="J5" i="113"/>
  <c r="J31" i="113"/>
  <c r="J40" i="113"/>
  <c r="J49" i="113"/>
  <c r="J60" i="113"/>
  <c r="J6" i="113"/>
  <c r="J61" i="113"/>
  <c r="J7" i="113"/>
  <c r="J16" i="113"/>
  <c r="J25" i="113"/>
  <c r="J34" i="113"/>
  <c r="J42" i="113"/>
  <c r="J52" i="113"/>
  <c r="J62" i="113"/>
  <c r="J24" i="113"/>
  <c r="J8" i="113"/>
  <c r="J17" i="113"/>
  <c r="J26" i="113"/>
  <c r="J35" i="113"/>
  <c r="J43" i="113"/>
  <c r="J54" i="113"/>
  <c r="J63" i="113"/>
  <c r="J15" i="113"/>
  <c r="J9" i="113"/>
  <c r="J18" i="113"/>
  <c r="J27" i="113"/>
  <c r="J36" i="113"/>
  <c r="J44" i="113"/>
  <c r="J56" i="113"/>
  <c r="J65" i="113"/>
  <c r="J19" i="113"/>
  <c r="J28" i="113"/>
  <c r="J37" i="113"/>
  <c r="J45" i="113"/>
  <c r="J57" i="113"/>
  <c r="J66" i="113"/>
  <c r="J21" i="113"/>
  <c r="J29" i="113"/>
  <c r="J58" i="113"/>
  <c r="J67" i="113"/>
  <c r="L69" i="113"/>
  <c r="D186" i="18"/>
  <c r="D188" i="18"/>
  <c r="D184" i="18"/>
  <c r="D183" i="18"/>
  <c r="D182" i="18"/>
  <c r="D185" i="18"/>
  <c r="D181" i="18"/>
  <c r="D189" i="18"/>
  <c r="H67" i="18"/>
  <c r="M6" i="18"/>
  <c r="L6" i="18"/>
  <c r="K6" i="18"/>
  <c r="J6" i="18"/>
  <c r="I6" i="18"/>
  <c r="M16" i="18"/>
  <c r="L16" i="18"/>
  <c r="K16" i="18"/>
  <c r="J16" i="18"/>
  <c r="I16" i="18"/>
  <c r="M17" i="18"/>
  <c r="L17" i="18"/>
  <c r="K17" i="18"/>
  <c r="J17" i="18"/>
  <c r="I17" i="18"/>
  <c r="M18" i="18"/>
  <c r="L18" i="18"/>
  <c r="K18" i="18"/>
  <c r="J18" i="18"/>
  <c r="I18" i="18"/>
  <c r="M14" i="18"/>
  <c r="L14" i="18"/>
  <c r="K14" i="18"/>
  <c r="J14" i="18"/>
  <c r="I14" i="18"/>
  <c r="M13" i="18"/>
  <c r="L13" i="18"/>
  <c r="K13" i="18"/>
  <c r="J13" i="18"/>
  <c r="I13" i="18"/>
  <c r="M10" i="18"/>
  <c r="L10" i="18"/>
  <c r="K10" i="18"/>
  <c r="J10" i="18"/>
  <c r="I10" i="18"/>
  <c r="M8" i="18"/>
  <c r="L8" i="18"/>
  <c r="K8" i="18"/>
  <c r="J8" i="18"/>
  <c r="I8" i="18"/>
  <c r="P33" i="114"/>
  <c r="O33" i="114"/>
  <c r="N33" i="114"/>
  <c r="M33" i="114"/>
  <c r="L33" i="114"/>
  <c r="K33" i="114"/>
  <c r="G26" i="114"/>
  <c r="H26" i="114"/>
  <c r="I26" i="114"/>
  <c r="J26" i="114"/>
  <c r="E35" i="114"/>
  <c r="D35" i="114"/>
  <c r="C35" i="114"/>
  <c r="E34" i="114"/>
  <c r="D34" i="114"/>
  <c r="C34" i="114"/>
  <c r="E31" i="114"/>
  <c r="D31" i="114"/>
  <c r="C31" i="114"/>
  <c r="E30" i="114"/>
  <c r="D30" i="114"/>
  <c r="C30" i="114"/>
  <c r="E29" i="114"/>
  <c r="D29" i="114"/>
  <c r="C29" i="114"/>
  <c r="V11" i="114"/>
  <c r="J17" i="114"/>
  <c r="I17" i="114"/>
  <c r="H17" i="114"/>
  <c r="G17" i="114"/>
  <c r="J9" i="114"/>
  <c r="N9" i="114"/>
  <c r="R9" i="114"/>
  <c r="J12" i="114"/>
  <c r="N12" i="114"/>
  <c r="R12" i="114"/>
  <c r="J13" i="114"/>
  <c r="J10" i="114"/>
  <c r="J8" i="114"/>
  <c r="N8" i="114"/>
  <c r="R8" i="114"/>
  <c r="J7" i="114"/>
  <c r="N7" i="114"/>
  <c r="R7" i="114"/>
  <c r="J6" i="114"/>
  <c r="J5" i="114"/>
  <c r="C6" i="114"/>
  <c r="C14" i="114"/>
  <c r="D14" i="114"/>
  <c r="L1382" i="72"/>
  <c r="L1381" i="72"/>
  <c r="AH67" i="113"/>
  <c r="AH66" i="113"/>
  <c r="AH65" i="113"/>
  <c r="AH63" i="113"/>
  <c r="AH61" i="113"/>
  <c r="AH59" i="113"/>
  <c r="AH58" i="113"/>
  <c r="AH57" i="113"/>
  <c r="AH56" i="113"/>
  <c r="AH54" i="113"/>
  <c r="AH47" i="113"/>
  <c r="AH45" i="113"/>
  <c r="AH43" i="113"/>
  <c r="AH40" i="113"/>
  <c r="AH39" i="113"/>
  <c r="AH36" i="113"/>
  <c r="AH35" i="113"/>
  <c r="AH31" i="113"/>
  <c r="AH30" i="113"/>
  <c r="AH29" i="113"/>
  <c r="AH28" i="113"/>
  <c r="AH23" i="113"/>
  <c r="AH22" i="113"/>
  <c r="AH16" i="113"/>
  <c r="AH15" i="113"/>
  <c r="AH11" i="113"/>
  <c r="AH10" i="113"/>
  <c r="AH9" i="113"/>
  <c r="AH7" i="113"/>
  <c r="AH6" i="113"/>
  <c r="AI6" i="113"/>
  <c r="AH5" i="113"/>
  <c r="AI5" i="113"/>
  <c r="AJ5" i="113"/>
  <c r="AK5" i="113"/>
  <c r="AL5" i="113"/>
  <c r="AM5" i="113"/>
  <c r="AN5" i="113"/>
  <c r="AO5" i="113"/>
  <c r="AP5" i="113"/>
  <c r="AQ5" i="113"/>
  <c r="AR5" i="113"/>
  <c r="AS5" i="113"/>
  <c r="AT5" i="113"/>
  <c r="AU5" i="113"/>
  <c r="AV5" i="113"/>
  <c r="AW5" i="113"/>
  <c r="AX5" i="113"/>
  <c r="AY5" i="113"/>
  <c r="AZ5" i="113"/>
  <c r="BA5" i="113"/>
  <c r="AI3" i="113"/>
  <c r="AJ3" i="113"/>
  <c r="AK3" i="113"/>
  <c r="AL3" i="113"/>
  <c r="AM3" i="113"/>
  <c r="AN3" i="113"/>
  <c r="AO3" i="113"/>
  <c r="AP3" i="113"/>
  <c r="AQ3" i="113"/>
  <c r="AR3" i="113"/>
  <c r="AS3" i="113"/>
  <c r="AT3" i="113"/>
  <c r="AU3" i="113"/>
  <c r="AV3" i="113"/>
  <c r="AW3" i="113"/>
  <c r="AX3" i="113"/>
  <c r="AY3" i="113"/>
  <c r="AZ3" i="113"/>
  <c r="BA3" i="113"/>
  <c r="M3" i="113"/>
  <c r="N3" i="113"/>
  <c r="O3" i="113"/>
  <c r="P3" i="113"/>
  <c r="Q3" i="113"/>
  <c r="R3" i="113"/>
  <c r="S3" i="113"/>
  <c r="T3" i="113"/>
  <c r="U3" i="113"/>
  <c r="V3" i="113"/>
  <c r="W3" i="113"/>
  <c r="X3" i="113"/>
  <c r="Y3" i="113"/>
  <c r="Z3" i="113"/>
  <c r="AA3" i="113"/>
  <c r="AB3" i="113"/>
  <c r="AC3" i="113"/>
  <c r="AD3" i="113"/>
  <c r="AE3" i="113"/>
  <c r="K104" i="15"/>
  <c r="L104" i="15"/>
  <c r="M104" i="15"/>
  <c r="L113" i="15"/>
  <c r="K113" i="15"/>
  <c r="J113" i="15"/>
  <c r="I113" i="15"/>
  <c r="L34" i="110"/>
  <c r="K34" i="110"/>
  <c r="J34" i="110"/>
  <c r="I34" i="110"/>
  <c r="L33" i="110"/>
  <c r="K33" i="110"/>
  <c r="J33" i="110"/>
  <c r="I33" i="110"/>
  <c r="L32" i="110"/>
  <c r="K32" i="110"/>
  <c r="J32" i="110"/>
  <c r="I32" i="110"/>
  <c r="L31" i="110"/>
  <c r="K31" i="110"/>
  <c r="J31" i="110"/>
  <c r="I31" i="110"/>
  <c r="L30" i="110"/>
  <c r="K30" i="110"/>
  <c r="J30" i="110"/>
  <c r="I30" i="110"/>
  <c r="L29" i="110"/>
  <c r="K29" i="110"/>
  <c r="J29" i="110"/>
  <c r="I29" i="110"/>
  <c r="L28" i="110"/>
  <c r="K28" i="110"/>
  <c r="J28" i="110"/>
  <c r="I28" i="110"/>
  <c r="L27" i="110"/>
  <c r="K27" i="110"/>
  <c r="J27" i="110"/>
  <c r="I27" i="110"/>
  <c r="L26" i="110"/>
  <c r="K26" i="110"/>
  <c r="J26" i="110"/>
  <c r="I26" i="110"/>
  <c r="L25" i="110"/>
  <c r="K25" i="110"/>
  <c r="J25" i="110"/>
  <c r="I25" i="110"/>
  <c r="L24" i="110"/>
  <c r="K24" i="110"/>
  <c r="J24" i="110"/>
  <c r="D31" i="110"/>
  <c r="R15" i="110"/>
  <c r="I111" i="15"/>
  <c r="I61" i="112"/>
  <c r="H61" i="112"/>
  <c r="H62" i="112"/>
  <c r="M59" i="112"/>
  <c r="J59" i="112"/>
  <c r="L59" i="112"/>
  <c r="M58" i="112"/>
  <c r="J58" i="112"/>
  <c r="L58" i="112"/>
  <c r="M57" i="112"/>
  <c r="J57" i="112"/>
  <c r="L57" i="112"/>
  <c r="M56" i="112"/>
  <c r="L56" i="112"/>
  <c r="O56" i="112"/>
  <c r="M55" i="112"/>
  <c r="L55" i="112"/>
  <c r="N55" i="112"/>
  <c r="M54" i="112"/>
  <c r="L54" i="112"/>
  <c r="O54" i="112"/>
  <c r="J54" i="112"/>
  <c r="N53" i="112"/>
  <c r="M53" i="112"/>
  <c r="O53" i="112"/>
  <c r="L53" i="112"/>
  <c r="J53" i="112"/>
  <c r="M52" i="112"/>
  <c r="J52" i="112"/>
  <c r="L52" i="112"/>
  <c r="M51" i="112"/>
  <c r="J51" i="112"/>
  <c r="L51" i="112"/>
  <c r="M50" i="112"/>
  <c r="L50" i="112"/>
  <c r="N50" i="112"/>
  <c r="J50" i="112"/>
  <c r="M49" i="112"/>
  <c r="J49" i="112"/>
  <c r="L49" i="112"/>
  <c r="M48" i="112"/>
  <c r="J48" i="112"/>
  <c r="L48" i="112"/>
  <c r="M47" i="112"/>
  <c r="J47" i="112"/>
  <c r="L47" i="112"/>
  <c r="M46" i="112"/>
  <c r="L46" i="112"/>
  <c r="O46" i="112"/>
  <c r="J46" i="112"/>
  <c r="M45" i="112"/>
  <c r="K45" i="112"/>
  <c r="G45" i="112"/>
  <c r="J45" i="112"/>
  <c r="L45" i="112"/>
  <c r="F45" i="112"/>
  <c r="M44" i="112"/>
  <c r="K44" i="112"/>
  <c r="G44" i="112"/>
  <c r="J44" i="112"/>
  <c r="L44" i="112"/>
  <c r="F44" i="112"/>
  <c r="M43" i="112"/>
  <c r="L43" i="112"/>
  <c r="O43" i="112"/>
  <c r="M42" i="112"/>
  <c r="L42" i="112"/>
  <c r="O42" i="112"/>
  <c r="J42" i="112"/>
  <c r="M41" i="112"/>
  <c r="J41" i="112"/>
  <c r="L41" i="112"/>
  <c r="M40" i="112"/>
  <c r="J40" i="112"/>
  <c r="L40" i="112"/>
  <c r="M39" i="112"/>
  <c r="J39" i="112"/>
  <c r="L39" i="112"/>
  <c r="M38" i="112"/>
  <c r="L38" i="112"/>
  <c r="N38" i="112"/>
  <c r="J38" i="112"/>
  <c r="M37" i="112"/>
  <c r="J37" i="112"/>
  <c r="L37" i="112"/>
  <c r="O36" i="112"/>
  <c r="N36" i="112"/>
  <c r="M36" i="112"/>
  <c r="L36" i="112"/>
  <c r="J36" i="112"/>
  <c r="M35" i="112"/>
  <c r="J35" i="112"/>
  <c r="L35" i="112"/>
  <c r="M34" i="112"/>
  <c r="L34" i="112"/>
  <c r="O34" i="112"/>
  <c r="J34" i="112"/>
  <c r="M33" i="112"/>
  <c r="J33" i="112"/>
  <c r="L33" i="112"/>
  <c r="M32" i="112"/>
  <c r="J32" i="112"/>
  <c r="L32" i="112"/>
  <c r="O31" i="112"/>
  <c r="M31" i="112"/>
  <c r="L31" i="112"/>
  <c r="N31" i="112"/>
  <c r="M30" i="112"/>
  <c r="L30" i="112"/>
  <c r="O30" i="112"/>
  <c r="L29" i="112"/>
  <c r="N29" i="112"/>
  <c r="K29" i="112"/>
  <c r="M29" i="112"/>
  <c r="O29" i="112"/>
  <c r="J29" i="112"/>
  <c r="G29" i="112"/>
  <c r="F29" i="112"/>
  <c r="L28" i="112"/>
  <c r="N28" i="112"/>
  <c r="K28" i="112"/>
  <c r="M28" i="112"/>
  <c r="O28" i="112"/>
  <c r="J28" i="112"/>
  <c r="G28" i="112"/>
  <c r="F28" i="112"/>
  <c r="O27" i="112"/>
  <c r="M27" i="112"/>
  <c r="L27" i="112"/>
  <c r="N27" i="112"/>
  <c r="M26" i="112"/>
  <c r="J26" i="112"/>
  <c r="L26" i="112"/>
  <c r="M25" i="112"/>
  <c r="L25" i="112"/>
  <c r="O25" i="112"/>
  <c r="M24" i="112"/>
  <c r="L24" i="112"/>
  <c r="N24" i="112"/>
  <c r="K24" i="112"/>
  <c r="J24" i="112"/>
  <c r="G24" i="112"/>
  <c r="F24" i="112"/>
  <c r="M23" i="112"/>
  <c r="L23" i="112"/>
  <c r="N23" i="112"/>
  <c r="K23" i="112"/>
  <c r="J23" i="112"/>
  <c r="G23" i="112"/>
  <c r="F23" i="112"/>
  <c r="M22" i="112"/>
  <c r="L22" i="112"/>
  <c r="N22" i="112"/>
  <c r="K22" i="112"/>
  <c r="J22" i="112"/>
  <c r="G22" i="112"/>
  <c r="F22" i="112"/>
  <c r="M21" i="112"/>
  <c r="K21" i="112"/>
  <c r="G21" i="112"/>
  <c r="J21" i="112"/>
  <c r="L21" i="112"/>
  <c r="F21" i="112"/>
  <c r="M20" i="112"/>
  <c r="K20" i="112"/>
  <c r="G20" i="112"/>
  <c r="J20" i="112"/>
  <c r="L20" i="112"/>
  <c r="F20" i="112"/>
  <c r="M19" i="112"/>
  <c r="L19" i="112"/>
  <c r="N19" i="112"/>
  <c r="M18" i="112"/>
  <c r="L18" i="112"/>
  <c r="O18" i="112"/>
  <c r="M17" i="112"/>
  <c r="L17" i="112"/>
  <c r="O17" i="112"/>
  <c r="O16" i="112"/>
  <c r="M16" i="112"/>
  <c r="L16" i="112"/>
  <c r="N16" i="112"/>
  <c r="K15" i="112"/>
  <c r="M15" i="112"/>
  <c r="G15" i="112"/>
  <c r="J15" i="112"/>
  <c r="L15" i="112"/>
  <c r="F15" i="112"/>
  <c r="K14" i="112"/>
  <c r="M14" i="112"/>
  <c r="G14" i="112"/>
  <c r="G61" i="112"/>
  <c r="F14" i="112"/>
  <c r="M13" i="112"/>
  <c r="J13" i="112"/>
  <c r="L13" i="112"/>
  <c r="M12" i="112"/>
  <c r="L12" i="112"/>
  <c r="O12" i="112"/>
  <c r="H12" i="112"/>
  <c r="M11" i="112"/>
  <c r="J11" i="112"/>
  <c r="L11" i="112"/>
  <c r="N10" i="112"/>
  <c r="M10" i="112"/>
  <c r="L10" i="112"/>
  <c r="O10" i="112"/>
  <c r="O9" i="112"/>
  <c r="N9" i="112"/>
  <c r="M9" i="112"/>
  <c r="L9" i="112"/>
  <c r="M8" i="112"/>
  <c r="J8" i="112"/>
  <c r="O7" i="112"/>
  <c r="M7" i="112"/>
  <c r="L7" i="112"/>
  <c r="N7" i="112"/>
  <c r="M6" i="112"/>
  <c r="L6" i="112"/>
  <c r="O5" i="112"/>
  <c r="M5" i="112"/>
  <c r="L5" i="112"/>
  <c r="N5" i="112"/>
  <c r="E2" i="112"/>
  <c r="O5" i="110"/>
  <c r="P5" i="110"/>
  <c r="K651" i="53"/>
  <c r="J40" i="17"/>
  <c r="K40" i="17"/>
  <c r="L40" i="17"/>
  <c r="M40" i="17"/>
  <c r="F36" i="17"/>
  <c r="E36" i="17"/>
  <c r="D36" i="17"/>
  <c r="C36" i="17"/>
  <c r="H35" i="17"/>
  <c r="F35" i="17"/>
  <c r="E35" i="17"/>
  <c r="D35" i="17"/>
  <c r="C35" i="17"/>
  <c r="E34" i="17"/>
  <c r="F34" i="17"/>
  <c r="G34" i="17"/>
  <c r="I34" i="17"/>
  <c r="J34" i="17"/>
  <c r="K34" i="17"/>
  <c r="L34" i="17"/>
  <c r="M34" i="17"/>
  <c r="D34" i="17"/>
  <c r="F30" i="17"/>
  <c r="E30" i="17"/>
  <c r="D30" i="17"/>
  <c r="C30" i="17"/>
  <c r="D25" i="17"/>
  <c r="E25" i="17"/>
  <c r="F25" i="17"/>
  <c r="G25" i="17"/>
  <c r="I25" i="17"/>
  <c r="J25" i="17"/>
  <c r="K25" i="17"/>
  <c r="L25" i="17"/>
  <c r="M25" i="17"/>
  <c r="F29" i="17"/>
  <c r="E29" i="17"/>
  <c r="D29" i="17"/>
  <c r="C29" i="17"/>
  <c r="H17" i="7"/>
  <c r="H66" i="18"/>
  <c r="I66" i="18"/>
  <c r="D155" i="18"/>
  <c r="E155" i="18"/>
  <c r="F155" i="18"/>
  <c r="G155" i="18"/>
  <c r="H114" i="18"/>
  <c r="H115" i="18"/>
  <c r="J135" i="18"/>
  <c r="I135" i="18"/>
  <c r="J134" i="18"/>
  <c r="P133" i="18"/>
  <c r="P135" i="18"/>
  <c r="P136" i="18"/>
  <c r="M49" i="18"/>
  <c r="L49" i="18"/>
  <c r="K49" i="18"/>
  <c r="J49" i="18"/>
  <c r="I49" i="18"/>
  <c r="L134" i="18"/>
  <c r="R133" i="18"/>
  <c r="R135" i="18"/>
  <c r="R136" i="18"/>
  <c r="K134" i="18"/>
  <c r="Q133" i="18"/>
  <c r="Q135" i="18"/>
  <c r="Q136" i="18"/>
  <c r="I134" i="18"/>
  <c r="D131" i="18"/>
  <c r="E131" i="18"/>
  <c r="F131" i="18"/>
  <c r="G131" i="18"/>
  <c r="I131" i="18"/>
  <c r="J131" i="18"/>
  <c r="K131" i="18"/>
  <c r="L131" i="18"/>
  <c r="M131" i="18"/>
  <c r="L129" i="18"/>
  <c r="K129" i="18"/>
  <c r="J129" i="18"/>
  <c r="I129" i="18"/>
  <c r="L48" i="18"/>
  <c r="K48" i="18"/>
  <c r="J48" i="18"/>
  <c r="I48" i="18"/>
  <c r="L128" i="18"/>
  <c r="R127" i="18"/>
  <c r="R129" i="18"/>
  <c r="R130" i="18"/>
  <c r="K128" i="18"/>
  <c r="Q127" i="18"/>
  <c r="Q129" i="18"/>
  <c r="Q130" i="18"/>
  <c r="J128" i="18"/>
  <c r="P127" i="18"/>
  <c r="P129" i="18"/>
  <c r="P130" i="18"/>
  <c r="I128" i="18"/>
  <c r="D35" i="16"/>
  <c r="H1080" i="111"/>
  <c r="I1079" i="111"/>
  <c r="I1078" i="111"/>
  <c r="I1077" i="111"/>
  <c r="I1076" i="111"/>
  <c r="I1075" i="111"/>
  <c r="I1074" i="111"/>
  <c r="I1073" i="111"/>
  <c r="I1072" i="111"/>
  <c r="I1071" i="111"/>
  <c r="I1070" i="111"/>
  <c r="I1069" i="111"/>
  <c r="I1068" i="111"/>
  <c r="I1067" i="111"/>
  <c r="I1066" i="111"/>
  <c r="I1065" i="111"/>
  <c r="I1064" i="111"/>
  <c r="I1063" i="111"/>
  <c r="I1062" i="111"/>
  <c r="I1061" i="111"/>
  <c r="I1060" i="111"/>
  <c r="I1059" i="111"/>
  <c r="I1058" i="111"/>
  <c r="I1057" i="111"/>
  <c r="I1056" i="111"/>
  <c r="I1055" i="111"/>
  <c r="I1054" i="111"/>
  <c r="I1053" i="111"/>
  <c r="I1052" i="111"/>
  <c r="I1051" i="111"/>
  <c r="I1050" i="111"/>
  <c r="I1049" i="111"/>
  <c r="I1048" i="111"/>
  <c r="I1047" i="111"/>
  <c r="I1046" i="111"/>
  <c r="I1045" i="111"/>
  <c r="I1044" i="111"/>
  <c r="I1043" i="111"/>
  <c r="I1042" i="111"/>
  <c r="I1041" i="111"/>
  <c r="I1040" i="111"/>
  <c r="I1039" i="111"/>
  <c r="I1038" i="111"/>
  <c r="I1037" i="111"/>
  <c r="I1036" i="111"/>
  <c r="I1035" i="111"/>
  <c r="I1034" i="111"/>
  <c r="I1033" i="111"/>
  <c r="I1032" i="111"/>
  <c r="I1031" i="111"/>
  <c r="I1030" i="111"/>
  <c r="I1029" i="111"/>
  <c r="I1028" i="111"/>
  <c r="I1027" i="111"/>
  <c r="I1026" i="111"/>
  <c r="I1025" i="111"/>
  <c r="I1024" i="111"/>
  <c r="I1023" i="111"/>
  <c r="I1022" i="111"/>
  <c r="I1021" i="111"/>
  <c r="I1020" i="111"/>
  <c r="I1019" i="111"/>
  <c r="I1018" i="111"/>
  <c r="I1017" i="111"/>
  <c r="I1016" i="111"/>
  <c r="I1015" i="111"/>
  <c r="I1014" i="111"/>
  <c r="I1013" i="111"/>
  <c r="I1012" i="111"/>
  <c r="I1011" i="111"/>
  <c r="I1010" i="111"/>
  <c r="I1009" i="111"/>
  <c r="I1008" i="111"/>
  <c r="I1007" i="111"/>
  <c r="I1006" i="111"/>
  <c r="I1005" i="111"/>
  <c r="I1004" i="111"/>
  <c r="I1003" i="111"/>
  <c r="I1002" i="111"/>
  <c r="I1001" i="111"/>
  <c r="I1000" i="111"/>
  <c r="I999" i="111"/>
  <c r="I998" i="111"/>
  <c r="I997" i="111"/>
  <c r="I996" i="111"/>
  <c r="I995" i="111"/>
  <c r="I994" i="111"/>
  <c r="I993" i="111"/>
  <c r="I992" i="111"/>
  <c r="I991" i="111"/>
  <c r="I990" i="111"/>
  <c r="I989" i="111"/>
  <c r="I988" i="111"/>
  <c r="I987" i="111"/>
  <c r="I986" i="111"/>
  <c r="I985" i="111"/>
  <c r="I984" i="111"/>
  <c r="I983" i="111"/>
  <c r="I982" i="111"/>
  <c r="I981" i="111"/>
  <c r="I980" i="111"/>
  <c r="I979" i="111"/>
  <c r="I978" i="111"/>
  <c r="I977" i="111"/>
  <c r="I976" i="111"/>
  <c r="I975" i="111"/>
  <c r="I974" i="111"/>
  <c r="I973" i="111"/>
  <c r="I972" i="111"/>
  <c r="I971" i="111"/>
  <c r="I970" i="111"/>
  <c r="I969" i="111"/>
  <c r="I968" i="111"/>
  <c r="I967" i="111"/>
  <c r="I966" i="111"/>
  <c r="I965" i="111"/>
  <c r="I964" i="111"/>
  <c r="I963" i="111"/>
  <c r="I962" i="111"/>
  <c r="I961" i="111"/>
  <c r="I960" i="111"/>
  <c r="I959" i="111"/>
  <c r="I958" i="111"/>
  <c r="I957" i="111"/>
  <c r="I956" i="111"/>
  <c r="I955" i="111"/>
  <c r="I954" i="111"/>
  <c r="I953" i="111"/>
  <c r="I952" i="111"/>
  <c r="I951" i="111"/>
  <c r="I950" i="111"/>
  <c r="I949" i="111"/>
  <c r="I948" i="111"/>
  <c r="I947" i="111"/>
  <c r="I946" i="111"/>
  <c r="I945" i="111"/>
  <c r="I944" i="111"/>
  <c r="I943" i="111"/>
  <c r="I942" i="111"/>
  <c r="I941" i="111"/>
  <c r="I940" i="111"/>
  <c r="I939" i="111"/>
  <c r="I938" i="111"/>
  <c r="I937" i="111"/>
  <c r="I936" i="111"/>
  <c r="I935" i="111"/>
  <c r="I934" i="111"/>
  <c r="I933" i="111"/>
  <c r="I932" i="111"/>
  <c r="I931" i="111"/>
  <c r="I930" i="111"/>
  <c r="I929" i="111"/>
  <c r="I928" i="111"/>
  <c r="I927" i="111"/>
  <c r="I926" i="111"/>
  <c r="I925" i="111"/>
  <c r="I924" i="111"/>
  <c r="I923" i="111"/>
  <c r="I922" i="111"/>
  <c r="I921" i="111"/>
  <c r="I920" i="111"/>
  <c r="I919" i="111"/>
  <c r="I918" i="111"/>
  <c r="I917" i="111"/>
  <c r="I916" i="111"/>
  <c r="I915" i="111"/>
  <c r="I914" i="111"/>
  <c r="I913" i="111"/>
  <c r="I912" i="111"/>
  <c r="I911" i="111"/>
  <c r="I910" i="111"/>
  <c r="I909" i="111"/>
  <c r="I908" i="111"/>
  <c r="I907" i="111"/>
  <c r="I906" i="111"/>
  <c r="I905" i="111"/>
  <c r="I904" i="111"/>
  <c r="I903" i="111"/>
  <c r="I902" i="111"/>
  <c r="I901" i="111"/>
  <c r="I900" i="111"/>
  <c r="I899" i="111"/>
  <c r="I898" i="111"/>
  <c r="I897" i="111"/>
  <c r="I896" i="111"/>
  <c r="I895" i="111"/>
  <c r="I894" i="111"/>
  <c r="I893" i="111"/>
  <c r="I892" i="111"/>
  <c r="I891" i="111"/>
  <c r="I890" i="111"/>
  <c r="I889" i="111"/>
  <c r="I888" i="111"/>
  <c r="I887" i="111"/>
  <c r="I886" i="111"/>
  <c r="I885" i="111"/>
  <c r="I884" i="111"/>
  <c r="I883" i="111"/>
  <c r="I882" i="111"/>
  <c r="I881" i="111"/>
  <c r="I880" i="111"/>
  <c r="I879" i="111"/>
  <c r="I878" i="111"/>
  <c r="I877" i="111"/>
  <c r="I876" i="111"/>
  <c r="I875" i="111"/>
  <c r="I874" i="111"/>
  <c r="I873" i="111"/>
  <c r="I872" i="111"/>
  <c r="I871" i="111"/>
  <c r="I870" i="111"/>
  <c r="I869" i="111"/>
  <c r="I868" i="111"/>
  <c r="I867" i="111"/>
  <c r="I866" i="111"/>
  <c r="I865" i="111"/>
  <c r="I864" i="111"/>
  <c r="I863" i="111"/>
  <c r="I862" i="111"/>
  <c r="I861" i="111"/>
  <c r="I860" i="111"/>
  <c r="I859" i="111"/>
  <c r="I858" i="111"/>
  <c r="I857" i="111"/>
  <c r="I856" i="111"/>
  <c r="I855" i="111"/>
  <c r="I854" i="111"/>
  <c r="I853" i="111"/>
  <c r="I852" i="111"/>
  <c r="I851" i="111"/>
  <c r="I850" i="111"/>
  <c r="I849" i="111"/>
  <c r="I848" i="111"/>
  <c r="I847" i="111"/>
  <c r="I846" i="111"/>
  <c r="I845" i="111"/>
  <c r="I844" i="111"/>
  <c r="I843" i="111"/>
  <c r="I842" i="111"/>
  <c r="I841" i="111"/>
  <c r="I840" i="111"/>
  <c r="I839" i="111"/>
  <c r="I838" i="111"/>
  <c r="I837" i="111"/>
  <c r="I836" i="111"/>
  <c r="I835" i="111"/>
  <c r="I834" i="111"/>
  <c r="I833" i="111"/>
  <c r="I832" i="111"/>
  <c r="I831" i="111"/>
  <c r="I830" i="111"/>
  <c r="I829" i="111"/>
  <c r="I828" i="111"/>
  <c r="I827" i="111"/>
  <c r="I826" i="111"/>
  <c r="I825" i="111"/>
  <c r="I824" i="111"/>
  <c r="I823" i="111"/>
  <c r="I822" i="111"/>
  <c r="I821" i="111"/>
  <c r="I820" i="111"/>
  <c r="I819" i="111"/>
  <c r="I818" i="111"/>
  <c r="I817" i="111"/>
  <c r="I816" i="111"/>
  <c r="I815" i="111"/>
  <c r="I814" i="111"/>
  <c r="I813" i="111"/>
  <c r="I812" i="111"/>
  <c r="I811" i="111"/>
  <c r="I810" i="111"/>
  <c r="I809" i="111"/>
  <c r="I808" i="111"/>
  <c r="I807" i="111"/>
  <c r="I806" i="111"/>
  <c r="I805" i="111"/>
  <c r="I804" i="111"/>
  <c r="I803" i="111"/>
  <c r="I802" i="111"/>
  <c r="I801" i="111"/>
  <c r="I800" i="111"/>
  <c r="I799" i="111"/>
  <c r="I798" i="111"/>
  <c r="I797" i="111"/>
  <c r="I796" i="111"/>
  <c r="I795" i="111"/>
  <c r="I794" i="111"/>
  <c r="I793" i="111"/>
  <c r="I792" i="111"/>
  <c r="I791" i="111"/>
  <c r="I790" i="111"/>
  <c r="I789" i="111"/>
  <c r="I788" i="111"/>
  <c r="I787" i="111"/>
  <c r="I786" i="111"/>
  <c r="I785" i="111"/>
  <c r="I784" i="111"/>
  <c r="I783" i="111"/>
  <c r="I782" i="111"/>
  <c r="I781" i="111"/>
  <c r="I780" i="111"/>
  <c r="I779" i="111"/>
  <c r="I778" i="111"/>
  <c r="I777" i="111"/>
  <c r="I776" i="111"/>
  <c r="I775" i="111"/>
  <c r="I774" i="111"/>
  <c r="I773" i="111"/>
  <c r="I772" i="111"/>
  <c r="I771" i="111"/>
  <c r="I770" i="111"/>
  <c r="I769" i="111"/>
  <c r="I768" i="111"/>
  <c r="I767" i="111"/>
  <c r="I766" i="111"/>
  <c r="I765" i="111"/>
  <c r="I764" i="111"/>
  <c r="I763" i="111"/>
  <c r="I762" i="111"/>
  <c r="I761" i="111"/>
  <c r="I760" i="111"/>
  <c r="I759" i="111"/>
  <c r="I758" i="111"/>
  <c r="I757" i="111"/>
  <c r="I756" i="111"/>
  <c r="I755" i="111"/>
  <c r="I754" i="111"/>
  <c r="I753" i="111"/>
  <c r="I752" i="111"/>
  <c r="I751" i="111"/>
  <c r="I750" i="111"/>
  <c r="I749" i="111"/>
  <c r="I748" i="111"/>
  <c r="I747" i="111"/>
  <c r="I746" i="111"/>
  <c r="I745" i="111"/>
  <c r="I744" i="111"/>
  <c r="I743" i="111"/>
  <c r="I742" i="111"/>
  <c r="I741" i="111"/>
  <c r="I740" i="111"/>
  <c r="I739" i="111"/>
  <c r="I738" i="111"/>
  <c r="I737" i="111"/>
  <c r="I736" i="111"/>
  <c r="I735" i="111"/>
  <c r="I734" i="111"/>
  <c r="I733" i="111"/>
  <c r="I732" i="111"/>
  <c r="I731" i="111"/>
  <c r="I730" i="111"/>
  <c r="I729" i="111"/>
  <c r="I728" i="111"/>
  <c r="I727" i="111"/>
  <c r="I726" i="111"/>
  <c r="I725" i="111"/>
  <c r="I724" i="111"/>
  <c r="I723" i="111"/>
  <c r="I722" i="111"/>
  <c r="I721" i="111"/>
  <c r="I720" i="111"/>
  <c r="I719" i="111"/>
  <c r="I718" i="111"/>
  <c r="I717" i="111"/>
  <c r="I716" i="111"/>
  <c r="I715" i="111"/>
  <c r="I714" i="111"/>
  <c r="I713" i="111"/>
  <c r="I712" i="111"/>
  <c r="I711" i="111"/>
  <c r="I710" i="111"/>
  <c r="I709" i="111"/>
  <c r="I708" i="111"/>
  <c r="I707" i="111"/>
  <c r="I706" i="111"/>
  <c r="I705" i="111"/>
  <c r="I704" i="111"/>
  <c r="I703" i="111"/>
  <c r="I702" i="111"/>
  <c r="I701" i="111"/>
  <c r="I700" i="111"/>
  <c r="I699" i="111"/>
  <c r="I698" i="111"/>
  <c r="I697" i="111"/>
  <c r="I696" i="111"/>
  <c r="I695" i="111"/>
  <c r="I694" i="111"/>
  <c r="I693" i="111"/>
  <c r="I692" i="111"/>
  <c r="I691" i="111"/>
  <c r="I690" i="111"/>
  <c r="I689" i="111"/>
  <c r="I688" i="111"/>
  <c r="I687" i="111"/>
  <c r="I686" i="111"/>
  <c r="I685" i="111"/>
  <c r="I684" i="111"/>
  <c r="I683" i="111"/>
  <c r="I682" i="111"/>
  <c r="I681" i="111"/>
  <c r="I680" i="111"/>
  <c r="I679" i="111"/>
  <c r="I678" i="111"/>
  <c r="I677" i="111"/>
  <c r="I676" i="111"/>
  <c r="I675" i="111"/>
  <c r="I674" i="111"/>
  <c r="I673" i="111"/>
  <c r="I672" i="111"/>
  <c r="I671" i="111"/>
  <c r="I670" i="111"/>
  <c r="I669" i="111"/>
  <c r="I668" i="111"/>
  <c r="I667" i="111"/>
  <c r="I666" i="111"/>
  <c r="I665" i="111"/>
  <c r="I664" i="111"/>
  <c r="I663" i="111"/>
  <c r="I662" i="111"/>
  <c r="I661" i="111"/>
  <c r="I660" i="111"/>
  <c r="I659" i="111"/>
  <c r="I658" i="111"/>
  <c r="I657" i="111"/>
  <c r="I656" i="111"/>
  <c r="I655" i="111"/>
  <c r="I654" i="111"/>
  <c r="I653" i="111"/>
  <c r="I652" i="111"/>
  <c r="I651" i="111"/>
  <c r="I650" i="111"/>
  <c r="I649" i="111"/>
  <c r="I648" i="111"/>
  <c r="I647" i="111"/>
  <c r="I646" i="111"/>
  <c r="I645" i="111"/>
  <c r="I644" i="111"/>
  <c r="I643" i="111"/>
  <c r="I642" i="111"/>
  <c r="I641" i="111"/>
  <c r="I640" i="111"/>
  <c r="I639" i="111"/>
  <c r="I638" i="111"/>
  <c r="I637" i="111"/>
  <c r="I636" i="111"/>
  <c r="I635" i="111"/>
  <c r="I634" i="111"/>
  <c r="I633" i="111"/>
  <c r="I632" i="111"/>
  <c r="I631" i="111"/>
  <c r="I630" i="111"/>
  <c r="I629" i="111"/>
  <c r="I628" i="111"/>
  <c r="I627" i="111"/>
  <c r="I626" i="111"/>
  <c r="I625" i="111"/>
  <c r="I624" i="111"/>
  <c r="I623" i="111"/>
  <c r="I622" i="111"/>
  <c r="I621" i="111"/>
  <c r="I620" i="111"/>
  <c r="I619" i="111"/>
  <c r="I618" i="111"/>
  <c r="I617" i="111"/>
  <c r="I616" i="111"/>
  <c r="I615" i="111"/>
  <c r="I614" i="111"/>
  <c r="I613" i="111"/>
  <c r="I612" i="111"/>
  <c r="I611" i="111"/>
  <c r="I610" i="111"/>
  <c r="I609" i="111"/>
  <c r="I608" i="111"/>
  <c r="I607" i="111"/>
  <c r="I606" i="111"/>
  <c r="I605" i="111"/>
  <c r="I604" i="111"/>
  <c r="I603" i="111"/>
  <c r="I602" i="111"/>
  <c r="I601" i="111"/>
  <c r="I600" i="111"/>
  <c r="I599" i="111"/>
  <c r="I598" i="111"/>
  <c r="I597" i="111"/>
  <c r="I596" i="111"/>
  <c r="I595" i="111"/>
  <c r="I594" i="111"/>
  <c r="I593" i="111"/>
  <c r="I592" i="111"/>
  <c r="I591" i="111"/>
  <c r="I590" i="111"/>
  <c r="I589" i="111"/>
  <c r="I588" i="111"/>
  <c r="I587" i="111"/>
  <c r="I586" i="111"/>
  <c r="I585" i="111"/>
  <c r="I584" i="111"/>
  <c r="I583" i="111"/>
  <c r="I582" i="111"/>
  <c r="I581" i="111"/>
  <c r="I580" i="111"/>
  <c r="I579" i="111"/>
  <c r="I578" i="111"/>
  <c r="I577" i="111"/>
  <c r="I576" i="111"/>
  <c r="I575" i="111"/>
  <c r="I574" i="111"/>
  <c r="I573" i="111"/>
  <c r="I572" i="111"/>
  <c r="I571" i="111"/>
  <c r="I570" i="111"/>
  <c r="I569" i="111"/>
  <c r="I568" i="111"/>
  <c r="I567" i="111"/>
  <c r="I566" i="111"/>
  <c r="I565" i="111"/>
  <c r="I564" i="111"/>
  <c r="I563" i="111"/>
  <c r="I562" i="111"/>
  <c r="I561" i="111"/>
  <c r="I560" i="111"/>
  <c r="I559" i="111"/>
  <c r="I558" i="111"/>
  <c r="I557" i="111"/>
  <c r="I556" i="111"/>
  <c r="I555" i="111"/>
  <c r="I554" i="111"/>
  <c r="I553" i="111"/>
  <c r="I552" i="111"/>
  <c r="I551" i="111"/>
  <c r="I550" i="111"/>
  <c r="I549" i="111"/>
  <c r="I548" i="111"/>
  <c r="I547" i="111"/>
  <c r="I546" i="111"/>
  <c r="I545" i="111"/>
  <c r="I544" i="111"/>
  <c r="I543" i="111"/>
  <c r="I542" i="111"/>
  <c r="I541" i="111"/>
  <c r="I540" i="111"/>
  <c r="I539" i="111"/>
  <c r="I538" i="111"/>
  <c r="I537" i="111"/>
  <c r="I536" i="111"/>
  <c r="I535" i="111"/>
  <c r="I534" i="111"/>
  <c r="I533" i="111"/>
  <c r="I532" i="111"/>
  <c r="I531" i="111"/>
  <c r="I530" i="111"/>
  <c r="I529" i="111"/>
  <c r="I528" i="111"/>
  <c r="I527" i="111"/>
  <c r="I526" i="111"/>
  <c r="I525" i="111"/>
  <c r="I524" i="111"/>
  <c r="I523" i="111"/>
  <c r="I522" i="111"/>
  <c r="I521" i="111"/>
  <c r="I520" i="111"/>
  <c r="I519" i="111"/>
  <c r="I518" i="111"/>
  <c r="I517" i="111"/>
  <c r="I516" i="111"/>
  <c r="I515" i="111"/>
  <c r="I514" i="111"/>
  <c r="I513" i="111"/>
  <c r="I512" i="111"/>
  <c r="I511" i="111"/>
  <c r="I510" i="111"/>
  <c r="I509" i="111"/>
  <c r="I508" i="111"/>
  <c r="I507" i="111"/>
  <c r="I506" i="111"/>
  <c r="I505" i="111"/>
  <c r="I504" i="111"/>
  <c r="I503" i="111"/>
  <c r="I502" i="111"/>
  <c r="I501" i="111"/>
  <c r="I500" i="111"/>
  <c r="I499" i="111"/>
  <c r="I498" i="111"/>
  <c r="I497" i="111"/>
  <c r="I496" i="111"/>
  <c r="I495" i="111"/>
  <c r="I494" i="111"/>
  <c r="I493" i="111"/>
  <c r="I492" i="111"/>
  <c r="I491" i="111"/>
  <c r="I490" i="111"/>
  <c r="I489" i="111"/>
  <c r="I488" i="111"/>
  <c r="I487" i="111"/>
  <c r="I486" i="111"/>
  <c r="I485" i="111"/>
  <c r="I484" i="111"/>
  <c r="I483" i="111"/>
  <c r="I482" i="111"/>
  <c r="I481" i="111"/>
  <c r="I480" i="111"/>
  <c r="I479" i="111"/>
  <c r="I478" i="111"/>
  <c r="I477" i="111"/>
  <c r="I476" i="111"/>
  <c r="I475" i="111"/>
  <c r="I474" i="111"/>
  <c r="I473" i="111"/>
  <c r="I472" i="111"/>
  <c r="I471" i="111"/>
  <c r="I470" i="111"/>
  <c r="I469" i="111"/>
  <c r="I468" i="111"/>
  <c r="I467" i="111"/>
  <c r="I466" i="111"/>
  <c r="I465" i="111"/>
  <c r="I464" i="111"/>
  <c r="I463" i="111"/>
  <c r="I462" i="111"/>
  <c r="I461" i="111"/>
  <c r="I460" i="111"/>
  <c r="I459" i="111"/>
  <c r="I458" i="111"/>
  <c r="I457" i="111"/>
  <c r="I456" i="111"/>
  <c r="I455" i="111"/>
  <c r="I454" i="111"/>
  <c r="I453" i="111"/>
  <c r="I452" i="111"/>
  <c r="I451" i="111"/>
  <c r="I450" i="111"/>
  <c r="I449" i="111"/>
  <c r="I448" i="111"/>
  <c r="I447" i="111"/>
  <c r="I446" i="111"/>
  <c r="I445" i="111"/>
  <c r="I444" i="111"/>
  <c r="I443" i="111"/>
  <c r="I442" i="111"/>
  <c r="I441" i="111"/>
  <c r="I440" i="111"/>
  <c r="I439" i="111"/>
  <c r="I438" i="111"/>
  <c r="I437" i="111"/>
  <c r="I436" i="111"/>
  <c r="I435" i="111"/>
  <c r="I434" i="111"/>
  <c r="I433" i="111"/>
  <c r="I432" i="111"/>
  <c r="I431" i="111"/>
  <c r="I430" i="111"/>
  <c r="I429" i="111"/>
  <c r="I428" i="111"/>
  <c r="I427" i="111"/>
  <c r="I426" i="111"/>
  <c r="I425" i="111"/>
  <c r="I424" i="111"/>
  <c r="I423" i="111"/>
  <c r="I422" i="111"/>
  <c r="I421" i="111"/>
  <c r="I420" i="111"/>
  <c r="I419" i="111"/>
  <c r="I418" i="111"/>
  <c r="I417" i="111"/>
  <c r="I416" i="111"/>
  <c r="I415" i="111"/>
  <c r="I414" i="111"/>
  <c r="I413" i="111"/>
  <c r="I412" i="111"/>
  <c r="I411" i="111"/>
  <c r="I410" i="111"/>
  <c r="I409" i="111"/>
  <c r="I408" i="111"/>
  <c r="I407" i="111"/>
  <c r="I406" i="111"/>
  <c r="I405" i="111"/>
  <c r="I404" i="111"/>
  <c r="I403" i="111"/>
  <c r="I402" i="111"/>
  <c r="I401" i="111"/>
  <c r="I400" i="111"/>
  <c r="I399" i="111"/>
  <c r="I398" i="111"/>
  <c r="I397" i="111"/>
  <c r="I396" i="111"/>
  <c r="I395" i="111"/>
  <c r="I394" i="111"/>
  <c r="I393" i="111"/>
  <c r="I392" i="111"/>
  <c r="I391" i="111"/>
  <c r="I390" i="111"/>
  <c r="I389" i="111"/>
  <c r="I388" i="111"/>
  <c r="I387" i="111"/>
  <c r="I386" i="111"/>
  <c r="I385" i="111"/>
  <c r="I384" i="111"/>
  <c r="I383" i="111"/>
  <c r="I382" i="111"/>
  <c r="I381" i="111"/>
  <c r="I380" i="111"/>
  <c r="I379" i="111"/>
  <c r="I378" i="111"/>
  <c r="I377" i="111"/>
  <c r="I376" i="111"/>
  <c r="I375" i="111"/>
  <c r="I374" i="111"/>
  <c r="I373" i="111"/>
  <c r="I372" i="111"/>
  <c r="I371" i="111"/>
  <c r="I370" i="111"/>
  <c r="I369" i="111"/>
  <c r="I368" i="111"/>
  <c r="I367" i="111"/>
  <c r="I366" i="111"/>
  <c r="I365" i="111"/>
  <c r="I364" i="111"/>
  <c r="I363" i="111"/>
  <c r="I362" i="111"/>
  <c r="I361" i="111"/>
  <c r="I360" i="111"/>
  <c r="I359" i="111"/>
  <c r="I358" i="111"/>
  <c r="I357" i="111"/>
  <c r="I356" i="111"/>
  <c r="I355" i="111"/>
  <c r="I354" i="111"/>
  <c r="I353" i="111"/>
  <c r="I352" i="111"/>
  <c r="I351" i="111"/>
  <c r="I350" i="111"/>
  <c r="I349" i="111"/>
  <c r="I348" i="111"/>
  <c r="I347" i="111"/>
  <c r="I346" i="111"/>
  <c r="I345" i="111"/>
  <c r="I344" i="111"/>
  <c r="I343" i="111"/>
  <c r="I342" i="111"/>
  <c r="I341" i="111"/>
  <c r="I340" i="111"/>
  <c r="I339" i="111"/>
  <c r="I338" i="111"/>
  <c r="I337" i="111"/>
  <c r="I336" i="111"/>
  <c r="I335" i="111"/>
  <c r="I334" i="111"/>
  <c r="I333" i="111"/>
  <c r="I332" i="111"/>
  <c r="I331" i="111"/>
  <c r="I330" i="111"/>
  <c r="I329" i="111"/>
  <c r="I328" i="111"/>
  <c r="I327" i="111"/>
  <c r="I326" i="111"/>
  <c r="I325" i="111"/>
  <c r="I324" i="111"/>
  <c r="I323" i="111"/>
  <c r="I322" i="111"/>
  <c r="I321" i="111"/>
  <c r="I320" i="111"/>
  <c r="I319" i="111"/>
  <c r="I318" i="111"/>
  <c r="I317" i="111"/>
  <c r="I316" i="111"/>
  <c r="I315" i="111"/>
  <c r="I314" i="111"/>
  <c r="I313" i="111"/>
  <c r="I312" i="111"/>
  <c r="I311" i="111"/>
  <c r="I310" i="111"/>
  <c r="I309" i="111"/>
  <c r="I308" i="111"/>
  <c r="I307" i="111"/>
  <c r="I306" i="111"/>
  <c r="I305" i="111"/>
  <c r="I304" i="111"/>
  <c r="I303" i="111"/>
  <c r="I302" i="111"/>
  <c r="I301" i="111"/>
  <c r="I300" i="111"/>
  <c r="I299" i="111"/>
  <c r="I298" i="111"/>
  <c r="I297" i="111"/>
  <c r="I296" i="111"/>
  <c r="I295" i="111"/>
  <c r="I294" i="111"/>
  <c r="I293" i="111"/>
  <c r="I292" i="111"/>
  <c r="I291" i="111"/>
  <c r="I290" i="111"/>
  <c r="I289" i="111"/>
  <c r="I288" i="111"/>
  <c r="I287" i="111"/>
  <c r="I286" i="111"/>
  <c r="I285" i="111"/>
  <c r="I284" i="111"/>
  <c r="I283" i="111"/>
  <c r="I282" i="111"/>
  <c r="I281" i="111"/>
  <c r="I280" i="111"/>
  <c r="I279" i="111"/>
  <c r="I278" i="111"/>
  <c r="I277" i="111"/>
  <c r="I276" i="111"/>
  <c r="I275" i="111"/>
  <c r="I274" i="111"/>
  <c r="I273" i="111"/>
  <c r="I272" i="111"/>
  <c r="I271" i="111"/>
  <c r="I270" i="111"/>
  <c r="I269" i="111"/>
  <c r="I268" i="111"/>
  <c r="I267" i="111"/>
  <c r="I266" i="111"/>
  <c r="I265" i="111"/>
  <c r="I264" i="111"/>
  <c r="I263" i="111"/>
  <c r="I262" i="111"/>
  <c r="I261" i="111"/>
  <c r="I260" i="111"/>
  <c r="I259" i="111"/>
  <c r="I258" i="111"/>
  <c r="I257" i="111"/>
  <c r="I256" i="111"/>
  <c r="I255" i="111"/>
  <c r="I254" i="111"/>
  <c r="I253" i="111"/>
  <c r="I252" i="111"/>
  <c r="I251" i="111"/>
  <c r="I250" i="111"/>
  <c r="I249" i="111"/>
  <c r="I248" i="111"/>
  <c r="I247" i="111"/>
  <c r="I246" i="111"/>
  <c r="I245" i="111"/>
  <c r="I244" i="111"/>
  <c r="I243" i="111"/>
  <c r="I242" i="111"/>
  <c r="I241" i="111"/>
  <c r="I240" i="111"/>
  <c r="I239" i="111"/>
  <c r="I238" i="111"/>
  <c r="I237" i="111"/>
  <c r="I236" i="111"/>
  <c r="I235" i="111"/>
  <c r="I234" i="111"/>
  <c r="I233" i="111"/>
  <c r="I232" i="111"/>
  <c r="I231" i="111"/>
  <c r="I230" i="111"/>
  <c r="I229" i="111"/>
  <c r="I228" i="111"/>
  <c r="I227" i="111"/>
  <c r="I226" i="111"/>
  <c r="I225" i="111"/>
  <c r="I224" i="111"/>
  <c r="I223" i="111"/>
  <c r="I222" i="111"/>
  <c r="I221" i="111"/>
  <c r="I220" i="111"/>
  <c r="I219" i="111"/>
  <c r="I218" i="111"/>
  <c r="I217" i="111"/>
  <c r="I216" i="111"/>
  <c r="I215" i="111"/>
  <c r="I214" i="111"/>
  <c r="I213" i="111"/>
  <c r="I212" i="111"/>
  <c r="I211" i="111"/>
  <c r="I210" i="111"/>
  <c r="I209" i="111"/>
  <c r="I208" i="111"/>
  <c r="I207" i="111"/>
  <c r="I206" i="111"/>
  <c r="I205" i="111"/>
  <c r="I204" i="111"/>
  <c r="I203" i="111"/>
  <c r="I202" i="111"/>
  <c r="I201" i="111"/>
  <c r="I200" i="111"/>
  <c r="I199" i="111"/>
  <c r="I198" i="111"/>
  <c r="I197" i="111"/>
  <c r="I196" i="111"/>
  <c r="I195" i="111"/>
  <c r="I194" i="111"/>
  <c r="I193" i="111"/>
  <c r="I192" i="111"/>
  <c r="I191" i="111"/>
  <c r="I190" i="111"/>
  <c r="I189" i="111"/>
  <c r="I188" i="111"/>
  <c r="I187" i="111"/>
  <c r="I186" i="111"/>
  <c r="I185" i="111"/>
  <c r="I184" i="111"/>
  <c r="I183" i="111"/>
  <c r="I182" i="111"/>
  <c r="I181" i="111"/>
  <c r="I180" i="111"/>
  <c r="I179" i="111"/>
  <c r="I178" i="111"/>
  <c r="I177" i="111"/>
  <c r="I176" i="111"/>
  <c r="I175" i="111"/>
  <c r="I174" i="111"/>
  <c r="I173" i="111"/>
  <c r="I172" i="111"/>
  <c r="I171" i="111"/>
  <c r="I170" i="111"/>
  <c r="I169" i="111"/>
  <c r="I168" i="111"/>
  <c r="I167" i="111"/>
  <c r="I166" i="111"/>
  <c r="I165" i="111"/>
  <c r="I164" i="111"/>
  <c r="I163" i="111"/>
  <c r="I162" i="111"/>
  <c r="I161" i="111"/>
  <c r="I160" i="111"/>
  <c r="I159" i="111"/>
  <c r="I158" i="111"/>
  <c r="I157" i="111"/>
  <c r="I156" i="111"/>
  <c r="I155" i="111"/>
  <c r="I154" i="111"/>
  <c r="I153" i="111"/>
  <c r="I152" i="111"/>
  <c r="I151" i="111"/>
  <c r="I150" i="111"/>
  <c r="I149" i="111"/>
  <c r="I148" i="111"/>
  <c r="I147" i="111"/>
  <c r="I146" i="111"/>
  <c r="I145" i="111"/>
  <c r="I144" i="111"/>
  <c r="I143" i="111"/>
  <c r="I142" i="111"/>
  <c r="I141" i="111"/>
  <c r="I140" i="111"/>
  <c r="I139" i="111"/>
  <c r="I138" i="111"/>
  <c r="I137" i="111"/>
  <c r="I136" i="111"/>
  <c r="I135" i="111"/>
  <c r="I134" i="111"/>
  <c r="I133" i="111"/>
  <c r="I132" i="111"/>
  <c r="I131" i="111"/>
  <c r="I130" i="111"/>
  <c r="I129" i="111"/>
  <c r="I128" i="111"/>
  <c r="I127" i="111"/>
  <c r="I126" i="111"/>
  <c r="I125" i="111"/>
  <c r="I124" i="111"/>
  <c r="I123" i="111"/>
  <c r="I122" i="111"/>
  <c r="I121" i="111"/>
  <c r="I120" i="111"/>
  <c r="I119" i="111"/>
  <c r="I118" i="111"/>
  <c r="I117" i="111"/>
  <c r="I116" i="111"/>
  <c r="I115" i="111"/>
  <c r="I114" i="111"/>
  <c r="I113" i="111"/>
  <c r="I112" i="111"/>
  <c r="I111" i="111"/>
  <c r="I110" i="111"/>
  <c r="I109" i="111"/>
  <c r="I108" i="111"/>
  <c r="I107" i="111"/>
  <c r="I106" i="111"/>
  <c r="I105" i="111"/>
  <c r="I104" i="111"/>
  <c r="I103" i="111"/>
  <c r="I102" i="111"/>
  <c r="I101" i="111"/>
  <c r="I100" i="111"/>
  <c r="I99" i="111"/>
  <c r="I98" i="111"/>
  <c r="I97" i="111"/>
  <c r="I96" i="111"/>
  <c r="I95" i="111"/>
  <c r="I94" i="111"/>
  <c r="I93" i="111"/>
  <c r="I92" i="111"/>
  <c r="I91" i="111"/>
  <c r="I90" i="111"/>
  <c r="I89" i="111"/>
  <c r="I88" i="111"/>
  <c r="I87" i="111"/>
  <c r="I86" i="111"/>
  <c r="I85" i="111"/>
  <c r="I84" i="111"/>
  <c r="I83" i="111"/>
  <c r="I82" i="111"/>
  <c r="I81" i="111"/>
  <c r="I80" i="111"/>
  <c r="I79" i="111"/>
  <c r="I78" i="111"/>
  <c r="I77" i="111"/>
  <c r="I76" i="111"/>
  <c r="I75" i="111"/>
  <c r="I74" i="111"/>
  <c r="I73" i="111"/>
  <c r="I72" i="111"/>
  <c r="I71" i="111"/>
  <c r="I70" i="111"/>
  <c r="I69" i="111"/>
  <c r="I68" i="111"/>
  <c r="I67" i="111"/>
  <c r="I66" i="111"/>
  <c r="I65" i="111"/>
  <c r="I64" i="111"/>
  <c r="I63" i="111"/>
  <c r="I62" i="111"/>
  <c r="I61" i="111"/>
  <c r="I60" i="111"/>
  <c r="I59" i="111"/>
  <c r="I58" i="111"/>
  <c r="I57" i="111"/>
  <c r="I56" i="111"/>
  <c r="I55" i="111"/>
  <c r="I54" i="111"/>
  <c r="I53" i="111"/>
  <c r="I52" i="111"/>
  <c r="I51" i="111"/>
  <c r="I50" i="111"/>
  <c r="I49" i="111"/>
  <c r="I48" i="111"/>
  <c r="I47" i="111"/>
  <c r="I46" i="111"/>
  <c r="I45" i="111"/>
  <c r="I44" i="111"/>
  <c r="I43" i="111"/>
  <c r="I42" i="111"/>
  <c r="I41" i="111"/>
  <c r="I40" i="111"/>
  <c r="I39" i="111"/>
  <c r="I38" i="111"/>
  <c r="I37" i="111"/>
  <c r="I36" i="111"/>
  <c r="I35" i="111"/>
  <c r="I34" i="111"/>
  <c r="I33" i="111"/>
  <c r="I32" i="111"/>
  <c r="I31" i="111"/>
  <c r="I30" i="111"/>
  <c r="I29" i="111"/>
  <c r="I28" i="111"/>
  <c r="I27" i="111"/>
  <c r="I26" i="111"/>
  <c r="I25" i="111"/>
  <c r="I24" i="111"/>
  <c r="I23" i="111"/>
  <c r="I22" i="111"/>
  <c r="I21" i="111"/>
  <c r="I20" i="111"/>
  <c r="I19" i="111"/>
  <c r="I18" i="111"/>
  <c r="I17" i="111"/>
  <c r="I16" i="111"/>
  <c r="I15" i="111"/>
  <c r="I14" i="111"/>
  <c r="I13" i="111"/>
  <c r="I12" i="111"/>
  <c r="I11" i="111"/>
  <c r="I10" i="111"/>
  <c r="I9" i="111"/>
  <c r="I8" i="111"/>
  <c r="I7" i="111"/>
  <c r="I6" i="111"/>
  <c r="I5" i="111"/>
  <c r="I4" i="111"/>
  <c r="H1079" i="111"/>
  <c r="H1078" i="111"/>
  <c r="H1077" i="111"/>
  <c r="H1076" i="111"/>
  <c r="H1075" i="111"/>
  <c r="H1074" i="111"/>
  <c r="H1073" i="111"/>
  <c r="H1072" i="111"/>
  <c r="H1071" i="111"/>
  <c r="H1070" i="111"/>
  <c r="H1069" i="111"/>
  <c r="H1068" i="111"/>
  <c r="H1067" i="111"/>
  <c r="H1066" i="111"/>
  <c r="H1065" i="111"/>
  <c r="H1064" i="111"/>
  <c r="H1063" i="111"/>
  <c r="H1062" i="111"/>
  <c r="H1061" i="111"/>
  <c r="H1060" i="111"/>
  <c r="H1059" i="111"/>
  <c r="H1058" i="111"/>
  <c r="H1057" i="111"/>
  <c r="H1056" i="111"/>
  <c r="H1055" i="111"/>
  <c r="H1054" i="111"/>
  <c r="H1053" i="111"/>
  <c r="H1052" i="111"/>
  <c r="H1051" i="111"/>
  <c r="H1050" i="111"/>
  <c r="H1049" i="111"/>
  <c r="H1048" i="111"/>
  <c r="H1047" i="111"/>
  <c r="H1046" i="111"/>
  <c r="H1045" i="111"/>
  <c r="H1044" i="111"/>
  <c r="H1043" i="111"/>
  <c r="H1042" i="111"/>
  <c r="H1041" i="111"/>
  <c r="H1040" i="111"/>
  <c r="H1039" i="111"/>
  <c r="H1038" i="111"/>
  <c r="H1037" i="111"/>
  <c r="H1036" i="111"/>
  <c r="H1035" i="111"/>
  <c r="H1034" i="111"/>
  <c r="H1033" i="111"/>
  <c r="H1032" i="111"/>
  <c r="H1031" i="111"/>
  <c r="H1030" i="111"/>
  <c r="H1029" i="111"/>
  <c r="H1028" i="111"/>
  <c r="H1027" i="111"/>
  <c r="H1026" i="111"/>
  <c r="H1025" i="111"/>
  <c r="H1024" i="111"/>
  <c r="H1023" i="111"/>
  <c r="H1022" i="111"/>
  <c r="H1021" i="111"/>
  <c r="H1020" i="111"/>
  <c r="H1019" i="111"/>
  <c r="H1018" i="111"/>
  <c r="H1017" i="111"/>
  <c r="H1016" i="111"/>
  <c r="H1015" i="111"/>
  <c r="H1014" i="111"/>
  <c r="H1013" i="111"/>
  <c r="H1012" i="111"/>
  <c r="H1011" i="111"/>
  <c r="H1010" i="111"/>
  <c r="H1009" i="111"/>
  <c r="H1008" i="111"/>
  <c r="H1007" i="111"/>
  <c r="H1006" i="111"/>
  <c r="H1005" i="111"/>
  <c r="H1004" i="111"/>
  <c r="H1003" i="111"/>
  <c r="H1002" i="111"/>
  <c r="H1001" i="111"/>
  <c r="H1000" i="111"/>
  <c r="H999" i="111"/>
  <c r="H998" i="111"/>
  <c r="H997" i="111"/>
  <c r="H996" i="111"/>
  <c r="H995" i="111"/>
  <c r="H994" i="111"/>
  <c r="H993" i="111"/>
  <c r="H992" i="111"/>
  <c r="H991" i="111"/>
  <c r="H990" i="111"/>
  <c r="H989" i="111"/>
  <c r="H988" i="111"/>
  <c r="H987" i="111"/>
  <c r="H986" i="111"/>
  <c r="H985" i="111"/>
  <c r="H984" i="111"/>
  <c r="H983" i="111"/>
  <c r="H982" i="111"/>
  <c r="H981" i="111"/>
  <c r="H980" i="111"/>
  <c r="H979" i="111"/>
  <c r="H978" i="111"/>
  <c r="H977" i="111"/>
  <c r="H976" i="111"/>
  <c r="H975" i="111"/>
  <c r="H974" i="111"/>
  <c r="H973" i="111"/>
  <c r="H972" i="111"/>
  <c r="H971" i="111"/>
  <c r="H970" i="111"/>
  <c r="H969" i="111"/>
  <c r="H968" i="111"/>
  <c r="H967" i="111"/>
  <c r="H966" i="111"/>
  <c r="H965" i="111"/>
  <c r="H964" i="111"/>
  <c r="H963" i="111"/>
  <c r="H962" i="111"/>
  <c r="H961" i="111"/>
  <c r="H960" i="111"/>
  <c r="H959" i="111"/>
  <c r="H958" i="111"/>
  <c r="H957" i="111"/>
  <c r="H956" i="111"/>
  <c r="H955" i="111"/>
  <c r="H954" i="111"/>
  <c r="H953" i="111"/>
  <c r="H952" i="111"/>
  <c r="H951" i="111"/>
  <c r="H950" i="111"/>
  <c r="H949" i="111"/>
  <c r="H948" i="111"/>
  <c r="H947" i="111"/>
  <c r="H946" i="111"/>
  <c r="H945" i="111"/>
  <c r="H944" i="111"/>
  <c r="H943" i="111"/>
  <c r="H942" i="111"/>
  <c r="H941" i="111"/>
  <c r="H940" i="111"/>
  <c r="H939" i="111"/>
  <c r="H938" i="111"/>
  <c r="H937" i="111"/>
  <c r="H936" i="111"/>
  <c r="H935" i="111"/>
  <c r="H934" i="111"/>
  <c r="H933" i="111"/>
  <c r="H932" i="111"/>
  <c r="H931" i="111"/>
  <c r="H930" i="111"/>
  <c r="H929" i="111"/>
  <c r="H928" i="111"/>
  <c r="H927" i="111"/>
  <c r="H926" i="111"/>
  <c r="H925" i="111"/>
  <c r="H924" i="111"/>
  <c r="H923" i="111"/>
  <c r="H922" i="111"/>
  <c r="H921" i="111"/>
  <c r="H920" i="111"/>
  <c r="H919" i="111"/>
  <c r="H918" i="111"/>
  <c r="H917" i="111"/>
  <c r="H916" i="111"/>
  <c r="H915" i="111"/>
  <c r="H914" i="111"/>
  <c r="H913" i="111"/>
  <c r="H912" i="111"/>
  <c r="H911" i="111"/>
  <c r="H910" i="111"/>
  <c r="H909" i="111"/>
  <c r="H908" i="111"/>
  <c r="H907" i="111"/>
  <c r="H906" i="111"/>
  <c r="H905" i="111"/>
  <c r="H904" i="111"/>
  <c r="H903" i="111"/>
  <c r="H902" i="111"/>
  <c r="H901" i="111"/>
  <c r="H900" i="111"/>
  <c r="H899" i="111"/>
  <c r="H898" i="111"/>
  <c r="H897" i="111"/>
  <c r="H896" i="111"/>
  <c r="H895" i="111"/>
  <c r="H894" i="111"/>
  <c r="H893" i="111"/>
  <c r="H892" i="111"/>
  <c r="H891" i="111"/>
  <c r="H890" i="111"/>
  <c r="H889" i="111"/>
  <c r="H888" i="111"/>
  <c r="H887" i="111"/>
  <c r="H886" i="111"/>
  <c r="H885" i="111"/>
  <c r="H884" i="111"/>
  <c r="H883" i="111"/>
  <c r="H882" i="111"/>
  <c r="H881" i="111"/>
  <c r="H880" i="111"/>
  <c r="H879" i="111"/>
  <c r="H878" i="111"/>
  <c r="H877" i="111"/>
  <c r="H876" i="111"/>
  <c r="H875" i="111"/>
  <c r="H874" i="111"/>
  <c r="H873" i="111"/>
  <c r="H872" i="111"/>
  <c r="H871" i="111"/>
  <c r="H870" i="111"/>
  <c r="H869" i="111"/>
  <c r="H868" i="111"/>
  <c r="H867" i="111"/>
  <c r="H866" i="111"/>
  <c r="H865" i="111"/>
  <c r="H864" i="111"/>
  <c r="H863" i="111"/>
  <c r="H862" i="111"/>
  <c r="H861" i="111"/>
  <c r="H860" i="111"/>
  <c r="H859" i="111"/>
  <c r="H858" i="111"/>
  <c r="H857" i="111"/>
  <c r="H856" i="111"/>
  <c r="H855" i="111"/>
  <c r="H854" i="111"/>
  <c r="H853" i="111"/>
  <c r="H852" i="111"/>
  <c r="H851" i="111"/>
  <c r="H850" i="111"/>
  <c r="H849" i="111"/>
  <c r="H848" i="111"/>
  <c r="H847" i="111"/>
  <c r="H846" i="111"/>
  <c r="H845" i="111"/>
  <c r="H844" i="111"/>
  <c r="H843" i="111"/>
  <c r="H842" i="111"/>
  <c r="H841" i="111"/>
  <c r="H840" i="111"/>
  <c r="H839" i="111"/>
  <c r="H838" i="111"/>
  <c r="H837" i="111"/>
  <c r="H836" i="111"/>
  <c r="H835" i="111"/>
  <c r="H834" i="111"/>
  <c r="H833" i="111"/>
  <c r="H832" i="111"/>
  <c r="H831" i="111"/>
  <c r="H830" i="111"/>
  <c r="H829" i="111"/>
  <c r="H828" i="111"/>
  <c r="H827" i="111"/>
  <c r="H826" i="111"/>
  <c r="H825" i="111"/>
  <c r="H824" i="111"/>
  <c r="H823" i="111"/>
  <c r="H822" i="111"/>
  <c r="H821" i="111"/>
  <c r="H820" i="111"/>
  <c r="H819" i="111"/>
  <c r="H818" i="111"/>
  <c r="H817" i="111"/>
  <c r="H816" i="111"/>
  <c r="H815" i="111"/>
  <c r="H814" i="111"/>
  <c r="H813" i="111"/>
  <c r="H812" i="111"/>
  <c r="H811" i="111"/>
  <c r="H810" i="111"/>
  <c r="H809" i="111"/>
  <c r="H808" i="111"/>
  <c r="H807" i="111"/>
  <c r="H806" i="111"/>
  <c r="H805" i="111"/>
  <c r="H804" i="111"/>
  <c r="H803" i="111"/>
  <c r="H802" i="111"/>
  <c r="H801" i="111"/>
  <c r="H800" i="111"/>
  <c r="H799" i="111"/>
  <c r="H798" i="111"/>
  <c r="H797" i="111"/>
  <c r="H796" i="111"/>
  <c r="H795" i="111"/>
  <c r="H794" i="111"/>
  <c r="H793" i="111"/>
  <c r="H792" i="111"/>
  <c r="H791" i="111"/>
  <c r="H790" i="111"/>
  <c r="H789" i="111"/>
  <c r="H788" i="111"/>
  <c r="H787" i="111"/>
  <c r="H786" i="111"/>
  <c r="H785" i="111"/>
  <c r="H784" i="111"/>
  <c r="H783" i="111"/>
  <c r="H782" i="111"/>
  <c r="H781" i="111"/>
  <c r="H780" i="111"/>
  <c r="H779" i="111"/>
  <c r="H778" i="111"/>
  <c r="H777" i="111"/>
  <c r="H776" i="111"/>
  <c r="H775" i="111"/>
  <c r="H774" i="111"/>
  <c r="H773" i="111"/>
  <c r="H772" i="111"/>
  <c r="H771" i="111"/>
  <c r="H770" i="111"/>
  <c r="H769" i="111"/>
  <c r="H768" i="111"/>
  <c r="H767" i="111"/>
  <c r="H766" i="111"/>
  <c r="H765" i="111"/>
  <c r="H764" i="111"/>
  <c r="H763" i="111"/>
  <c r="H762" i="111"/>
  <c r="H761" i="111"/>
  <c r="H760" i="111"/>
  <c r="H759" i="111"/>
  <c r="H758" i="111"/>
  <c r="H757" i="111"/>
  <c r="H756" i="111"/>
  <c r="H755" i="111"/>
  <c r="H754" i="111"/>
  <c r="H753" i="111"/>
  <c r="H752" i="111"/>
  <c r="H751" i="111"/>
  <c r="H750" i="111"/>
  <c r="H749" i="111"/>
  <c r="H748" i="111"/>
  <c r="H747" i="111"/>
  <c r="H746" i="111"/>
  <c r="H745" i="111"/>
  <c r="H744" i="111"/>
  <c r="H743" i="111"/>
  <c r="H742" i="111"/>
  <c r="H741" i="111"/>
  <c r="H740" i="111"/>
  <c r="H739" i="111"/>
  <c r="H738" i="111"/>
  <c r="H737" i="111"/>
  <c r="H736" i="111"/>
  <c r="H735" i="111"/>
  <c r="H734" i="111"/>
  <c r="H733" i="111"/>
  <c r="H732" i="111"/>
  <c r="H731" i="111"/>
  <c r="H730" i="111"/>
  <c r="H729" i="111"/>
  <c r="H728" i="111"/>
  <c r="H727" i="111"/>
  <c r="H726" i="111"/>
  <c r="H725" i="111"/>
  <c r="H724" i="111"/>
  <c r="H723" i="111"/>
  <c r="H722" i="111"/>
  <c r="H721" i="111"/>
  <c r="H720" i="111"/>
  <c r="H719" i="111"/>
  <c r="H718" i="111"/>
  <c r="H717" i="111"/>
  <c r="H716" i="111"/>
  <c r="H715" i="111"/>
  <c r="H714" i="111"/>
  <c r="H713" i="111"/>
  <c r="H712" i="111"/>
  <c r="H711" i="111"/>
  <c r="H710" i="111"/>
  <c r="H709" i="111"/>
  <c r="H708" i="111"/>
  <c r="H707" i="111"/>
  <c r="H706" i="111"/>
  <c r="H705" i="111"/>
  <c r="H704" i="111"/>
  <c r="H703" i="111"/>
  <c r="H702" i="111"/>
  <c r="H701" i="111"/>
  <c r="H700" i="111"/>
  <c r="H699" i="111"/>
  <c r="H698" i="111"/>
  <c r="H697" i="111"/>
  <c r="H696" i="111"/>
  <c r="H695" i="111"/>
  <c r="H694" i="111"/>
  <c r="H693" i="111"/>
  <c r="H692" i="111"/>
  <c r="H691" i="111"/>
  <c r="H690" i="111"/>
  <c r="H689" i="111"/>
  <c r="H688" i="111"/>
  <c r="H687" i="111"/>
  <c r="H686" i="111"/>
  <c r="H685" i="111"/>
  <c r="H684" i="111"/>
  <c r="H683" i="111"/>
  <c r="H682" i="111"/>
  <c r="H681" i="111"/>
  <c r="H680" i="111"/>
  <c r="H679" i="111"/>
  <c r="H678" i="111"/>
  <c r="H677" i="111"/>
  <c r="H676" i="111"/>
  <c r="H675" i="111"/>
  <c r="H674" i="111"/>
  <c r="H673" i="111"/>
  <c r="H672" i="111"/>
  <c r="H671" i="111"/>
  <c r="H670" i="111"/>
  <c r="H669" i="111"/>
  <c r="H668" i="111"/>
  <c r="H667" i="111"/>
  <c r="H666" i="111"/>
  <c r="H665" i="111"/>
  <c r="H664" i="111"/>
  <c r="H663" i="111"/>
  <c r="H662" i="111"/>
  <c r="H661" i="111"/>
  <c r="H660" i="111"/>
  <c r="H659" i="111"/>
  <c r="H658" i="111"/>
  <c r="H657" i="111"/>
  <c r="H656" i="111"/>
  <c r="H655" i="111"/>
  <c r="H654" i="111"/>
  <c r="H653" i="111"/>
  <c r="H652" i="111"/>
  <c r="H651" i="111"/>
  <c r="H650" i="111"/>
  <c r="H649" i="111"/>
  <c r="H648" i="111"/>
  <c r="H647" i="111"/>
  <c r="H646" i="111"/>
  <c r="H645" i="111"/>
  <c r="H644" i="111"/>
  <c r="H643" i="111"/>
  <c r="H642" i="111"/>
  <c r="H641" i="111"/>
  <c r="H640" i="111"/>
  <c r="H639" i="111"/>
  <c r="H638" i="111"/>
  <c r="H637" i="111"/>
  <c r="H636" i="111"/>
  <c r="H635" i="111"/>
  <c r="H634" i="111"/>
  <c r="H633" i="111"/>
  <c r="H632" i="111"/>
  <c r="H631" i="111"/>
  <c r="H630" i="111"/>
  <c r="H629" i="111"/>
  <c r="H628" i="111"/>
  <c r="H627" i="111"/>
  <c r="H626" i="111"/>
  <c r="H625" i="111"/>
  <c r="H624" i="111"/>
  <c r="H623" i="111"/>
  <c r="H622" i="111"/>
  <c r="H621" i="111"/>
  <c r="H620" i="111"/>
  <c r="H619" i="111"/>
  <c r="H618" i="111"/>
  <c r="H617" i="111"/>
  <c r="H616" i="111"/>
  <c r="H615" i="111"/>
  <c r="H614" i="111"/>
  <c r="H613" i="111"/>
  <c r="H612" i="111"/>
  <c r="H611" i="111"/>
  <c r="H610" i="111"/>
  <c r="H609" i="111"/>
  <c r="H608" i="111"/>
  <c r="H607" i="111"/>
  <c r="H606" i="111"/>
  <c r="H605" i="111"/>
  <c r="H604" i="111"/>
  <c r="H603" i="111"/>
  <c r="H602" i="111"/>
  <c r="H601" i="111"/>
  <c r="H600" i="111"/>
  <c r="H599" i="111"/>
  <c r="H598" i="111"/>
  <c r="H597" i="111"/>
  <c r="H596" i="111"/>
  <c r="H595" i="111"/>
  <c r="H594" i="111"/>
  <c r="H593" i="111"/>
  <c r="H592" i="111"/>
  <c r="H591" i="111"/>
  <c r="H590" i="111"/>
  <c r="H589" i="111"/>
  <c r="H588" i="111"/>
  <c r="H587" i="111"/>
  <c r="H586" i="111"/>
  <c r="H585" i="111"/>
  <c r="H584" i="111"/>
  <c r="H583" i="111"/>
  <c r="H582" i="111"/>
  <c r="H581" i="111"/>
  <c r="H580" i="111"/>
  <c r="H579" i="111"/>
  <c r="H578" i="111"/>
  <c r="H577" i="111"/>
  <c r="H576" i="111"/>
  <c r="H575" i="111"/>
  <c r="H574" i="111"/>
  <c r="H573" i="111"/>
  <c r="H572" i="111"/>
  <c r="H571" i="111"/>
  <c r="H570" i="111"/>
  <c r="H569" i="111"/>
  <c r="H568" i="111"/>
  <c r="H567" i="111"/>
  <c r="H566" i="111"/>
  <c r="H565" i="111"/>
  <c r="H564" i="111"/>
  <c r="H563" i="111"/>
  <c r="H562" i="111"/>
  <c r="H561" i="111"/>
  <c r="H560" i="111"/>
  <c r="H559" i="111"/>
  <c r="H558" i="111"/>
  <c r="H557" i="111"/>
  <c r="H556" i="111"/>
  <c r="H555" i="111"/>
  <c r="H554" i="111"/>
  <c r="H553" i="111"/>
  <c r="H552" i="111"/>
  <c r="H551" i="111"/>
  <c r="H550" i="111"/>
  <c r="H549" i="111"/>
  <c r="H548" i="111"/>
  <c r="H547" i="111"/>
  <c r="H546" i="111"/>
  <c r="H545" i="111"/>
  <c r="H544" i="111"/>
  <c r="H543" i="111"/>
  <c r="H542" i="111"/>
  <c r="H541" i="111"/>
  <c r="H540" i="111"/>
  <c r="H539" i="111"/>
  <c r="H538" i="111"/>
  <c r="H537" i="111"/>
  <c r="H536" i="111"/>
  <c r="H535" i="111"/>
  <c r="H534" i="111"/>
  <c r="H533" i="111"/>
  <c r="H532" i="111"/>
  <c r="H531" i="111"/>
  <c r="H530" i="111"/>
  <c r="H529" i="111"/>
  <c r="H528" i="111"/>
  <c r="H527" i="111"/>
  <c r="H526" i="111"/>
  <c r="H525" i="111"/>
  <c r="H524" i="111"/>
  <c r="H523" i="111"/>
  <c r="H522" i="111"/>
  <c r="H521" i="111"/>
  <c r="H520" i="111"/>
  <c r="H519" i="111"/>
  <c r="H518" i="111"/>
  <c r="H517" i="111"/>
  <c r="H516" i="111"/>
  <c r="H515" i="111"/>
  <c r="H514" i="111"/>
  <c r="H513" i="111"/>
  <c r="H512" i="111"/>
  <c r="H511" i="111"/>
  <c r="H510" i="111"/>
  <c r="H509" i="111"/>
  <c r="H508" i="111"/>
  <c r="H507" i="111"/>
  <c r="H506" i="111"/>
  <c r="H505" i="111"/>
  <c r="H504" i="111"/>
  <c r="H503" i="111"/>
  <c r="H502" i="111"/>
  <c r="H501" i="111"/>
  <c r="H500" i="111"/>
  <c r="H499" i="111"/>
  <c r="H498" i="111"/>
  <c r="H497" i="111"/>
  <c r="H496" i="111"/>
  <c r="H495" i="111"/>
  <c r="H494" i="111"/>
  <c r="H493" i="111"/>
  <c r="H492" i="111"/>
  <c r="H491" i="111"/>
  <c r="H490" i="111"/>
  <c r="H489" i="111"/>
  <c r="H488" i="111"/>
  <c r="H487" i="111"/>
  <c r="H486" i="111"/>
  <c r="H485" i="111"/>
  <c r="H484" i="111"/>
  <c r="H483" i="111"/>
  <c r="H482" i="111"/>
  <c r="H481" i="111"/>
  <c r="H480" i="111"/>
  <c r="H479" i="111"/>
  <c r="H478" i="111"/>
  <c r="H477" i="111"/>
  <c r="H476" i="111"/>
  <c r="H475" i="111"/>
  <c r="H474" i="111"/>
  <c r="H473" i="111"/>
  <c r="H472" i="111"/>
  <c r="H471" i="111"/>
  <c r="H470" i="111"/>
  <c r="H469" i="111"/>
  <c r="H468" i="111"/>
  <c r="H467" i="111"/>
  <c r="H466" i="111"/>
  <c r="H465" i="111"/>
  <c r="H464" i="111"/>
  <c r="H463" i="111"/>
  <c r="H462" i="111"/>
  <c r="H461" i="111"/>
  <c r="H460" i="111"/>
  <c r="H459" i="111"/>
  <c r="H458" i="111"/>
  <c r="H457" i="111"/>
  <c r="H456" i="111"/>
  <c r="H455" i="111"/>
  <c r="H454" i="111"/>
  <c r="H453" i="111"/>
  <c r="H452" i="111"/>
  <c r="H451" i="111"/>
  <c r="H450" i="111"/>
  <c r="H449" i="111"/>
  <c r="H448" i="111"/>
  <c r="H447" i="111"/>
  <c r="H446" i="111"/>
  <c r="H445" i="111"/>
  <c r="H444" i="111"/>
  <c r="H443" i="111"/>
  <c r="H442" i="111"/>
  <c r="H441" i="111"/>
  <c r="H440" i="111"/>
  <c r="H439" i="111"/>
  <c r="H438" i="111"/>
  <c r="H437" i="111"/>
  <c r="H436" i="111"/>
  <c r="H435" i="111"/>
  <c r="H434" i="111"/>
  <c r="H433" i="111"/>
  <c r="H432" i="111"/>
  <c r="H431" i="111"/>
  <c r="H430" i="111"/>
  <c r="H429" i="111"/>
  <c r="H428" i="111"/>
  <c r="H427" i="111"/>
  <c r="H426" i="111"/>
  <c r="H425" i="111"/>
  <c r="H424" i="111"/>
  <c r="H423" i="111"/>
  <c r="H422" i="111"/>
  <c r="H421" i="111"/>
  <c r="H420" i="111"/>
  <c r="H419" i="111"/>
  <c r="H418" i="111"/>
  <c r="H417" i="111"/>
  <c r="H416" i="111"/>
  <c r="H415" i="111"/>
  <c r="H414" i="111"/>
  <c r="H413" i="111"/>
  <c r="H412" i="111"/>
  <c r="H411" i="111"/>
  <c r="H410" i="111"/>
  <c r="H409" i="111"/>
  <c r="H408" i="111"/>
  <c r="H407" i="111"/>
  <c r="H406" i="111"/>
  <c r="H405" i="111"/>
  <c r="H404" i="111"/>
  <c r="H403" i="111"/>
  <c r="H402" i="111"/>
  <c r="H401" i="111"/>
  <c r="H400" i="111"/>
  <c r="H399" i="111"/>
  <c r="H398" i="111"/>
  <c r="H397" i="111"/>
  <c r="H396" i="111"/>
  <c r="H395" i="111"/>
  <c r="H394" i="111"/>
  <c r="H393" i="111"/>
  <c r="H392" i="111"/>
  <c r="H391" i="111"/>
  <c r="H390" i="111"/>
  <c r="H389" i="111"/>
  <c r="H388" i="111"/>
  <c r="H387" i="111"/>
  <c r="H386" i="111"/>
  <c r="H385" i="111"/>
  <c r="H384" i="111"/>
  <c r="H383" i="111"/>
  <c r="H382" i="111"/>
  <c r="H381" i="111"/>
  <c r="H380" i="111"/>
  <c r="H379" i="111"/>
  <c r="H378" i="111"/>
  <c r="H377" i="111"/>
  <c r="H376" i="111"/>
  <c r="H375" i="111"/>
  <c r="H374" i="111"/>
  <c r="H373" i="111"/>
  <c r="H372" i="111"/>
  <c r="H371" i="111"/>
  <c r="H370" i="111"/>
  <c r="H369" i="111"/>
  <c r="H368" i="111"/>
  <c r="H367" i="111"/>
  <c r="H366" i="111"/>
  <c r="H365" i="111"/>
  <c r="H364" i="111"/>
  <c r="H363" i="111"/>
  <c r="H362" i="111"/>
  <c r="H361" i="111"/>
  <c r="H360" i="111"/>
  <c r="H359" i="111"/>
  <c r="H358" i="111"/>
  <c r="H357" i="111"/>
  <c r="H356" i="111"/>
  <c r="H355" i="111"/>
  <c r="H354" i="111"/>
  <c r="H353" i="111"/>
  <c r="H352" i="111"/>
  <c r="H351" i="111"/>
  <c r="H350" i="111"/>
  <c r="H349" i="111"/>
  <c r="H348" i="111"/>
  <c r="H347" i="111"/>
  <c r="H346" i="111"/>
  <c r="H345" i="111"/>
  <c r="H344" i="111"/>
  <c r="H343" i="111"/>
  <c r="H342" i="111"/>
  <c r="H341" i="111"/>
  <c r="H340" i="111"/>
  <c r="H339" i="111"/>
  <c r="H338" i="111"/>
  <c r="H337" i="111"/>
  <c r="H336" i="111"/>
  <c r="H335" i="111"/>
  <c r="H334" i="111"/>
  <c r="H333" i="111"/>
  <c r="H332" i="111"/>
  <c r="H331" i="111"/>
  <c r="H330" i="111"/>
  <c r="H329" i="111"/>
  <c r="H328" i="111"/>
  <c r="H327" i="111"/>
  <c r="H326" i="111"/>
  <c r="H325" i="111"/>
  <c r="H324" i="111"/>
  <c r="H323" i="111"/>
  <c r="H322" i="111"/>
  <c r="H321" i="111"/>
  <c r="H320" i="111"/>
  <c r="H319" i="111"/>
  <c r="H318" i="111"/>
  <c r="H317" i="111"/>
  <c r="H316" i="111"/>
  <c r="H315" i="111"/>
  <c r="H314" i="111"/>
  <c r="H313" i="111"/>
  <c r="H312" i="111"/>
  <c r="H311" i="111"/>
  <c r="H310" i="111"/>
  <c r="H309" i="111"/>
  <c r="H308" i="111"/>
  <c r="H307" i="111"/>
  <c r="H306" i="111"/>
  <c r="H305" i="111"/>
  <c r="H304" i="111"/>
  <c r="H303" i="111"/>
  <c r="H302" i="111"/>
  <c r="H301" i="111"/>
  <c r="H300" i="111"/>
  <c r="H299" i="111"/>
  <c r="H298" i="111"/>
  <c r="H297" i="111"/>
  <c r="H296" i="111"/>
  <c r="H295" i="111"/>
  <c r="H294" i="111"/>
  <c r="H293" i="111"/>
  <c r="H292" i="111"/>
  <c r="H291" i="111"/>
  <c r="H290" i="111"/>
  <c r="H289" i="111"/>
  <c r="H288" i="111"/>
  <c r="H287" i="111"/>
  <c r="H286" i="111"/>
  <c r="H285" i="111"/>
  <c r="H284" i="111"/>
  <c r="H283" i="111"/>
  <c r="H282" i="111"/>
  <c r="H281" i="111"/>
  <c r="H280" i="111"/>
  <c r="H279" i="111"/>
  <c r="H278" i="111"/>
  <c r="H277" i="111"/>
  <c r="H276" i="111"/>
  <c r="H275" i="111"/>
  <c r="H274" i="111"/>
  <c r="H273" i="111"/>
  <c r="H272" i="111"/>
  <c r="H271" i="111"/>
  <c r="H270" i="111"/>
  <c r="H269" i="111"/>
  <c r="H268" i="111"/>
  <c r="H267" i="111"/>
  <c r="H266" i="111"/>
  <c r="H265" i="111"/>
  <c r="H264" i="111"/>
  <c r="H263" i="111"/>
  <c r="H262" i="111"/>
  <c r="H261" i="111"/>
  <c r="H260" i="111"/>
  <c r="H259" i="111"/>
  <c r="H258" i="111"/>
  <c r="H257" i="111"/>
  <c r="H256" i="111"/>
  <c r="H255" i="111"/>
  <c r="H254" i="111"/>
  <c r="H253" i="111"/>
  <c r="H252" i="111"/>
  <c r="H251" i="111"/>
  <c r="H250" i="111"/>
  <c r="H249" i="111"/>
  <c r="H248" i="111"/>
  <c r="H247" i="111"/>
  <c r="H246" i="111"/>
  <c r="H245" i="111"/>
  <c r="H244" i="111"/>
  <c r="H243" i="111"/>
  <c r="H242" i="111"/>
  <c r="H241" i="111"/>
  <c r="H240" i="111"/>
  <c r="H239" i="111"/>
  <c r="H238" i="111"/>
  <c r="H237" i="111"/>
  <c r="H236" i="111"/>
  <c r="H235" i="111"/>
  <c r="H234" i="111"/>
  <c r="H233" i="111"/>
  <c r="H232" i="111"/>
  <c r="H231" i="111"/>
  <c r="H230" i="111"/>
  <c r="H229" i="111"/>
  <c r="H228" i="111"/>
  <c r="H227" i="111"/>
  <c r="H226" i="111"/>
  <c r="H225" i="111"/>
  <c r="H224" i="111"/>
  <c r="H223" i="111"/>
  <c r="H222" i="111"/>
  <c r="H221" i="111"/>
  <c r="H220" i="111"/>
  <c r="H219" i="111"/>
  <c r="H218" i="111"/>
  <c r="H217" i="111"/>
  <c r="H216" i="111"/>
  <c r="H215" i="111"/>
  <c r="H214" i="111"/>
  <c r="H213" i="111"/>
  <c r="H212" i="111"/>
  <c r="H211" i="111"/>
  <c r="H210" i="111"/>
  <c r="H209" i="111"/>
  <c r="H208" i="111"/>
  <c r="H207" i="111"/>
  <c r="H206" i="111"/>
  <c r="H205" i="111"/>
  <c r="H204" i="111"/>
  <c r="H203" i="111"/>
  <c r="H202" i="111"/>
  <c r="H201" i="111"/>
  <c r="H200" i="111"/>
  <c r="H199" i="111"/>
  <c r="H198" i="111"/>
  <c r="H197" i="111"/>
  <c r="H196" i="111"/>
  <c r="H195" i="111"/>
  <c r="H194" i="111"/>
  <c r="H193" i="111"/>
  <c r="H192" i="111"/>
  <c r="H191" i="111"/>
  <c r="H190" i="111"/>
  <c r="H189" i="111"/>
  <c r="H188" i="111"/>
  <c r="H187" i="111"/>
  <c r="H186" i="111"/>
  <c r="H185" i="111"/>
  <c r="H184" i="111"/>
  <c r="H183" i="111"/>
  <c r="H182" i="111"/>
  <c r="H181" i="111"/>
  <c r="H180" i="111"/>
  <c r="H179" i="111"/>
  <c r="H178" i="111"/>
  <c r="H177" i="111"/>
  <c r="H176" i="111"/>
  <c r="H175" i="111"/>
  <c r="H174" i="111"/>
  <c r="H173" i="111"/>
  <c r="H172" i="111"/>
  <c r="H171" i="111"/>
  <c r="H170" i="111"/>
  <c r="H169" i="111"/>
  <c r="H168" i="111"/>
  <c r="H167" i="111"/>
  <c r="H166" i="111"/>
  <c r="H165" i="111"/>
  <c r="H164" i="111"/>
  <c r="H163" i="111"/>
  <c r="H162" i="111"/>
  <c r="H161" i="111"/>
  <c r="H160" i="111"/>
  <c r="H159" i="111"/>
  <c r="H158" i="111"/>
  <c r="H157" i="111"/>
  <c r="H156" i="111"/>
  <c r="H155" i="111"/>
  <c r="H154" i="111"/>
  <c r="H153" i="111"/>
  <c r="H152" i="111"/>
  <c r="H151" i="111"/>
  <c r="H150" i="111"/>
  <c r="H149" i="111"/>
  <c r="H148" i="111"/>
  <c r="H147" i="111"/>
  <c r="H146" i="111"/>
  <c r="H145" i="111"/>
  <c r="H144" i="111"/>
  <c r="H143" i="111"/>
  <c r="H142" i="111"/>
  <c r="H141" i="111"/>
  <c r="H140" i="111"/>
  <c r="H139" i="111"/>
  <c r="H138" i="111"/>
  <c r="H137" i="111"/>
  <c r="H136" i="111"/>
  <c r="H135" i="111"/>
  <c r="H134" i="111"/>
  <c r="H133" i="111"/>
  <c r="H132" i="111"/>
  <c r="H131" i="111"/>
  <c r="H130" i="111"/>
  <c r="H129" i="111"/>
  <c r="H128" i="111"/>
  <c r="H127" i="111"/>
  <c r="H126" i="111"/>
  <c r="H125" i="111"/>
  <c r="H124" i="111"/>
  <c r="H123" i="111"/>
  <c r="H122" i="111"/>
  <c r="H121" i="111"/>
  <c r="H120" i="111"/>
  <c r="H119" i="111"/>
  <c r="H118" i="111"/>
  <c r="H117" i="111"/>
  <c r="H116" i="111"/>
  <c r="H115" i="111"/>
  <c r="H114" i="111"/>
  <c r="H113" i="111"/>
  <c r="H112" i="111"/>
  <c r="H111" i="111"/>
  <c r="H110" i="111"/>
  <c r="H109" i="111"/>
  <c r="H108" i="111"/>
  <c r="H107" i="111"/>
  <c r="H106" i="111"/>
  <c r="H105" i="111"/>
  <c r="H104" i="111"/>
  <c r="H103" i="111"/>
  <c r="H102" i="111"/>
  <c r="H101" i="111"/>
  <c r="H100" i="111"/>
  <c r="H99" i="111"/>
  <c r="H98" i="111"/>
  <c r="H97" i="111"/>
  <c r="H96" i="111"/>
  <c r="H95" i="111"/>
  <c r="H94" i="111"/>
  <c r="H93" i="111"/>
  <c r="H92" i="111"/>
  <c r="H91" i="111"/>
  <c r="H90" i="111"/>
  <c r="H89" i="111"/>
  <c r="H88" i="111"/>
  <c r="H87" i="111"/>
  <c r="H86" i="111"/>
  <c r="H85" i="111"/>
  <c r="H84" i="111"/>
  <c r="H83" i="111"/>
  <c r="H82" i="111"/>
  <c r="H81" i="111"/>
  <c r="H80" i="111"/>
  <c r="H79" i="111"/>
  <c r="H78" i="111"/>
  <c r="H77" i="111"/>
  <c r="H76" i="111"/>
  <c r="H75" i="111"/>
  <c r="H74" i="111"/>
  <c r="H73" i="111"/>
  <c r="H72" i="111"/>
  <c r="H71" i="111"/>
  <c r="H70" i="111"/>
  <c r="H69" i="111"/>
  <c r="H68" i="111"/>
  <c r="H67" i="111"/>
  <c r="H66" i="111"/>
  <c r="H65" i="111"/>
  <c r="H64" i="111"/>
  <c r="H63" i="111"/>
  <c r="H62" i="111"/>
  <c r="H61" i="111"/>
  <c r="H60" i="111"/>
  <c r="H59" i="111"/>
  <c r="H58" i="111"/>
  <c r="H57" i="111"/>
  <c r="H56" i="111"/>
  <c r="H55" i="111"/>
  <c r="H54" i="111"/>
  <c r="H53" i="111"/>
  <c r="H52" i="111"/>
  <c r="H51" i="111"/>
  <c r="H50" i="111"/>
  <c r="H49" i="111"/>
  <c r="H48" i="111"/>
  <c r="H47" i="111"/>
  <c r="H46" i="111"/>
  <c r="H45" i="111"/>
  <c r="H44" i="111"/>
  <c r="H43" i="111"/>
  <c r="H42" i="111"/>
  <c r="H41" i="111"/>
  <c r="H40" i="111"/>
  <c r="H39" i="111"/>
  <c r="H38" i="111"/>
  <c r="H37" i="111"/>
  <c r="H36" i="111"/>
  <c r="H35" i="111"/>
  <c r="H34" i="111"/>
  <c r="H33" i="111"/>
  <c r="H32" i="111"/>
  <c r="H31" i="111"/>
  <c r="H30" i="111"/>
  <c r="H29" i="111"/>
  <c r="H28" i="111"/>
  <c r="H27" i="111"/>
  <c r="H26" i="111"/>
  <c r="H25" i="111"/>
  <c r="H24" i="111"/>
  <c r="H23" i="111"/>
  <c r="H22" i="111"/>
  <c r="H21" i="111"/>
  <c r="H20" i="111"/>
  <c r="H19" i="111"/>
  <c r="H18" i="111"/>
  <c r="H17" i="111"/>
  <c r="H16" i="111"/>
  <c r="H15" i="111"/>
  <c r="H14" i="111"/>
  <c r="H13" i="111"/>
  <c r="H12" i="111"/>
  <c r="H11" i="111"/>
  <c r="H10" i="111"/>
  <c r="H9" i="111"/>
  <c r="H8" i="111"/>
  <c r="H7" i="111"/>
  <c r="H5" i="111"/>
  <c r="H4" i="111"/>
  <c r="G1080" i="111"/>
  <c r="J124" i="15"/>
  <c r="V50" i="54"/>
  <c r="V51" i="54"/>
  <c r="U50" i="54"/>
  <c r="U51" i="54"/>
  <c r="T50" i="54"/>
  <c r="T51" i="54"/>
  <c r="S50" i="54"/>
  <c r="S51" i="54"/>
  <c r="R50" i="54"/>
  <c r="R51" i="54"/>
  <c r="U49" i="54"/>
  <c r="V49" i="54"/>
  <c r="P54" i="54"/>
  <c r="P53" i="54"/>
  <c r="G54" i="54"/>
  <c r="F54" i="54"/>
  <c r="E54" i="54"/>
  <c r="D54" i="54"/>
  <c r="C54" i="54"/>
  <c r="G53" i="54"/>
  <c r="F53" i="54"/>
  <c r="E53" i="54"/>
  <c r="D53" i="54"/>
  <c r="C53" i="54"/>
  <c r="D49" i="54"/>
  <c r="E49" i="54"/>
  <c r="F49" i="54"/>
  <c r="G49" i="54"/>
  <c r="J73" i="15"/>
  <c r="K73" i="15"/>
  <c r="L73" i="15"/>
  <c r="M73" i="15"/>
  <c r="D37" i="54"/>
  <c r="H37" i="54"/>
  <c r="G15" i="6"/>
  <c r="G60" i="6"/>
  <c r="AH25" i="113"/>
  <c r="AI25" i="113"/>
  <c r="AJ25" i="113"/>
  <c r="AK25" i="113"/>
  <c r="AL25" i="113"/>
  <c r="AM25" i="113"/>
  <c r="AN25" i="113"/>
  <c r="AO25" i="113"/>
  <c r="AP25" i="113"/>
  <c r="AQ25" i="113"/>
  <c r="AR25" i="113"/>
  <c r="AS25" i="113"/>
  <c r="AT25" i="113"/>
  <c r="AU25" i="113"/>
  <c r="AV25" i="113"/>
  <c r="AW25" i="113"/>
  <c r="AX25" i="113"/>
  <c r="AY25" i="113"/>
  <c r="AZ25" i="113"/>
  <c r="BA25" i="113"/>
  <c r="AH34" i="113"/>
  <c r="AI34" i="113"/>
  <c r="AJ34" i="113"/>
  <c r="AK34" i="113"/>
  <c r="AL34" i="113"/>
  <c r="AM34" i="113"/>
  <c r="AN34" i="113"/>
  <c r="AO34" i="113"/>
  <c r="AP34" i="113"/>
  <c r="AQ34" i="113"/>
  <c r="AR34" i="113"/>
  <c r="AS34" i="113"/>
  <c r="AT34" i="113"/>
  <c r="AU34" i="113"/>
  <c r="AV34" i="113"/>
  <c r="AW34" i="113"/>
  <c r="AX34" i="113"/>
  <c r="AY34" i="113"/>
  <c r="AZ34" i="113"/>
  <c r="BA34" i="113"/>
  <c r="AH62" i="113"/>
  <c r="AI62" i="113"/>
  <c r="AI10" i="113"/>
  <c r="AJ10" i="113"/>
  <c r="AK10" i="113"/>
  <c r="AL10" i="113"/>
  <c r="AM10" i="113"/>
  <c r="AN10" i="113"/>
  <c r="AO10" i="113"/>
  <c r="AP10" i="113"/>
  <c r="AQ10" i="113"/>
  <c r="AR10" i="113"/>
  <c r="AS10" i="113"/>
  <c r="AT10" i="113"/>
  <c r="AU10" i="113"/>
  <c r="AV10" i="113"/>
  <c r="AW10" i="113"/>
  <c r="AX10" i="113"/>
  <c r="AY10" i="113"/>
  <c r="AZ10" i="113"/>
  <c r="BA10" i="113"/>
  <c r="AH19" i="113"/>
  <c r="AI19" i="113"/>
  <c r="AJ19" i="113"/>
  <c r="AK19" i="113"/>
  <c r="AL19" i="113"/>
  <c r="AM19" i="113"/>
  <c r="AN19" i="113"/>
  <c r="AO19" i="113"/>
  <c r="AP19" i="113"/>
  <c r="AQ19" i="113"/>
  <c r="AR19" i="113"/>
  <c r="AS19" i="113"/>
  <c r="AT19" i="113"/>
  <c r="AU19" i="113"/>
  <c r="AV19" i="113"/>
  <c r="AW19" i="113"/>
  <c r="AX19" i="113"/>
  <c r="AY19" i="113"/>
  <c r="AZ19" i="113"/>
  <c r="BA19" i="113"/>
  <c r="AH27" i="113"/>
  <c r="AI27" i="113"/>
  <c r="AJ27" i="113"/>
  <c r="AK27" i="113"/>
  <c r="AL27" i="113"/>
  <c r="AM27" i="113"/>
  <c r="AN27" i="113"/>
  <c r="AO27" i="113"/>
  <c r="AP27" i="113"/>
  <c r="AQ27" i="113"/>
  <c r="AR27" i="113"/>
  <c r="AS27" i="113"/>
  <c r="AT27" i="113"/>
  <c r="AU27" i="113"/>
  <c r="AV27" i="113"/>
  <c r="AW27" i="113"/>
  <c r="AX27" i="113"/>
  <c r="AY27" i="113"/>
  <c r="AZ27" i="113"/>
  <c r="BA27" i="113"/>
  <c r="J14" i="114"/>
  <c r="J15" i="114"/>
  <c r="N13" i="114"/>
  <c r="R13" i="114"/>
  <c r="L1383" i="72"/>
  <c r="AH38" i="113"/>
  <c r="AI38" i="113"/>
  <c r="AJ38" i="113"/>
  <c r="AK38" i="113"/>
  <c r="AL38" i="113"/>
  <c r="AM38" i="113"/>
  <c r="AN38" i="113"/>
  <c r="AO38" i="113"/>
  <c r="AP38" i="113"/>
  <c r="AQ38" i="113"/>
  <c r="AR38" i="113"/>
  <c r="AS38" i="113"/>
  <c r="AT38" i="113"/>
  <c r="AU38" i="113"/>
  <c r="AV38" i="113"/>
  <c r="AW38" i="113"/>
  <c r="AX38" i="113"/>
  <c r="AY38" i="113"/>
  <c r="AZ38" i="113"/>
  <c r="BA38" i="113"/>
  <c r="AI35" i="113"/>
  <c r="AJ35" i="113"/>
  <c r="AK35" i="113"/>
  <c r="AL35" i="113"/>
  <c r="AM35" i="113"/>
  <c r="AN35" i="113"/>
  <c r="AO35" i="113"/>
  <c r="AP35" i="113"/>
  <c r="AQ35" i="113"/>
  <c r="AR35" i="113"/>
  <c r="AS35" i="113"/>
  <c r="AT35" i="113"/>
  <c r="AU35" i="113"/>
  <c r="AV35" i="113"/>
  <c r="AW35" i="113"/>
  <c r="AX35" i="113"/>
  <c r="AY35" i="113"/>
  <c r="AZ35" i="113"/>
  <c r="BA35" i="113"/>
  <c r="AH17" i="113"/>
  <c r="AI17" i="113"/>
  <c r="AJ17" i="113"/>
  <c r="AK17" i="113"/>
  <c r="AL17" i="113"/>
  <c r="AM17" i="113"/>
  <c r="AN17" i="113"/>
  <c r="AO17" i="113"/>
  <c r="AP17" i="113"/>
  <c r="AQ17" i="113"/>
  <c r="AR17" i="113"/>
  <c r="AS17" i="113"/>
  <c r="AT17" i="113"/>
  <c r="AU17" i="113"/>
  <c r="AV17" i="113"/>
  <c r="AW17" i="113"/>
  <c r="AX17" i="113"/>
  <c r="AY17" i="113"/>
  <c r="AZ17" i="113"/>
  <c r="BA17" i="113"/>
  <c r="M1366" i="72"/>
  <c r="AH8" i="113"/>
  <c r="AH21" i="113"/>
  <c r="AH14" i="113"/>
  <c r="AI14" i="113"/>
  <c r="AJ14" i="113"/>
  <c r="AK14" i="113"/>
  <c r="AL14" i="113"/>
  <c r="AM14" i="113"/>
  <c r="AN14" i="113"/>
  <c r="AO14" i="113"/>
  <c r="AP14" i="113"/>
  <c r="AQ14" i="113"/>
  <c r="AR14" i="113"/>
  <c r="AS14" i="113"/>
  <c r="AT14" i="113"/>
  <c r="AU14" i="113"/>
  <c r="AV14" i="113"/>
  <c r="AW14" i="113"/>
  <c r="AX14" i="113"/>
  <c r="AY14" i="113"/>
  <c r="AZ14" i="113"/>
  <c r="BA14" i="113"/>
  <c r="AH24" i="113"/>
  <c r="AH46" i="113"/>
  <c r="AH33" i="113"/>
  <c r="AI30" i="113"/>
  <c r="AJ30" i="113"/>
  <c r="AK30" i="113"/>
  <c r="AL30" i="113"/>
  <c r="AM30" i="113"/>
  <c r="AN30" i="113"/>
  <c r="AO30" i="113"/>
  <c r="AP30" i="113"/>
  <c r="AQ30" i="113"/>
  <c r="AR30" i="113"/>
  <c r="AS30" i="113"/>
  <c r="AT30" i="113"/>
  <c r="AU30" i="113"/>
  <c r="AV30" i="113"/>
  <c r="AW30" i="113"/>
  <c r="AX30" i="113"/>
  <c r="AY30" i="113"/>
  <c r="AZ30" i="113"/>
  <c r="BA30" i="113"/>
  <c r="AH37" i="113"/>
  <c r="AH13" i="113"/>
  <c r="AI13" i="113"/>
  <c r="AJ13" i="113"/>
  <c r="AK13" i="113"/>
  <c r="AL13" i="113"/>
  <c r="AM13" i="113"/>
  <c r="AN13" i="113"/>
  <c r="AO13" i="113"/>
  <c r="AP13" i="113"/>
  <c r="AQ13" i="113"/>
  <c r="AR13" i="113"/>
  <c r="AH41" i="113"/>
  <c r="AI23" i="113"/>
  <c r="AJ23" i="113"/>
  <c r="AK23" i="113"/>
  <c r="AL23" i="113"/>
  <c r="AM23" i="113"/>
  <c r="AN23" i="113"/>
  <c r="AO23" i="113"/>
  <c r="AP23" i="113"/>
  <c r="AQ23" i="113"/>
  <c r="AR23" i="113"/>
  <c r="AS23" i="113"/>
  <c r="AT23" i="113"/>
  <c r="AU23" i="113"/>
  <c r="AV23" i="113"/>
  <c r="AW23" i="113"/>
  <c r="AX23" i="113"/>
  <c r="AY23" i="113"/>
  <c r="AZ23" i="113"/>
  <c r="BA23" i="113"/>
  <c r="AI31" i="113"/>
  <c r="AJ31" i="113"/>
  <c r="AK31" i="113"/>
  <c r="AL31" i="113"/>
  <c r="AM31" i="113"/>
  <c r="AN31" i="113"/>
  <c r="AO31" i="113"/>
  <c r="AP31" i="113"/>
  <c r="AQ31" i="113"/>
  <c r="AR31" i="113"/>
  <c r="AS31" i="113"/>
  <c r="AT31" i="113"/>
  <c r="AU31" i="113"/>
  <c r="AV31" i="113"/>
  <c r="AW31" i="113"/>
  <c r="AX31" i="113"/>
  <c r="AY31" i="113"/>
  <c r="AZ31" i="113"/>
  <c r="BA31" i="113"/>
  <c r="AH26" i="113"/>
  <c r="AI26" i="113"/>
  <c r="AJ26" i="113"/>
  <c r="AK26" i="113"/>
  <c r="AL26" i="113"/>
  <c r="AM26" i="113"/>
  <c r="AN26" i="113"/>
  <c r="AO26" i="113"/>
  <c r="AP26" i="113"/>
  <c r="AQ26" i="113"/>
  <c r="AR26" i="113"/>
  <c r="AS26" i="113"/>
  <c r="AT26" i="113"/>
  <c r="AU26" i="113"/>
  <c r="AV26" i="113"/>
  <c r="AW26" i="113"/>
  <c r="AX26" i="113"/>
  <c r="AY26" i="113"/>
  <c r="AZ26" i="113"/>
  <c r="BA26" i="113"/>
  <c r="AH42" i="113"/>
  <c r="AI61" i="113"/>
  <c r="AJ61" i="113"/>
  <c r="AK61" i="113"/>
  <c r="AL61" i="113"/>
  <c r="AM61" i="113"/>
  <c r="AN61" i="113"/>
  <c r="AO61" i="113"/>
  <c r="AP61" i="113"/>
  <c r="AQ61" i="113"/>
  <c r="AR61" i="113"/>
  <c r="AS61" i="113"/>
  <c r="AT61" i="113"/>
  <c r="AU61" i="113"/>
  <c r="AV61" i="113"/>
  <c r="AW61" i="113"/>
  <c r="AX61" i="113"/>
  <c r="AY61" i="113"/>
  <c r="AZ61" i="113"/>
  <c r="BA61" i="113"/>
  <c r="AJ62" i="113"/>
  <c r="AK62" i="113"/>
  <c r="AL62" i="113"/>
  <c r="AM62" i="113"/>
  <c r="AN62" i="113"/>
  <c r="AO62" i="113"/>
  <c r="AP62" i="113"/>
  <c r="AQ62" i="113"/>
  <c r="AR62" i="113"/>
  <c r="AS62" i="113"/>
  <c r="AT62" i="113"/>
  <c r="AU62" i="113"/>
  <c r="AV62" i="113"/>
  <c r="AW62" i="113"/>
  <c r="AX62" i="113"/>
  <c r="AY62" i="113"/>
  <c r="AZ62" i="113"/>
  <c r="BA62" i="113"/>
  <c r="AH52" i="113"/>
  <c r="AH60" i="113"/>
  <c r="AH18" i="113"/>
  <c r="AI18" i="113"/>
  <c r="AJ18" i="113"/>
  <c r="AK18" i="113"/>
  <c r="AL18" i="113"/>
  <c r="AM18" i="113"/>
  <c r="AN18" i="113"/>
  <c r="AO18" i="113"/>
  <c r="AP18" i="113"/>
  <c r="AQ18" i="113"/>
  <c r="AR18" i="113"/>
  <c r="AS18" i="113"/>
  <c r="AT18" i="113"/>
  <c r="AU18" i="113"/>
  <c r="AV18" i="113"/>
  <c r="AW18" i="113"/>
  <c r="AX18" i="113"/>
  <c r="AY18" i="113"/>
  <c r="AZ18" i="113"/>
  <c r="BA18" i="113"/>
  <c r="AI45" i="113"/>
  <c r="AJ45" i="113"/>
  <c r="AK45" i="113"/>
  <c r="AL45" i="113"/>
  <c r="AM45" i="113"/>
  <c r="AN45" i="113"/>
  <c r="AO45" i="113"/>
  <c r="AP45" i="113"/>
  <c r="AQ45" i="113"/>
  <c r="AR45" i="113"/>
  <c r="AS45" i="113"/>
  <c r="AT45" i="113"/>
  <c r="AU45" i="113"/>
  <c r="AV45" i="113"/>
  <c r="AW45" i="113"/>
  <c r="AX45" i="113"/>
  <c r="AY45" i="113"/>
  <c r="AZ45" i="113"/>
  <c r="BA45" i="113"/>
  <c r="AH44" i="113"/>
  <c r="AI44" i="113"/>
  <c r="AJ44" i="113"/>
  <c r="AK44" i="113"/>
  <c r="AL44" i="113"/>
  <c r="AM44" i="113"/>
  <c r="AN44" i="113"/>
  <c r="AO44" i="113"/>
  <c r="AP44" i="113"/>
  <c r="AQ44" i="113"/>
  <c r="AR44" i="113"/>
  <c r="AS44" i="113"/>
  <c r="AT44" i="113"/>
  <c r="AU44" i="113"/>
  <c r="AV44" i="113"/>
  <c r="AW44" i="113"/>
  <c r="AX44" i="113"/>
  <c r="AY44" i="113"/>
  <c r="AZ44" i="113"/>
  <c r="BA44" i="113"/>
  <c r="AH49" i="113"/>
  <c r="AI49" i="113"/>
  <c r="AJ49" i="113"/>
  <c r="AK49" i="113"/>
  <c r="AL49" i="113"/>
  <c r="AM49" i="113"/>
  <c r="AN49" i="113"/>
  <c r="AO49" i="113"/>
  <c r="AP49" i="113"/>
  <c r="AQ49" i="113"/>
  <c r="AR49" i="113"/>
  <c r="AS49" i="113"/>
  <c r="AT49" i="113"/>
  <c r="AU49" i="113"/>
  <c r="AV49" i="113"/>
  <c r="AW49" i="113"/>
  <c r="AX49" i="113"/>
  <c r="AY49" i="113"/>
  <c r="AZ49" i="113"/>
  <c r="BA49" i="113"/>
  <c r="AH50" i="113"/>
  <c r="AI50" i="113"/>
  <c r="AJ50" i="113"/>
  <c r="AK50" i="113"/>
  <c r="AL50" i="113"/>
  <c r="AM50" i="113"/>
  <c r="AN50" i="113"/>
  <c r="AO50" i="113"/>
  <c r="AP50" i="113"/>
  <c r="AQ50" i="113"/>
  <c r="AR50" i="113"/>
  <c r="AS50" i="113"/>
  <c r="AT50" i="113"/>
  <c r="AU50" i="113"/>
  <c r="AV50" i="113"/>
  <c r="AW50" i="113"/>
  <c r="AX50" i="113"/>
  <c r="AY50" i="113"/>
  <c r="AZ50" i="113"/>
  <c r="BA50" i="113"/>
  <c r="N20" i="112"/>
  <c r="O20" i="112"/>
  <c r="O47" i="112"/>
  <c r="N47" i="112"/>
  <c r="O57" i="112"/>
  <c r="N57" i="112"/>
  <c r="C65" i="112"/>
  <c r="M61" i="112"/>
  <c r="O11" i="112"/>
  <c r="N11" i="112"/>
  <c r="O33" i="112"/>
  <c r="N33" i="112"/>
  <c r="N51" i="112"/>
  <c r="O51" i="112"/>
  <c r="N39" i="112"/>
  <c r="O39" i="112"/>
  <c r="O45" i="112"/>
  <c r="N45" i="112"/>
  <c r="O48" i="112"/>
  <c r="N48" i="112"/>
  <c r="O58" i="112"/>
  <c r="N58" i="112"/>
  <c r="O26" i="112"/>
  <c r="N26" i="112"/>
  <c r="O52" i="112"/>
  <c r="N52" i="112"/>
  <c r="O15" i="112"/>
  <c r="N15" i="112"/>
  <c r="N21" i="112"/>
  <c r="O21" i="112"/>
  <c r="O40" i="112"/>
  <c r="N40" i="112"/>
  <c r="O49" i="112"/>
  <c r="N49" i="112"/>
  <c r="O59" i="112"/>
  <c r="N59" i="112"/>
  <c r="O37" i="112"/>
  <c r="N37" i="112"/>
  <c r="O13" i="112"/>
  <c r="N13" i="112"/>
  <c r="O35" i="112"/>
  <c r="N35" i="112"/>
  <c r="O41" i="112"/>
  <c r="N41" i="112"/>
  <c r="O44" i="112"/>
  <c r="N44" i="112"/>
  <c r="O32" i="112"/>
  <c r="N32" i="112"/>
  <c r="N6" i="112"/>
  <c r="O19" i="112"/>
  <c r="O22" i="112"/>
  <c r="O23" i="112"/>
  <c r="O24" i="112"/>
  <c r="N30" i="112"/>
  <c r="O38" i="112"/>
  <c r="O50" i="112"/>
  <c r="O55" i="112"/>
  <c r="K61" i="112"/>
  <c r="O6" i="112"/>
  <c r="N12" i="112"/>
  <c r="N18" i="112"/>
  <c r="N25" i="112"/>
  <c r="N34" i="112"/>
  <c r="N42" i="112"/>
  <c r="N46" i="112"/>
  <c r="N54" i="112"/>
  <c r="N56" i="112"/>
  <c r="J14" i="112"/>
  <c r="L14" i="112"/>
  <c r="L8" i="112"/>
  <c r="E38" i="17"/>
  <c r="C38" i="17"/>
  <c r="D38" i="17"/>
  <c r="F38" i="17"/>
  <c r="AG12" i="15"/>
  <c r="AG15" i="15"/>
  <c r="AF12" i="15"/>
  <c r="AF15" i="15"/>
  <c r="AE12" i="15"/>
  <c r="AE15" i="15"/>
  <c r="AD12" i="15"/>
  <c r="AD15" i="15"/>
  <c r="AC12" i="15"/>
  <c r="AC15" i="15"/>
  <c r="AG10" i="15"/>
  <c r="AF10" i="15"/>
  <c r="AE10" i="15"/>
  <c r="AD10" i="15"/>
  <c r="AC10" i="15"/>
  <c r="AF4" i="15"/>
  <c r="AG4" i="15"/>
  <c r="H122" i="18"/>
  <c r="H121" i="18"/>
  <c r="H109" i="18"/>
  <c r="H108" i="18"/>
  <c r="H103" i="18"/>
  <c r="H102" i="18"/>
  <c r="H97" i="18"/>
  <c r="H96" i="18"/>
  <c r="H91" i="18"/>
  <c r="H90" i="18"/>
  <c r="H85" i="18"/>
  <c r="H84" i="18"/>
  <c r="H79" i="18"/>
  <c r="K79" i="18"/>
  <c r="Q78" i="18"/>
  <c r="J79" i="18"/>
  <c r="P78" i="18"/>
  <c r="I79" i="18"/>
  <c r="H61" i="18"/>
  <c r="H60" i="18"/>
  <c r="I60" i="18"/>
  <c r="H72" i="18"/>
  <c r="AI39" i="113"/>
  <c r="AJ39" i="113"/>
  <c r="AK39" i="113"/>
  <c r="AL39" i="113"/>
  <c r="AM39" i="113"/>
  <c r="AN39" i="113"/>
  <c r="AO39" i="113"/>
  <c r="AP39" i="113"/>
  <c r="AQ39" i="113"/>
  <c r="AR39" i="113"/>
  <c r="AS39" i="113"/>
  <c r="AT39" i="113"/>
  <c r="AU39" i="113"/>
  <c r="AV39" i="113"/>
  <c r="AW39" i="113"/>
  <c r="AX39" i="113"/>
  <c r="AY39" i="113"/>
  <c r="AZ39" i="113"/>
  <c r="BA39" i="113"/>
  <c r="AI24" i="113"/>
  <c r="AJ24" i="113"/>
  <c r="AK24" i="113"/>
  <c r="AL24" i="113"/>
  <c r="AM24" i="113"/>
  <c r="AN24" i="113"/>
  <c r="AO24" i="113"/>
  <c r="AP24" i="113"/>
  <c r="AQ24" i="113"/>
  <c r="AR24" i="113"/>
  <c r="AS24" i="113"/>
  <c r="AT24" i="113"/>
  <c r="AU24" i="113"/>
  <c r="AV24" i="113"/>
  <c r="AW24" i="113"/>
  <c r="AX24" i="113"/>
  <c r="AY24" i="113"/>
  <c r="AZ24" i="113"/>
  <c r="BA24" i="113"/>
  <c r="AS13" i="113"/>
  <c r="AI40" i="113"/>
  <c r="AJ40" i="113"/>
  <c r="AK40" i="113"/>
  <c r="AL40" i="113"/>
  <c r="AM40" i="113"/>
  <c r="AN40" i="113"/>
  <c r="AO40" i="113"/>
  <c r="AP40" i="113"/>
  <c r="AQ40" i="113"/>
  <c r="AR40" i="113"/>
  <c r="AS40" i="113"/>
  <c r="AT40" i="113"/>
  <c r="AU40" i="113"/>
  <c r="AV40" i="113"/>
  <c r="AW40" i="113"/>
  <c r="AX40" i="113"/>
  <c r="AY40" i="113"/>
  <c r="AZ40" i="113"/>
  <c r="BA40" i="113"/>
  <c r="AI15" i="113"/>
  <c r="AJ15" i="113"/>
  <c r="AK15" i="113"/>
  <c r="AL15" i="113"/>
  <c r="AM15" i="113"/>
  <c r="AN15" i="113"/>
  <c r="AO15" i="113"/>
  <c r="AP15" i="113"/>
  <c r="AQ15" i="113"/>
  <c r="AR15" i="113"/>
  <c r="AS15" i="113"/>
  <c r="AT15" i="113"/>
  <c r="AU15" i="113"/>
  <c r="AV15" i="113"/>
  <c r="AW15" i="113"/>
  <c r="AX15" i="113"/>
  <c r="AY15" i="113"/>
  <c r="AZ15" i="113"/>
  <c r="BA15" i="113"/>
  <c r="AI16" i="113"/>
  <c r="AJ16" i="113"/>
  <c r="AK16" i="113"/>
  <c r="AL16" i="113"/>
  <c r="AM16" i="113"/>
  <c r="AN16" i="113"/>
  <c r="AO16" i="113"/>
  <c r="AP16" i="113"/>
  <c r="AQ16" i="113"/>
  <c r="AR16" i="113"/>
  <c r="AS16" i="113"/>
  <c r="AT16" i="113"/>
  <c r="AU16" i="113"/>
  <c r="AV16" i="113"/>
  <c r="AW16" i="113"/>
  <c r="AX16" i="113"/>
  <c r="AY16" i="113"/>
  <c r="AZ16" i="113"/>
  <c r="BA16" i="113"/>
  <c r="AI33" i="113"/>
  <c r="AJ33" i="113"/>
  <c r="AK33" i="113"/>
  <c r="AL33" i="113"/>
  <c r="AM33" i="113"/>
  <c r="AN33" i="113"/>
  <c r="AO33" i="113"/>
  <c r="AP33" i="113"/>
  <c r="AQ33" i="113"/>
  <c r="AR33" i="113"/>
  <c r="AS33" i="113"/>
  <c r="AT33" i="113"/>
  <c r="AU33" i="113"/>
  <c r="AV33" i="113"/>
  <c r="AW33" i="113"/>
  <c r="AX33" i="113"/>
  <c r="AY33" i="113"/>
  <c r="AZ33" i="113"/>
  <c r="BA33" i="113"/>
  <c r="AI43" i="113"/>
  <c r="AI21" i="113"/>
  <c r="AJ21" i="113"/>
  <c r="AK21" i="113"/>
  <c r="AL21" i="113"/>
  <c r="AM21" i="113"/>
  <c r="AN21" i="113"/>
  <c r="AO21" i="113"/>
  <c r="AP21" i="113"/>
  <c r="AQ21" i="113"/>
  <c r="AR21" i="113"/>
  <c r="AS21" i="113"/>
  <c r="AT21" i="113"/>
  <c r="AU21" i="113"/>
  <c r="AV21" i="113"/>
  <c r="AW21" i="113"/>
  <c r="AX21" i="113"/>
  <c r="AY21" i="113"/>
  <c r="AI47" i="113"/>
  <c r="AJ47" i="113"/>
  <c r="AK47" i="113"/>
  <c r="AL47" i="113"/>
  <c r="AM47" i="113"/>
  <c r="AN47" i="113"/>
  <c r="AO47" i="113"/>
  <c r="AP47" i="113"/>
  <c r="AQ47" i="113"/>
  <c r="AR47" i="113"/>
  <c r="AS47" i="113"/>
  <c r="AT47" i="113"/>
  <c r="AU47" i="113"/>
  <c r="AV47" i="113"/>
  <c r="AW47" i="113"/>
  <c r="AX47" i="113"/>
  <c r="AY47" i="113"/>
  <c r="AZ47" i="113"/>
  <c r="BA47" i="113"/>
  <c r="AI57" i="113"/>
  <c r="AJ57" i="113"/>
  <c r="AK57" i="113"/>
  <c r="AL57" i="113"/>
  <c r="AM57" i="113"/>
  <c r="AN57" i="113"/>
  <c r="AO57" i="113"/>
  <c r="AP57" i="113"/>
  <c r="AQ57" i="113"/>
  <c r="AR57" i="113"/>
  <c r="AS57" i="113"/>
  <c r="AT57" i="113"/>
  <c r="AU57" i="113"/>
  <c r="AV57" i="113"/>
  <c r="AW57" i="113"/>
  <c r="AX57" i="113"/>
  <c r="AY57" i="113"/>
  <c r="AZ57" i="113"/>
  <c r="BA57" i="113"/>
  <c r="AI9" i="113"/>
  <c r="AJ9" i="113"/>
  <c r="AK9" i="113"/>
  <c r="AL9" i="113"/>
  <c r="AM9" i="113"/>
  <c r="AN9" i="113"/>
  <c r="AO9" i="113"/>
  <c r="AP9" i="113"/>
  <c r="AQ9" i="113"/>
  <c r="AR9" i="113"/>
  <c r="AS9" i="113"/>
  <c r="AT9" i="113"/>
  <c r="AU9" i="113"/>
  <c r="AV9" i="113"/>
  <c r="AW9" i="113"/>
  <c r="AX9" i="113"/>
  <c r="AY9" i="113"/>
  <c r="AZ9" i="113"/>
  <c r="BA9" i="113"/>
  <c r="AI67" i="113"/>
  <c r="AJ67" i="113"/>
  <c r="AK67" i="113"/>
  <c r="AL67" i="113"/>
  <c r="AM67" i="113"/>
  <c r="AN67" i="113"/>
  <c r="AO67" i="113"/>
  <c r="AP67" i="113"/>
  <c r="AQ67" i="113"/>
  <c r="AR67" i="113"/>
  <c r="AS67" i="113"/>
  <c r="AT67" i="113"/>
  <c r="AU67" i="113"/>
  <c r="AV67" i="113"/>
  <c r="AW67" i="113"/>
  <c r="AX67" i="113"/>
  <c r="AY67" i="113"/>
  <c r="AZ67" i="113"/>
  <c r="BA67" i="113"/>
  <c r="AI8" i="113"/>
  <c r="AJ8" i="113"/>
  <c r="AK8" i="113"/>
  <c r="AL8" i="113"/>
  <c r="AM8" i="113"/>
  <c r="AN8" i="113"/>
  <c r="AO8" i="113"/>
  <c r="AP8" i="113"/>
  <c r="AQ8" i="113"/>
  <c r="AR8" i="113"/>
  <c r="AS8" i="113"/>
  <c r="AT8" i="113"/>
  <c r="AU8" i="113"/>
  <c r="AV8" i="113"/>
  <c r="AW8" i="113"/>
  <c r="AX8" i="113"/>
  <c r="AY8" i="113"/>
  <c r="AZ8" i="113"/>
  <c r="BA8" i="113"/>
  <c r="AI36" i="113"/>
  <c r="AJ36" i="113"/>
  <c r="AK36" i="113"/>
  <c r="AL36" i="113"/>
  <c r="AM36" i="113"/>
  <c r="AN36" i="113"/>
  <c r="AO36" i="113"/>
  <c r="AP36" i="113"/>
  <c r="AQ36" i="113"/>
  <c r="AR36" i="113"/>
  <c r="AS36" i="113"/>
  <c r="AT36" i="113"/>
  <c r="AU36" i="113"/>
  <c r="AV36" i="113"/>
  <c r="AW36" i="113"/>
  <c r="AX36" i="113"/>
  <c r="AY36" i="113"/>
  <c r="AZ36" i="113"/>
  <c r="BA36" i="113"/>
  <c r="AI22" i="113"/>
  <c r="AJ22" i="113"/>
  <c r="AK22" i="113"/>
  <c r="AL22" i="113"/>
  <c r="AM22" i="113"/>
  <c r="AN22" i="113"/>
  <c r="AO22" i="113"/>
  <c r="AP22" i="113"/>
  <c r="AQ22" i="113"/>
  <c r="AR22" i="113"/>
  <c r="AS22" i="113"/>
  <c r="AT22" i="113"/>
  <c r="AU22" i="113"/>
  <c r="AV22" i="113"/>
  <c r="AW22" i="113"/>
  <c r="AX22" i="113"/>
  <c r="AY22" i="113"/>
  <c r="AZ22" i="113"/>
  <c r="BA22" i="113"/>
  <c r="AI56" i="113"/>
  <c r="AJ56" i="113"/>
  <c r="AK56" i="113"/>
  <c r="AL56" i="113"/>
  <c r="AM56" i="113"/>
  <c r="AN56" i="113"/>
  <c r="AO56" i="113"/>
  <c r="AP56" i="113"/>
  <c r="AQ56" i="113"/>
  <c r="AR56" i="113"/>
  <c r="AS56" i="113"/>
  <c r="AT56" i="113"/>
  <c r="AU56" i="113"/>
  <c r="AV56" i="113"/>
  <c r="AW56" i="113"/>
  <c r="AX56" i="113"/>
  <c r="AY56" i="113"/>
  <c r="AZ56" i="113"/>
  <c r="BA56" i="113"/>
  <c r="AI28" i="113"/>
  <c r="AJ28" i="113"/>
  <c r="AK28" i="113"/>
  <c r="AL28" i="113"/>
  <c r="AM28" i="113"/>
  <c r="AN28" i="113"/>
  <c r="AO28" i="113"/>
  <c r="AP28" i="113"/>
  <c r="AQ28" i="113"/>
  <c r="AR28" i="113"/>
  <c r="AS28" i="113"/>
  <c r="AT28" i="113"/>
  <c r="AU28" i="113"/>
  <c r="AV28" i="113"/>
  <c r="AW28" i="113"/>
  <c r="AX28" i="113"/>
  <c r="AY28" i="113"/>
  <c r="AZ28" i="113"/>
  <c r="BA28" i="113"/>
  <c r="AI29" i="113"/>
  <c r="AJ29" i="113"/>
  <c r="AK29" i="113"/>
  <c r="AL29" i="113"/>
  <c r="AM29" i="113"/>
  <c r="AN29" i="113"/>
  <c r="AO29" i="113"/>
  <c r="AP29" i="113"/>
  <c r="AQ29" i="113"/>
  <c r="AR29" i="113"/>
  <c r="AS29" i="113"/>
  <c r="AT29" i="113"/>
  <c r="AU29" i="113"/>
  <c r="AV29" i="113"/>
  <c r="AW29" i="113"/>
  <c r="AX29" i="113"/>
  <c r="AY29" i="113"/>
  <c r="AZ29" i="113"/>
  <c r="BA29" i="113"/>
  <c r="AI41" i="113"/>
  <c r="AJ41" i="113"/>
  <c r="AK41" i="113"/>
  <c r="AL41" i="113"/>
  <c r="AM41" i="113"/>
  <c r="AN41" i="113"/>
  <c r="AO41" i="113"/>
  <c r="AP41" i="113"/>
  <c r="AQ41" i="113"/>
  <c r="AR41" i="113"/>
  <c r="AS41" i="113"/>
  <c r="AT41" i="113"/>
  <c r="AU41" i="113"/>
  <c r="AV41" i="113"/>
  <c r="AW41" i="113"/>
  <c r="AX41" i="113"/>
  <c r="AY41" i="113"/>
  <c r="AZ41" i="113"/>
  <c r="BA41" i="113"/>
  <c r="AI60" i="113"/>
  <c r="AJ60" i="113"/>
  <c r="AK60" i="113"/>
  <c r="AL60" i="113"/>
  <c r="AM60" i="113"/>
  <c r="AN60" i="113"/>
  <c r="AO60" i="113"/>
  <c r="AP60" i="113"/>
  <c r="AQ60" i="113"/>
  <c r="AR60" i="113"/>
  <c r="AS60" i="113"/>
  <c r="AT60" i="113"/>
  <c r="AU60" i="113"/>
  <c r="AV60" i="113"/>
  <c r="AW60" i="113"/>
  <c r="AX60" i="113"/>
  <c r="AY60" i="113"/>
  <c r="AZ60" i="113"/>
  <c r="BA60" i="113"/>
  <c r="AI42" i="113"/>
  <c r="AJ42" i="113"/>
  <c r="AK42" i="113"/>
  <c r="AL42" i="113"/>
  <c r="AM42" i="113"/>
  <c r="AN42" i="113"/>
  <c r="AO42" i="113"/>
  <c r="AP42" i="113"/>
  <c r="AQ42" i="113"/>
  <c r="AR42" i="113"/>
  <c r="AS42" i="113"/>
  <c r="AT42" i="113"/>
  <c r="AU42" i="113"/>
  <c r="AV42" i="113"/>
  <c r="AW42" i="113"/>
  <c r="AX42" i="113"/>
  <c r="AY42" i="113"/>
  <c r="AZ42" i="113"/>
  <c r="BA42" i="113"/>
  <c r="AJ6" i="113"/>
  <c r="AK6" i="113"/>
  <c r="AL6" i="113"/>
  <c r="AM6" i="113"/>
  <c r="AN6" i="113"/>
  <c r="AO6" i="113"/>
  <c r="AP6" i="113"/>
  <c r="AQ6" i="113"/>
  <c r="AR6" i="113"/>
  <c r="AS6" i="113"/>
  <c r="AT6" i="113"/>
  <c r="AU6" i="113"/>
  <c r="AV6" i="113"/>
  <c r="AW6" i="113"/>
  <c r="AX6" i="113"/>
  <c r="AY6" i="113"/>
  <c r="AZ6" i="113"/>
  <c r="BA6" i="113"/>
  <c r="AI58" i="113"/>
  <c r="AJ58" i="113"/>
  <c r="AK58" i="113"/>
  <c r="AL58" i="113"/>
  <c r="AM58" i="113"/>
  <c r="AN58" i="113"/>
  <c r="AO58" i="113"/>
  <c r="AP58" i="113"/>
  <c r="AQ58" i="113"/>
  <c r="AR58" i="113"/>
  <c r="AS58" i="113"/>
  <c r="AT58" i="113"/>
  <c r="AU58" i="113"/>
  <c r="AV58" i="113"/>
  <c r="AW58" i="113"/>
  <c r="AX58" i="113"/>
  <c r="AY58" i="113"/>
  <c r="AZ58" i="113"/>
  <c r="BA58" i="113"/>
  <c r="AI54" i="113"/>
  <c r="AH69" i="113"/>
  <c r="M1369" i="72"/>
  <c r="W69" i="113"/>
  <c r="AI59" i="113"/>
  <c r="AJ59" i="113"/>
  <c r="AK59" i="113"/>
  <c r="AL59" i="113"/>
  <c r="AM59" i="113"/>
  <c r="AN59" i="113"/>
  <c r="AO59" i="113"/>
  <c r="AP59" i="113"/>
  <c r="AQ59" i="113"/>
  <c r="AR59" i="113"/>
  <c r="AS59" i="113"/>
  <c r="AT59" i="113"/>
  <c r="AU59" i="113"/>
  <c r="AV59" i="113"/>
  <c r="AW59" i="113"/>
  <c r="AX59" i="113"/>
  <c r="AY59" i="113"/>
  <c r="AZ59" i="113"/>
  <c r="BA59" i="113"/>
  <c r="AI52" i="113"/>
  <c r="AJ52" i="113"/>
  <c r="AK52" i="113"/>
  <c r="AL52" i="113"/>
  <c r="AM52" i="113"/>
  <c r="AN52" i="113"/>
  <c r="AO52" i="113"/>
  <c r="AP52" i="113"/>
  <c r="AQ52" i="113"/>
  <c r="AR52" i="113"/>
  <c r="AS52" i="113"/>
  <c r="AT52" i="113"/>
  <c r="AU52" i="113"/>
  <c r="AV52" i="113"/>
  <c r="AW52" i="113"/>
  <c r="AX52" i="113"/>
  <c r="AY52" i="113"/>
  <c r="AZ52" i="113"/>
  <c r="BA52" i="113"/>
  <c r="AI65" i="113"/>
  <c r="AJ65" i="113"/>
  <c r="AK65" i="113"/>
  <c r="AL65" i="113"/>
  <c r="AM65" i="113"/>
  <c r="AN65" i="113"/>
  <c r="AO65" i="113"/>
  <c r="AP65" i="113"/>
  <c r="AQ65" i="113"/>
  <c r="AR65" i="113"/>
  <c r="AS65" i="113"/>
  <c r="AT65" i="113"/>
  <c r="AU65" i="113"/>
  <c r="AV65" i="113"/>
  <c r="AW65" i="113"/>
  <c r="AX65" i="113"/>
  <c r="AY65" i="113"/>
  <c r="AZ65" i="113"/>
  <c r="BA65" i="113"/>
  <c r="AI63" i="113"/>
  <c r="AJ63" i="113"/>
  <c r="AK63" i="113"/>
  <c r="AL63" i="113"/>
  <c r="AM63" i="113"/>
  <c r="AN63" i="113"/>
  <c r="AO63" i="113"/>
  <c r="AP63" i="113"/>
  <c r="AQ63" i="113"/>
  <c r="AR63" i="113"/>
  <c r="AS63" i="113"/>
  <c r="AT63" i="113"/>
  <c r="AU63" i="113"/>
  <c r="AV63" i="113"/>
  <c r="AW63" i="113"/>
  <c r="AX63" i="113"/>
  <c r="AY63" i="113"/>
  <c r="AZ63" i="113"/>
  <c r="BA63" i="113"/>
  <c r="AI37" i="113"/>
  <c r="AJ37" i="113"/>
  <c r="AK37" i="113"/>
  <c r="AL37" i="113"/>
  <c r="AM37" i="113"/>
  <c r="AN37" i="113"/>
  <c r="AO37" i="113"/>
  <c r="AP37" i="113"/>
  <c r="AQ37" i="113"/>
  <c r="AR37" i="113"/>
  <c r="AS37" i="113"/>
  <c r="AT37" i="113"/>
  <c r="AU37" i="113"/>
  <c r="AV37" i="113"/>
  <c r="AW37" i="113"/>
  <c r="AX37" i="113"/>
  <c r="AY37" i="113"/>
  <c r="AZ37" i="113"/>
  <c r="BA37" i="113"/>
  <c r="AI46" i="113"/>
  <c r="AJ46" i="113"/>
  <c r="AK46" i="113"/>
  <c r="AL46" i="113"/>
  <c r="AM46" i="113"/>
  <c r="AN46" i="113"/>
  <c r="AO46" i="113"/>
  <c r="AP46" i="113"/>
  <c r="AQ46" i="113"/>
  <c r="AR46" i="113"/>
  <c r="AS46" i="113"/>
  <c r="AT46" i="113"/>
  <c r="AU46" i="113"/>
  <c r="AV46" i="113"/>
  <c r="AW46" i="113"/>
  <c r="AX46" i="113"/>
  <c r="AY46" i="113"/>
  <c r="AZ46" i="113"/>
  <c r="BA46" i="113"/>
  <c r="V69" i="113"/>
  <c r="W1366" i="72"/>
  <c r="AI7" i="113"/>
  <c r="AJ7" i="113"/>
  <c r="AK7" i="113"/>
  <c r="AL7" i="113"/>
  <c r="AM7" i="113"/>
  <c r="AN7" i="113"/>
  <c r="AO7" i="113"/>
  <c r="AP7" i="113"/>
  <c r="AQ7" i="113"/>
  <c r="AR7" i="113"/>
  <c r="AS7" i="113"/>
  <c r="AT7" i="113"/>
  <c r="AU7" i="113"/>
  <c r="AV7" i="113"/>
  <c r="AW7" i="113"/>
  <c r="AX7" i="113"/>
  <c r="AY7" i="113"/>
  <c r="AZ7" i="113"/>
  <c r="BA7" i="113"/>
  <c r="AI11" i="113"/>
  <c r="AJ11" i="113"/>
  <c r="AK11" i="113"/>
  <c r="AL11" i="113"/>
  <c r="AM11" i="113"/>
  <c r="AN11" i="113"/>
  <c r="AO11" i="113"/>
  <c r="AP11" i="113"/>
  <c r="AQ11" i="113"/>
  <c r="AR11" i="113"/>
  <c r="AS11" i="113"/>
  <c r="AT11" i="113"/>
  <c r="AU11" i="113"/>
  <c r="AV11" i="113"/>
  <c r="AW11" i="113"/>
  <c r="AX11" i="113"/>
  <c r="AY11" i="113"/>
  <c r="AZ11" i="113"/>
  <c r="BA11" i="113"/>
  <c r="AI66" i="113"/>
  <c r="AJ66" i="113"/>
  <c r="AK66" i="113"/>
  <c r="AL66" i="113"/>
  <c r="AM66" i="113"/>
  <c r="AN66" i="113"/>
  <c r="AO66" i="113"/>
  <c r="AP66" i="113"/>
  <c r="AQ66" i="113"/>
  <c r="AR66" i="113"/>
  <c r="AS66" i="113"/>
  <c r="AT66" i="113"/>
  <c r="AU66" i="113"/>
  <c r="AV66" i="113"/>
  <c r="AW66" i="113"/>
  <c r="AX66" i="113"/>
  <c r="AY66" i="113"/>
  <c r="AZ66" i="113"/>
  <c r="BA66" i="113"/>
  <c r="M69" i="113"/>
  <c r="N1366" i="72"/>
  <c r="AB69" i="113"/>
  <c r="O8" i="112"/>
  <c r="N8" i="112"/>
  <c r="O14" i="112"/>
  <c r="N14" i="112"/>
  <c r="L61" i="112"/>
  <c r="O61" i="112"/>
  <c r="J61" i="112"/>
  <c r="AD20" i="15"/>
  <c r="AE20" i="15"/>
  <c r="AC20" i="15"/>
  <c r="AF20" i="15"/>
  <c r="AG20" i="15"/>
  <c r="AJ43" i="113"/>
  <c r="AK43" i="113"/>
  <c r="AL43" i="113"/>
  <c r="AM43" i="113"/>
  <c r="AN43" i="113"/>
  <c r="AO43" i="113"/>
  <c r="AP43" i="113"/>
  <c r="AQ43" i="113"/>
  <c r="AR43" i="113"/>
  <c r="AS43" i="113"/>
  <c r="AT43" i="113"/>
  <c r="AU43" i="113"/>
  <c r="AV43" i="113"/>
  <c r="AW43" i="113"/>
  <c r="AX43" i="113"/>
  <c r="AY43" i="113"/>
  <c r="AZ43" i="113"/>
  <c r="BA43" i="113"/>
  <c r="AE30" i="15"/>
  <c r="AE31" i="15"/>
  <c r="AE40" i="15"/>
  <c r="AE41" i="15"/>
  <c r="AE43" i="15"/>
  <c r="AE44" i="15"/>
  <c r="AG30" i="15"/>
  <c r="AG31" i="15"/>
  <c r="AG40" i="15"/>
  <c r="AG41" i="15"/>
  <c r="AG43" i="15"/>
  <c r="AG44" i="15"/>
  <c r="AF30" i="15"/>
  <c r="AF31" i="15"/>
  <c r="AF40" i="15"/>
  <c r="AF41" i="15"/>
  <c r="AF43" i="15"/>
  <c r="AF44" i="15"/>
  <c r="AC30" i="15"/>
  <c r="AC31" i="15"/>
  <c r="AC40" i="15"/>
  <c r="AC41" i="15"/>
  <c r="AC43" i="15"/>
  <c r="AC44" i="15"/>
  <c r="AD30" i="15"/>
  <c r="AD31" i="15"/>
  <c r="AD40" i="15"/>
  <c r="AD41" i="15"/>
  <c r="AD43" i="15"/>
  <c r="AD44" i="15"/>
  <c r="X69" i="113"/>
  <c r="AT13" i="113"/>
  <c r="AI69" i="113"/>
  <c r="N1369" i="72"/>
  <c r="AC69" i="113"/>
  <c r="N69" i="113"/>
  <c r="O1366" i="72"/>
  <c r="AJ54" i="113"/>
  <c r="AK54" i="113"/>
  <c r="AL54" i="113"/>
  <c r="AM54" i="113"/>
  <c r="AN54" i="113"/>
  <c r="AO54" i="113"/>
  <c r="AP54" i="113"/>
  <c r="AQ54" i="113"/>
  <c r="AR54" i="113"/>
  <c r="AS54" i="113"/>
  <c r="AT54" i="113"/>
  <c r="AU54" i="113"/>
  <c r="AV54" i="113"/>
  <c r="AW54" i="113"/>
  <c r="AX54" i="113"/>
  <c r="AY54" i="113"/>
  <c r="AZ54" i="113"/>
  <c r="BA54" i="113"/>
  <c r="O64" i="112"/>
  <c r="O66" i="112"/>
  <c r="I72" i="18"/>
  <c r="AU13" i="113"/>
  <c r="AJ69" i="113"/>
  <c r="O1369" i="72"/>
  <c r="AD69" i="113"/>
  <c r="AE69" i="113"/>
  <c r="Y69" i="113"/>
  <c r="O69" i="113"/>
  <c r="P1366" i="72"/>
  <c r="AZ21" i="113"/>
  <c r="M127" i="18"/>
  <c r="D125" i="18"/>
  <c r="E125" i="18"/>
  <c r="F125" i="18"/>
  <c r="G125" i="18"/>
  <c r="I125" i="18"/>
  <c r="J125" i="18"/>
  <c r="K125" i="18"/>
  <c r="L125" i="18"/>
  <c r="M125" i="18"/>
  <c r="V3" i="23"/>
  <c r="I6" i="110"/>
  <c r="I5" i="110"/>
  <c r="J15" i="110"/>
  <c r="H15" i="110"/>
  <c r="T13" i="110"/>
  <c r="U13" i="110"/>
  <c r="N13" i="110"/>
  <c r="M13" i="110"/>
  <c r="O13" i="110"/>
  <c r="Q13" i="110"/>
  <c r="T12" i="110"/>
  <c r="U12" i="110"/>
  <c r="N12" i="110"/>
  <c r="M12" i="110"/>
  <c r="O12" i="110"/>
  <c r="Q12" i="110"/>
  <c r="T11" i="110"/>
  <c r="U11" i="110"/>
  <c r="N11" i="110"/>
  <c r="M11" i="110"/>
  <c r="O11" i="110"/>
  <c r="Q11" i="110"/>
  <c r="G11" i="110"/>
  <c r="U10" i="110"/>
  <c r="T10" i="110"/>
  <c r="O10" i="110"/>
  <c r="I10" i="110"/>
  <c r="P10" i="110"/>
  <c r="Q10" i="110"/>
  <c r="U9" i="110"/>
  <c r="T9" i="110"/>
  <c r="O9" i="110"/>
  <c r="I9" i="110"/>
  <c r="P9" i="110"/>
  <c r="Q9" i="110"/>
  <c r="U8" i="110"/>
  <c r="T8" i="110"/>
  <c r="O8" i="110"/>
  <c r="I8" i="110"/>
  <c r="P8" i="110"/>
  <c r="Q8" i="110"/>
  <c r="Q15" i="110"/>
  <c r="T7" i="110"/>
  <c r="P7" i="110"/>
  <c r="Q7" i="110"/>
  <c r="I7" i="110"/>
  <c r="U6" i="110"/>
  <c r="T6" i="110"/>
  <c r="O6" i="110"/>
  <c r="P6" i="110"/>
  <c r="Q6" i="110"/>
  <c r="U5" i="110"/>
  <c r="T5" i="110"/>
  <c r="T15" i="110"/>
  <c r="I15" i="110"/>
  <c r="M48" i="18"/>
  <c r="S128" i="18"/>
  <c r="S129" i="18"/>
  <c r="S130" i="18"/>
  <c r="T130" i="18"/>
  <c r="P69" i="113"/>
  <c r="Q1366" i="72"/>
  <c r="Z69" i="113"/>
  <c r="AA69" i="113"/>
  <c r="AV13" i="113"/>
  <c r="BA21" i="113"/>
  <c r="AK69" i="113"/>
  <c r="P1369" i="72"/>
  <c r="U15" i="110"/>
  <c r="AW13" i="113"/>
  <c r="AX13" i="113"/>
  <c r="AY13" i="113"/>
  <c r="AZ13" i="113"/>
  <c r="BA13" i="113"/>
  <c r="AL69" i="113"/>
  <c r="Q1369" i="72"/>
  <c r="Q69" i="113"/>
  <c r="R1366" i="72"/>
  <c r="Q5" i="110"/>
  <c r="P15" i="110"/>
  <c r="R13" i="109"/>
  <c r="M16" i="109"/>
  <c r="N16" i="109"/>
  <c r="P16" i="109"/>
  <c r="J16" i="109"/>
  <c r="M15" i="109"/>
  <c r="N15" i="109"/>
  <c r="P15" i="109"/>
  <c r="J15" i="109"/>
  <c r="M14" i="109"/>
  <c r="N14" i="109"/>
  <c r="P14" i="109"/>
  <c r="J14" i="109"/>
  <c r="M13" i="109"/>
  <c r="N13" i="109"/>
  <c r="P13" i="109"/>
  <c r="M12" i="109"/>
  <c r="N12" i="109"/>
  <c r="P12" i="109"/>
  <c r="M11" i="109"/>
  <c r="O11" i="109"/>
  <c r="M10" i="109"/>
  <c r="N10" i="109"/>
  <c r="P10" i="109"/>
  <c r="N9" i="109"/>
  <c r="P9" i="109"/>
  <c r="M9" i="109"/>
  <c r="M8" i="109"/>
  <c r="N8" i="109"/>
  <c r="P8" i="109"/>
  <c r="M7" i="109"/>
  <c r="N7" i="109"/>
  <c r="P7" i="109"/>
  <c r="M6" i="109"/>
  <c r="N6" i="109"/>
  <c r="P6" i="109"/>
  <c r="N5" i="109"/>
  <c r="P5" i="109"/>
  <c r="M5" i="109"/>
  <c r="M4" i="109"/>
  <c r="N4" i="109"/>
  <c r="P4" i="109"/>
  <c r="R69" i="113"/>
  <c r="S1366" i="72"/>
  <c r="AM69" i="113"/>
  <c r="R1369" i="72"/>
  <c r="N11" i="109"/>
  <c r="P11" i="109"/>
  <c r="H762" i="53"/>
  <c r="J85" i="14"/>
  <c r="C195" i="106"/>
  <c r="M220" i="107"/>
  <c r="M5" i="107"/>
  <c r="M4" i="107"/>
  <c r="M3" i="107"/>
  <c r="I37" i="54"/>
  <c r="AN69" i="113"/>
  <c r="S1369" i="72"/>
  <c r="S69" i="113"/>
  <c r="T1366" i="72"/>
  <c r="C92" i="14"/>
  <c r="N90" i="14"/>
  <c r="M90" i="14"/>
  <c r="L90" i="14"/>
  <c r="K90" i="14"/>
  <c r="J90" i="14"/>
  <c r="G90" i="14"/>
  <c r="F90" i="14"/>
  <c r="E90" i="14"/>
  <c r="D90" i="14"/>
  <c r="C90" i="14"/>
  <c r="N85" i="14"/>
  <c r="N87" i="14"/>
  <c r="N79" i="14"/>
  <c r="M79" i="14"/>
  <c r="L79" i="14"/>
  <c r="K79" i="14"/>
  <c r="M85" i="14"/>
  <c r="L85" i="14"/>
  <c r="K85" i="14"/>
  <c r="M87" i="14"/>
  <c r="L87" i="14"/>
  <c r="J82" i="14"/>
  <c r="K82" i="14"/>
  <c r="L82" i="14"/>
  <c r="M82" i="14"/>
  <c r="N82" i="14"/>
  <c r="H106" i="87"/>
  <c r="K120" i="87"/>
  <c r="J120" i="87"/>
  <c r="I120" i="87"/>
  <c r="H120" i="87"/>
  <c r="L75" i="14"/>
  <c r="K75" i="14"/>
  <c r="K77" i="14"/>
  <c r="J75" i="14"/>
  <c r="J77" i="14"/>
  <c r="L74" i="14"/>
  <c r="M74" i="14"/>
  <c r="N74" i="14"/>
  <c r="K74" i="14"/>
  <c r="T69" i="113"/>
  <c r="U1366" i="72"/>
  <c r="U69" i="113"/>
  <c r="V1366" i="72"/>
  <c r="AO69" i="113"/>
  <c r="T1369" i="72"/>
  <c r="K72" i="14"/>
  <c r="K80" i="14"/>
  <c r="J72" i="14"/>
  <c r="J83" i="14"/>
  <c r="K83" i="14"/>
  <c r="L83" i="14"/>
  <c r="M83" i="14"/>
  <c r="N83" i="14"/>
  <c r="G34" i="54"/>
  <c r="N41" i="54"/>
  <c r="M41" i="54"/>
  <c r="L41" i="54"/>
  <c r="K41" i="54"/>
  <c r="J41" i="54"/>
  <c r="G169" i="15"/>
  <c r="F169" i="15"/>
  <c r="E169" i="15"/>
  <c r="D169" i="15"/>
  <c r="C169" i="15"/>
  <c r="G107" i="15"/>
  <c r="F107" i="15"/>
  <c r="E107" i="15"/>
  <c r="D107" i="15"/>
  <c r="C107" i="15"/>
  <c r="G106" i="15"/>
  <c r="F106" i="15"/>
  <c r="E106" i="15"/>
  <c r="D106" i="15"/>
  <c r="C106" i="15"/>
  <c r="G105" i="15"/>
  <c r="R105" i="15"/>
  <c r="F105" i="15"/>
  <c r="E105" i="15"/>
  <c r="D105" i="15"/>
  <c r="C105" i="15"/>
  <c r="G104" i="15"/>
  <c r="R104" i="15"/>
  <c r="F104" i="15"/>
  <c r="E104" i="15"/>
  <c r="D104" i="15"/>
  <c r="C104" i="15"/>
  <c r="G103" i="15"/>
  <c r="F103" i="15"/>
  <c r="E103" i="15"/>
  <c r="D103" i="15"/>
  <c r="C103" i="15"/>
  <c r="G102" i="15"/>
  <c r="F102" i="15"/>
  <c r="E102" i="15"/>
  <c r="D102" i="15"/>
  <c r="C102" i="15"/>
  <c r="G38" i="15"/>
  <c r="F38" i="15"/>
  <c r="E38" i="15"/>
  <c r="D38" i="15"/>
  <c r="C38" i="15"/>
  <c r="G37" i="15"/>
  <c r="F37" i="15"/>
  <c r="E37" i="15"/>
  <c r="D37" i="15"/>
  <c r="C37" i="15"/>
  <c r="G36" i="15"/>
  <c r="F36" i="15"/>
  <c r="E36" i="15"/>
  <c r="D36" i="15"/>
  <c r="C36" i="15"/>
  <c r="G35" i="15"/>
  <c r="F35" i="15"/>
  <c r="E35" i="15"/>
  <c r="D35" i="15"/>
  <c r="C35" i="15"/>
  <c r="G34" i="15"/>
  <c r="R34" i="15"/>
  <c r="F34" i="15"/>
  <c r="E34" i="15"/>
  <c r="D34" i="15"/>
  <c r="C34" i="15"/>
  <c r="G33" i="15"/>
  <c r="R33" i="15"/>
  <c r="F33" i="15"/>
  <c r="E33" i="15"/>
  <c r="D33" i="15"/>
  <c r="C33" i="15"/>
  <c r="B11" i="14"/>
  <c r="G11" i="14"/>
  <c r="F11" i="14"/>
  <c r="E11" i="14"/>
  <c r="D11" i="14"/>
  <c r="C11" i="14"/>
  <c r="B52" i="14"/>
  <c r="G52" i="14"/>
  <c r="F52" i="14"/>
  <c r="E52" i="14"/>
  <c r="D52" i="14"/>
  <c r="C52" i="14"/>
  <c r="H18" i="14"/>
  <c r="I18" i="14"/>
  <c r="L72" i="14"/>
  <c r="M76" i="14"/>
  <c r="M77" i="14"/>
  <c r="M78" i="14"/>
  <c r="M80" i="14"/>
  <c r="AP69" i="113"/>
  <c r="U1369" i="72"/>
  <c r="G37" i="54"/>
  <c r="Q11" i="14"/>
  <c r="P106" i="15"/>
  <c r="P38" i="15"/>
  <c r="Q169" i="15"/>
  <c r="P169" i="15"/>
  <c r="P35" i="15"/>
  <c r="L80" i="14"/>
  <c r="W72" i="14"/>
  <c r="R11" i="14"/>
  <c r="O105" i="15"/>
  <c r="Q106" i="15"/>
  <c r="P107" i="15"/>
  <c r="R169" i="15"/>
  <c r="O169" i="15"/>
  <c r="P104" i="15"/>
  <c r="Q105" i="15"/>
  <c r="Q107" i="15"/>
  <c r="Q103" i="15"/>
  <c r="Q104" i="15"/>
  <c r="P36" i="15"/>
  <c r="O106" i="15"/>
  <c r="R107" i="15"/>
  <c r="O107" i="15"/>
  <c r="R106" i="15"/>
  <c r="P105" i="15"/>
  <c r="O104" i="15"/>
  <c r="R103" i="15"/>
  <c r="P103" i="15"/>
  <c r="O103" i="15"/>
  <c r="Q102" i="15"/>
  <c r="P102" i="15"/>
  <c r="R102" i="15"/>
  <c r="O102" i="15"/>
  <c r="Q34" i="15"/>
  <c r="O33" i="15"/>
  <c r="P34" i="15"/>
  <c r="P33" i="15"/>
  <c r="P37" i="15"/>
  <c r="Q33" i="15"/>
  <c r="R38" i="15"/>
  <c r="Q38" i="15"/>
  <c r="O38" i="15"/>
  <c r="Q37" i="15"/>
  <c r="R37" i="15"/>
  <c r="O37" i="15"/>
  <c r="Q36" i="15"/>
  <c r="R36" i="15"/>
  <c r="O36" i="15"/>
  <c r="Q35" i="15"/>
  <c r="R35" i="15"/>
  <c r="O35" i="15"/>
  <c r="O34" i="15"/>
  <c r="P11" i="14"/>
  <c r="Q52" i="14"/>
  <c r="S52" i="14"/>
  <c r="R52" i="14"/>
  <c r="P52" i="14"/>
  <c r="H699" i="53"/>
  <c r="H603" i="53"/>
  <c r="G603" i="53"/>
  <c r="F603" i="53"/>
  <c r="H534" i="53"/>
  <c r="G534" i="53"/>
  <c r="H26" i="14"/>
  <c r="I26" i="14"/>
  <c r="H495" i="53"/>
  <c r="G495" i="53"/>
  <c r="F495" i="53"/>
  <c r="E495" i="53"/>
  <c r="M72" i="14"/>
  <c r="N76" i="14"/>
  <c r="N77" i="14"/>
  <c r="X72" i="14"/>
  <c r="AQ69" i="113"/>
  <c r="V1369" i="72"/>
  <c r="H93" i="53"/>
  <c r="G93" i="53"/>
  <c r="H33" i="14"/>
  <c r="I33" i="14"/>
  <c r="H42" i="14"/>
  <c r="I42" i="14"/>
  <c r="H38" i="14"/>
  <c r="I38" i="14"/>
  <c r="H454" i="53"/>
  <c r="N72" i="14"/>
  <c r="N78" i="14"/>
  <c r="N80" i="14"/>
  <c r="AR69" i="113"/>
  <c r="W1369" i="72"/>
  <c r="H8" i="14"/>
  <c r="I8" i="14"/>
  <c r="Z72" i="14"/>
  <c r="Y72" i="14"/>
  <c r="AS69" i="113"/>
  <c r="H169" i="15"/>
  <c r="H51" i="15"/>
  <c r="H42" i="15"/>
  <c r="H65" i="15"/>
  <c r="H98" i="15"/>
  <c r="H40" i="15"/>
  <c r="H81" i="15"/>
  <c r="H100" i="15"/>
  <c r="H97" i="15"/>
  <c r="H95" i="15"/>
  <c r="H86" i="15"/>
  <c r="H78" i="15"/>
  <c r="H77" i="15"/>
  <c r="H69" i="15"/>
  <c r="H61" i="15"/>
  <c r="H107" i="15"/>
  <c r="I107" i="15"/>
  <c r="H88" i="15"/>
  <c r="H96" i="15"/>
  <c r="H99" i="15"/>
  <c r="H30" i="15"/>
  <c r="H22" i="15"/>
  <c r="H13" i="15"/>
  <c r="H51" i="14"/>
  <c r="H35" i="14"/>
  <c r="I35" i="14"/>
  <c r="H37" i="15"/>
  <c r="I37" i="15"/>
  <c r="H29" i="15"/>
  <c r="H21" i="15"/>
  <c r="H12" i="15"/>
  <c r="H47" i="14"/>
  <c r="I47" i="14"/>
  <c r="H38" i="15"/>
  <c r="I38" i="15"/>
  <c r="H28" i="15"/>
  <c r="H20" i="15"/>
  <c r="H11" i="15"/>
  <c r="H31" i="14"/>
  <c r="I31" i="14"/>
  <c r="H37" i="14"/>
  <c r="I37" i="14"/>
  <c r="H36" i="15"/>
  <c r="I36" i="15"/>
  <c r="H27" i="15"/>
  <c r="H18" i="15"/>
  <c r="H10" i="15"/>
  <c r="H52" i="14"/>
  <c r="H31" i="15"/>
  <c r="H14" i="15"/>
  <c r="H35" i="15"/>
  <c r="I35" i="15"/>
  <c r="H26" i="15"/>
  <c r="H17" i="15"/>
  <c r="H14" i="14"/>
  <c r="I14" i="14"/>
  <c r="H15" i="15"/>
  <c r="H34" i="15"/>
  <c r="I34" i="15"/>
  <c r="H25" i="15"/>
  <c r="H16" i="15"/>
  <c r="H13" i="14"/>
  <c r="H33" i="15"/>
  <c r="I33" i="15"/>
  <c r="H24" i="15"/>
  <c r="H5" i="15"/>
  <c r="H23" i="15"/>
  <c r="H7" i="15"/>
  <c r="H6" i="15"/>
  <c r="H32" i="15"/>
  <c r="H15" i="14"/>
  <c r="H9" i="15"/>
  <c r="H19" i="15"/>
  <c r="H50" i="14"/>
  <c r="I50" i="14"/>
  <c r="H8" i="15"/>
  <c r="H30" i="14"/>
  <c r="I30" i="14"/>
  <c r="H7" i="14"/>
  <c r="I7" i="14"/>
  <c r="H49" i="14"/>
  <c r="H32" i="14"/>
  <c r="I32" i="14"/>
  <c r="H10" i="14"/>
  <c r="I10" i="14"/>
  <c r="H11" i="14"/>
  <c r="I11" i="14"/>
  <c r="H131" i="15"/>
  <c r="H22" i="14"/>
  <c r="I22" i="14"/>
  <c r="H46" i="14"/>
  <c r="I46" i="14"/>
  <c r="H44" i="14"/>
  <c r="I44" i="14"/>
  <c r="H165" i="15"/>
  <c r="H130" i="15"/>
  <c r="H161" i="15"/>
  <c r="I161" i="15"/>
  <c r="H41" i="14"/>
  <c r="I41" i="14"/>
  <c r="H40" i="14"/>
  <c r="I40" i="14"/>
  <c r="H137" i="15"/>
  <c r="H136" i="15"/>
  <c r="I136" i="15"/>
  <c r="H157" i="15"/>
  <c r="H148" i="15"/>
  <c r="H153" i="15"/>
  <c r="H151" i="15"/>
  <c r="H141" i="15"/>
  <c r="H24" i="14"/>
  <c r="I24" i="14"/>
  <c r="H172" i="15"/>
  <c r="H36" i="14"/>
  <c r="I36" i="14"/>
  <c r="H45" i="14"/>
  <c r="I45" i="14"/>
  <c r="I18" i="54"/>
  <c r="H142" i="15"/>
  <c r="H133" i="15"/>
  <c r="H23" i="14"/>
  <c r="I23" i="14"/>
  <c r="H28" i="14"/>
  <c r="I28" i="14"/>
  <c r="I6" i="54"/>
  <c r="H113" i="15"/>
  <c r="I13" i="54"/>
  <c r="H143" i="15"/>
  <c r="H114" i="15"/>
  <c r="H119" i="15"/>
  <c r="H39" i="14"/>
  <c r="I39" i="14"/>
  <c r="H19" i="14"/>
  <c r="I19" i="14"/>
  <c r="H162" i="15"/>
  <c r="H134" i="15"/>
  <c r="H168" i="15"/>
  <c r="I11" i="54"/>
  <c r="H154" i="15"/>
  <c r="H144" i="18"/>
  <c r="H152" i="15"/>
  <c r="H166" i="15"/>
  <c r="H34" i="14"/>
  <c r="I34" i="14"/>
  <c r="H163" i="15"/>
  <c r="H135" i="15"/>
  <c r="H43" i="14"/>
  <c r="I43" i="14"/>
  <c r="H120" i="15"/>
  <c r="H140" i="15"/>
  <c r="H110" i="15"/>
  <c r="H109" i="15"/>
  <c r="H116" i="15"/>
  <c r="H115" i="15"/>
  <c r="H6" i="14"/>
  <c r="I6" i="14"/>
  <c r="H147" i="18"/>
  <c r="I16" i="54"/>
  <c r="H147" i="15"/>
  <c r="H111" i="15"/>
  <c r="H9" i="14"/>
  <c r="I9" i="14"/>
  <c r="I10" i="54"/>
  <c r="H21" i="14"/>
  <c r="I21" i="14"/>
  <c r="H29" i="14"/>
  <c r="I29" i="14"/>
  <c r="I14" i="54"/>
  <c r="H149" i="15"/>
  <c r="H118" i="15"/>
  <c r="H117" i="15"/>
  <c r="I9" i="54"/>
  <c r="H20" i="14"/>
  <c r="I20" i="14"/>
  <c r="I8" i="54"/>
  <c r="H167" i="15"/>
  <c r="H160" i="15"/>
  <c r="H164" i="15"/>
  <c r="H155" i="15"/>
  <c r="I155" i="15"/>
  <c r="H27" i="14"/>
  <c r="I27" i="14"/>
  <c r="H112" i="15"/>
  <c r="R16" i="110"/>
  <c r="H132" i="15"/>
  <c r="H146" i="15"/>
  <c r="H159" i="15"/>
  <c r="I159" i="15"/>
  <c r="H158" i="15"/>
  <c r="H156" i="15"/>
  <c r="H145" i="18"/>
  <c r="I5" i="54"/>
  <c r="I35" i="54"/>
  <c r="H150" i="15"/>
  <c r="H48" i="14"/>
  <c r="I48" i="14"/>
  <c r="H139" i="15"/>
  <c r="H138" i="15"/>
  <c r="H145" i="15"/>
  <c r="H144" i="15"/>
  <c r="H146" i="18"/>
  <c r="H16" i="14"/>
  <c r="I16" i="14"/>
  <c r="I51" i="14"/>
  <c r="J51" i="14"/>
  <c r="I49" i="14"/>
  <c r="J49" i="14"/>
  <c r="I52" i="14"/>
  <c r="J52" i="14"/>
  <c r="I15" i="14"/>
  <c r="AT69" i="113"/>
  <c r="I39" i="54"/>
  <c r="I12" i="54"/>
  <c r="H121" i="15"/>
  <c r="I19" i="54"/>
  <c r="H170" i="15"/>
  <c r="I17" i="54"/>
  <c r="H70" i="15"/>
  <c r="H71" i="15"/>
  <c r="H64" i="15"/>
  <c r="H74" i="15"/>
  <c r="H49" i="15"/>
  <c r="H59" i="15"/>
  <c r="H44" i="15"/>
  <c r="H148" i="18"/>
  <c r="I25" i="14"/>
  <c r="H105" i="15"/>
  <c r="I105" i="15"/>
  <c r="H106" i="15"/>
  <c r="I106" i="15"/>
  <c r="H73" i="15"/>
  <c r="H56" i="15"/>
  <c r="H66" i="15"/>
  <c r="H92" i="15"/>
  <c r="H76" i="15"/>
  <c r="H46" i="15"/>
  <c r="H47" i="15"/>
  <c r="H85" i="15"/>
  <c r="H72" i="15"/>
  <c r="H91" i="15"/>
  <c r="H103" i="15"/>
  <c r="I103" i="15"/>
  <c r="H84" i="15"/>
  <c r="H39" i="15"/>
  <c r="H45" i="15"/>
  <c r="H54" i="15"/>
  <c r="H55" i="15"/>
  <c r="H101" i="15"/>
  <c r="H89" i="15"/>
  <c r="H43" i="15"/>
  <c r="H93" i="15"/>
  <c r="H53" i="15"/>
  <c r="H62" i="15"/>
  <c r="H63" i="15"/>
  <c r="H48" i="15"/>
  <c r="H50" i="15"/>
  <c r="H58" i="15"/>
  <c r="H104" i="15"/>
  <c r="H79" i="15"/>
  <c r="H80" i="15"/>
  <c r="H82" i="15"/>
  <c r="H67" i="15"/>
  <c r="H52" i="15"/>
  <c r="H87" i="15"/>
  <c r="H41" i="15"/>
  <c r="H102" i="15"/>
  <c r="I102" i="15"/>
  <c r="H90" i="15"/>
  <c r="H75" i="15"/>
  <c r="H60" i="15"/>
  <c r="I7" i="54"/>
  <c r="I24" i="54"/>
  <c r="I15" i="54"/>
  <c r="H94" i="15"/>
  <c r="H57" i="15"/>
  <c r="H83" i="15"/>
  <c r="H68" i="15"/>
  <c r="H53" i="14"/>
  <c r="J6" i="6"/>
  <c r="H5" i="14"/>
  <c r="E18" i="114"/>
  <c r="H25" i="14"/>
  <c r="J31" i="6"/>
  <c r="J41" i="6"/>
  <c r="J14" i="6"/>
  <c r="J7" i="6"/>
  <c r="J36" i="6"/>
  <c r="J20" i="6"/>
  <c r="J8" i="6"/>
  <c r="J21" i="6"/>
  <c r="J13" i="6"/>
  <c r="J10" i="6"/>
  <c r="J23" i="6"/>
  <c r="J22" i="6"/>
  <c r="J30" i="6"/>
  <c r="J29" i="6"/>
  <c r="H48" i="18"/>
  <c r="J30" i="7"/>
  <c r="H264" i="53"/>
  <c r="H255" i="53"/>
  <c r="H30" i="17"/>
  <c r="H45" i="18"/>
  <c r="H44" i="18"/>
  <c r="H43" i="18"/>
  <c r="H42" i="18"/>
  <c r="H41" i="18"/>
  <c r="H40" i="18"/>
  <c r="H34" i="18"/>
  <c r="H33" i="18"/>
  <c r="H32" i="18"/>
  <c r="H31" i="18"/>
  <c r="H30" i="18"/>
  <c r="H29" i="18"/>
  <c r="H28" i="18"/>
  <c r="H17" i="18"/>
  <c r="H164" i="18"/>
  <c r="H16" i="18"/>
  <c r="H163" i="18"/>
  <c r="H15" i="18"/>
  <c r="H162" i="18"/>
  <c r="H14" i="18"/>
  <c r="H161" i="18"/>
  <c r="H12" i="18"/>
  <c r="H11" i="18"/>
  <c r="H9" i="18"/>
  <c r="H7" i="18"/>
  <c r="H157" i="18"/>
  <c r="H6" i="18"/>
  <c r="H156" i="18"/>
  <c r="J35" i="7"/>
  <c r="L5" i="114"/>
  <c r="L6" i="114"/>
  <c r="H46" i="18"/>
  <c r="H39" i="18"/>
  <c r="H38" i="18"/>
  <c r="H37" i="18"/>
  <c r="H25" i="18"/>
  <c r="H36" i="18"/>
  <c r="H35" i="18"/>
  <c r="H27" i="18"/>
  <c r="H26" i="18"/>
  <c r="H13" i="18"/>
  <c r="H18" i="18"/>
  <c r="H8" i="18"/>
  <c r="H19" i="18"/>
  <c r="H5" i="18"/>
  <c r="I5" i="18"/>
  <c r="H10" i="18"/>
  <c r="J22" i="7"/>
  <c r="H36" i="17"/>
  <c r="J28" i="7"/>
  <c r="J27" i="7"/>
  <c r="J36" i="7"/>
  <c r="L13" i="114"/>
  <c r="P13" i="114"/>
  <c r="T13" i="114"/>
  <c r="L10" i="114"/>
  <c r="L12" i="114"/>
  <c r="P12" i="114"/>
  <c r="T12" i="114"/>
  <c r="L7" i="114"/>
  <c r="P7" i="114"/>
  <c r="T7" i="114"/>
  <c r="L9" i="114"/>
  <c r="P9" i="114"/>
  <c r="T9" i="114"/>
  <c r="L8" i="114"/>
  <c r="P8" i="114"/>
  <c r="T8" i="114"/>
  <c r="J9" i="6"/>
  <c r="J11" i="6"/>
  <c r="H12" i="17"/>
  <c r="K20" i="6"/>
  <c r="K36" i="6"/>
  <c r="K22" i="6"/>
  <c r="K7" i="6"/>
  <c r="K23" i="6"/>
  <c r="K14" i="6"/>
  <c r="K31" i="6"/>
  <c r="K10" i="6"/>
  <c r="K21" i="6"/>
  <c r="K8" i="6"/>
  <c r="H17" i="14"/>
  <c r="K6" i="6"/>
  <c r="I53" i="14"/>
  <c r="I54" i="14"/>
  <c r="Z16" i="14"/>
  <c r="L14" i="114"/>
  <c r="L15" i="114"/>
  <c r="Z15" i="14"/>
  <c r="H165" i="18"/>
  <c r="H5" i="114"/>
  <c r="H160" i="18"/>
  <c r="H10" i="114"/>
  <c r="H159" i="18"/>
  <c r="H6" i="114"/>
  <c r="H158" i="18"/>
  <c r="H11" i="114"/>
  <c r="AU69" i="113"/>
  <c r="H38" i="17"/>
  <c r="H29" i="17"/>
  <c r="J15" i="6"/>
  <c r="I5" i="14"/>
  <c r="I12" i="14"/>
  <c r="H167" i="18"/>
  <c r="H173" i="18"/>
  <c r="H50" i="18"/>
  <c r="H54" i="18"/>
  <c r="J21" i="7"/>
  <c r="H108" i="15"/>
  <c r="H183" i="15"/>
  <c r="H173" i="15"/>
  <c r="H182" i="15"/>
  <c r="H185" i="15"/>
  <c r="I21" i="54"/>
  <c r="K29" i="6"/>
  <c r="H9" i="16"/>
  <c r="K30" i="6"/>
  <c r="H27" i="16"/>
  <c r="H12" i="14"/>
  <c r="H54" i="14"/>
  <c r="K13" i="6"/>
  <c r="H8" i="8"/>
  <c r="K41" i="6"/>
  <c r="H64" i="14"/>
  <c r="J14" i="7"/>
  <c r="J34" i="7"/>
  <c r="J12" i="7"/>
  <c r="J33" i="7"/>
  <c r="J17" i="7"/>
  <c r="J7" i="7"/>
  <c r="J8" i="7"/>
  <c r="J13" i="7"/>
  <c r="J9" i="7"/>
  <c r="J24" i="6"/>
  <c r="J16" i="7"/>
  <c r="H184" i="15"/>
  <c r="Q218" i="107"/>
  <c r="P218" i="107"/>
  <c r="M218" i="107"/>
  <c r="L218" i="107"/>
  <c r="K171" i="107"/>
  <c r="J218" i="107"/>
  <c r="I218" i="107"/>
  <c r="I213" i="107"/>
  <c r="P19" i="107"/>
  <c r="P12" i="107"/>
  <c r="P9" i="107"/>
  <c r="M10" i="107"/>
  <c r="O213" i="107"/>
  <c r="L213" i="107"/>
  <c r="J213" i="107"/>
  <c r="G213" i="107"/>
  <c r="F213" i="107"/>
  <c r="E213" i="107"/>
  <c r="D213" i="107"/>
  <c r="P212" i="107"/>
  <c r="M211" i="107"/>
  <c r="M210" i="107"/>
  <c r="P209" i="107"/>
  <c r="P202" i="107"/>
  <c r="P188" i="107"/>
  <c r="Q187" i="107"/>
  <c r="Q186" i="107"/>
  <c r="Q213" i="107"/>
  <c r="P182" i="107"/>
  <c r="P213" i="107"/>
  <c r="M181" i="107"/>
  <c r="M180" i="107"/>
  <c r="M179" i="107"/>
  <c r="M177" i="107"/>
  <c r="N174" i="107"/>
  <c r="N213" i="107"/>
  <c r="M174" i="107"/>
  <c r="M213" i="107"/>
  <c r="K174" i="107"/>
  <c r="K213" i="107"/>
  <c r="H174" i="107"/>
  <c r="H213" i="107"/>
  <c r="P173" i="107"/>
  <c r="N173" i="107"/>
  <c r="K173" i="107"/>
  <c r="H173" i="107"/>
  <c r="N172" i="107"/>
  <c r="M172" i="107"/>
  <c r="K172" i="107"/>
  <c r="H172" i="107"/>
  <c r="M171" i="107"/>
  <c r="N170" i="107"/>
  <c r="M170" i="107"/>
  <c r="K170" i="107"/>
  <c r="H170" i="107"/>
  <c r="N169" i="107"/>
  <c r="M169" i="107"/>
  <c r="K169" i="107"/>
  <c r="H169" i="107"/>
  <c r="M168" i="107"/>
  <c r="K168" i="107"/>
  <c r="N167" i="107"/>
  <c r="M167" i="107"/>
  <c r="K167" i="107"/>
  <c r="N166" i="107"/>
  <c r="M166" i="107"/>
  <c r="K166" i="107"/>
  <c r="H166" i="107"/>
  <c r="P165" i="107"/>
  <c r="N165" i="107"/>
  <c r="K165" i="107"/>
  <c r="H165" i="107"/>
  <c r="N164" i="107"/>
  <c r="M164" i="107"/>
  <c r="K164" i="107"/>
  <c r="H164" i="107"/>
  <c r="N163" i="107"/>
  <c r="M163" i="107"/>
  <c r="K163" i="107"/>
  <c r="H163" i="107"/>
  <c r="N162" i="107"/>
  <c r="L162" i="107"/>
  <c r="P162" i="107"/>
  <c r="I162" i="107"/>
  <c r="K162" i="107"/>
  <c r="H162" i="107"/>
  <c r="P161" i="107"/>
  <c r="K161" i="107"/>
  <c r="P160" i="107"/>
  <c r="K160" i="107"/>
  <c r="M159" i="107"/>
  <c r="K159" i="107"/>
  <c r="M158" i="107"/>
  <c r="K158" i="107"/>
  <c r="M157" i="107"/>
  <c r="K157" i="107"/>
  <c r="M156" i="107"/>
  <c r="K156" i="107"/>
  <c r="M155" i="107"/>
  <c r="K155" i="107"/>
  <c r="P154" i="107"/>
  <c r="K154" i="107"/>
  <c r="K153" i="107"/>
  <c r="K152" i="107"/>
  <c r="M151" i="107"/>
  <c r="K151" i="107"/>
  <c r="M150" i="107"/>
  <c r="K150" i="107"/>
  <c r="P149" i="107"/>
  <c r="K149" i="107"/>
  <c r="P148" i="107"/>
  <c r="K148" i="107"/>
  <c r="P147" i="107"/>
  <c r="K147" i="107"/>
  <c r="M146" i="107"/>
  <c r="K146" i="107"/>
  <c r="M145" i="107"/>
  <c r="K145" i="107"/>
  <c r="M144" i="107"/>
  <c r="L144" i="107"/>
  <c r="K144" i="107"/>
  <c r="M143" i="107"/>
  <c r="K143" i="107"/>
  <c r="N142" i="107"/>
  <c r="M142" i="107"/>
  <c r="K142" i="107"/>
  <c r="N141" i="107"/>
  <c r="M141" i="107"/>
  <c r="K141" i="107"/>
  <c r="N140" i="107"/>
  <c r="M140" i="107"/>
  <c r="K140" i="107"/>
  <c r="N139" i="107"/>
  <c r="M139" i="107"/>
  <c r="K139" i="107"/>
  <c r="N138" i="107"/>
  <c r="L138" i="107"/>
  <c r="M138" i="107"/>
  <c r="K138" i="107"/>
  <c r="N137" i="107"/>
  <c r="M137" i="107"/>
  <c r="K137" i="107"/>
  <c r="N136" i="107"/>
  <c r="M136" i="107"/>
  <c r="K136" i="107"/>
  <c r="N135" i="107"/>
  <c r="M135" i="107"/>
  <c r="K135" i="107"/>
  <c r="N134" i="107"/>
  <c r="M134" i="107"/>
  <c r="K134" i="107"/>
  <c r="N133" i="107"/>
  <c r="M133" i="107"/>
  <c r="K133" i="107"/>
  <c r="N132" i="107"/>
  <c r="M132" i="107"/>
  <c r="K132" i="107"/>
  <c r="N131" i="107"/>
  <c r="M131" i="107"/>
  <c r="K131" i="107"/>
  <c r="N130" i="107"/>
  <c r="M130" i="107"/>
  <c r="K130" i="107"/>
  <c r="H130" i="107"/>
  <c r="N129" i="107"/>
  <c r="M129" i="107"/>
  <c r="K129" i="107"/>
  <c r="H129" i="107"/>
  <c r="N128" i="107"/>
  <c r="M128" i="107"/>
  <c r="K128" i="107"/>
  <c r="H128" i="107"/>
  <c r="N127" i="107"/>
  <c r="M127" i="107"/>
  <c r="K127" i="107"/>
  <c r="H127" i="107"/>
  <c r="N126" i="107"/>
  <c r="M126" i="107"/>
  <c r="K126" i="107"/>
  <c r="N125" i="107"/>
  <c r="M125" i="107"/>
  <c r="K125" i="107"/>
  <c r="H125" i="107"/>
  <c r="N124" i="107"/>
  <c r="K124" i="107"/>
  <c r="H124" i="107"/>
  <c r="N123" i="107"/>
  <c r="M123" i="107"/>
  <c r="K123" i="107"/>
  <c r="H123" i="107"/>
  <c r="P122" i="107"/>
  <c r="N122" i="107"/>
  <c r="K122" i="107"/>
  <c r="H122" i="107"/>
  <c r="N121" i="107"/>
  <c r="M121" i="107"/>
  <c r="K121" i="107"/>
  <c r="H121" i="107"/>
  <c r="N120" i="107"/>
  <c r="K120" i="107"/>
  <c r="H120" i="107"/>
  <c r="F119" i="107"/>
  <c r="I119" i="107"/>
  <c r="N118" i="107"/>
  <c r="M118" i="107"/>
  <c r="K118" i="107"/>
  <c r="H118" i="107"/>
  <c r="N117" i="107"/>
  <c r="L117" i="107"/>
  <c r="K117" i="107"/>
  <c r="H117" i="107"/>
  <c r="N116" i="107"/>
  <c r="K116" i="107"/>
  <c r="H116" i="107"/>
  <c r="N115" i="107"/>
  <c r="K115" i="107"/>
  <c r="H115" i="107"/>
  <c r="P114" i="107"/>
  <c r="N114" i="107"/>
  <c r="K114" i="107"/>
  <c r="H114" i="107"/>
  <c r="P113" i="107"/>
  <c r="N113" i="107"/>
  <c r="K113" i="107"/>
  <c r="H113" i="107"/>
  <c r="P112" i="107"/>
  <c r="N112" i="107"/>
  <c r="K112" i="107"/>
  <c r="H112" i="107"/>
  <c r="N111" i="107"/>
  <c r="K111" i="107"/>
  <c r="H111" i="107"/>
  <c r="N110" i="107"/>
  <c r="M110" i="107"/>
  <c r="K110" i="107"/>
  <c r="H110" i="107"/>
  <c r="N109" i="107"/>
  <c r="M109" i="107"/>
  <c r="K109" i="107"/>
  <c r="H109" i="107"/>
  <c r="N108" i="107"/>
  <c r="M108" i="107"/>
  <c r="K108" i="107"/>
  <c r="H108" i="107"/>
  <c r="N107" i="107"/>
  <c r="M107" i="107"/>
  <c r="K107" i="107"/>
  <c r="H107" i="107"/>
  <c r="N106" i="107"/>
  <c r="M106" i="107"/>
  <c r="K106" i="107"/>
  <c r="H106" i="107"/>
  <c r="N105" i="107"/>
  <c r="M105" i="107"/>
  <c r="K105" i="107"/>
  <c r="H105" i="107"/>
  <c r="N104" i="107"/>
  <c r="M104" i="107"/>
  <c r="K104" i="107"/>
  <c r="H104" i="107"/>
  <c r="N103" i="107"/>
  <c r="K103" i="107"/>
  <c r="H103" i="107"/>
  <c r="N102" i="107"/>
  <c r="M102" i="107"/>
  <c r="K102" i="107"/>
  <c r="H102" i="107"/>
  <c r="N101" i="107"/>
  <c r="M101" i="107"/>
  <c r="K101" i="107"/>
  <c r="H101" i="107"/>
  <c r="N100" i="107"/>
  <c r="M100" i="107"/>
  <c r="K100" i="107"/>
  <c r="H100" i="107"/>
  <c r="N99" i="107"/>
  <c r="M99" i="107"/>
  <c r="K99" i="107"/>
  <c r="H99" i="107"/>
  <c r="N98" i="107"/>
  <c r="M98" i="107"/>
  <c r="K98" i="107"/>
  <c r="H98" i="107"/>
  <c r="N97" i="107"/>
  <c r="K97" i="107"/>
  <c r="H97" i="107"/>
  <c r="N96" i="107"/>
  <c r="M96" i="107"/>
  <c r="K96" i="107"/>
  <c r="H96" i="107"/>
  <c r="N95" i="107"/>
  <c r="K95" i="107"/>
  <c r="F95" i="107"/>
  <c r="H95" i="107"/>
  <c r="N94" i="107"/>
  <c r="M94" i="107"/>
  <c r="K94" i="107"/>
  <c r="H94" i="107"/>
  <c r="N93" i="107"/>
  <c r="M93" i="107"/>
  <c r="K93" i="107"/>
  <c r="H93" i="107"/>
  <c r="N92" i="107"/>
  <c r="M92" i="107"/>
  <c r="K92" i="107"/>
  <c r="H92" i="107"/>
  <c r="N91" i="107"/>
  <c r="K91" i="107"/>
  <c r="H91" i="107"/>
  <c r="N90" i="107"/>
  <c r="K90" i="107"/>
  <c r="H90" i="107"/>
  <c r="N89" i="107"/>
  <c r="K89" i="107"/>
  <c r="H89" i="107"/>
  <c r="N88" i="107"/>
  <c r="M88" i="107"/>
  <c r="K88" i="107"/>
  <c r="H88" i="107"/>
  <c r="N87" i="107"/>
  <c r="M87" i="107"/>
  <c r="K87" i="107"/>
  <c r="H87" i="107"/>
  <c r="N86" i="107"/>
  <c r="M86" i="107"/>
  <c r="K86" i="107"/>
  <c r="H86" i="107"/>
  <c r="N85" i="107"/>
  <c r="M85" i="107"/>
  <c r="K85" i="107"/>
  <c r="H85" i="107"/>
  <c r="N84" i="107"/>
  <c r="M84" i="107"/>
  <c r="K84" i="107"/>
  <c r="H84" i="107"/>
  <c r="I83" i="107"/>
  <c r="P83" i="107"/>
  <c r="H83" i="107"/>
  <c r="N82" i="107"/>
  <c r="M82" i="107"/>
  <c r="K82" i="107"/>
  <c r="H82" i="107"/>
  <c r="N81" i="107"/>
  <c r="M81" i="107"/>
  <c r="K81" i="107"/>
  <c r="H81" i="107"/>
  <c r="N80" i="107"/>
  <c r="M80" i="107"/>
  <c r="K80" i="107"/>
  <c r="H80" i="107"/>
  <c r="N79" i="107"/>
  <c r="K79" i="107"/>
  <c r="H79" i="107"/>
  <c r="N78" i="107"/>
  <c r="K78" i="107"/>
  <c r="H78" i="107"/>
  <c r="N77" i="107"/>
  <c r="K77" i="107"/>
  <c r="H77" i="107"/>
  <c r="N76" i="107"/>
  <c r="K76" i="107"/>
  <c r="H76" i="107"/>
  <c r="N75" i="107"/>
  <c r="K75" i="107"/>
  <c r="H75" i="107"/>
  <c r="N74" i="107"/>
  <c r="K74" i="107"/>
  <c r="H74" i="107"/>
  <c r="N73" i="107"/>
  <c r="K73" i="107"/>
  <c r="H73" i="107"/>
  <c r="N72" i="107"/>
  <c r="K72" i="107"/>
  <c r="H72" i="107"/>
  <c r="N71" i="107"/>
  <c r="K71" i="107"/>
  <c r="H71" i="107"/>
  <c r="N70" i="107"/>
  <c r="K70" i="107"/>
  <c r="H70" i="107"/>
  <c r="N69" i="107"/>
  <c r="K69" i="107"/>
  <c r="H69" i="107"/>
  <c r="N68" i="107"/>
  <c r="K68" i="107"/>
  <c r="H68" i="107"/>
  <c r="N67" i="107"/>
  <c r="K67" i="107"/>
  <c r="H67" i="107"/>
  <c r="N66" i="107"/>
  <c r="K66" i="107"/>
  <c r="H66" i="107"/>
  <c r="N65" i="107"/>
  <c r="K65" i="107"/>
  <c r="H65" i="107"/>
  <c r="N64" i="107"/>
  <c r="K64" i="107"/>
  <c r="H64" i="107"/>
  <c r="N63" i="107"/>
  <c r="K63" i="107"/>
  <c r="H63" i="107"/>
  <c r="N62" i="107"/>
  <c r="K62" i="107"/>
  <c r="H62" i="107"/>
  <c r="N61" i="107"/>
  <c r="K61" i="107"/>
  <c r="H61" i="107"/>
  <c r="N60" i="107"/>
  <c r="K60" i="107"/>
  <c r="H60" i="107"/>
  <c r="N59" i="107"/>
  <c r="K59" i="107"/>
  <c r="H59" i="107"/>
  <c r="N58" i="107"/>
  <c r="K58" i="107"/>
  <c r="H58" i="107"/>
  <c r="N57" i="107"/>
  <c r="K57" i="107"/>
  <c r="H57" i="107"/>
  <c r="N56" i="107"/>
  <c r="K56" i="107"/>
  <c r="H56" i="107"/>
  <c r="N55" i="107"/>
  <c r="K55" i="107"/>
  <c r="H55" i="107"/>
  <c r="N54" i="107"/>
  <c r="K54" i="107"/>
  <c r="H54" i="107"/>
  <c r="N53" i="107"/>
  <c r="K53" i="107"/>
  <c r="H53" i="107"/>
  <c r="P52" i="107"/>
  <c r="N52" i="107"/>
  <c r="K52" i="107"/>
  <c r="H52" i="107"/>
  <c r="P51" i="107"/>
  <c r="N51" i="107"/>
  <c r="K51" i="107"/>
  <c r="H51" i="107"/>
  <c r="P50" i="107"/>
  <c r="N50" i="107"/>
  <c r="K50" i="107"/>
  <c r="H50" i="107"/>
  <c r="N49" i="107"/>
  <c r="M49" i="107"/>
  <c r="K49" i="107"/>
  <c r="H49" i="107"/>
  <c r="P48" i="107"/>
  <c r="N48" i="107"/>
  <c r="K48" i="107"/>
  <c r="H48" i="107"/>
  <c r="N47" i="107"/>
  <c r="K47" i="107"/>
  <c r="H47" i="107"/>
  <c r="N46" i="107"/>
  <c r="M46" i="107"/>
  <c r="K46" i="107"/>
  <c r="H46" i="107"/>
  <c r="N45" i="107"/>
  <c r="K45" i="107"/>
  <c r="H45" i="107"/>
  <c r="I44" i="107"/>
  <c r="N44" i="107"/>
  <c r="H44" i="107"/>
  <c r="N43" i="107"/>
  <c r="M43" i="107"/>
  <c r="K43" i="107"/>
  <c r="H43" i="107"/>
  <c r="N42" i="107"/>
  <c r="K42" i="107"/>
  <c r="H42" i="107"/>
  <c r="N41" i="107"/>
  <c r="K41" i="107"/>
  <c r="H41" i="107"/>
  <c r="N40" i="107"/>
  <c r="M40" i="107"/>
  <c r="K40" i="107"/>
  <c r="H40" i="107"/>
  <c r="P39" i="107"/>
  <c r="N39" i="107"/>
  <c r="K39" i="107"/>
  <c r="H39" i="107"/>
  <c r="N38" i="107"/>
  <c r="M38" i="107"/>
  <c r="K38" i="107"/>
  <c r="H38" i="107"/>
  <c r="N37" i="107"/>
  <c r="M37" i="107"/>
  <c r="K37" i="107"/>
  <c r="H37" i="107"/>
  <c r="N36" i="107"/>
  <c r="K36" i="107"/>
  <c r="H36" i="107"/>
  <c r="F36" i="107"/>
  <c r="M36" i="107"/>
  <c r="N35" i="107"/>
  <c r="K35" i="107"/>
  <c r="H35" i="107"/>
  <c r="N34" i="107"/>
  <c r="K34" i="107"/>
  <c r="H34" i="107"/>
  <c r="N33" i="107"/>
  <c r="K33" i="107"/>
  <c r="H33" i="107"/>
  <c r="N32" i="107"/>
  <c r="M32" i="107"/>
  <c r="P32" i="107"/>
  <c r="K32" i="107"/>
  <c r="H32" i="107"/>
  <c r="N31" i="107"/>
  <c r="M31" i="107"/>
  <c r="K31" i="107"/>
  <c r="H31" i="107"/>
  <c r="P30" i="107"/>
  <c r="N30" i="107"/>
  <c r="K30" i="107"/>
  <c r="H30" i="107"/>
  <c r="P29" i="107"/>
  <c r="N29" i="107"/>
  <c r="K29" i="107"/>
  <c r="H29" i="107"/>
  <c r="P28" i="107"/>
  <c r="N28" i="107"/>
  <c r="K28" i="107"/>
  <c r="H28" i="107"/>
  <c r="P27" i="107"/>
  <c r="N27" i="107"/>
  <c r="M27" i="107"/>
  <c r="K27" i="107"/>
  <c r="H27" i="107"/>
  <c r="P26" i="107"/>
  <c r="N26" i="107"/>
  <c r="K26" i="107"/>
  <c r="H26" i="107"/>
  <c r="F26" i="107"/>
  <c r="N25" i="107"/>
  <c r="M25" i="107"/>
  <c r="K25" i="107"/>
  <c r="H25" i="107"/>
  <c r="N24" i="107"/>
  <c r="K24" i="107"/>
  <c r="H24" i="107"/>
  <c r="N23" i="107"/>
  <c r="M23" i="107"/>
  <c r="K23" i="107"/>
  <c r="H23" i="107"/>
  <c r="N22" i="107"/>
  <c r="M22" i="107"/>
  <c r="K22" i="107"/>
  <c r="H22" i="107"/>
  <c r="N21" i="107"/>
  <c r="M21" i="107"/>
  <c r="K21" i="107"/>
  <c r="H21" i="107"/>
  <c r="N20" i="107"/>
  <c r="K20" i="107"/>
  <c r="I20" i="107"/>
  <c r="F20" i="107"/>
  <c r="H20" i="107"/>
  <c r="N19" i="107"/>
  <c r="K19" i="107"/>
  <c r="H19" i="107"/>
  <c r="N18" i="107"/>
  <c r="M18" i="107"/>
  <c r="K18" i="107"/>
  <c r="H18" i="107"/>
  <c r="N17" i="107"/>
  <c r="M17" i="107"/>
  <c r="K17" i="107"/>
  <c r="H17" i="107"/>
  <c r="M16" i="107"/>
  <c r="K16" i="107"/>
  <c r="N15" i="107"/>
  <c r="M15" i="107"/>
  <c r="K15" i="107"/>
  <c r="H15" i="107"/>
  <c r="N14" i="107"/>
  <c r="M14" i="107"/>
  <c r="K14" i="107"/>
  <c r="H14" i="107"/>
  <c r="N13" i="107"/>
  <c r="M13" i="107"/>
  <c r="K13" i="107"/>
  <c r="H13" i="107"/>
  <c r="N12" i="107"/>
  <c r="K12" i="107"/>
  <c r="H12" i="107"/>
  <c r="N11" i="107"/>
  <c r="K11" i="107"/>
  <c r="H11" i="107"/>
  <c r="N10" i="107"/>
  <c r="K10" i="107"/>
  <c r="H10" i="107"/>
  <c r="N9" i="107"/>
  <c r="K9" i="107"/>
  <c r="H9" i="107"/>
  <c r="N8" i="107"/>
  <c r="M8" i="107"/>
  <c r="K8" i="107"/>
  <c r="H8" i="107"/>
  <c r="N7" i="107"/>
  <c r="K7" i="107"/>
  <c r="F7" i="107"/>
  <c r="M7" i="107"/>
  <c r="N6" i="107"/>
  <c r="K6" i="107"/>
  <c r="I6" i="107"/>
  <c r="M6" i="107"/>
  <c r="H6" i="107"/>
  <c r="N5" i="107"/>
  <c r="K5" i="107"/>
  <c r="H5" i="107"/>
  <c r="K4" i="107"/>
  <c r="I4" i="107"/>
  <c r="N4" i="107"/>
  <c r="F4" i="107"/>
  <c r="H4" i="107"/>
  <c r="N3" i="107"/>
  <c r="K3" i="107"/>
  <c r="F3" i="107"/>
  <c r="H3" i="107"/>
  <c r="Q2" i="107"/>
  <c r="P2" i="107"/>
  <c r="O2" i="107"/>
  <c r="N2" i="107"/>
  <c r="M2" i="107"/>
  <c r="L2" i="107"/>
  <c r="K2" i="107"/>
  <c r="J2" i="107"/>
  <c r="I2" i="107"/>
  <c r="H2" i="107"/>
  <c r="G2" i="107"/>
  <c r="F2" i="107"/>
  <c r="E2" i="107"/>
  <c r="D2" i="107"/>
  <c r="K9" i="6"/>
  <c r="K11" i="6"/>
  <c r="K16" i="6"/>
  <c r="K15" i="6"/>
  <c r="H7" i="17"/>
  <c r="H55" i="17"/>
  <c r="H8" i="16"/>
  <c r="H26" i="16"/>
  <c r="H13" i="17"/>
  <c r="H9" i="17"/>
  <c r="H27" i="17"/>
  <c r="K24" i="6"/>
  <c r="H5" i="17"/>
  <c r="H19" i="17"/>
  <c r="K9" i="7"/>
  <c r="H166" i="18"/>
  <c r="H149" i="18"/>
  <c r="P6" i="114"/>
  <c r="T6" i="114"/>
  <c r="E28" i="114"/>
  <c r="P10" i="114"/>
  <c r="T10" i="114"/>
  <c r="E32" i="114"/>
  <c r="P5" i="114"/>
  <c r="T5" i="114"/>
  <c r="E27" i="114"/>
  <c r="P11" i="114"/>
  <c r="T11" i="114"/>
  <c r="E33" i="114"/>
  <c r="H14" i="114"/>
  <c r="AV69" i="113"/>
  <c r="J18" i="7"/>
  <c r="H8" i="17"/>
  <c r="H26" i="17"/>
  <c r="H176" i="18"/>
  <c r="H172" i="18"/>
  <c r="H174" i="18"/>
  <c r="H170" i="18"/>
  <c r="H177" i="18"/>
  <c r="H171" i="18"/>
  <c r="J16" i="6"/>
  <c r="H169" i="18"/>
  <c r="H175" i="18"/>
  <c r="H168" i="18"/>
  <c r="H51" i="18"/>
  <c r="Z5" i="14"/>
  <c r="J24" i="7"/>
  <c r="J32" i="7"/>
  <c r="H20" i="18"/>
  <c r="I25" i="54"/>
  <c r="I27" i="54"/>
  <c r="I32" i="54"/>
  <c r="I31" i="54"/>
  <c r="I29" i="54"/>
  <c r="I30" i="54"/>
  <c r="I26" i="54"/>
  <c r="I28" i="54"/>
  <c r="I36" i="54"/>
  <c r="H6" i="17"/>
  <c r="H54" i="17"/>
  <c r="H67" i="14"/>
  <c r="H68" i="14"/>
  <c r="H69" i="14"/>
  <c r="H70" i="14"/>
  <c r="H71" i="14"/>
  <c r="H72" i="14"/>
  <c r="Z64" i="14"/>
  <c r="Z14" i="54"/>
  <c r="Z13" i="54"/>
  <c r="Z21" i="54"/>
  <c r="Z19" i="54"/>
  <c r="Z18" i="54"/>
  <c r="Z17" i="54"/>
  <c r="Z9" i="54"/>
  <c r="Y167" i="15"/>
  <c r="Y159" i="15"/>
  <c r="Y151" i="15"/>
  <c r="Y143" i="15"/>
  <c r="Y135" i="15"/>
  <c r="Y119" i="15"/>
  <c r="Y111" i="15"/>
  <c r="Y103" i="15"/>
  <c r="Y95" i="15"/>
  <c r="Y87" i="15"/>
  <c r="Y79" i="15"/>
  <c r="Y71" i="15"/>
  <c r="Y63" i="15"/>
  <c r="Y55" i="15"/>
  <c r="Y47" i="15"/>
  <c r="Y39" i="15"/>
  <c r="Y31" i="15"/>
  <c r="Y23" i="15"/>
  <c r="Y15" i="15"/>
  <c r="Y7" i="15"/>
  <c r="Y156" i="15"/>
  <c r="Y108" i="15"/>
  <c r="Y76" i="15"/>
  <c r="Y44" i="15"/>
  <c r="Y20" i="15"/>
  <c r="Z5" i="54"/>
  <c r="Y155" i="15"/>
  <c r="Y139" i="15"/>
  <c r="Y115" i="15"/>
  <c r="Y99" i="15"/>
  <c r="Y83" i="15"/>
  <c r="Y67" i="15"/>
  <c r="Y51" i="15"/>
  <c r="Y35" i="15"/>
  <c r="Y19" i="15"/>
  <c r="Z12" i="54"/>
  <c r="Y170" i="15"/>
  <c r="Y162" i="15"/>
  <c r="Y154" i="15"/>
  <c r="Y146" i="15"/>
  <c r="Y138" i="15"/>
  <c r="Y130" i="15"/>
  <c r="Y114" i="15"/>
  <c r="Y106" i="15"/>
  <c r="Y98" i="15"/>
  <c r="Y90" i="15"/>
  <c r="Y82" i="15"/>
  <c r="Y74" i="15"/>
  <c r="Y66" i="15"/>
  <c r="Y58" i="15"/>
  <c r="Y50" i="15"/>
  <c r="Y42" i="15"/>
  <c r="Y34" i="15"/>
  <c r="Y26" i="15"/>
  <c r="Y18" i="15"/>
  <c r="Y10" i="15"/>
  <c r="Z11" i="54"/>
  <c r="Y169" i="15"/>
  <c r="Y161" i="15"/>
  <c r="Y153" i="15"/>
  <c r="Y145" i="15"/>
  <c r="Y137" i="15"/>
  <c r="Y121" i="15"/>
  <c r="Y113" i="15"/>
  <c r="Y105" i="15"/>
  <c r="Y97" i="15"/>
  <c r="Y89" i="15"/>
  <c r="Z16" i="54"/>
  <c r="Z8" i="54"/>
  <c r="Y166" i="15"/>
  <c r="Y158" i="15"/>
  <c r="Y150" i="15"/>
  <c r="Y142" i="15"/>
  <c r="Y134" i="15"/>
  <c r="Y118" i="15"/>
  <c r="Y110" i="15"/>
  <c r="Y102" i="15"/>
  <c r="Y94" i="15"/>
  <c r="Y86" i="15"/>
  <c r="Y78" i="15"/>
  <c r="Y70" i="15"/>
  <c r="Y62" i="15"/>
  <c r="Y54" i="15"/>
  <c r="Y46" i="15"/>
  <c r="Y38" i="15"/>
  <c r="Y30" i="15"/>
  <c r="Y22" i="15"/>
  <c r="Y14" i="15"/>
  <c r="Y6" i="15"/>
  <c r="Y164" i="15"/>
  <c r="Y148" i="15"/>
  <c r="Y132" i="15"/>
  <c r="Y116" i="15"/>
  <c r="Y92" i="15"/>
  <c r="Y68" i="15"/>
  <c r="Y52" i="15"/>
  <c r="Y28" i="15"/>
  <c r="Y12" i="15"/>
  <c r="Z42" i="14"/>
  <c r="Z15" i="54"/>
  <c r="Z7" i="54"/>
  <c r="Y165" i="15"/>
  <c r="Y157" i="15"/>
  <c r="Y149" i="15"/>
  <c r="Y141" i="15"/>
  <c r="Y133" i="15"/>
  <c r="Y117" i="15"/>
  <c r="Y109" i="15"/>
  <c r="Y101" i="15"/>
  <c r="Y93" i="15"/>
  <c r="Y85" i="15"/>
  <c r="Y77" i="15"/>
  <c r="Y69" i="15"/>
  <c r="Y61" i="15"/>
  <c r="Y53" i="15"/>
  <c r="Y45" i="15"/>
  <c r="Y37" i="15"/>
  <c r="Y29" i="15"/>
  <c r="Y21" i="15"/>
  <c r="Y13" i="15"/>
  <c r="Y5" i="15"/>
  <c r="Z6" i="54"/>
  <c r="Y140" i="15"/>
  <c r="Y100" i="15"/>
  <c r="Y84" i="15"/>
  <c r="Y60" i="15"/>
  <c r="Y36" i="15"/>
  <c r="Y163" i="15"/>
  <c r="Y147" i="15"/>
  <c r="Y131" i="15"/>
  <c r="Y107" i="15"/>
  <c r="Y91" i="15"/>
  <c r="Y75" i="15"/>
  <c r="Y59" i="15"/>
  <c r="Y43" i="15"/>
  <c r="Y27" i="15"/>
  <c r="Y11" i="15"/>
  <c r="Y120" i="15"/>
  <c r="Y112" i="15"/>
  <c r="Z10" i="54"/>
  <c r="Y104" i="15"/>
  <c r="Y64" i="15"/>
  <c r="Y32" i="15"/>
  <c r="Y9" i="15"/>
  <c r="Y65" i="15"/>
  <c r="Y168" i="15"/>
  <c r="Y96" i="15"/>
  <c r="Y57" i="15"/>
  <c r="Y25" i="15"/>
  <c r="Y49" i="15"/>
  <c r="Y160" i="15"/>
  <c r="Y88" i="15"/>
  <c r="Y56" i="15"/>
  <c r="Y24" i="15"/>
  <c r="Z11" i="14"/>
  <c r="Y17" i="15"/>
  <c r="Y41" i="15"/>
  <c r="Y72" i="15"/>
  <c r="Y152" i="15"/>
  <c r="Y81" i="15"/>
  <c r="Y73" i="15"/>
  <c r="Y40" i="15"/>
  <c r="Y33" i="15"/>
  <c r="Y144" i="15"/>
  <c r="Y80" i="15"/>
  <c r="Y48" i="15"/>
  <c r="Y16" i="15"/>
  <c r="Z38" i="14"/>
  <c r="Y136" i="15"/>
  <c r="Y8" i="15"/>
  <c r="Z18" i="14"/>
  <c r="Z33" i="14"/>
  <c r="Z26" i="14"/>
  <c r="Z52" i="14"/>
  <c r="Z8" i="14"/>
  <c r="Z27" i="14"/>
  <c r="Z41" i="14"/>
  <c r="Z24" i="14"/>
  <c r="Z34" i="14"/>
  <c r="Z32" i="14"/>
  <c r="Z49" i="14"/>
  <c r="Z37" i="14"/>
  <c r="Z6" i="14"/>
  <c r="Z43" i="14"/>
  <c r="Z36" i="14"/>
  <c r="Z20" i="14"/>
  <c r="Z28" i="14"/>
  <c r="Z47" i="14"/>
  <c r="Z31" i="14"/>
  <c r="Z48" i="14"/>
  <c r="Z50" i="14"/>
  <c r="Z40" i="14"/>
  <c r="Z22" i="14"/>
  <c r="Z13" i="14"/>
  <c r="Z29" i="14"/>
  <c r="Z39" i="14"/>
  <c r="Z23" i="14"/>
  <c r="Z46" i="14"/>
  <c r="Z14" i="14"/>
  <c r="Z10" i="14"/>
  <c r="Z30" i="14"/>
  <c r="Z19" i="14"/>
  <c r="Z35" i="14"/>
  <c r="Z7" i="14"/>
  <c r="Z44" i="14"/>
  <c r="Z51" i="14"/>
  <c r="Z9" i="14"/>
  <c r="Z45" i="14"/>
  <c r="Z21" i="14"/>
  <c r="H55" i="14"/>
  <c r="Z55" i="14"/>
  <c r="J37" i="7"/>
  <c r="J15" i="7"/>
  <c r="J17" i="6"/>
  <c r="J11" i="7"/>
  <c r="I22" i="54"/>
  <c r="H119" i="107"/>
  <c r="K44" i="107"/>
  <c r="N83" i="107"/>
  <c r="K83" i="107"/>
  <c r="M44" i="107"/>
  <c r="M119" i="107"/>
  <c r="K119" i="107"/>
  <c r="N119" i="107"/>
  <c r="M20" i="107"/>
  <c r="M117" i="107"/>
  <c r="H7" i="107"/>
  <c r="H22" i="17"/>
  <c r="K17" i="6"/>
  <c r="K18" i="6"/>
  <c r="J18" i="6"/>
  <c r="E36" i="114"/>
  <c r="H15" i="114"/>
  <c r="E19" i="114"/>
  <c r="E20" i="114"/>
  <c r="P14" i="114"/>
  <c r="T14" i="114"/>
  <c r="AW69" i="113"/>
  <c r="H21" i="18"/>
  <c r="I20" i="18"/>
  <c r="J39" i="7"/>
  <c r="J77" i="7"/>
  <c r="H10" i="17"/>
  <c r="J20" i="7"/>
  <c r="J26" i="6"/>
  <c r="J78" i="7"/>
  <c r="H56" i="14"/>
  <c r="K26" i="6"/>
  <c r="K33" i="6"/>
  <c r="J79" i="7"/>
  <c r="J81" i="7"/>
  <c r="H22" i="18"/>
  <c r="H53" i="18"/>
  <c r="J26" i="7"/>
  <c r="AX69" i="113"/>
  <c r="H14" i="17"/>
  <c r="H11" i="17"/>
  <c r="J27" i="6"/>
  <c r="H7" i="8"/>
  <c r="H9" i="8"/>
  <c r="J33" i="6"/>
  <c r="H115" i="87"/>
  <c r="G122" i="87"/>
  <c r="H122" i="87"/>
  <c r="H124" i="87"/>
  <c r="H110" i="87"/>
  <c r="H104" i="87"/>
  <c r="H107" i="87"/>
  <c r="C196" i="106"/>
  <c r="J191" i="106"/>
  <c r="I191" i="106"/>
  <c r="C202" i="106"/>
  <c r="G191" i="106"/>
  <c r="C201" i="106"/>
  <c r="C203" i="106"/>
  <c r="F191" i="106"/>
  <c r="D191" i="106"/>
  <c r="C191" i="106"/>
  <c r="K27" i="6"/>
  <c r="J34" i="6"/>
  <c r="AY69" i="113"/>
  <c r="K34" i="6"/>
  <c r="C197" i="106"/>
  <c r="D195" i="106"/>
  <c r="F122" i="87"/>
  <c r="C115" i="87"/>
  <c r="G99" i="87"/>
  <c r="M89" i="101"/>
  <c r="AZ69" i="113"/>
  <c r="BA69" i="113"/>
  <c r="C198" i="106"/>
  <c r="D196" i="106"/>
  <c r="D197" i="106"/>
  <c r="J311" i="101"/>
  <c r="I309" i="101"/>
  <c r="K309" i="101"/>
  <c r="M309" i="101"/>
  <c r="H309" i="101"/>
  <c r="G309" i="101"/>
  <c r="F309" i="101"/>
  <c r="H308" i="101"/>
  <c r="G308" i="101"/>
  <c r="F308" i="101"/>
  <c r="I308" i="101"/>
  <c r="K308" i="101"/>
  <c r="M308" i="101"/>
  <c r="I307" i="101"/>
  <c r="K307" i="101"/>
  <c r="M307" i="101"/>
  <c r="H307" i="101"/>
  <c r="G307" i="101"/>
  <c r="F307" i="101"/>
  <c r="I306" i="101"/>
  <c r="K306" i="101"/>
  <c r="M306" i="101"/>
  <c r="H306" i="101"/>
  <c r="G306" i="101"/>
  <c r="F306" i="101"/>
  <c r="I305" i="101"/>
  <c r="K305" i="101"/>
  <c r="M305" i="101"/>
  <c r="H305" i="101"/>
  <c r="G305" i="101"/>
  <c r="F305" i="101"/>
  <c r="H304" i="101"/>
  <c r="G304" i="101"/>
  <c r="F304" i="101"/>
  <c r="I304" i="101"/>
  <c r="K304" i="101"/>
  <c r="M304" i="101"/>
  <c r="I303" i="101"/>
  <c r="K303" i="101"/>
  <c r="M303" i="101"/>
  <c r="H303" i="101"/>
  <c r="G303" i="101"/>
  <c r="F303" i="101"/>
  <c r="I302" i="101"/>
  <c r="K302" i="101"/>
  <c r="M302" i="101"/>
  <c r="H302" i="101"/>
  <c r="G302" i="101"/>
  <c r="F302" i="101"/>
  <c r="I301" i="101"/>
  <c r="K301" i="101"/>
  <c r="M301" i="101"/>
  <c r="H301" i="101"/>
  <c r="G301" i="101"/>
  <c r="F301" i="101"/>
  <c r="H300" i="101"/>
  <c r="G300" i="101"/>
  <c r="F300" i="101"/>
  <c r="I300" i="101"/>
  <c r="K300" i="101"/>
  <c r="M300" i="101"/>
  <c r="I299" i="101"/>
  <c r="K299" i="101"/>
  <c r="M299" i="101"/>
  <c r="H299" i="101"/>
  <c r="G299" i="101"/>
  <c r="F299" i="101"/>
  <c r="I298" i="101"/>
  <c r="K298" i="101"/>
  <c r="M298" i="101"/>
  <c r="H298" i="101"/>
  <c r="G298" i="101"/>
  <c r="F298" i="101"/>
  <c r="I297" i="101"/>
  <c r="K297" i="101"/>
  <c r="M297" i="101"/>
  <c r="H297" i="101"/>
  <c r="G297" i="101"/>
  <c r="F297" i="101"/>
  <c r="H296" i="101"/>
  <c r="G296" i="101"/>
  <c r="F296" i="101"/>
  <c r="I296" i="101"/>
  <c r="K296" i="101"/>
  <c r="M296" i="101"/>
  <c r="I295" i="101"/>
  <c r="K295" i="101"/>
  <c r="M295" i="101"/>
  <c r="H295" i="101"/>
  <c r="G295" i="101"/>
  <c r="F295" i="101"/>
  <c r="I294" i="101"/>
  <c r="K294" i="101"/>
  <c r="M294" i="101"/>
  <c r="H294" i="101"/>
  <c r="G294" i="101"/>
  <c r="F294" i="101"/>
  <c r="I293" i="101"/>
  <c r="K293" i="101"/>
  <c r="M293" i="101"/>
  <c r="H293" i="101"/>
  <c r="G293" i="101"/>
  <c r="F293" i="101"/>
  <c r="H292" i="101"/>
  <c r="G292" i="101"/>
  <c r="F292" i="101"/>
  <c r="I292" i="101"/>
  <c r="K292" i="101"/>
  <c r="M292" i="101"/>
  <c r="I291" i="101"/>
  <c r="K291" i="101"/>
  <c r="M291" i="101"/>
  <c r="H291" i="101"/>
  <c r="G291" i="101"/>
  <c r="F291" i="101"/>
  <c r="I290" i="101"/>
  <c r="K290" i="101"/>
  <c r="M290" i="101"/>
  <c r="H290" i="101"/>
  <c r="G290" i="101"/>
  <c r="F290" i="101"/>
  <c r="I289" i="101"/>
  <c r="K289" i="101"/>
  <c r="M289" i="101"/>
  <c r="H289" i="101"/>
  <c r="G289" i="101"/>
  <c r="F289" i="101"/>
  <c r="H288" i="101"/>
  <c r="G288" i="101"/>
  <c r="F288" i="101"/>
  <c r="I288" i="101"/>
  <c r="K288" i="101"/>
  <c r="M288" i="101"/>
  <c r="I287" i="101"/>
  <c r="K287" i="101"/>
  <c r="M287" i="101"/>
  <c r="H287" i="101"/>
  <c r="G287" i="101"/>
  <c r="F287" i="101"/>
  <c r="I286" i="101"/>
  <c r="K286" i="101"/>
  <c r="M286" i="101"/>
  <c r="H286" i="101"/>
  <c r="G286" i="101"/>
  <c r="F286" i="101"/>
  <c r="I285" i="101"/>
  <c r="K285" i="101"/>
  <c r="M285" i="101"/>
  <c r="H285" i="101"/>
  <c r="G285" i="101"/>
  <c r="F285" i="101"/>
  <c r="H284" i="101"/>
  <c r="G284" i="101"/>
  <c r="F284" i="101"/>
  <c r="I284" i="101"/>
  <c r="K284" i="101"/>
  <c r="M284" i="101"/>
  <c r="I283" i="101"/>
  <c r="K283" i="101"/>
  <c r="M283" i="101"/>
  <c r="H283" i="101"/>
  <c r="G283" i="101"/>
  <c r="F283" i="101"/>
  <c r="I282" i="101"/>
  <c r="K282" i="101"/>
  <c r="M282" i="101"/>
  <c r="H282" i="101"/>
  <c r="G282" i="101"/>
  <c r="F282" i="101"/>
  <c r="I281" i="101"/>
  <c r="K281" i="101"/>
  <c r="M281" i="101"/>
  <c r="H281" i="101"/>
  <c r="G281" i="101"/>
  <c r="F281" i="101"/>
  <c r="H280" i="101"/>
  <c r="G280" i="101"/>
  <c r="F280" i="101"/>
  <c r="I280" i="101"/>
  <c r="K280" i="101"/>
  <c r="M280" i="101"/>
  <c r="I279" i="101"/>
  <c r="K279" i="101"/>
  <c r="M279" i="101"/>
  <c r="H279" i="101"/>
  <c r="G279" i="101"/>
  <c r="F279" i="101"/>
  <c r="I278" i="101"/>
  <c r="K278" i="101"/>
  <c r="M278" i="101"/>
  <c r="H278" i="101"/>
  <c r="G278" i="101"/>
  <c r="F278" i="101"/>
  <c r="I277" i="101"/>
  <c r="K277" i="101"/>
  <c r="M277" i="101"/>
  <c r="H277" i="101"/>
  <c r="G277" i="101"/>
  <c r="F277" i="101"/>
  <c r="H276" i="101"/>
  <c r="G276" i="101"/>
  <c r="F276" i="101"/>
  <c r="I276" i="101"/>
  <c r="K276" i="101"/>
  <c r="M276" i="101"/>
  <c r="I275" i="101"/>
  <c r="K275" i="101"/>
  <c r="M275" i="101"/>
  <c r="H275" i="101"/>
  <c r="G275" i="101"/>
  <c r="F275" i="101"/>
  <c r="I274" i="101"/>
  <c r="K274" i="101"/>
  <c r="M274" i="101"/>
  <c r="H274" i="101"/>
  <c r="G274" i="101"/>
  <c r="F274" i="101"/>
  <c r="I273" i="101"/>
  <c r="K273" i="101"/>
  <c r="M273" i="101"/>
  <c r="H273" i="101"/>
  <c r="G273" i="101"/>
  <c r="F273" i="101"/>
  <c r="H272" i="101"/>
  <c r="G272" i="101"/>
  <c r="F272" i="101"/>
  <c r="I272" i="101"/>
  <c r="K272" i="101"/>
  <c r="M272" i="101"/>
  <c r="I271" i="101"/>
  <c r="K271" i="101"/>
  <c r="M271" i="101"/>
  <c r="H271" i="101"/>
  <c r="G271" i="101"/>
  <c r="F271" i="101"/>
  <c r="I270" i="101"/>
  <c r="K270" i="101"/>
  <c r="M270" i="101"/>
  <c r="H270" i="101"/>
  <c r="G270" i="101"/>
  <c r="F270" i="101"/>
  <c r="I269" i="101"/>
  <c r="K269" i="101"/>
  <c r="M269" i="101"/>
  <c r="H269" i="101"/>
  <c r="G269" i="101"/>
  <c r="F269" i="101"/>
  <c r="H268" i="101"/>
  <c r="G268" i="101"/>
  <c r="F268" i="101"/>
  <c r="I268" i="101"/>
  <c r="K268" i="101"/>
  <c r="M268" i="101"/>
  <c r="I267" i="101"/>
  <c r="K267" i="101"/>
  <c r="M267" i="101"/>
  <c r="H267" i="101"/>
  <c r="G267" i="101"/>
  <c r="F267" i="101"/>
  <c r="I266" i="101"/>
  <c r="K266" i="101"/>
  <c r="M266" i="101"/>
  <c r="H266" i="101"/>
  <c r="G266" i="101"/>
  <c r="F266" i="101"/>
  <c r="I265" i="101"/>
  <c r="K265" i="101"/>
  <c r="M265" i="101"/>
  <c r="H265" i="101"/>
  <c r="G265" i="101"/>
  <c r="F265" i="101"/>
  <c r="H264" i="101"/>
  <c r="G264" i="101"/>
  <c r="F264" i="101"/>
  <c r="I264" i="101"/>
  <c r="K264" i="101"/>
  <c r="M264" i="101"/>
  <c r="I263" i="101"/>
  <c r="K263" i="101"/>
  <c r="M263" i="101"/>
  <c r="H263" i="101"/>
  <c r="G263" i="101"/>
  <c r="F263" i="101"/>
  <c r="I262" i="101"/>
  <c r="K262" i="101"/>
  <c r="M262" i="101"/>
  <c r="H262" i="101"/>
  <c r="G262" i="101"/>
  <c r="F262" i="101"/>
  <c r="I261" i="101"/>
  <c r="K261" i="101"/>
  <c r="M261" i="101"/>
  <c r="H261" i="101"/>
  <c r="G261" i="101"/>
  <c r="F261" i="101"/>
  <c r="H260" i="101"/>
  <c r="G260" i="101"/>
  <c r="F260" i="101"/>
  <c r="I260" i="101"/>
  <c r="K260" i="101"/>
  <c r="M260" i="101"/>
  <c r="I259" i="101"/>
  <c r="K259" i="101"/>
  <c r="M259" i="101"/>
  <c r="H259" i="101"/>
  <c r="G259" i="101"/>
  <c r="F259" i="101"/>
  <c r="I258" i="101"/>
  <c r="K258" i="101"/>
  <c r="M258" i="101"/>
  <c r="H258" i="101"/>
  <c r="G258" i="101"/>
  <c r="F258" i="101"/>
  <c r="I257" i="101"/>
  <c r="K257" i="101"/>
  <c r="M257" i="101"/>
  <c r="H257" i="101"/>
  <c r="H311" i="101"/>
  <c r="G257" i="101"/>
  <c r="G311" i="101"/>
  <c r="F257" i="101"/>
  <c r="F311" i="101"/>
  <c r="H256" i="101"/>
  <c r="G256" i="101"/>
  <c r="F256" i="101"/>
  <c r="I256" i="101"/>
  <c r="K256" i="101"/>
  <c r="M256" i="101"/>
  <c r="I255" i="101"/>
  <c r="K255" i="101"/>
  <c r="M255" i="101"/>
  <c r="H255" i="101"/>
  <c r="G255" i="101"/>
  <c r="F255" i="101"/>
  <c r="I254" i="101"/>
  <c r="K254" i="101"/>
  <c r="M254" i="101"/>
  <c r="H254" i="101"/>
  <c r="G254" i="101"/>
  <c r="F254" i="101"/>
  <c r="I253" i="101"/>
  <c r="K253" i="101"/>
  <c r="M253" i="101"/>
  <c r="H253" i="101"/>
  <c r="G253" i="101"/>
  <c r="F253" i="101"/>
  <c r="H252" i="101"/>
  <c r="G252" i="101"/>
  <c r="F252" i="101"/>
  <c r="I252" i="101"/>
  <c r="K252" i="101"/>
  <c r="M252" i="101"/>
  <c r="I251" i="101"/>
  <c r="K251" i="101"/>
  <c r="M251" i="101"/>
  <c r="H251" i="101"/>
  <c r="G251" i="101"/>
  <c r="F251" i="101"/>
  <c r="I250" i="101"/>
  <c r="K250" i="101"/>
  <c r="M250" i="101"/>
  <c r="H250" i="101"/>
  <c r="G250" i="101"/>
  <c r="F250" i="101"/>
  <c r="I249" i="101"/>
  <c r="K249" i="101"/>
  <c r="M249" i="101"/>
  <c r="H249" i="101"/>
  <c r="G249" i="101"/>
  <c r="F249" i="101"/>
  <c r="H248" i="101"/>
  <c r="G248" i="101"/>
  <c r="F248" i="101"/>
  <c r="I248" i="101"/>
  <c r="K248" i="101"/>
  <c r="M248" i="101"/>
  <c r="I247" i="101"/>
  <c r="K247" i="101"/>
  <c r="M247" i="101"/>
  <c r="H247" i="101"/>
  <c r="G247" i="101"/>
  <c r="F247" i="101"/>
  <c r="I246" i="101"/>
  <c r="K246" i="101"/>
  <c r="M246" i="101"/>
  <c r="H246" i="101"/>
  <c r="G246" i="101"/>
  <c r="F246" i="101"/>
  <c r="I245" i="101"/>
  <c r="K245" i="101"/>
  <c r="M245" i="101"/>
  <c r="H245" i="101"/>
  <c r="G245" i="101"/>
  <c r="F245" i="101"/>
  <c r="H244" i="101"/>
  <c r="H243" i="101"/>
  <c r="G244" i="101"/>
  <c r="G243" i="101"/>
  <c r="F244" i="101"/>
  <c r="I244" i="101"/>
  <c r="F243" i="101"/>
  <c r="G5" i="101"/>
  <c r="H5" i="101"/>
  <c r="I5" i="101"/>
  <c r="J5" i="101"/>
  <c r="K5" i="101"/>
  <c r="L5" i="101"/>
  <c r="F5" i="101"/>
  <c r="K244" i="101"/>
  <c r="M244" i="101"/>
  <c r="I243" i="101"/>
  <c r="I311" i="101"/>
  <c r="K311" i="101"/>
  <c r="K313" i="101"/>
  <c r="M311" i="101"/>
  <c r="M313" i="101"/>
  <c r="G81" i="6"/>
  <c r="H59" i="6"/>
  <c r="H58" i="6"/>
  <c r="H103" i="6"/>
  <c r="G79" i="6"/>
  <c r="G69" i="6"/>
  <c r="G68" i="6"/>
  <c r="G59" i="6"/>
  <c r="G58" i="6"/>
  <c r="G103" i="6"/>
  <c r="F147" i="18"/>
  <c r="E147" i="18"/>
  <c r="D147" i="18"/>
  <c r="F146" i="18"/>
  <c r="E146" i="18"/>
  <c r="D146" i="18"/>
  <c r="C147" i="18"/>
  <c r="C146" i="18"/>
  <c r="F145" i="18"/>
  <c r="E145" i="18"/>
  <c r="D145" i="18"/>
  <c r="C145" i="18"/>
  <c r="F144" i="18"/>
  <c r="E144" i="18"/>
  <c r="D144" i="18"/>
  <c r="C144" i="18"/>
  <c r="F20" i="18"/>
  <c r="E20" i="18"/>
  <c r="D20" i="18"/>
  <c r="C20" i="18"/>
  <c r="F19" i="18"/>
  <c r="E19" i="18"/>
  <c r="D19" i="18"/>
  <c r="C19" i="18"/>
  <c r="F18" i="18"/>
  <c r="E18" i="18"/>
  <c r="E165" i="18"/>
  <c r="D18" i="18"/>
  <c r="D165" i="18"/>
  <c r="C18" i="18"/>
  <c r="C165" i="18"/>
  <c r="F17" i="18"/>
  <c r="F164" i="18"/>
  <c r="E17" i="18"/>
  <c r="E164" i="18"/>
  <c r="D17" i="18"/>
  <c r="D164" i="18"/>
  <c r="C17" i="18"/>
  <c r="C164" i="18"/>
  <c r="F16" i="18"/>
  <c r="F163" i="18"/>
  <c r="E16" i="18"/>
  <c r="E163" i="18"/>
  <c r="D16" i="18"/>
  <c r="D163" i="18"/>
  <c r="C16" i="18"/>
  <c r="C163" i="18"/>
  <c r="F15" i="18"/>
  <c r="F162" i="18"/>
  <c r="E15" i="18"/>
  <c r="E162" i="18"/>
  <c r="D15" i="18"/>
  <c r="D162" i="18"/>
  <c r="C15" i="18"/>
  <c r="C162" i="18"/>
  <c r="F14" i="18"/>
  <c r="F161" i="18"/>
  <c r="E14" i="18"/>
  <c r="E161" i="18"/>
  <c r="D14" i="18"/>
  <c r="D161" i="18"/>
  <c r="C14" i="18"/>
  <c r="C161" i="18"/>
  <c r="F13" i="18"/>
  <c r="E13" i="18"/>
  <c r="E160" i="18"/>
  <c r="D13" i="18"/>
  <c r="D160" i="18"/>
  <c r="C13" i="18"/>
  <c r="C160" i="18"/>
  <c r="F12" i="18"/>
  <c r="E12" i="18"/>
  <c r="D12" i="18"/>
  <c r="C12" i="18"/>
  <c r="F11" i="18"/>
  <c r="E11" i="18"/>
  <c r="D11" i="18"/>
  <c r="C11" i="18"/>
  <c r="F10" i="18"/>
  <c r="E10" i="18"/>
  <c r="E159" i="18"/>
  <c r="D10" i="18"/>
  <c r="D159" i="18"/>
  <c r="C10" i="18"/>
  <c r="C159" i="18"/>
  <c r="F9" i="18"/>
  <c r="E9" i="18"/>
  <c r="D9" i="18"/>
  <c r="C9" i="18"/>
  <c r="F8" i="18"/>
  <c r="E8" i="18"/>
  <c r="E158" i="18"/>
  <c r="D8" i="18"/>
  <c r="D158" i="18"/>
  <c r="C8" i="18"/>
  <c r="C158" i="18"/>
  <c r="F7" i="18"/>
  <c r="F157" i="18"/>
  <c r="E7" i="18"/>
  <c r="E157" i="18"/>
  <c r="D7" i="18"/>
  <c r="D157" i="18"/>
  <c r="C7" i="18"/>
  <c r="C157" i="18"/>
  <c r="F6" i="18"/>
  <c r="F156" i="18"/>
  <c r="E6" i="18"/>
  <c r="E156" i="18"/>
  <c r="D6" i="18"/>
  <c r="D156" i="18"/>
  <c r="C6" i="18"/>
  <c r="C156" i="18"/>
  <c r="F5" i="18"/>
  <c r="E5" i="18"/>
  <c r="D5" i="18"/>
  <c r="C5" i="18"/>
  <c r="E633" i="53"/>
  <c r="F633" i="53"/>
  <c r="G633" i="53"/>
  <c r="H633" i="53"/>
  <c r="H330" i="53"/>
  <c r="G20" i="18"/>
  <c r="G19" i="18"/>
  <c r="H293" i="53"/>
  <c r="G293" i="53"/>
  <c r="F293" i="53"/>
  <c r="E293" i="53"/>
  <c r="G36" i="17"/>
  <c r="H120" i="53"/>
  <c r="G120" i="53"/>
  <c r="F120" i="53"/>
  <c r="E120" i="53"/>
  <c r="H96" i="53"/>
  <c r="H97" i="53"/>
  <c r="G96" i="53"/>
  <c r="G97" i="53"/>
  <c r="F96" i="53"/>
  <c r="F97" i="53"/>
  <c r="E96" i="53"/>
  <c r="E97" i="53"/>
  <c r="H75" i="53"/>
  <c r="H65" i="53"/>
  <c r="G147" i="18"/>
  <c r="G146" i="18"/>
  <c r="G145" i="18"/>
  <c r="G144" i="18"/>
  <c r="G30" i="17"/>
  <c r="G18" i="18"/>
  <c r="G17" i="18"/>
  <c r="G164" i="18"/>
  <c r="G16" i="18"/>
  <c r="G163" i="18"/>
  <c r="G15" i="18"/>
  <c r="G162" i="18"/>
  <c r="G14" i="18"/>
  <c r="G161" i="18"/>
  <c r="G13" i="18"/>
  <c r="G12" i="18"/>
  <c r="G11" i="18"/>
  <c r="G10" i="18"/>
  <c r="G9" i="18"/>
  <c r="G8" i="18"/>
  <c r="G7" i="18"/>
  <c r="G157" i="18"/>
  <c r="G6" i="18"/>
  <c r="G156" i="18"/>
  <c r="G5" i="18"/>
  <c r="G35" i="17"/>
  <c r="I35" i="17"/>
  <c r="K5" i="114"/>
  <c r="V5" i="114"/>
  <c r="K12" i="114"/>
  <c r="K8" i="114"/>
  <c r="K10" i="114"/>
  <c r="V10" i="114"/>
  <c r="K32" i="114"/>
  <c r="K13" i="114"/>
  <c r="K7" i="114"/>
  <c r="K9" i="114"/>
  <c r="K6" i="114"/>
  <c r="V6" i="114"/>
  <c r="K28" i="114"/>
  <c r="J127" i="15"/>
  <c r="G76" i="53"/>
  <c r="F76" i="53"/>
  <c r="E76" i="53"/>
  <c r="I1103" i="72"/>
  <c r="G67" i="6"/>
  <c r="G70" i="6"/>
  <c r="G72" i="6"/>
  <c r="J35" i="17"/>
  <c r="O12" i="114"/>
  <c r="S12" i="114"/>
  <c r="V12" i="114"/>
  <c r="K34" i="114"/>
  <c r="P28" i="114"/>
  <c r="O28" i="114"/>
  <c r="N28" i="114"/>
  <c r="M28" i="114"/>
  <c r="L28" i="114"/>
  <c r="O9" i="114"/>
  <c r="S9" i="114"/>
  <c r="V9" i="114"/>
  <c r="K31" i="114"/>
  <c r="K14" i="114"/>
  <c r="K15" i="114"/>
  <c r="L16" i="114"/>
  <c r="O7" i="114"/>
  <c r="S7" i="114"/>
  <c r="V7" i="114"/>
  <c r="K29" i="114"/>
  <c r="O13" i="114"/>
  <c r="S13" i="114"/>
  <c r="V13" i="114"/>
  <c r="K35" i="114"/>
  <c r="P32" i="114"/>
  <c r="O32" i="114"/>
  <c r="N32" i="114"/>
  <c r="M32" i="114"/>
  <c r="L32" i="114"/>
  <c r="O8" i="114"/>
  <c r="S8" i="114"/>
  <c r="V8" i="114"/>
  <c r="K30" i="114"/>
  <c r="G158" i="18"/>
  <c r="G11" i="114"/>
  <c r="F160" i="18"/>
  <c r="F10" i="114"/>
  <c r="G160" i="18"/>
  <c r="G10" i="114"/>
  <c r="G159" i="18"/>
  <c r="G6" i="114"/>
  <c r="G165" i="18"/>
  <c r="G5" i="114"/>
  <c r="D27" i="114"/>
  <c r="F158" i="18"/>
  <c r="F11" i="114"/>
  <c r="F159" i="18"/>
  <c r="F6" i="114"/>
  <c r="F165" i="18"/>
  <c r="F5" i="114"/>
  <c r="G38" i="17"/>
  <c r="G29" i="17"/>
  <c r="C166" i="18"/>
  <c r="C149" i="18"/>
  <c r="D166" i="18"/>
  <c r="D149" i="18"/>
  <c r="E166" i="18"/>
  <c r="E149" i="18"/>
  <c r="G92" i="6"/>
  <c r="H67" i="6"/>
  <c r="H92" i="6"/>
  <c r="I29" i="7"/>
  <c r="C21" i="18"/>
  <c r="C53" i="18"/>
  <c r="D21" i="18"/>
  <c r="D53" i="18"/>
  <c r="E21" i="18"/>
  <c r="E53" i="18"/>
  <c r="F21" i="18"/>
  <c r="F53" i="18"/>
  <c r="G21" i="18"/>
  <c r="G53" i="18"/>
  <c r="G94" i="6"/>
  <c r="G80" i="6"/>
  <c r="G61" i="6"/>
  <c r="G93" i="6"/>
  <c r="H76" i="6"/>
  <c r="H86" i="6"/>
  <c r="G76" i="6"/>
  <c r="G86" i="6"/>
  <c r="F124" i="87"/>
  <c r="I122" i="87"/>
  <c r="J122" i="87"/>
  <c r="K122" i="87"/>
  <c r="K124" i="87"/>
  <c r="K123" i="87"/>
  <c r="J123" i="87"/>
  <c r="I123" i="87"/>
  <c r="H123" i="87"/>
  <c r="G120" i="87"/>
  <c r="F120" i="87"/>
  <c r="E120" i="87"/>
  <c r="D120" i="87"/>
  <c r="K119" i="87"/>
  <c r="J119" i="87"/>
  <c r="I119" i="87"/>
  <c r="H119" i="87"/>
  <c r="G119" i="87"/>
  <c r="F119" i="87"/>
  <c r="E119" i="87"/>
  <c r="D119" i="87"/>
  <c r="C119" i="87"/>
  <c r="K118" i="87"/>
  <c r="J118" i="87"/>
  <c r="I118" i="87"/>
  <c r="H118" i="87"/>
  <c r="G118" i="87"/>
  <c r="F118" i="87"/>
  <c r="E118" i="87"/>
  <c r="D118" i="87"/>
  <c r="C118" i="87"/>
  <c r="H103" i="87"/>
  <c r="K35" i="17"/>
  <c r="O11" i="114"/>
  <c r="S11" i="114"/>
  <c r="D33" i="114"/>
  <c r="P35" i="114"/>
  <c r="O35" i="114"/>
  <c r="N35" i="114"/>
  <c r="M35" i="114"/>
  <c r="L35" i="114"/>
  <c r="N5" i="114"/>
  <c r="R5" i="114"/>
  <c r="C27" i="114"/>
  <c r="O6" i="114"/>
  <c r="S6" i="114"/>
  <c r="D28" i="114"/>
  <c r="P30" i="114"/>
  <c r="O30" i="114"/>
  <c r="N30" i="114"/>
  <c r="M30" i="114"/>
  <c r="L30" i="114"/>
  <c r="P29" i="114"/>
  <c r="O29" i="114"/>
  <c r="N29" i="114"/>
  <c r="M29" i="114"/>
  <c r="L29" i="114"/>
  <c r="N6" i="114"/>
  <c r="R6" i="114"/>
  <c r="C28" i="114"/>
  <c r="O10" i="114"/>
  <c r="S10" i="114"/>
  <c r="D32" i="114"/>
  <c r="N11" i="114"/>
  <c r="R11" i="114"/>
  <c r="C33" i="114"/>
  <c r="N10" i="114"/>
  <c r="R10" i="114"/>
  <c r="C32" i="114"/>
  <c r="K27" i="114"/>
  <c r="K36" i="114"/>
  <c r="V14" i="114"/>
  <c r="V15" i="114"/>
  <c r="P34" i="114"/>
  <c r="O34" i="114"/>
  <c r="N34" i="114"/>
  <c r="M34" i="114"/>
  <c r="L34" i="114"/>
  <c r="P31" i="114"/>
  <c r="O31" i="114"/>
  <c r="N31" i="114"/>
  <c r="M31" i="114"/>
  <c r="L31" i="114"/>
  <c r="G14" i="114"/>
  <c r="O5" i="114"/>
  <c r="G166" i="18"/>
  <c r="G149" i="18"/>
  <c r="I149" i="18"/>
  <c r="F166" i="18"/>
  <c r="F149" i="18"/>
  <c r="F14" i="114"/>
  <c r="G123" i="87"/>
  <c r="G124" i="87"/>
  <c r="H125" i="87"/>
  <c r="U70" i="14"/>
  <c r="I124" i="87"/>
  <c r="I125" i="87"/>
  <c r="J124" i="87"/>
  <c r="G125" i="87"/>
  <c r="G17" i="6"/>
  <c r="G16" i="6"/>
  <c r="L35" i="17"/>
  <c r="D36" i="114"/>
  <c r="O27" i="114"/>
  <c r="N27" i="114"/>
  <c r="M27" i="114"/>
  <c r="L27" i="114"/>
  <c r="P27" i="114"/>
  <c r="C19" i="114"/>
  <c r="F15" i="114"/>
  <c r="C36" i="114"/>
  <c r="G15" i="114"/>
  <c r="D19" i="114"/>
  <c r="N14" i="114"/>
  <c r="R14" i="114"/>
  <c r="S5" i="114"/>
  <c r="O14" i="114"/>
  <c r="S14" i="114"/>
  <c r="J125" i="87"/>
  <c r="W70" i="14"/>
  <c r="V70" i="14"/>
  <c r="V71" i="14"/>
  <c r="K125" i="87"/>
  <c r="G77" i="6"/>
  <c r="J43" i="85"/>
  <c r="L43" i="85"/>
  <c r="N15" i="85"/>
  <c r="W71" i="14"/>
  <c r="M35" i="17"/>
  <c r="X70" i="14"/>
  <c r="X71" i="14"/>
  <c r="D115" i="87"/>
  <c r="D63" i="14"/>
  <c r="E63" i="14"/>
  <c r="F63" i="14"/>
  <c r="G63" i="14"/>
  <c r="V63" i="14"/>
  <c r="W63" i="14"/>
  <c r="X63" i="14"/>
  <c r="Y63" i="14"/>
  <c r="Z63" i="14"/>
  <c r="K110" i="87"/>
  <c r="J110" i="87"/>
  <c r="I110" i="87"/>
  <c r="L115" i="87"/>
  <c r="G115" i="87"/>
  <c r="F115" i="87"/>
  <c r="E115" i="87"/>
  <c r="H109" i="87"/>
  <c r="H112" i="87"/>
  <c r="G112" i="87"/>
  <c r="F112" i="87"/>
  <c r="D112" i="87"/>
  <c r="G110" i="87"/>
  <c r="E122" i="87"/>
  <c r="D122" i="87"/>
  <c r="C122" i="87"/>
  <c r="C124" i="87"/>
  <c r="I106" i="87"/>
  <c r="J106" i="87"/>
  <c r="K106" i="87"/>
  <c r="K107" i="87"/>
  <c r="J107" i="87"/>
  <c r="I107" i="87"/>
  <c r="K104" i="87"/>
  <c r="J104" i="87"/>
  <c r="I104" i="87"/>
  <c r="F103" i="87"/>
  <c r="E103" i="87"/>
  <c r="D103" i="87"/>
  <c r="E104" i="87"/>
  <c r="C103" i="87"/>
  <c r="D102" i="87"/>
  <c r="E102" i="87"/>
  <c r="F102" i="87"/>
  <c r="G102" i="87"/>
  <c r="H102" i="87"/>
  <c r="I102" i="87"/>
  <c r="J102" i="87"/>
  <c r="K102" i="87"/>
  <c r="G96" i="87"/>
  <c r="F96" i="87"/>
  <c r="E96" i="87"/>
  <c r="D96" i="87"/>
  <c r="C96" i="87"/>
  <c r="D94" i="87"/>
  <c r="E94" i="87"/>
  <c r="F94" i="87"/>
  <c r="G94" i="87"/>
  <c r="G85" i="87"/>
  <c r="F85" i="87"/>
  <c r="E85" i="87"/>
  <c r="D85" i="87"/>
  <c r="C85" i="87"/>
  <c r="H84" i="87"/>
  <c r="I84" i="87"/>
  <c r="J84" i="87"/>
  <c r="K84" i="87"/>
  <c r="L84" i="87"/>
  <c r="C83" i="87"/>
  <c r="D83" i="87"/>
  <c r="E83" i="87"/>
  <c r="F83" i="87"/>
  <c r="G83" i="87"/>
  <c r="H83" i="87"/>
  <c r="I83" i="87"/>
  <c r="J83" i="87"/>
  <c r="K83" i="87"/>
  <c r="L83" i="87"/>
  <c r="G78" i="87"/>
  <c r="F78" i="87"/>
  <c r="E78" i="87"/>
  <c r="D78" i="87"/>
  <c r="C78" i="87"/>
  <c r="C76" i="87"/>
  <c r="D76" i="87"/>
  <c r="E76" i="87"/>
  <c r="F76" i="87"/>
  <c r="G76" i="87"/>
  <c r="H76" i="87"/>
  <c r="I76" i="87"/>
  <c r="G72" i="87"/>
  <c r="F72" i="87"/>
  <c r="E72" i="87"/>
  <c r="D72" i="87"/>
  <c r="C72" i="87"/>
  <c r="C70" i="87"/>
  <c r="D70" i="87"/>
  <c r="E70" i="87"/>
  <c r="F70" i="87"/>
  <c r="G70" i="87"/>
  <c r="H70" i="87"/>
  <c r="I70" i="87"/>
  <c r="F63" i="87"/>
  <c r="G63" i="87"/>
  <c r="H63" i="87"/>
  <c r="I63" i="87"/>
  <c r="J63" i="87"/>
  <c r="K63" i="87"/>
  <c r="D51" i="87"/>
  <c r="E51" i="87"/>
  <c r="I44" i="87"/>
  <c r="H44" i="87"/>
  <c r="G44" i="87"/>
  <c r="F44" i="87"/>
  <c r="E44" i="87"/>
  <c r="D44" i="87"/>
  <c r="C44" i="87"/>
  <c r="L43" i="87"/>
  <c r="J43" i="87"/>
  <c r="C42" i="87"/>
  <c r="D42" i="87"/>
  <c r="E42" i="87"/>
  <c r="F42" i="87"/>
  <c r="G42" i="87"/>
  <c r="H42" i="87"/>
  <c r="I42" i="87"/>
  <c r="J35" i="87"/>
  <c r="I35" i="87"/>
  <c r="H35" i="87"/>
  <c r="G35" i="87"/>
  <c r="F35" i="87"/>
  <c r="E35" i="87"/>
  <c r="D35" i="87"/>
  <c r="C35" i="87"/>
  <c r="J34" i="87"/>
  <c r="I71" i="87"/>
  <c r="I34" i="87"/>
  <c r="H71" i="87"/>
  <c r="H34" i="87"/>
  <c r="G34" i="87"/>
  <c r="F34" i="87"/>
  <c r="E34" i="87"/>
  <c r="D34" i="87"/>
  <c r="C34" i="87"/>
  <c r="J33" i="87"/>
  <c r="I33" i="87"/>
  <c r="H33" i="87"/>
  <c r="G33" i="87"/>
  <c r="F33" i="87"/>
  <c r="E33" i="87"/>
  <c r="D33" i="87"/>
  <c r="C33" i="87"/>
  <c r="J32" i="87"/>
  <c r="I32" i="87"/>
  <c r="H32" i="87"/>
  <c r="G32" i="87"/>
  <c r="G36" i="87"/>
  <c r="F32" i="87"/>
  <c r="E32" i="87"/>
  <c r="D32" i="87"/>
  <c r="C32" i="87"/>
  <c r="D31" i="87"/>
  <c r="E31" i="87"/>
  <c r="F31" i="87"/>
  <c r="G31" i="87"/>
  <c r="H31" i="87"/>
  <c r="I31" i="87"/>
  <c r="J31" i="87"/>
  <c r="S27" i="87"/>
  <c r="R27" i="87"/>
  <c r="Q27" i="87"/>
  <c r="P27" i="87"/>
  <c r="O27" i="87"/>
  <c r="N27" i="87"/>
  <c r="M27" i="87"/>
  <c r="L25" i="87"/>
  <c r="L29" i="87"/>
  <c r="S23" i="87"/>
  <c r="R23" i="87"/>
  <c r="Q23" i="87"/>
  <c r="P23" i="87"/>
  <c r="O23" i="87"/>
  <c r="N23" i="87"/>
  <c r="M23" i="87"/>
  <c r="S22" i="87"/>
  <c r="R22" i="87"/>
  <c r="Q22" i="87"/>
  <c r="P22" i="87"/>
  <c r="O22" i="87"/>
  <c r="N22" i="87"/>
  <c r="M22" i="87"/>
  <c r="S21" i="87"/>
  <c r="R21" i="87"/>
  <c r="Q21" i="87"/>
  <c r="P21" i="87"/>
  <c r="O21" i="87"/>
  <c r="N21" i="87"/>
  <c r="M21" i="87"/>
  <c r="S20" i="87"/>
  <c r="R20" i="87"/>
  <c r="Q20" i="87"/>
  <c r="P20" i="87"/>
  <c r="O20" i="87"/>
  <c r="N20" i="87"/>
  <c r="M20" i="87"/>
  <c r="J19" i="87"/>
  <c r="I19" i="87"/>
  <c r="H19" i="87"/>
  <c r="G19" i="87"/>
  <c r="F19" i="87"/>
  <c r="E19" i="87"/>
  <c r="D19" i="87"/>
  <c r="C19" i="87"/>
  <c r="S17" i="87"/>
  <c r="R17" i="87"/>
  <c r="Q17" i="87"/>
  <c r="P17" i="87"/>
  <c r="O17" i="87"/>
  <c r="N17" i="87"/>
  <c r="M17" i="87"/>
  <c r="S16" i="87"/>
  <c r="R16" i="87"/>
  <c r="Q16" i="87"/>
  <c r="P16" i="87"/>
  <c r="O16" i="87"/>
  <c r="N16" i="87"/>
  <c r="M16" i="87"/>
  <c r="S15" i="87"/>
  <c r="R15" i="87"/>
  <c r="Q15" i="87"/>
  <c r="P15" i="87"/>
  <c r="O15" i="87"/>
  <c r="N15" i="87"/>
  <c r="M15" i="87"/>
  <c r="S14" i="87"/>
  <c r="R14" i="87"/>
  <c r="Q14" i="87"/>
  <c r="P14" i="87"/>
  <c r="O14" i="87"/>
  <c r="N14" i="87"/>
  <c r="M14" i="87"/>
  <c r="J13" i="87"/>
  <c r="I13" i="87"/>
  <c r="H13" i="87"/>
  <c r="G13" i="87"/>
  <c r="F13" i="87"/>
  <c r="E13" i="87"/>
  <c r="D13" i="87"/>
  <c r="C13" i="87"/>
  <c r="M12" i="87"/>
  <c r="N12" i="87"/>
  <c r="O12" i="87"/>
  <c r="P12" i="87"/>
  <c r="Q12" i="87"/>
  <c r="R12" i="87"/>
  <c r="S12" i="87"/>
  <c r="D12" i="87"/>
  <c r="E12" i="87"/>
  <c r="F12" i="87"/>
  <c r="G12" i="87"/>
  <c r="H12" i="87"/>
  <c r="I12" i="87"/>
  <c r="J12" i="87"/>
  <c r="H6" i="87"/>
  <c r="G6" i="87"/>
  <c r="F6" i="87"/>
  <c r="E6" i="87"/>
  <c r="D6" i="87"/>
  <c r="C6" i="87"/>
  <c r="L5" i="87"/>
  <c r="K5" i="87"/>
  <c r="J5" i="87"/>
  <c r="G113" i="87"/>
  <c r="E112" i="87"/>
  <c r="F113" i="87"/>
  <c r="E110" i="87"/>
  <c r="D124" i="87"/>
  <c r="D125" i="87"/>
  <c r="D123" i="87"/>
  <c r="C112" i="87"/>
  <c r="D113" i="87"/>
  <c r="E123" i="87"/>
  <c r="E124" i="87"/>
  <c r="F123" i="87"/>
  <c r="F110" i="87"/>
  <c r="E113" i="87"/>
  <c r="J63" i="14"/>
  <c r="K63" i="14"/>
  <c r="L63" i="14"/>
  <c r="M63" i="14"/>
  <c r="N63" i="14"/>
  <c r="H113" i="87"/>
  <c r="U67" i="14"/>
  <c r="I109" i="87"/>
  <c r="J109" i="87"/>
  <c r="D110" i="87"/>
  <c r="R19" i="87"/>
  <c r="G58" i="87"/>
  <c r="H58" i="87"/>
  <c r="M13" i="87"/>
  <c r="I103" i="87"/>
  <c r="J103" i="87"/>
  <c r="K103" i="87"/>
  <c r="F104" i="87"/>
  <c r="F99" i="87"/>
  <c r="D25" i="87"/>
  <c r="D29" i="87"/>
  <c r="F107" i="87"/>
  <c r="D107" i="87"/>
  <c r="N32" i="87"/>
  <c r="N33" i="87"/>
  <c r="P35" i="87"/>
  <c r="D104" i="87"/>
  <c r="I96" i="87"/>
  <c r="S32" i="87"/>
  <c r="L96" i="87"/>
  <c r="O13" i="87"/>
  <c r="S19" i="87"/>
  <c r="C25" i="87"/>
  <c r="C29" i="87"/>
  <c r="N35" i="87"/>
  <c r="I25" i="87"/>
  <c r="I29" i="87"/>
  <c r="O19" i="87"/>
  <c r="Q33" i="87"/>
  <c r="E99" i="87"/>
  <c r="S13" i="87"/>
  <c r="F25" i="87"/>
  <c r="M32" i="87"/>
  <c r="P32" i="87"/>
  <c r="S33" i="87"/>
  <c r="R35" i="87"/>
  <c r="G25" i="87"/>
  <c r="G29" i="87"/>
  <c r="S34" i="87"/>
  <c r="H25" i="87"/>
  <c r="E36" i="87"/>
  <c r="M34" i="87"/>
  <c r="C36" i="87"/>
  <c r="N13" i="87"/>
  <c r="E25" i="87"/>
  <c r="F36" i="87"/>
  <c r="P36" i="87"/>
  <c r="O33" i="87"/>
  <c r="O34" i="87"/>
  <c r="M35" i="87"/>
  <c r="D36" i="87"/>
  <c r="D99" i="87"/>
  <c r="P34" i="87"/>
  <c r="P13" i="87"/>
  <c r="R13" i="87"/>
  <c r="N19" i="87"/>
  <c r="R32" i="87"/>
  <c r="H36" i="87"/>
  <c r="Q36" i="87"/>
  <c r="R34" i="87"/>
  <c r="Q35" i="87"/>
  <c r="G103" i="87"/>
  <c r="G104" i="87"/>
  <c r="H72" i="87"/>
  <c r="I72" i="87"/>
  <c r="J25" i="87"/>
  <c r="I36" i="87"/>
  <c r="J96" i="87"/>
  <c r="Q19" i="87"/>
  <c r="Q13" i="87"/>
  <c r="P19" i="87"/>
  <c r="O32" i="87"/>
  <c r="P33" i="87"/>
  <c r="Q34" i="87"/>
  <c r="J36" i="87"/>
  <c r="K96" i="87"/>
  <c r="H85" i="87"/>
  <c r="Q32" i="87"/>
  <c r="R33" i="87"/>
  <c r="M19" i="87"/>
  <c r="M33" i="87"/>
  <c r="N34" i="87"/>
  <c r="O35" i="87"/>
  <c r="G78" i="85"/>
  <c r="F78" i="85"/>
  <c r="E78" i="85"/>
  <c r="D78" i="85"/>
  <c r="C78" i="85"/>
  <c r="C76" i="85"/>
  <c r="D76" i="85"/>
  <c r="E76" i="85"/>
  <c r="F76" i="85"/>
  <c r="G76" i="85"/>
  <c r="H76" i="85"/>
  <c r="I76" i="85"/>
  <c r="E125" i="87"/>
  <c r="F125" i="87"/>
  <c r="I112" i="87"/>
  <c r="I113" i="87"/>
  <c r="V67" i="14"/>
  <c r="K109" i="87"/>
  <c r="K112" i="87"/>
  <c r="J112" i="87"/>
  <c r="G107" i="87"/>
  <c r="E107" i="87"/>
  <c r="R25" i="87"/>
  <c r="C37" i="87"/>
  <c r="O25" i="87"/>
  <c r="P25" i="87"/>
  <c r="M36" i="87"/>
  <c r="M29" i="87"/>
  <c r="O36" i="87"/>
  <c r="N36" i="87"/>
  <c r="M25" i="87"/>
  <c r="D37" i="87"/>
  <c r="F29" i="87"/>
  <c r="P29" i="87"/>
  <c r="N25" i="87"/>
  <c r="E29" i="87"/>
  <c r="E37" i="87"/>
  <c r="H29" i="87"/>
  <c r="Q29" i="87"/>
  <c r="Q25" i="87"/>
  <c r="R36" i="87"/>
  <c r="I37" i="87"/>
  <c r="J29" i="87"/>
  <c r="S29" i="87"/>
  <c r="S25" i="87"/>
  <c r="G37" i="87"/>
  <c r="I34" i="85"/>
  <c r="H71" i="85"/>
  <c r="H72" i="85"/>
  <c r="S27" i="85"/>
  <c r="R27" i="85"/>
  <c r="Q27" i="85"/>
  <c r="P27" i="85"/>
  <c r="O27" i="85"/>
  <c r="N27" i="85"/>
  <c r="M27" i="85"/>
  <c r="S23" i="85"/>
  <c r="R23" i="85"/>
  <c r="Q23" i="85"/>
  <c r="P23" i="85"/>
  <c r="O23" i="85"/>
  <c r="N23" i="85"/>
  <c r="M23" i="85"/>
  <c r="S22" i="85"/>
  <c r="R22" i="85"/>
  <c r="Q22" i="85"/>
  <c r="P22" i="85"/>
  <c r="O22" i="85"/>
  <c r="N22" i="85"/>
  <c r="M22" i="85"/>
  <c r="S21" i="85"/>
  <c r="R21" i="85"/>
  <c r="Q21" i="85"/>
  <c r="P21" i="85"/>
  <c r="O21" i="85"/>
  <c r="N21" i="85"/>
  <c r="M21" i="85"/>
  <c r="S20" i="85"/>
  <c r="R20" i="85"/>
  <c r="Q20" i="85"/>
  <c r="P20" i="85"/>
  <c r="O20" i="85"/>
  <c r="N20" i="85"/>
  <c r="M20" i="85"/>
  <c r="S17" i="85"/>
  <c r="R17" i="85"/>
  <c r="Q17" i="85"/>
  <c r="P17" i="85"/>
  <c r="O17" i="85"/>
  <c r="N17" i="85"/>
  <c r="M17" i="85"/>
  <c r="S16" i="85"/>
  <c r="R16" i="85"/>
  <c r="Q16" i="85"/>
  <c r="P16" i="85"/>
  <c r="O16" i="85"/>
  <c r="N16" i="85"/>
  <c r="M16" i="85"/>
  <c r="S15" i="85"/>
  <c r="R15" i="85"/>
  <c r="Q15" i="85"/>
  <c r="P15" i="85"/>
  <c r="O15" i="85"/>
  <c r="M15" i="85"/>
  <c r="S14" i="85"/>
  <c r="R14" i="85"/>
  <c r="Q14" i="85"/>
  <c r="P14" i="85"/>
  <c r="O14" i="85"/>
  <c r="N14" i="85"/>
  <c r="M14" i="85"/>
  <c r="M12" i="85"/>
  <c r="N12" i="85"/>
  <c r="O12" i="85"/>
  <c r="P12" i="85"/>
  <c r="Q12" i="85"/>
  <c r="R12" i="85"/>
  <c r="S12" i="85"/>
  <c r="C34" i="85"/>
  <c r="J34" i="85"/>
  <c r="H34" i="85"/>
  <c r="G34" i="85"/>
  <c r="F34" i="85"/>
  <c r="E34" i="85"/>
  <c r="D34" i="85"/>
  <c r="J33" i="85"/>
  <c r="I33" i="85"/>
  <c r="H33" i="85"/>
  <c r="G33" i="85"/>
  <c r="F33" i="85"/>
  <c r="E33" i="85"/>
  <c r="D33" i="85"/>
  <c r="C33" i="85"/>
  <c r="J32" i="85"/>
  <c r="I32" i="85"/>
  <c r="H32" i="85"/>
  <c r="G32" i="85"/>
  <c r="F32" i="85"/>
  <c r="E32" i="85"/>
  <c r="D32" i="85"/>
  <c r="C32" i="85"/>
  <c r="J35" i="85"/>
  <c r="I35" i="85"/>
  <c r="H35" i="85"/>
  <c r="G35" i="85"/>
  <c r="F35" i="85"/>
  <c r="E35" i="85"/>
  <c r="D35" i="85"/>
  <c r="C35" i="85"/>
  <c r="D31" i="85"/>
  <c r="E31" i="85"/>
  <c r="F31" i="85"/>
  <c r="G31" i="85"/>
  <c r="H31" i="85"/>
  <c r="I31" i="85"/>
  <c r="J31" i="85"/>
  <c r="J19" i="85"/>
  <c r="I19" i="85"/>
  <c r="H19" i="85"/>
  <c r="G19" i="85"/>
  <c r="F19" i="85"/>
  <c r="E19" i="85"/>
  <c r="D19" i="85"/>
  <c r="C19" i="85"/>
  <c r="J13" i="85"/>
  <c r="I13" i="85"/>
  <c r="H13" i="85"/>
  <c r="G13" i="85"/>
  <c r="F13" i="85"/>
  <c r="E13" i="85"/>
  <c r="D13" i="85"/>
  <c r="C13" i="85"/>
  <c r="D12" i="85"/>
  <c r="E12" i="85"/>
  <c r="F12" i="85"/>
  <c r="G12" i="85"/>
  <c r="H12" i="85"/>
  <c r="I12" i="85"/>
  <c r="J12" i="85"/>
  <c r="H84" i="85"/>
  <c r="I84" i="85"/>
  <c r="J84" i="85"/>
  <c r="K84" i="85"/>
  <c r="L84" i="85"/>
  <c r="G85" i="85"/>
  <c r="F85" i="85"/>
  <c r="E85" i="85"/>
  <c r="D85" i="85"/>
  <c r="C85" i="85"/>
  <c r="C83" i="85"/>
  <c r="D83" i="85"/>
  <c r="E83" i="85"/>
  <c r="F83" i="85"/>
  <c r="G83" i="85"/>
  <c r="H83" i="85"/>
  <c r="I83" i="85"/>
  <c r="J83" i="85"/>
  <c r="K83" i="85"/>
  <c r="L83" i="85"/>
  <c r="G72" i="85"/>
  <c r="F72" i="85"/>
  <c r="E72" i="85"/>
  <c r="D72" i="85"/>
  <c r="C72" i="85"/>
  <c r="C70" i="85"/>
  <c r="D70" i="85"/>
  <c r="E70" i="85"/>
  <c r="F70" i="85"/>
  <c r="G70" i="85"/>
  <c r="H70" i="85"/>
  <c r="I70" i="85"/>
  <c r="F63" i="85"/>
  <c r="G63" i="85"/>
  <c r="H63" i="85"/>
  <c r="I63" i="85"/>
  <c r="J63" i="85"/>
  <c r="K63" i="85"/>
  <c r="D51" i="85"/>
  <c r="E51" i="85"/>
  <c r="I44" i="85"/>
  <c r="C42" i="85"/>
  <c r="D42" i="85"/>
  <c r="E42" i="85"/>
  <c r="F42" i="85"/>
  <c r="G42" i="85"/>
  <c r="H42" i="85"/>
  <c r="I42" i="85"/>
  <c r="H44" i="85"/>
  <c r="G44" i="85"/>
  <c r="F44" i="85"/>
  <c r="E44" i="85"/>
  <c r="D44" i="85"/>
  <c r="C44" i="85"/>
  <c r="H6" i="85"/>
  <c r="G6" i="85"/>
  <c r="F6" i="85"/>
  <c r="E6" i="85"/>
  <c r="D6" i="85"/>
  <c r="C6" i="85"/>
  <c r="L5" i="85"/>
  <c r="K5" i="85"/>
  <c r="J5" i="85"/>
  <c r="L691" i="72"/>
  <c r="L1032" i="72"/>
  <c r="L1031" i="72"/>
  <c r="L1030" i="72"/>
  <c r="L1029" i="72"/>
  <c r="L1028" i="72"/>
  <c r="L1027" i="72"/>
  <c r="L1026" i="72"/>
  <c r="L1025" i="72"/>
  <c r="L1024" i="72"/>
  <c r="L1023" i="72"/>
  <c r="L1022" i="72"/>
  <c r="L1021" i="72"/>
  <c r="L1020" i="72"/>
  <c r="L1019" i="72"/>
  <c r="L1018" i="72"/>
  <c r="L1017" i="72"/>
  <c r="L1016" i="72"/>
  <c r="L1015" i="72"/>
  <c r="L1014" i="72"/>
  <c r="L1013" i="72"/>
  <c r="L1012" i="72"/>
  <c r="L1011" i="72"/>
  <c r="L1010" i="72"/>
  <c r="L1009" i="72"/>
  <c r="L1008" i="72"/>
  <c r="L1007" i="72"/>
  <c r="L1006" i="72"/>
  <c r="L1005" i="72"/>
  <c r="L1004" i="72"/>
  <c r="L1003" i="72"/>
  <c r="L1002" i="72"/>
  <c r="L1001" i="72"/>
  <c r="L1000" i="72"/>
  <c r="L999" i="72"/>
  <c r="L998" i="72"/>
  <c r="L997" i="72"/>
  <c r="L996" i="72"/>
  <c r="L995" i="72"/>
  <c r="L994" i="72"/>
  <c r="L993" i="72"/>
  <c r="L992" i="72"/>
  <c r="L991" i="72"/>
  <c r="L990" i="72"/>
  <c r="L989" i="72"/>
  <c r="L988" i="72"/>
  <c r="L987" i="72"/>
  <c r="L986" i="72"/>
  <c r="L985" i="72"/>
  <c r="L984" i="72"/>
  <c r="L983" i="72"/>
  <c r="L982" i="72"/>
  <c r="L981" i="72"/>
  <c r="L980" i="72"/>
  <c r="L979" i="72"/>
  <c r="L978" i="72"/>
  <c r="L977" i="72"/>
  <c r="L976" i="72"/>
  <c r="L975" i="72"/>
  <c r="L974" i="72"/>
  <c r="L973" i="72"/>
  <c r="L972" i="72"/>
  <c r="L971" i="72"/>
  <c r="L970" i="72"/>
  <c r="L969" i="72"/>
  <c r="L968" i="72"/>
  <c r="L967" i="72"/>
  <c r="L966" i="72"/>
  <c r="L965" i="72"/>
  <c r="L964" i="72"/>
  <c r="L963" i="72"/>
  <c r="L962" i="72"/>
  <c r="L961" i="72"/>
  <c r="L960" i="72"/>
  <c r="L959" i="72"/>
  <c r="L958" i="72"/>
  <c r="L957" i="72"/>
  <c r="L956" i="72"/>
  <c r="L955" i="72"/>
  <c r="L954" i="72"/>
  <c r="L953" i="72"/>
  <c r="L952" i="72"/>
  <c r="L951" i="72"/>
  <c r="L950" i="72"/>
  <c r="L949" i="72"/>
  <c r="L948" i="72"/>
  <c r="L947" i="72"/>
  <c r="L946" i="72"/>
  <c r="L945" i="72"/>
  <c r="L944" i="72"/>
  <c r="L943" i="72"/>
  <c r="L942" i="72"/>
  <c r="L941" i="72"/>
  <c r="L940" i="72"/>
  <c r="L939" i="72"/>
  <c r="L938" i="72"/>
  <c r="L937" i="72"/>
  <c r="L936" i="72"/>
  <c r="L935" i="72"/>
  <c r="L934" i="72"/>
  <c r="L933" i="72"/>
  <c r="L932" i="72"/>
  <c r="L931" i="72"/>
  <c r="L930" i="72"/>
  <c r="L929" i="72"/>
  <c r="L928" i="72"/>
  <c r="L927" i="72"/>
  <c r="L926" i="72"/>
  <c r="L925" i="72"/>
  <c r="L924" i="72"/>
  <c r="L923" i="72"/>
  <c r="L922" i="72"/>
  <c r="L921" i="72"/>
  <c r="L920" i="72"/>
  <c r="L919" i="72"/>
  <c r="L918" i="72"/>
  <c r="L917" i="72"/>
  <c r="L916" i="72"/>
  <c r="L915" i="72"/>
  <c r="L914" i="72"/>
  <c r="L913" i="72"/>
  <c r="L912" i="72"/>
  <c r="L911" i="72"/>
  <c r="L910" i="72"/>
  <c r="L909" i="72"/>
  <c r="L908" i="72"/>
  <c r="L907" i="72"/>
  <c r="M907" i="72"/>
  <c r="L906" i="72"/>
  <c r="L905" i="72"/>
  <c r="L904" i="72"/>
  <c r="M904" i="72"/>
  <c r="L903" i="72"/>
  <c r="M903" i="72"/>
  <c r="L902" i="72"/>
  <c r="M902" i="72"/>
  <c r="L901" i="72"/>
  <c r="M901" i="72"/>
  <c r="L900" i="72"/>
  <c r="M900" i="72"/>
  <c r="L899" i="72"/>
  <c r="M899" i="72"/>
  <c r="L898" i="72"/>
  <c r="M898" i="72"/>
  <c r="L897" i="72"/>
  <c r="M897" i="72"/>
  <c r="L896" i="72"/>
  <c r="L895" i="72"/>
  <c r="M895" i="72"/>
  <c r="L894" i="72"/>
  <c r="M894" i="72"/>
  <c r="L893" i="72"/>
  <c r="M893" i="72"/>
  <c r="L892" i="72"/>
  <c r="M892" i="72"/>
  <c r="L891" i="72"/>
  <c r="L890" i="72"/>
  <c r="L889" i="72"/>
  <c r="L888" i="72"/>
  <c r="L887" i="72"/>
  <c r="L886" i="72"/>
  <c r="L885" i="72"/>
  <c r="L884" i="72"/>
  <c r="L883" i="72"/>
  <c r="L882" i="72"/>
  <c r="L881" i="72"/>
  <c r="L880" i="72"/>
  <c r="L879" i="72"/>
  <c r="L878" i="72"/>
  <c r="L877" i="72"/>
  <c r="L876" i="72"/>
  <c r="L875" i="72"/>
  <c r="L874" i="72"/>
  <c r="L873" i="72"/>
  <c r="L872" i="72"/>
  <c r="L871" i="72"/>
  <c r="L870" i="72"/>
  <c r="L869" i="72"/>
  <c r="L868" i="72"/>
  <c r="L867" i="72"/>
  <c r="L866" i="72"/>
  <c r="L865" i="72"/>
  <c r="L864" i="72"/>
  <c r="L863" i="72"/>
  <c r="L862" i="72"/>
  <c r="L861" i="72"/>
  <c r="L860" i="72"/>
  <c r="L859" i="72"/>
  <c r="L858" i="72"/>
  <c r="L857" i="72"/>
  <c r="L856" i="72"/>
  <c r="M856" i="72"/>
  <c r="L855" i="72"/>
  <c r="L854" i="72"/>
  <c r="L853" i="72"/>
  <c r="L852" i="72"/>
  <c r="L851" i="72"/>
  <c r="L850" i="72"/>
  <c r="L849" i="72"/>
  <c r="L848" i="72"/>
  <c r="L847" i="72"/>
  <c r="L846" i="72"/>
  <c r="L845" i="72"/>
  <c r="L844" i="72"/>
  <c r="L843" i="72"/>
  <c r="L842" i="72"/>
  <c r="L841" i="72"/>
  <c r="L840" i="72"/>
  <c r="L839" i="72"/>
  <c r="L838" i="72"/>
  <c r="L837" i="72"/>
  <c r="L836" i="72"/>
  <c r="L835" i="72"/>
  <c r="L834" i="72"/>
  <c r="L833" i="72"/>
  <c r="L832" i="72"/>
  <c r="L831" i="72"/>
  <c r="L830" i="72"/>
  <c r="L829" i="72"/>
  <c r="L828" i="72"/>
  <c r="L827" i="72"/>
  <c r="L826" i="72"/>
  <c r="L825" i="72"/>
  <c r="L824" i="72"/>
  <c r="L823" i="72"/>
  <c r="L822" i="72"/>
  <c r="L821" i="72"/>
  <c r="L820" i="72"/>
  <c r="L819" i="72"/>
  <c r="L818" i="72"/>
  <c r="L817" i="72"/>
  <c r="L816" i="72"/>
  <c r="L815" i="72"/>
  <c r="L814" i="72"/>
  <c r="L813" i="72"/>
  <c r="L812" i="72"/>
  <c r="L811" i="72"/>
  <c r="L810" i="72"/>
  <c r="L809" i="72"/>
  <c r="L808" i="72"/>
  <c r="L807" i="72"/>
  <c r="L806" i="72"/>
  <c r="L805" i="72"/>
  <c r="L804" i="72"/>
  <c r="L803" i="72"/>
  <c r="L802" i="72"/>
  <c r="L801" i="72"/>
  <c r="L800" i="72"/>
  <c r="L799" i="72"/>
  <c r="L798" i="72"/>
  <c r="L797" i="72"/>
  <c r="L796" i="72"/>
  <c r="L795" i="72"/>
  <c r="L794" i="72"/>
  <c r="L793" i="72"/>
  <c r="L792" i="72"/>
  <c r="L791" i="72"/>
  <c r="L790" i="72"/>
  <c r="L789" i="72"/>
  <c r="L788" i="72"/>
  <c r="L787" i="72"/>
  <c r="L786" i="72"/>
  <c r="L785" i="72"/>
  <c r="L784" i="72"/>
  <c r="L783" i="72"/>
  <c r="L782" i="72"/>
  <c r="L781" i="72"/>
  <c r="L780" i="72"/>
  <c r="L779" i="72"/>
  <c r="L778" i="72"/>
  <c r="L777" i="72"/>
  <c r="L776" i="72"/>
  <c r="L775" i="72"/>
  <c r="L774" i="72"/>
  <c r="L773" i="72"/>
  <c r="L772" i="72"/>
  <c r="L771" i="72"/>
  <c r="L770" i="72"/>
  <c r="L769" i="72"/>
  <c r="L768" i="72"/>
  <c r="L767" i="72"/>
  <c r="L766" i="72"/>
  <c r="L765" i="72"/>
  <c r="L764" i="72"/>
  <c r="L763" i="72"/>
  <c r="L762" i="72"/>
  <c r="L761" i="72"/>
  <c r="L760" i="72"/>
  <c r="L759" i="72"/>
  <c r="L758" i="72"/>
  <c r="L757" i="72"/>
  <c r="L756" i="72"/>
  <c r="L755" i="72"/>
  <c r="L754" i="72"/>
  <c r="L753" i="72"/>
  <c r="L752" i="72"/>
  <c r="L751" i="72"/>
  <c r="L750" i="72"/>
  <c r="L749" i="72"/>
  <c r="L748" i="72"/>
  <c r="L747" i="72"/>
  <c r="L746" i="72"/>
  <c r="L745" i="72"/>
  <c r="L744" i="72"/>
  <c r="L743" i="72"/>
  <c r="L742" i="72"/>
  <c r="L741" i="72"/>
  <c r="L740" i="72"/>
  <c r="L739" i="72"/>
  <c r="L738" i="72"/>
  <c r="L737" i="72"/>
  <c r="L736" i="72"/>
  <c r="L735" i="72"/>
  <c r="L734" i="72"/>
  <c r="L733" i="72"/>
  <c r="L732" i="72"/>
  <c r="L731" i="72"/>
  <c r="L730" i="72"/>
  <c r="L729" i="72"/>
  <c r="L728" i="72"/>
  <c r="L727" i="72"/>
  <c r="L726" i="72"/>
  <c r="L725" i="72"/>
  <c r="L724" i="72"/>
  <c r="L723" i="72"/>
  <c r="L722" i="72"/>
  <c r="L721" i="72"/>
  <c r="L720" i="72"/>
  <c r="L719" i="72"/>
  <c r="L718" i="72"/>
  <c r="L717" i="72"/>
  <c r="L716" i="72"/>
  <c r="L715" i="72"/>
  <c r="L714" i="72"/>
  <c r="L713" i="72"/>
  <c r="L712" i="72"/>
  <c r="L711" i="72"/>
  <c r="L710" i="72"/>
  <c r="L709" i="72"/>
  <c r="M709" i="72"/>
  <c r="L708" i="72"/>
  <c r="L707" i="72"/>
  <c r="L706" i="72"/>
  <c r="L705" i="72"/>
  <c r="L704" i="72"/>
  <c r="L703" i="72"/>
  <c r="L702" i="72"/>
  <c r="L701" i="72"/>
  <c r="L700" i="72"/>
  <c r="L699" i="72"/>
  <c r="L698" i="72"/>
  <c r="L697" i="72"/>
  <c r="L696" i="72"/>
  <c r="L695" i="72"/>
  <c r="L694" i="72"/>
  <c r="L693" i="72"/>
  <c r="L692" i="72"/>
  <c r="M906" i="72"/>
  <c r="I689" i="72"/>
  <c r="J689" i="72"/>
  <c r="K689" i="72"/>
  <c r="L689" i="72"/>
  <c r="M689" i="72"/>
  <c r="N689" i="72"/>
  <c r="I301" i="72"/>
  <c r="J301" i="72"/>
  <c r="K301" i="72"/>
  <c r="L301" i="72"/>
  <c r="M301" i="72"/>
  <c r="I300" i="72"/>
  <c r="J300" i="72"/>
  <c r="K300" i="72"/>
  <c r="L300" i="72"/>
  <c r="M300" i="72"/>
  <c r="I299" i="72"/>
  <c r="J299" i="72"/>
  <c r="K299" i="72"/>
  <c r="L299" i="72"/>
  <c r="M299" i="72"/>
  <c r="K206" i="72"/>
  <c r="L206" i="72"/>
  <c r="K113" i="87"/>
  <c r="X67" i="14"/>
  <c r="J113" i="87"/>
  <c r="W67" i="14"/>
  <c r="N29" i="87"/>
  <c r="O29" i="87"/>
  <c r="F37" i="87"/>
  <c r="H37" i="87"/>
  <c r="R29" i="87"/>
  <c r="J37" i="87"/>
  <c r="R13" i="85"/>
  <c r="R19" i="85"/>
  <c r="S34" i="85"/>
  <c r="R35" i="85"/>
  <c r="R32" i="85"/>
  <c r="P35" i="85"/>
  <c r="R34" i="85"/>
  <c r="R33" i="85"/>
  <c r="N13" i="85"/>
  <c r="N19" i="85"/>
  <c r="M35" i="85"/>
  <c r="M32" i="85"/>
  <c r="M33" i="85"/>
  <c r="O32" i="85"/>
  <c r="O33" i="85"/>
  <c r="P34" i="85"/>
  <c r="P32" i="85"/>
  <c r="P33" i="85"/>
  <c r="Q35" i="85"/>
  <c r="C36" i="85"/>
  <c r="S32" i="85"/>
  <c r="S33" i="85"/>
  <c r="O13" i="85"/>
  <c r="O19" i="85"/>
  <c r="Q33" i="85"/>
  <c r="M13" i="85"/>
  <c r="M34" i="85"/>
  <c r="I36" i="85"/>
  <c r="M19" i="85"/>
  <c r="E36" i="85"/>
  <c r="P13" i="85"/>
  <c r="P19" i="85"/>
  <c r="N35" i="85"/>
  <c r="N32" i="85"/>
  <c r="N33" i="85"/>
  <c r="O34" i="85"/>
  <c r="Q13" i="85"/>
  <c r="Q19" i="85"/>
  <c r="O35" i="85"/>
  <c r="S13" i="85"/>
  <c r="S19" i="85"/>
  <c r="H36" i="85"/>
  <c r="G36" i="85"/>
  <c r="D36" i="85"/>
  <c r="Q32" i="85"/>
  <c r="F36" i="85"/>
  <c r="N34" i="85"/>
  <c r="I71" i="85"/>
  <c r="I72" i="85"/>
  <c r="Q34" i="85"/>
  <c r="J36" i="85"/>
  <c r="L25" i="85"/>
  <c r="L29" i="85"/>
  <c r="C25" i="85"/>
  <c r="C29" i="85"/>
  <c r="C37" i="85"/>
  <c r="D25" i="85"/>
  <c r="E25" i="85"/>
  <c r="F25" i="85"/>
  <c r="G25" i="85"/>
  <c r="H25" i="85"/>
  <c r="I25" i="85"/>
  <c r="J25" i="85"/>
  <c r="G58" i="85"/>
  <c r="H58" i="85"/>
  <c r="H85" i="85"/>
  <c r="M905" i="72"/>
  <c r="Z691" i="72"/>
  <c r="Z692" i="72"/>
  <c r="O689" i="72"/>
  <c r="P689" i="72"/>
  <c r="Q689" i="72"/>
  <c r="N301" i="72"/>
  <c r="N300" i="72"/>
  <c r="R36" i="85"/>
  <c r="Q36" i="85"/>
  <c r="J29" i="85"/>
  <c r="S25" i="85"/>
  <c r="M36" i="85"/>
  <c r="I29" i="85"/>
  <c r="R25" i="85"/>
  <c r="P36" i="85"/>
  <c r="G29" i="85"/>
  <c r="P25" i="85"/>
  <c r="F29" i="85"/>
  <c r="O25" i="85"/>
  <c r="H29" i="85"/>
  <c r="Q25" i="85"/>
  <c r="E29" i="85"/>
  <c r="N25" i="85"/>
  <c r="O36" i="85"/>
  <c r="N36" i="85"/>
  <c r="D29" i="85"/>
  <c r="M29" i="85"/>
  <c r="M25" i="85"/>
  <c r="N905" i="72"/>
  <c r="O905" i="72"/>
  <c r="R689" i="72"/>
  <c r="O301" i="72"/>
  <c r="O300" i="72"/>
  <c r="N299" i="72"/>
  <c r="O299" i="72"/>
  <c r="P29" i="85"/>
  <c r="G37" i="85"/>
  <c r="N29" i="85"/>
  <c r="E37" i="85"/>
  <c r="J37" i="85"/>
  <c r="Q29" i="85"/>
  <c r="H37" i="85"/>
  <c r="R29" i="85"/>
  <c r="I37" i="85"/>
  <c r="O29" i="85"/>
  <c r="D37" i="85"/>
  <c r="F37" i="85"/>
  <c r="S689" i="72"/>
  <c r="P301" i="72"/>
  <c r="Q301" i="72"/>
  <c r="P300" i="72"/>
  <c r="Q300" i="72"/>
  <c r="P299" i="72"/>
  <c r="Q299" i="72"/>
  <c r="R299" i="72"/>
  <c r="T689" i="72"/>
  <c r="U689" i="72"/>
  <c r="R301" i="72"/>
  <c r="R300" i="72"/>
  <c r="S300" i="72"/>
  <c r="T300" i="72"/>
  <c r="S299" i="72"/>
  <c r="T299" i="72"/>
  <c r="U299" i="72"/>
  <c r="Y299" i="72"/>
  <c r="Z583" i="78"/>
  <c r="Z582" i="78"/>
  <c r="Z581" i="78"/>
  <c r="Z580" i="78"/>
  <c r="Z579" i="78"/>
  <c r="Z578" i="78"/>
  <c r="Z577" i="78"/>
  <c r="Z576" i="78"/>
  <c r="Z575" i="78"/>
  <c r="Z574" i="78"/>
  <c r="Z573" i="78"/>
  <c r="Z572" i="78"/>
  <c r="Z571" i="78"/>
  <c r="T571" i="78"/>
  <c r="V571" i="78"/>
  <c r="T550" i="78"/>
  <c r="T552" i="78"/>
  <c r="U552" i="78"/>
  <c r="T551" i="78"/>
  <c r="T567" i="78"/>
  <c r="T566" i="78"/>
  <c r="Y582" i="78"/>
  <c r="T565" i="78"/>
  <c r="T564" i="78"/>
  <c r="T563" i="78"/>
  <c r="Y579" i="78"/>
  <c r="T562" i="78"/>
  <c r="T561" i="78"/>
  <c r="T560" i="78"/>
  <c r="T559" i="78"/>
  <c r="Y575" i="78"/>
  <c r="T558" i="78"/>
  <c r="T557" i="78"/>
  <c r="Y573" i="78"/>
  <c r="T556" i="78"/>
  <c r="Y572" i="78"/>
  <c r="T555" i="78"/>
  <c r="S566" i="78"/>
  <c r="S565" i="78"/>
  <c r="S564" i="78"/>
  <c r="X580" i="78"/>
  <c r="S563" i="78"/>
  <c r="S562" i="78"/>
  <c r="X578" i="78"/>
  <c r="S561" i="78"/>
  <c r="X577" i="78"/>
  <c r="S560" i="78"/>
  <c r="X576" i="78"/>
  <c r="S559" i="78"/>
  <c r="X575" i="78"/>
  <c r="S558" i="78"/>
  <c r="X574" i="78"/>
  <c r="S557" i="78"/>
  <c r="X573" i="78"/>
  <c r="S556" i="78"/>
  <c r="X572" i="78"/>
  <c r="S555" i="78"/>
  <c r="P110" i="6"/>
  <c r="O110" i="6"/>
  <c r="N110" i="6"/>
  <c r="M110" i="6"/>
  <c r="L110" i="6"/>
  <c r="R566" i="78"/>
  <c r="R567" i="78"/>
  <c r="R568" i="78"/>
  <c r="W582" i="78"/>
  <c r="R564" i="78"/>
  <c r="W580" i="78"/>
  <c r="R562" i="78"/>
  <c r="R561" i="78"/>
  <c r="W577" i="78"/>
  <c r="R560" i="78"/>
  <c r="W576" i="78"/>
  <c r="R559" i="78"/>
  <c r="R558" i="78"/>
  <c r="R557" i="78"/>
  <c r="R556" i="78"/>
  <c r="R555" i="78"/>
  <c r="R565" i="78"/>
  <c r="W581" i="78"/>
  <c r="R563" i="78"/>
  <c r="W579" i="78"/>
  <c r="W578" i="78"/>
  <c r="W574" i="78"/>
  <c r="W573" i="78"/>
  <c r="W572" i="78"/>
  <c r="Q565" i="78"/>
  <c r="X582" i="78"/>
  <c r="V582" i="78"/>
  <c r="Y581" i="78"/>
  <c r="X581" i="78"/>
  <c r="V581" i="78"/>
  <c r="Y580" i="78"/>
  <c r="V580" i="78"/>
  <c r="X579" i="78"/>
  <c r="V579" i="78"/>
  <c r="Y578" i="78"/>
  <c r="V578" i="78"/>
  <c r="Y577" i="78"/>
  <c r="V577" i="78"/>
  <c r="Y576" i="78"/>
  <c r="V576" i="78"/>
  <c r="W575" i="78"/>
  <c r="V575" i="78"/>
  <c r="Y574" i="78"/>
  <c r="V574" i="78"/>
  <c r="V573" i="78"/>
  <c r="V583" i="78"/>
  <c r="V584" i="78"/>
  <c r="V572" i="78"/>
  <c r="Y571" i="78"/>
  <c r="X571" i="78"/>
  <c r="W571" i="78"/>
  <c r="V570" i="78"/>
  <c r="W570" i="78"/>
  <c r="X570" i="78"/>
  <c r="Y570" i="78"/>
  <c r="Q566" i="78"/>
  <c r="Q564" i="78"/>
  <c r="Q563" i="78"/>
  <c r="Q562" i="78"/>
  <c r="Q561" i="78"/>
  <c r="Q560" i="78"/>
  <c r="Q559" i="78"/>
  <c r="Q558" i="78"/>
  <c r="Q557" i="78"/>
  <c r="Q556" i="78"/>
  <c r="Q555" i="78"/>
  <c r="Q570" i="78"/>
  <c r="R570" i="78"/>
  <c r="S570" i="78"/>
  <c r="T570" i="78"/>
  <c r="Q554" i="78"/>
  <c r="R554" i="78"/>
  <c r="S554" i="78"/>
  <c r="T554" i="78"/>
  <c r="Q550" i="78"/>
  <c r="Q552" i="78"/>
  <c r="S550" i="78"/>
  <c r="R550" i="78"/>
  <c r="R552" i="78"/>
  <c r="S552" i="78"/>
  <c r="S551" i="78"/>
  <c r="R551" i="78"/>
  <c r="Q551" i="78"/>
  <c r="P551" i="78"/>
  <c r="Q549" i="78"/>
  <c r="R549" i="78"/>
  <c r="S549" i="78"/>
  <c r="T549" i="78"/>
  <c r="E44" i="16"/>
  <c r="D43" i="16"/>
  <c r="J172" i="24"/>
  <c r="AL518" i="78"/>
  <c r="AN518" i="78"/>
  <c r="AN530" i="78"/>
  <c r="AO530" i="78"/>
  <c r="AO529" i="78"/>
  <c r="AO528" i="78"/>
  <c r="AO527" i="78"/>
  <c r="AO526" i="78"/>
  <c r="AO525" i="78"/>
  <c r="AO524" i="78"/>
  <c r="AO523" i="78"/>
  <c r="AO522" i="78"/>
  <c r="AO521" i="78"/>
  <c r="AO520" i="78"/>
  <c r="AO519" i="78"/>
  <c r="AO518" i="78"/>
  <c r="AN529" i="78"/>
  <c r="AN528" i="78"/>
  <c r="AN527" i="78"/>
  <c r="AN526" i="78"/>
  <c r="AN525" i="78"/>
  <c r="AN524" i="78"/>
  <c r="AN523" i="78"/>
  <c r="AN522" i="78"/>
  <c r="AN521" i="78"/>
  <c r="AN520" i="78"/>
  <c r="AN519" i="78"/>
  <c r="Z545" i="78"/>
  <c r="Z544" i="78"/>
  <c r="Z543" i="78"/>
  <c r="Z542" i="78"/>
  <c r="Z541" i="78"/>
  <c r="Z540" i="78"/>
  <c r="Z539" i="78"/>
  <c r="Z538" i="78"/>
  <c r="Z537" i="78"/>
  <c r="Z536" i="78"/>
  <c r="Z535" i="78"/>
  <c r="Z534" i="78"/>
  <c r="Z533" i="78"/>
  <c r="Y545" i="78"/>
  <c r="Y544" i="78"/>
  <c r="Y543" i="78"/>
  <c r="Y542" i="78"/>
  <c r="Y541" i="78"/>
  <c r="Y540" i="78"/>
  <c r="Y539" i="78"/>
  <c r="Y538" i="78"/>
  <c r="Y537" i="78"/>
  <c r="Y536" i="78"/>
  <c r="Y535" i="78"/>
  <c r="Y534" i="78"/>
  <c r="Y533" i="78"/>
  <c r="X544" i="78"/>
  <c r="X543" i="78"/>
  <c r="X542" i="78"/>
  <c r="X541" i="78"/>
  <c r="X540" i="78"/>
  <c r="X539" i="78"/>
  <c r="X538" i="78"/>
  <c r="X537" i="78"/>
  <c r="X536" i="78"/>
  <c r="X535" i="78"/>
  <c r="X534" i="78"/>
  <c r="X533" i="78"/>
  <c r="V544" i="78"/>
  <c r="V543" i="78"/>
  <c r="V542" i="78"/>
  <c r="V541" i="78"/>
  <c r="V540" i="78"/>
  <c r="V539" i="78"/>
  <c r="V538" i="78"/>
  <c r="V537" i="78"/>
  <c r="V536" i="78"/>
  <c r="V535" i="78"/>
  <c r="V534" i="78"/>
  <c r="V533" i="78"/>
  <c r="T544" i="78"/>
  <c r="T543" i="78"/>
  <c r="T542" i="78"/>
  <c r="T541" i="78"/>
  <c r="T540" i="78"/>
  <c r="T539" i="78"/>
  <c r="T538" i="78"/>
  <c r="T537" i="78"/>
  <c r="T536" i="78"/>
  <c r="T535" i="78"/>
  <c r="T534" i="78"/>
  <c r="T533" i="78"/>
  <c r="R544" i="78"/>
  <c r="R543" i="78"/>
  <c r="R542" i="78"/>
  <c r="R541" i="78"/>
  <c r="R540" i="78"/>
  <c r="R539" i="78"/>
  <c r="R538" i="78"/>
  <c r="R537" i="78"/>
  <c r="R536" i="78"/>
  <c r="R535" i="78"/>
  <c r="R534" i="78"/>
  <c r="R533" i="78"/>
  <c r="V545" i="78"/>
  <c r="P545" i="78"/>
  <c r="P544" i="78"/>
  <c r="P543" i="78"/>
  <c r="P542" i="78"/>
  <c r="P541" i="78"/>
  <c r="P540" i="78"/>
  <c r="P539" i="78"/>
  <c r="P538" i="78"/>
  <c r="P537" i="78"/>
  <c r="P536" i="78"/>
  <c r="P535" i="78"/>
  <c r="P534" i="78"/>
  <c r="P533" i="78"/>
  <c r="AK531" i="78"/>
  <c r="AM529" i="78"/>
  <c r="AL529" i="78"/>
  <c r="AM528" i="78"/>
  <c r="AL528" i="78"/>
  <c r="AM527" i="78"/>
  <c r="AL527" i="78"/>
  <c r="AM526" i="78"/>
  <c r="AL526" i="78"/>
  <c r="AM525" i="78"/>
  <c r="AL525" i="78"/>
  <c r="AM524" i="78"/>
  <c r="AL524" i="78"/>
  <c r="AM523" i="78"/>
  <c r="AL523" i="78"/>
  <c r="AM522" i="78"/>
  <c r="AL522" i="78"/>
  <c r="AM521" i="78"/>
  <c r="AL521" i="78"/>
  <c r="AM520" i="78"/>
  <c r="AL520" i="78"/>
  <c r="AM519" i="78"/>
  <c r="AL519" i="78"/>
  <c r="AM518" i="78"/>
  <c r="AF531" i="78"/>
  <c r="AH529" i="78"/>
  <c r="AG529" i="78"/>
  <c r="AH528" i="78"/>
  <c r="AG528" i="78"/>
  <c r="AH527" i="78"/>
  <c r="AG527" i="78"/>
  <c r="AH526" i="78"/>
  <c r="AG526" i="78"/>
  <c r="AH525" i="78"/>
  <c r="AG525" i="78"/>
  <c r="AH524" i="78"/>
  <c r="AG524" i="78"/>
  <c r="AH523" i="78"/>
  <c r="AG523" i="78"/>
  <c r="AH522" i="78"/>
  <c r="AG522" i="78"/>
  <c r="AH521" i="78"/>
  <c r="AG521" i="78"/>
  <c r="AG530" i="78"/>
  <c r="AH520" i="78"/>
  <c r="AG520" i="78"/>
  <c r="AH519" i="78"/>
  <c r="AH530" i="78"/>
  <c r="AG519" i="78"/>
  <c r="AH518" i="78"/>
  <c r="AG518" i="78"/>
  <c r="AA531" i="78"/>
  <c r="AC529" i="78"/>
  <c r="AB529" i="78"/>
  <c r="AC528" i="78"/>
  <c r="AB528" i="78"/>
  <c r="AC527" i="78"/>
  <c r="AB527" i="78"/>
  <c r="AC526" i="78"/>
  <c r="AB526" i="78"/>
  <c r="AC525" i="78"/>
  <c r="AB525" i="78"/>
  <c r="AC524" i="78"/>
  <c r="AB524" i="78"/>
  <c r="AC523" i="78"/>
  <c r="AB523" i="78"/>
  <c r="AC522" i="78"/>
  <c r="AB522" i="78"/>
  <c r="AB530" i="78"/>
  <c r="AC521" i="78"/>
  <c r="AB521" i="78"/>
  <c r="AC520" i="78"/>
  <c r="AB520" i="78"/>
  <c r="AC519" i="78"/>
  <c r="AB519" i="78"/>
  <c r="AC518" i="78"/>
  <c r="AC530" i="78"/>
  <c r="AB518" i="78"/>
  <c r="X529" i="78"/>
  <c r="W529" i="78"/>
  <c r="X528" i="78"/>
  <c r="W528" i="78"/>
  <c r="X527" i="78"/>
  <c r="W527" i="78"/>
  <c r="X526" i="78"/>
  <c r="W526" i="78"/>
  <c r="X525" i="78"/>
  <c r="W525" i="78"/>
  <c r="X524" i="78"/>
  <c r="W524" i="78"/>
  <c r="X523" i="78"/>
  <c r="W523" i="78"/>
  <c r="X522" i="78"/>
  <c r="W522" i="78"/>
  <c r="W530" i="78"/>
  <c r="X521" i="78"/>
  <c r="W521" i="78"/>
  <c r="X520" i="78"/>
  <c r="W520" i="78"/>
  <c r="X519" i="78"/>
  <c r="W519" i="78"/>
  <c r="X518" i="78"/>
  <c r="X530" i="78"/>
  <c r="W518" i="78"/>
  <c r="V531" i="78"/>
  <c r="S529" i="78"/>
  <c r="S528" i="78"/>
  <c r="S527" i="78"/>
  <c r="S526" i="78"/>
  <c r="S525" i="78"/>
  <c r="S524" i="78"/>
  <c r="S523" i="78"/>
  <c r="S522" i="78"/>
  <c r="S530" i="78"/>
  <c r="S521" i="78"/>
  <c r="S520" i="78"/>
  <c r="S519" i="78"/>
  <c r="S518" i="78"/>
  <c r="R530" i="78"/>
  <c r="R529" i="78"/>
  <c r="R528" i="78"/>
  <c r="R527" i="78"/>
  <c r="R526" i="78"/>
  <c r="R525" i="78"/>
  <c r="R524" i="78"/>
  <c r="R523" i="78"/>
  <c r="R522" i="78"/>
  <c r="R521" i="78"/>
  <c r="R520" i="78"/>
  <c r="R519" i="78"/>
  <c r="R518" i="78"/>
  <c r="Q531" i="78"/>
  <c r="Q518" i="78"/>
  <c r="Q530" i="78"/>
  <c r="AK530" i="78"/>
  <c r="AJ530" i="78"/>
  <c r="AF530" i="78"/>
  <c r="AE530" i="78"/>
  <c r="AA530" i="78"/>
  <c r="Z530" i="78"/>
  <c r="V530" i="78"/>
  <c r="U530" i="78"/>
  <c r="P530" i="78"/>
  <c r="AB511" i="78"/>
  <c r="AC510" i="78"/>
  <c r="Y511" i="78"/>
  <c r="Z506" i="78"/>
  <c r="V511" i="78"/>
  <c r="W510" i="78"/>
  <c r="S511" i="78"/>
  <c r="T505" i="78"/>
  <c r="P511" i="78"/>
  <c r="Q509" i="78"/>
  <c r="M5" i="78"/>
  <c r="J6" i="78"/>
  <c r="K76" i="78"/>
  <c r="J76" i="78"/>
  <c r="K75" i="78"/>
  <c r="J75" i="78"/>
  <c r="K74" i="78"/>
  <c r="J74" i="78"/>
  <c r="K73" i="78"/>
  <c r="J73" i="78"/>
  <c r="K72" i="78"/>
  <c r="J72" i="78"/>
  <c r="K71" i="78"/>
  <c r="J71" i="78"/>
  <c r="K70" i="78"/>
  <c r="J70" i="78"/>
  <c r="K69" i="78"/>
  <c r="J69" i="78"/>
  <c r="K68" i="78"/>
  <c r="J68" i="78"/>
  <c r="K67" i="78"/>
  <c r="J67" i="78"/>
  <c r="K66" i="78"/>
  <c r="J66" i="78"/>
  <c r="K65" i="78"/>
  <c r="J65" i="78"/>
  <c r="K64" i="78"/>
  <c r="J64" i="78"/>
  <c r="K63" i="78"/>
  <c r="J63" i="78"/>
  <c r="K62" i="78"/>
  <c r="J62" i="78"/>
  <c r="K61" i="78"/>
  <c r="J61" i="78"/>
  <c r="K60" i="78"/>
  <c r="J60" i="78"/>
  <c r="K59" i="78"/>
  <c r="J59" i="78"/>
  <c r="K58" i="78"/>
  <c r="J58" i="78"/>
  <c r="K57" i="78"/>
  <c r="J57" i="78"/>
  <c r="K56" i="78"/>
  <c r="J56" i="78"/>
  <c r="K55" i="78"/>
  <c r="J55" i="78"/>
  <c r="K54" i="78"/>
  <c r="J54" i="78"/>
  <c r="K53" i="78"/>
  <c r="J53" i="78"/>
  <c r="K52" i="78"/>
  <c r="J52" i="78"/>
  <c r="K51" i="78"/>
  <c r="J51" i="78"/>
  <c r="K50" i="78"/>
  <c r="J50" i="78"/>
  <c r="K48" i="78"/>
  <c r="J48" i="78"/>
  <c r="K47" i="78"/>
  <c r="J47" i="78"/>
  <c r="K46" i="78"/>
  <c r="J46" i="78"/>
  <c r="K45" i="78"/>
  <c r="J45" i="78"/>
  <c r="K44" i="78"/>
  <c r="J44" i="78"/>
  <c r="K43" i="78"/>
  <c r="J43" i="78"/>
  <c r="K42" i="78"/>
  <c r="J42" i="78"/>
  <c r="K41" i="78"/>
  <c r="J41" i="78"/>
  <c r="K40" i="78"/>
  <c r="J40" i="78"/>
  <c r="K39" i="78"/>
  <c r="J39" i="78"/>
  <c r="K38" i="78"/>
  <c r="J38" i="78"/>
  <c r="K37" i="78"/>
  <c r="J37" i="78"/>
  <c r="K36" i="78"/>
  <c r="J36" i="78"/>
  <c r="K35" i="78"/>
  <c r="J35" i="78"/>
  <c r="K34" i="78"/>
  <c r="J34" i="78"/>
  <c r="K33" i="78"/>
  <c r="J33" i="78"/>
  <c r="K32" i="78"/>
  <c r="J32" i="78"/>
  <c r="K31" i="78"/>
  <c r="J31" i="78"/>
  <c r="K30" i="78"/>
  <c r="J30" i="78"/>
  <c r="K29" i="78"/>
  <c r="J29" i="78"/>
  <c r="K28" i="78"/>
  <c r="J28" i="78"/>
  <c r="K27" i="78"/>
  <c r="J27" i="78"/>
  <c r="K26" i="78"/>
  <c r="J26" i="78"/>
  <c r="K25" i="78"/>
  <c r="J25" i="78"/>
  <c r="K24" i="78"/>
  <c r="J24" i="78"/>
  <c r="K23" i="78"/>
  <c r="J23" i="78"/>
  <c r="K22" i="78"/>
  <c r="J22" i="78"/>
  <c r="K21" i="78"/>
  <c r="J21" i="78"/>
  <c r="K20" i="78"/>
  <c r="J20" i="78"/>
  <c r="K19" i="78"/>
  <c r="J19" i="78"/>
  <c r="K18" i="78"/>
  <c r="J18" i="78"/>
  <c r="K17" i="78"/>
  <c r="J17" i="78"/>
  <c r="K16" i="78"/>
  <c r="J16" i="78"/>
  <c r="K15" i="78"/>
  <c r="J15" i="78"/>
  <c r="K14" i="78"/>
  <c r="J14" i="78"/>
  <c r="K13" i="78"/>
  <c r="J13" i="78"/>
  <c r="K12" i="78"/>
  <c r="J12" i="78"/>
  <c r="K11" i="78"/>
  <c r="J11" i="78"/>
  <c r="K10" i="78"/>
  <c r="J10" i="78"/>
  <c r="K9" i="78"/>
  <c r="J9" i="78"/>
  <c r="K8" i="78"/>
  <c r="J8" i="78"/>
  <c r="K7" i="78"/>
  <c r="J7" i="78"/>
  <c r="K6" i="78"/>
  <c r="K49" i="78"/>
  <c r="J49" i="78"/>
  <c r="BU487" i="78"/>
  <c r="BU489" i="78"/>
  <c r="BT487" i="78"/>
  <c r="BT489" i="78"/>
  <c r="BS487" i="78"/>
  <c r="BS489" i="78"/>
  <c r="BR487" i="78"/>
  <c r="BR489" i="78"/>
  <c r="BQ487" i="78"/>
  <c r="BQ489" i="78"/>
  <c r="BP487" i="78"/>
  <c r="BP489" i="78"/>
  <c r="BO487" i="78"/>
  <c r="BO489" i="78"/>
  <c r="BN487" i="78"/>
  <c r="BN489" i="78"/>
  <c r="BM487" i="78"/>
  <c r="BM489" i="78"/>
  <c r="BL487" i="78"/>
  <c r="BL489" i="78"/>
  <c r="BK487" i="78"/>
  <c r="BK489" i="78"/>
  <c r="BJ487" i="78"/>
  <c r="BJ489" i="78"/>
  <c r="BI487" i="78"/>
  <c r="BI489" i="78"/>
  <c r="BH487" i="78"/>
  <c r="BH489" i="78"/>
  <c r="BG487" i="78"/>
  <c r="BG489" i="78"/>
  <c r="BF487" i="78"/>
  <c r="BF489" i="78"/>
  <c r="BE487" i="78"/>
  <c r="BE489" i="78"/>
  <c r="BD487" i="78"/>
  <c r="BD489" i="78"/>
  <c r="BC487" i="78"/>
  <c r="BC489" i="78"/>
  <c r="BB487" i="78"/>
  <c r="BB489" i="78"/>
  <c r="BA487" i="78"/>
  <c r="BA489" i="78"/>
  <c r="AZ487" i="78"/>
  <c r="AZ489" i="78"/>
  <c r="AY487" i="78"/>
  <c r="AY489" i="78"/>
  <c r="AX487" i="78"/>
  <c r="AX489" i="78"/>
  <c r="AW487" i="78"/>
  <c r="AW489" i="78"/>
  <c r="AV487" i="78"/>
  <c r="AV489" i="78"/>
  <c r="AU487" i="78"/>
  <c r="AU489" i="78"/>
  <c r="AT487" i="78"/>
  <c r="AT489" i="78"/>
  <c r="AS487" i="78"/>
  <c r="AS489" i="78"/>
  <c r="AR487" i="78"/>
  <c r="AR489" i="78"/>
  <c r="AQ487" i="78"/>
  <c r="AQ489" i="78"/>
  <c r="AP487" i="78"/>
  <c r="AP489" i="78"/>
  <c r="AO487" i="78"/>
  <c r="AO489" i="78"/>
  <c r="AN487" i="78"/>
  <c r="AN489" i="78"/>
  <c r="AM487" i="78"/>
  <c r="AM489" i="78"/>
  <c r="AL487" i="78"/>
  <c r="AL489" i="78"/>
  <c r="AK487" i="78"/>
  <c r="AK489" i="78"/>
  <c r="AJ487" i="78"/>
  <c r="AJ489" i="78"/>
  <c r="AI487" i="78"/>
  <c r="AI489" i="78"/>
  <c r="AH487" i="78"/>
  <c r="AH489" i="78"/>
  <c r="AG487" i="78"/>
  <c r="AG489" i="78"/>
  <c r="AF487" i="78"/>
  <c r="AF489" i="78"/>
  <c r="AE487" i="78"/>
  <c r="AE489" i="78"/>
  <c r="AD487" i="78"/>
  <c r="AD489" i="78"/>
  <c r="AC487" i="78"/>
  <c r="AC489" i="78"/>
  <c r="AB487" i="78"/>
  <c r="AB489" i="78"/>
  <c r="AA487" i="78"/>
  <c r="AA489" i="78"/>
  <c r="Z487" i="78"/>
  <c r="Z489" i="78"/>
  <c r="Y487" i="78"/>
  <c r="Y489" i="78"/>
  <c r="X487" i="78"/>
  <c r="X489" i="78"/>
  <c r="W487" i="78"/>
  <c r="W489" i="78"/>
  <c r="V487" i="78"/>
  <c r="V489" i="78"/>
  <c r="U487" i="78"/>
  <c r="U489" i="78"/>
  <c r="T487" i="78"/>
  <c r="T489" i="78"/>
  <c r="S487" i="78"/>
  <c r="S489" i="78"/>
  <c r="R487" i="78"/>
  <c r="R489" i="78"/>
  <c r="Q487" i="78"/>
  <c r="Q489" i="78"/>
  <c r="P487" i="78"/>
  <c r="P489" i="78"/>
  <c r="O487" i="78"/>
  <c r="O489" i="78"/>
  <c r="V689" i="72"/>
  <c r="W689" i="72"/>
  <c r="S301" i="72"/>
  <c r="T301" i="72"/>
  <c r="U301" i="72"/>
  <c r="Y301" i="72"/>
  <c r="U300" i="72"/>
  <c r="Y300" i="72"/>
  <c r="T572" i="78"/>
  <c r="Y583" i="78"/>
  <c r="Y584" i="78"/>
  <c r="S567" i="78"/>
  <c r="S579" i="78"/>
  <c r="X583" i="78"/>
  <c r="X584" i="78"/>
  <c r="W583" i="78"/>
  <c r="W584" i="78"/>
  <c r="Q567" i="78"/>
  <c r="Q568" i="78"/>
  <c r="X545" i="78"/>
  <c r="T545" i="78"/>
  <c r="R545" i="78"/>
  <c r="AL530" i="78"/>
  <c r="AM530" i="78"/>
  <c r="AT492" i="78"/>
  <c r="AT491" i="78"/>
  <c r="P492" i="78"/>
  <c r="P491" i="78"/>
  <c r="AU492" i="78"/>
  <c r="AU491" i="78"/>
  <c r="V492" i="78"/>
  <c r="V491" i="78"/>
  <c r="BB492" i="78"/>
  <c r="BB491" i="78"/>
  <c r="W492" i="78"/>
  <c r="W491" i="78"/>
  <c r="BC492" i="78"/>
  <c r="BC491" i="78"/>
  <c r="AD492" i="78"/>
  <c r="AD491" i="78"/>
  <c r="BJ492" i="78"/>
  <c r="BJ491" i="78"/>
  <c r="AE492" i="78"/>
  <c r="AE491" i="78"/>
  <c r="BK492" i="78"/>
  <c r="BK491" i="78"/>
  <c r="AL492" i="78"/>
  <c r="AL491" i="78"/>
  <c r="BR492" i="78"/>
  <c r="BR491" i="78"/>
  <c r="AM492" i="78"/>
  <c r="AM491" i="78"/>
  <c r="BS492" i="78"/>
  <c r="BS491" i="78"/>
  <c r="O492" i="78"/>
  <c r="O493" i="78"/>
  <c r="X492" i="78"/>
  <c r="AF492" i="78"/>
  <c r="AN492" i="78"/>
  <c r="AN491" i="78"/>
  <c r="AV492" i="78"/>
  <c r="AV491" i="78"/>
  <c r="BD492" i="78"/>
  <c r="BD491" i="78"/>
  <c r="BL492" i="78"/>
  <c r="BL491" i="78"/>
  <c r="BT492" i="78"/>
  <c r="BT491" i="78"/>
  <c r="Q492" i="78"/>
  <c r="Q491" i="78"/>
  <c r="Y492" i="78"/>
  <c r="Y491" i="78"/>
  <c r="AG492" i="78"/>
  <c r="AG491" i="78"/>
  <c r="AO492" i="78"/>
  <c r="AO491" i="78"/>
  <c r="AW492" i="78"/>
  <c r="AW491" i="78"/>
  <c r="BE492" i="78"/>
  <c r="BE491" i="78"/>
  <c r="BM492" i="78"/>
  <c r="BM491" i="78"/>
  <c r="BU492" i="78"/>
  <c r="BU491" i="78"/>
  <c r="R492" i="78"/>
  <c r="R491" i="78"/>
  <c r="Z492" i="78"/>
  <c r="Z491" i="78"/>
  <c r="AH492" i="78"/>
  <c r="AH491" i="78"/>
  <c r="AP492" i="78"/>
  <c r="AP491" i="78"/>
  <c r="AX492" i="78"/>
  <c r="AX491" i="78"/>
  <c r="BF492" i="78"/>
  <c r="BF491" i="78"/>
  <c r="BN492" i="78"/>
  <c r="BN491" i="78"/>
  <c r="S492" i="78"/>
  <c r="S491" i="78"/>
  <c r="AA492" i="78"/>
  <c r="AA491" i="78"/>
  <c r="AI492" i="78"/>
  <c r="AI491" i="78"/>
  <c r="AQ492" i="78"/>
  <c r="AQ491" i="78"/>
  <c r="AY492" i="78"/>
  <c r="AY491" i="78"/>
  <c r="BG492" i="78"/>
  <c r="BG491" i="78"/>
  <c r="BO492" i="78"/>
  <c r="BO491" i="78"/>
  <c r="T492" i="78"/>
  <c r="T491" i="78"/>
  <c r="AB492" i="78"/>
  <c r="AB491" i="78"/>
  <c r="AJ492" i="78"/>
  <c r="AJ491" i="78"/>
  <c r="AR492" i="78"/>
  <c r="AR491" i="78"/>
  <c r="AZ492" i="78"/>
  <c r="AZ491" i="78"/>
  <c r="BH492" i="78"/>
  <c r="BH491" i="78"/>
  <c r="BP492" i="78"/>
  <c r="BP491" i="78"/>
  <c r="U492" i="78"/>
  <c r="U491" i="78"/>
  <c r="AC492" i="78"/>
  <c r="AC491" i="78"/>
  <c r="AK492" i="78"/>
  <c r="AK491" i="78"/>
  <c r="AS492" i="78"/>
  <c r="AS491" i="78"/>
  <c r="BA492" i="78"/>
  <c r="BA491" i="78"/>
  <c r="BI492" i="78"/>
  <c r="BQ492" i="78"/>
  <c r="AW493" i="78"/>
  <c r="BR493" i="78"/>
  <c r="T506" i="78"/>
  <c r="Q502" i="78"/>
  <c r="Q510" i="78"/>
  <c r="Q503" i="78"/>
  <c r="Q505" i="78"/>
  <c r="AC503" i="78"/>
  <c r="P513" i="78"/>
  <c r="P514" i="78"/>
  <c r="Q504" i="78"/>
  <c r="Q506" i="78"/>
  <c r="AC504" i="78"/>
  <c r="S513" i="78"/>
  <c r="S514" i="78"/>
  <c r="Q499" i="78"/>
  <c r="Q507" i="78"/>
  <c r="AC505" i="78"/>
  <c r="V513" i="78"/>
  <c r="V514" i="78"/>
  <c r="Q500" i="78"/>
  <c r="Q508" i="78"/>
  <c r="Y513" i="78"/>
  <c r="Y514" i="78"/>
  <c r="Q501" i="78"/>
  <c r="AB513" i="78"/>
  <c r="AB514" i="78"/>
  <c r="AC506" i="78"/>
  <c r="AC499" i="78"/>
  <c r="AC507" i="78"/>
  <c r="AC500" i="78"/>
  <c r="AC508" i="78"/>
  <c r="AC501" i="78"/>
  <c r="AC509" i="78"/>
  <c r="AC502" i="78"/>
  <c r="Z507" i="78"/>
  <c r="Z500" i="78"/>
  <c r="Z508" i="78"/>
  <c r="Z501" i="78"/>
  <c r="Z509" i="78"/>
  <c r="Z502" i="78"/>
  <c r="Z510" i="78"/>
  <c r="Z503" i="78"/>
  <c r="Z504" i="78"/>
  <c r="Z505" i="78"/>
  <c r="Z499" i="78"/>
  <c r="W503" i="78"/>
  <c r="W504" i="78"/>
  <c r="W505" i="78"/>
  <c r="W506" i="78"/>
  <c r="W499" i="78"/>
  <c r="W507" i="78"/>
  <c r="W500" i="78"/>
  <c r="W508" i="78"/>
  <c r="W501" i="78"/>
  <c r="W509" i="78"/>
  <c r="W502" i="78"/>
  <c r="T499" i="78"/>
  <c r="T507" i="78"/>
  <c r="T500" i="78"/>
  <c r="T508" i="78"/>
  <c r="T501" i="78"/>
  <c r="T509" i="78"/>
  <c r="T502" i="78"/>
  <c r="T510" i="78"/>
  <c r="T503" i="78"/>
  <c r="T504" i="78"/>
  <c r="BV487" i="78"/>
  <c r="Y689" i="72"/>
  <c r="T582" i="78"/>
  <c r="T573" i="78"/>
  <c r="T581" i="78"/>
  <c r="T575" i="78"/>
  <c r="T580" i="78"/>
  <c r="T574" i="78"/>
  <c r="T579" i="78"/>
  <c r="T578" i="78"/>
  <c r="T576" i="78"/>
  <c r="T577" i="78"/>
  <c r="T568" i="78"/>
  <c r="S582" i="78"/>
  <c r="S578" i="78"/>
  <c r="S574" i="78"/>
  <c r="S575" i="78"/>
  <c r="S576" i="78"/>
  <c r="S580" i="78"/>
  <c r="S581" i="78"/>
  <c r="S577" i="78"/>
  <c r="S572" i="78"/>
  <c r="S573" i="78"/>
  <c r="S571" i="78"/>
  <c r="S568" i="78"/>
  <c r="R582" i="78"/>
  <c r="R581" i="78"/>
  <c r="R579" i="78"/>
  <c r="R576" i="78"/>
  <c r="R573" i="78"/>
  <c r="R578" i="78"/>
  <c r="R574" i="78"/>
  <c r="R575" i="78"/>
  <c r="R580" i="78"/>
  <c r="R572" i="78"/>
  <c r="R577" i="78"/>
  <c r="R571" i="78"/>
  <c r="Q580" i="78"/>
  <c r="Q572" i="78"/>
  <c r="Q579" i="78"/>
  <c r="Q578" i="78"/>
  <c r="Q577" i="78"/>
  <c r="Q581" i="78"/>
  <c r="Q576" i="78"/>
  <c r="Q573" i="78"/>
  <c r="Q575" i="78"/>
  <c r="Q582" i="78"/>
  <c r="Q574" i="78"/>
  <c r="Q571" i="78"/>
  <c r="BF493" i="78"/>
  <c r="BP493" i="78"/>
  <c r="AT493" i="78"/>
  <c r="Y493" i="78"/>
  <c r="U493" i="78"/>
  <c r="BB493" i="78"/>
  <c r="AP493" i="78"/>
  <c r="AU493" i="78"/>
  <c r="BK493" i="78"/>
  <c r="AY493" i="78"/>
  <c r="AO493" i="78"/>
  <c r="AJ493" i="78"/>
  <c r="W493" i="78"/>
  <c r="V493" i="78"/>
  <c r="BC493" i="78"/>
  <c r="BS493" i="78"/>
  <c r="AA493" i="78"/>
  <c r="R493" i="78"/>
  <c r="S493" i="78"/>
  <c r="AM493" i="78"/>
  <c r="AQ493" i="78"/>
  <c r="AH493" i="78"/>
  <c r="AX493" i="78"/>
  <c r="AE493" i="78"/>
  <c r="AZ493" i="78"/>
  <c r="P493" i="78"/>
  <c r="AL493" i="78"/>
  <c r="BJ493" i="78"/>
  <c r="AV493" i="78"/>
  <c r="Z493" i="78"/>
  <c r="AD493" i="78"/>
  <c r="AS493" i="78"/>
  <c r="BA493" i="78"/>
  <c r="AG493" i="78"/>
  <c r="AR493" i="78"/>
  <c r="AI493" i="78"/>
  <c r="Q493" i="78"/>
  <c r="BM493" i="78"/>
  <c r="AK493" i="78"/>
  <c r="AB493" i="78"/>
  <c r="AC493" i="78"/>
  <c r="T493" i="78"/>
  <c r="BH493" i="78"/>
  <c r="BN493" i="78"/>
  <c r="AN493" i="78"/>
  <c r="BQ493" i="78"/>
  <c r="BQ491" i="78"/>
  <c r="BT493" i="78"/>
  <c r="BI493" i="78"/>
  <c r="BI491" i="78"/>
  <c r="AF493" i="78"/>
  <c r="AF491" i="78"/>
  <c r="BE493" i="78"/>
  <c r="BO493" i="78"/>
  <c r="BL493" i="78"/>
  <c r="X493" i="78"/>
  <c r="X491" i="78"/>
  <c r="BV489" i="78"/>
  <c r="BV492" i="78"/>
  <c r="BV491" i="78"/>
  <c r="BU493" i="78"/>
  <c r="BG493" i="78"/>
  <c r="BD493" i="78"/>
  <c r="AD510" i="78"/>
  <c r="AD506" i="78"/>
  <c r="T511" i="78"/>
  <c r="AD502" i="78"/>
  <c r="AD499" i="78"/>
  <c r="AD500" i="78"/>
  <c r="W511" i="78"/>
  <c r="Z511" i="78"/>
  <c r="AD507" i="78"/>
  <c r="AD505" i="78"/>
  <c r="Q511" i="78"/>
  <c r="AD503" i="78"/>
  <c r="AD509" i="78"/>
  <c r="AD501" i="78"/>
  <c r="AD504" i="78"/>
  <c r="AD508" i="78"/>
  <c r="AC511" i="78"/>
  <c r="L371" i="78"/>
  <c r="L370" i="78"/>
  <c r="L369" i="78"/>
  <c r="L368" i="78"/>
  <c r="L367" i="78"/>
  <c r="L366" i="78"/>
  <c r="L365" i="78"/>
  <c r="L364" i="78"/>
  <c r="L363" i="78"/>
  <c r="L362" i="78"/>
  <c r="L361" i="78"/>
  <c r="L360" i="78"/>
  <c r="L359" i="78"/>
  <c r="L358" i="78"/>
  <c r="L357" i="78"/>
  <c r="L356" i="78"/>
  <c r="L355" i="78"/>
  <c r="L354" i="78"/>
  <c r="L353" i="78"/>
  <c r="L352" i="78"/>
  <c r="L351" i="78"/>
  <c r="L350" i="78"/>
  <c r="L349" i="78"/>
  <c r="L348" i="78"/>
  <c r="L347" i="78"/>
  <c r="L346" i="78"/>
  <c r="L345" i="78"/>
  <c r="L344" i="78"/>
  <c r="L343" i="78"/>
  <c r="L342" i="78"/>
  <c r="L341" i="78"/>
  <c r="L340" i="78"/>
  <c r="L339" i="78"/>
  <c r="L338" i="78"/>
  <c r="L337" i="78"/>
  <c r="L336" i="78"/>
  <c r="L335" i="78"/>
  <c r="L334" i="78"/>
  <c r="L333" i="78"/>
  <c r="L332" i="78"/>
  <c r="L331" i="78"/>
  <c r="L330" i="78"/>
  <c r="L329" i="78"/>
  <c r="L328" i="78"/>
  <c r="L327" i="78"/>
  <c r="L326" i="78"/>
  <c r="L325" i="78"/>
  <c r="L324" i="78"/>
  <c r="L323" i="78"/>
  <c r="L322" i="78"/>
  <c r="L321" i="78"/>
  <c r="L320" i="78"/>
  <c r="L319" i="78"/>
  <c r="L318" i="78"/>
  <c r="L317" i="78"/>
  <c r="L316" i="78"/>
  <c r="L315" i="78"/>
  <c r="L314" i="78"/>
  <c r="L313" i="78"/>
  <c r="L312" i="78"/>
  <c r="L311" i="78"/>
  <c r="L310" i="78"/>
  <c r="L309" i="78"/>
  <c r="L308" i="78"/>
  <c r="L307" i="78"/>
  <c r="L306" i="78"/>
  <c r="L305" i="78"/>
  <c r="L304" i="78"/>
  <c r="L303" i="78"/>
  <c r="L302" i="78"/>
  <c r="L301" i="78"/>
  <c r="L300" i="78"/>
  <c r="L299" i="78"/>
  <c r="L298" i="78"/>
  <c r="L297" i="78"/>
  <c r="L296" i="78"/>
  <c r="L295" i="78"/>
  <c r="L294" i="78"/>
  <c r="L293" i="78"/>
  <c r="L292" i="78"/>
  <c r="L291" i="78"/>
  <c r="L290" i="78"/>
  <c r="L289" i="78"/>
  <c r="L288" i="78"/>
  <c r="L287" i="78"/>
  <c r="L286" i="78"/>
  <c r="L285" i="78"/>
  <c r="L284" i="78"/>
  <c r="L283" i="78"/>
  <c r="L282" i="78"/>
  <c r="L281" i="78"/>
  <c r="L280" i="78"/>
  <c r="L279" i="78"/>
  <c r="L278" i="78"/>
  <c r="L277" i="78"/>
  <c r="L276" i="78"/>
  <c r="L275" i="78"/>
  <c r="L274" i="78"/>
  <c r="L273" i="78"/>
  <c r="L272" i="78"/>
  <c r="L271" i="78"/>
  <c r="L270" i="78"/>
  <c r="L269" i="78"/>
  <c r="L268" i="78"/>
  <c r="L267" i="78"/>
  <c r="L266" i="78"/>
  <c r="L265" i="78"/>
  <c r="L264" i="78"/>
  <c r="L263" i="78"/>
  <c r="L262" i="78"/>
  <c r="L261" i="78"/>
  <c r="L260" i="78"/>
  <c r="L259" i="78"/>
  <c r="L258" i="78"/>
  <c r="L257" i="78"/>
  <c r="L256" i="78"/>
  <c r="L255" i="78"/>
  <c r="L254" i="78"/>
  <c r="L253" i="78"/>
  <c r="L252" i="78"/>
  <c r="L251" i="78"/>
  <c r="L250" i="78"/>
  <c r="L249" i="78"/>
  <c r="L248" i="78"/>
  <c r="L247" i="78"/>
  <c r="L246" i="78"/>
  <c r="L245" i="78"/>
  <c r="L244" i="78"/>
  <c r="L243" i="78"/>
  <c r="L242" i="78"/>
  <c r="L241" i="78"/>
  <c r="L240" i="78"/>
  <c r="L239" i="78"/>
  <c r="L238" i="78"/>
  <c r="L237" i="78"/>
  <c r="L236" i="78"/>
  <c r="L235" i="78"/>
  <c r="L234" i="78"/>
  <c r="L233" i="78"/>
  <c r="L232" i="78"/>
  <c r="L231" i="78"/>
  <c r="L230" i="78"/>
  <c r="L229" i="78"/>
  <c r="L228" i="78"/>
  <c r="L227" i="78"/>
  <c r="L226" i="78"/>
  <c r="L225" i="78"/>
  <c r="L224" i="78"/>
  <c r="L223" i="78"/>
  <c r="L222" i="78"/>
  <c r="L221" i="78"/>
  <c r="L220" i="78"/>
  <c r="L219" i="78"/>
  <c r="L218" i="78"/>
  <c r="L217" i="78"/>
  <c r="L216" i="78"/>
  <c r="L215" i="78"/>
  <c r="L214" i="78"/>
  <c r="L213" i="78"/>
  <c r="L212" i="78"/>
  <c r="L211" i="78"/>
  <c r="L210" i="78"/>
  <c r="L209" i="78"/>
  <c r="L208" i="78"/>
  <c r="L207" i="78"/>
  <c r="L206" i="78"/>
  <c r="L205" i="78"/>
  <c r="L204" i="78"/>
  <c r="L203" i="78"/>
  <c r="L202" i="78"/>
  <c r="L201" i="78"/>
  <c r="L200" i="78"/>
  <c r="L199" i="78"/>
  <c r="L198" i="78"/>
  <c r="L197" i="78"/>
  <c r="L196" i="78"/>
  <c r="L195" i="78"/>
  <c r="L194" i="78"/>
  <c r="L193" i="78"/>
  <c r="L192" i="78"/>
  <c r="L191" i="78"/>
  <c r="L190" i="78"/>
  <c r="L189" i="78"/>
  <c r="L188" i="78"/>
  <c r="L187" i="78"/>
  <c r="L186" i="78"/>
  <c r="L185" i="78"/>
  <c r="L184" i="78"/>
  <c r="L183" i="78"/>
  <c r="L182" i="78"/>
  <c r="L181" i="78"/>
  <c r="L180" i="78"/>
  <c r="L179" i="78"/>
  <c r="L178" i="78"/>
  <c r="L177" i="78"/>
  <c r="L176" i="78"/>
  <c r="L175" i="78"/>
  <c r="L174" i="78"/>
  <c r="L173" i="78"/>
  <c r="L172" i="78"/>
  <c r="L171" i="78"/>
  <c r="L170" i="78"/>
  <c r="L169" i="78"/>
  <c r="L168" i="78"/>
  <c r="L167" i="78"/>
  <c r="L166" i="78"/>
  <c r="L165" i="78"/>
  <c r="L164" i="78"/>
  <c r="L163" i="78"/>
  <c r="L162" i="78"/>
  <c r="L161" i="78"/>
  <c r="L160" i="78"/>
  <c r="L159" i="78"/>
  <c r="L158" i="78"/>
  <c r="L157" i="78"/>
  <c r="L156" i="78"/>
  <c r="L155" i="78"/>
  <c r="L154" i="78"/>
  <c r="L153" i="78"/>
  <c r="L152" i="78"/>
  <c r="L151" i="78"/>
  <c r="L150" i="78"/>
  <c r="L149" i="78"/>
  <c r="L148" i="78"/>
  <c r="L147" i="78"/>
  <c r="L146" i="78"/>
  <c r="L145" i="78"/>
  <c r="L144" i="78"/>
  <c r="L143" i="78"/>
  <c r="L142" i="78"/>
  <c r="L141" i="78"/>
  <c r="L140" i="78"/>
  <c r="L139" i="78"/>
  <c r="L138" i="78"/>
  <c r="L137" i="78"/>
  <c r="L136" i="78"/>
  <c r="L135" i="78"/>
  <c r="L134" i="78"/>
  <c r="L133" i="78"/>
  <c r="L132" i="78"/>
  <c r="L131" i="78"/>
  <c r="L130" i="78"/>
  <c r="L129" i="78"/>
  <c r="L128" i="78"/>
  <c r="L127" i="78"/>
  <c r="L126" i="78"/>
  <c r="L125" i="78"/>
  <c r="L124" i="78"/>
  <c r="L123" i="78"/>
  <c r="L122" i="78"/>
  <c r="L121" i="78"/>
  <c r="L120" i="78"/>
  <c r="L119" i="78"/>
  <c r="L118" i="78"/>
  <c r="L117" i="78"/>
  <c r="L116" i="78"/>
  <c r="L115" i="78"/>
  <c r="L114" i="78"/>
  <c r="L113" i="78"/>
  <c r="L112" i="78"/>
  <c r="L111" i="78"/>
  <c r="L110" i="78"/>
  <c r="L109" i="78"/>
  <c r="L108" i="78"/>
  <c r="L107" i="78"/>
  <c r="L106" i="78"/>
  <c r="L105" i="78"/>
  <c r="L104" i="78"/>
  <c r="L103" i="78"/>
  <c r="L102" i="78"/>
  <c r="L101" i="78"/>
  <c r="L100" i="78"/>
  <c r="L99" i="78"/>
  <c r="L98" i="78"/>
  <c r="L97" i="78"/>
  <c r="L96" i="78"/>
  <c r="L95" i="78"/>
  <c r="L94" i="78"/>
  <c r="L93" i="78"/>
  <c r="L92" i="78"/>
  <c r="L91" i="78"/>
  <c r="L90" i="78"/>
  <c r="L89" i="78"/>
  <c r="L88" i="78"/>
  <c r="L87" i="78"/>
  <c r="L86" i="78"/>
  <c r="L85" i="78"/>
  <c r="L84" i="78"/>
  <c r="L83" i="78"/>
  <c r="L82" i="78"/>
  <c r="L81" i="78"/>
  <c r="L80" i="78"/>
  <c r="L79" i="78"/>
  <c r="L78" i="78"/>
  <c r="L77" i="78"/>
  <c r="L76" i="78"/>
  <c r="L75" i="78"/>
  <c r="L74" i="78"/>
  <c r="L73" i="78"/>
  <c r="L72" i="78"/>
  <c r="L71" i="78"/>
  <c r="L70" i="78"/>
  <c r="L69" i="78"/>
  <c r="L68" i="78"/>
  <c r="L67" i="78"/>
  <c r="L66" i="78"/>
  <c r="L65" i="78"/>
  <c r="L64" i="78"/>
  <c r="L63" i="78"/>
  <c r="L62" i="78"/>
  <c r="L61" i="78"/>
  <c r="L60" i="78"/>
  <c r="L59" i="78"/>
  <c r="L58" i="78"/>
  <c r="L57" i="78"/>
  <c r="L56" i="78"/>
  <c r="L55" i="78"/>
  <c r="L54" i="78"/>
  <c r="L53" i="78"/>
  <c r="L52" i="78"/>
  <c r="L51" i="78"/>
  <c r="L50" i="78"/>
  <c r="L49" i="78"/>
  <c r="L48" i="78"/>
  <c r="L47" i="78"/>
  <c r="L46" i="78"/>
  <c r="L45" i="78"/>
  <c r="L44" i="78"/>
  <c r="L43" i="78"/>
  <c r="L42" i="78"/>
  <c r="L41" i="78"/>
  <c r="L40" i="78"/>
  <c r="L39" i="78"/>
  <c r="L38" i="78"/>
  <c r="L37" i="78"/>
  <c r="L36" i="78"/>
  <c r="L35" i="78"/>
  <c r="L34" i="78"/>
  <c r="L33" i="78"/>
  <c r="L32" i="78"/>
  <c r="L31" i="78"/>
  <c r="L30" i="78"/>
  <c r="L29" i="78"/>
  <c r="L28" i="78"/>
  <c r="L27" i="78"/>
  <c r="L26" i="78"/>
  <c r="L25" i="78"/>
  <c r="L24" i="78"/>
  <c r="L23" i="78"/>
  <c r="L22" i="78"/>
  <c r="L21" i="78"/>
  <c r="L20" i="78"/>
  <c r="L19" i="78"/>
  <c r="L18" i="78"/>
  <c r="L17" i="78"/>
  <c r="L16" i="78"/>
  <c r="L15" i="78"/>
  <c r="L14" i="78"/>
  <c r="L13" i="78"/>
  <c r="L12" i="78"/>
  <c r="L11" i="78"/>
  <c r="L10" i="78"/>
  <c r="L9" i="78"/>
  <c r="L8" i="78"/>
  <c r="L7" i="78"/>
  <c r="L6" i="78"/>
  <c r="L5" i="78"/>
  <c r="T583" i="78"/>
  <c r="S583" i="78"/>
  <c r="R583" i="78"/>
  <c r="Q583" i="78"/>
  <c r="BV493" i="78"/>
  <c r="AD511" i="78"/>
  <c r="F33" i="78"/>
  <c r="F61" i="78"/>
  <c r="F60" i="78"/>
  <c r="F56" i="78"/>
  <c r="F57" i="78"/>
  <c r="F55" i="78"/>
  <c r="F59" i="78"/>
  <c r="F58" i="78"/>
  <c r="F53" i="78"/>
  <c r="F54" i="78"/>
  <c r="F52" i="78"/>
  <c r="F13" i="78"/>
  <c r="F21" i="78"/>
  <c r="F29" i="78"/>
  <c r="F37" i="78"/>
  <c r="F45" i="78"/>
  <c r="F6" i="78"/>
  <c r="F14" i="78"/>
  <c r="F22" i="78"/>
  <c r="F30" i="78"/>
  <c r="F38" i="78"/>
  <c r="F46" i="78"/>
  <c r="F7" i="78"/>
  <c r="F15" i="78"/>
  <c r="F23" i="78"/>
  <c r="F31" i="78"/>
  <c r="F39" i="78"/>
  <c r="F47" i="78"/>
  <c r="F8" i="78"/>
  <c r="F16" i="78"/>
  <c r="F24" i="78"/>
  <c r="F32" i="78"/>
  <c r="F40" i="78"/>
  <c r="F48" i="78"/>
  <c r="F9" i="78"/>
  <c r="F17" i="78"/>
  <c r="F25" i="78"/>
  <c r="F41" i="78"/>
  <c r="F49" i="78"/>
  <c r="F10" i="78"/>
  <c r="F18" i="78"/>
  <c r="F26" i="78"/>
  <c r="F34" i="78"/>
  <c r="F42" i="78"/>
  <c r="F50" i="78"/>
  <c r="F11" i="78"/>
  <c r="F19" i="78"/>
  <c r="F27" i="78"/>
  <c r="F35" i="78"/>
  <c r="F43" i="78"/>
  <c r="F51" i="78"/>
  <c r="F12" i="78"/>
  <c r="F20" i="78"/>
  <c r="F28" i="78"/>
  <c r="F36" i="78"/>
  <c r="F44" i="78"/>
  <c r="J123" i="18"/>
  <c r="I123" i="18"/>
  <c r="I122" i="18"/>
  <c r="I121" i="18"/>
  <c r="J121" i="18"/>
  <c r="P122" i="18"/>
  <c r="P123" i="18"/>
  <c r="P124" i="18"/>
  <c r="B120" i="18"/>
  <c r="D119" i="18"/>
  <c r="E119" i="18"/>
  <c r="F119" i="18"/>
  <c r="G119" i="18"/>
  <c r="I119" i="18"/>
  <c r="J119" i="18"/>
  <c r="K119" i="18"/>
  <c r="L119" i="18"/>
  <c r="M119" i="18"/>
  <c r="K121" i="18"/>
  <c r="Q122" i="18"/>
  <c r="Q123" i="18"/>
  <c r="Q124" i="18"/>
  <c r="J47" i="18"/>
  <c r="I47" i="18"/>
  <c r="L121" i="18"/>
  <c r="R122" i="18"/>
  <c r="R123" i="18"/>
  <c r="R124" i="18"/>
  <c r="K47" i="18"/>
  <c r="M121" i="18"/>
  <c r="L47" i="18"/>
  <c r="M47" i="18"/>
  <c r="S122" i="18"/>
  <c r="S123" i="18"/>
  <c r="S124" i="18"/>
  <c r="T124" i="18"/>
  <c r="M116" i="18"/>
  <c r="L116" i="18"/>
  <c r="K116" i="18"/>
  <c r="J116" i="18"/>
  <c r="I116" i="18"/>
  <c r="B113" i="18"/>
  <c r="D112" i="18"/>
  <c r="E112" i="18"/>
  <c r="F112" i="18"/>
  <c r="G112" i="18"/>
  <c r="I112" i="18"/>
  <c r="J112" i="18"/>
  <c r="K112" i="18"/>
  <c r="L112" i="18"/>
  <c r="M112" i="18"/>
  <c r="I110" i="18"/>
  <c r="B107" i="18"/>
  <c r="D106" i="18"/>
  <c r="E106" i="18"/>
  <c r="F106" i="18"/>
  <c r="G106" i="18"/>
  <c r="I106" i="18"/>
  <c r="J106" i="18"/>
  <c r="K106" i="18"/>
  <c r="L106" i="18"/>
  <c r="M106" i="18"/>
  <c r="B101" i="18"/>
  <c r="D100" i="18"/>
  <c r="E100" i="18"/>
  <c r="F100" i="18"/>
  <c r="G100" i="18"/>
  <c r="I100" i="18"/>
  <c r="J100" i="18"/>
  <c r="K100" i="18"/>
  <c r="L100" i="18"/>
  <c r="M100" i="18"/>
  <c r="B95" i="18"/>
  <c r="D94" i="18"/>
  <c r="E94" i="18"/>
  <c r="F94" i="18"/>
  <c r="G94" i="18"/>
  <c r="I94" i="18"/>
  <c r="J94" i="18"/>
  <c r="K94" i="18"/>
  <c r="L94" i="18"/>
  <c r="M94" i="18"/>
  <c r="M92" i="18"/>
  <c r="B89" i="18"/>
  <c r="D88" i="18"/>
  <c r="E88" i="18"/>
  <c r="F88" i="18"/>
  <c r="G88" i="18"/>
  <c r="I88" i="18"/>
  <c r="J88" i="18"/>
  <c r="K88" i="18"/>
  <c r="L88" i="18"/>
  <c r="M88" i="18"/>
  <c r="I86" i="18"/>
  <c r="B83" i="18"/>
  <c r="D82" i="18"/>
  <c r="E82" i="18"/>
  <c r="F82" i="18"/>
  <c r="G82" i="18"/>
  <c r="I82" i="18"/>
  <c r="J82" i="18"/>
  <c r="K82" i="18"/>
  <c r="L82" i="18"/>
  <c r="M82" i="18"/>
  <c r="L80" i="18"/>
  <c r="K80" i="18"/>
  <c r="J80" i="18"/>
  <c r="I80" i="18"/>
  <c r="B77" i="18"/>
  <c r="D76" i="18"/>
  <c r="E76" i="18"/>
  <c r="F76" i="18"/>
  <c r="G76" i="18"/>
  <c r="I76" i="18"/>
  <c r="J76" i="18"/>
  <c r="K76" i="18"/>
  <c r="L76" i="18"/>
  <c r="M76" i="18"/>
  <c r="K74" i="18"/>
  <c r="J74" i="18"/>
  <c r="I74" i="18"/>
  <c r="B71" i="18"/>
  <c r="D70" i="18"/>
  <c r="E70" i="18"/>
  <c r="F70" i="18"/>
  <c r="G70" i="18"/>
  <c r="I70" i="18"/>
  <c r="J70" i="18"/>
  <c r="K70" i="18"/>
  <c r="L70" i="18"/>
  <c r="M70" i="18"/>
  <c r="B65" i="18"/>
  <c r="D64" i="18"/>
  <c r="E64" i="18"/>
  <c r="F64" i="18"/>
  <c r="G64" i="18"/>
  <c r="I64" i="18"/>
  <c r="J64" i="18"/>
  <c r="K64" i="18"/>
  <c r="L64" i="18"/>
  <c r="M64" i="18"/>
  <c r="L61" i="18"/>
  <c r="R60" i="18"/>
  <c r="K61" i="18"/>
  <c r="Q60" i="18"/>
  <c r="L62" i="18"/>
  <c r="K62" i="18"/>
  <c r="J62" i="18"/>
  <c r="J61" i="18"/>
  <c r="P60" i="18"/>
  <c r="D58" i="18"/>
  <c r="E58" i="18"/>
  <c r="F58" i="18"/>
  <c r="G58" i="18"/>
  <c r="I58" i="18"/>
  <c r="J58" i="18"/>
  <c r="K58" i="18"/>
  <c r="L58" i="18"/>
  <c r="M58" i="18"/>
  <c r="G148" i="18"/>
  <c r="F148" i="18"/>
  <c r="E148" i="18"/>
  <c r="D148" i="18"/>
  <c r="C148" i="18"/>
  <c r="D143" i="18"/>
  <c r="E143" i="18"/>
  <c r="F143" i="18"/>
  <c r="G143" i="18"/>
  <c r="I143" i="18"/>
  <c r="J143" i="18"/>
  <c r="K143" i="18"/>
  <c r="L143" i="18"/>
  <c r="M143" i="18"/>
  <c r="G46" i="18"/>
  <c r="F46" i="18"/>
  <c r="E46" i="18"/>
  <c r="D46" i="18"/>
  <c r="C46" i="18"/>
  <c r="G45" i="18"/>
  <c r="F45" i="18"/>
  <c r="E45" i="18"/>
  <c r="D45" i="18"/>
  <c r="C45" i="18"/>
  <c r="G44" i="18"/>
  <c r="F44" i="18"/>
  <c r="E44" i="18"/>
  <c r="D44" i="18"/>
  <c r="C44" i="18"/>
  <c r="G43" i="18"/>
  <c r="F43" i="18"/>
  <c r="E43" i="18"/>
  <c r="D43" i="18"/>
  <c r="C43" i="18"/>
  <c r="G42" i="18"/>
  <c r="F42" i="18"/>
  <c r="E42" i="18"/>
  <c r="D42" i="18"/>
  <c r="C42" i="18"/>
  <c r="G41" i="18"/>
  <c r="F41" i="18"/>
  <c r="E41" i="18"/>
  <c r="D41" i="18"/>
  <c r="C41" i="18"/>
  <c r="G40" i="18"/>
  <c r="F40" i="18"/>
  <c r="E40" i="18"/>
  <c r="D40" i="18"/>
  <c r="C40" i="18"/>
  <c r="G39" i="18"/>
  <c r="I102" i="18"/>
  <c r="F39" i="18"/>
  <c r="E39" i="18"/>
  <c r="D39" i="18"/>
  <c r="C39" i="18"/>
  <c r="G38" i="18"/>
  <c r="F38" i="18"/>
  <c r="E38" i="18"/>
  <c r="D38" i="18"/>
  <c r="C38" i="18"/>
  <c r="G37" i="18"/>
  <c r="F37" i="18"/>
  <c r="E37" i="18"/>
  <c r="D37" i="18"/>
  <c r="C37" i="18"/>
  <c r="G36" i="18"/>
  <c r="I84" i="18"/>
  <c r="F36" i="18"/>
  <c r="E36" i="18"/>
  <c r="D36" i="18"/>
  <c r="C36" i="18"/>
  <c r="G35" i="18"/>
  <c r="G78" i="18"/>
  <c r="F35" i="18"/>
  <c r="E35" i="18"/>
  <c r="D35" i="18"/>
  <c r="C35" i="18"/>
  <c r="G34" i="18"/>
  <c r="F34" i="18"/>
  <c r="E34" i="18"/>
  <c r="D34" i="18"/>
  <c r="C34" i="18"/>
  <c r="G33" i="18"/>
  <c r="F33" i="18"/>
  <c r="E33" i="18"/>
  <c r="D33" i="18"/>
  <c r="C33" i="18"/>
  <c r="G32" i="18"/>
  <c r="F32" i="18"/>
  <c r="E32" i="18"/>
  <c r="D32" i="18"/>
  <c r="C32" i="18"/>
  <c r="G31" i="18"/>
  <c r="F31" i="18"/>
  <c r="E31" i="18"/>
  <c r="D31" i="18"/>
  <c r="C31" i="18"/>
  <c r="G30" i="18"/>
  <c r="F30" i="18"/>
  <c r="E30" i="18"/>
  <c r="D30" i="18"/>
  <c r="C30" i="18"/>
  <c r="G29" i="18"/>
  <c r="F29" i="18"/>
  <c r="E29" i="18"/>
  <c r="D29" i="18"/>
  <c r="C29" i="18"/>
  <c r="G28" i="18"/>
  <c r="F28" i="18"/>
  <c r="E28" i="18"/>
  <c r="D28" i="18"/>
  <c r="C28" i="18"/>
  <c r="G27" i="18"/>
  <c r="J72" i="18"/>
  <c r="F27" i="18"/>
  <c r="E27" i="18"/>
  <c r="D27" i="18"/>
  <c r="C27" i="18"/>
  <c r="G26" i="18"/>
  <c r="F26" i="18"/>
  <c r="E26" i="18"/>
  <c r="D26" i="18"/>
  <c r="C26" i="18"/>
  <c r="G25" i="18"/>
  <c r="F25" i="18"/>
  <c r="E25" i="18"/>
  <c r="D25" i="18"/>
  <c r="C25" i="18"/>
  <c r="D4" i="18"/>
  <c r="E4" i="18"/>
  <c r="F4" i="18"/>
  <c r="G4" i="18"/>
  <c r="I4" i="18"/>
  <c r="J4" i="18"/>
  <c r="K4" i="18"/>
  <c r="L4" i="18"/>
  <c r="M4" i="18"/>
  <c r="F28" i="7"/>
  <c r="J27" i="18"/>
  <c r="P73" i="18"/>
  <c r="P74" i="18"/>
  <c r="P75" i="18"/>
  <c r="I78" i="18"/>
  <c r="J78" i="18"/>
  <c r="P79" i="18"/>
  <c r="H78" i="18"/>
  <c r="C50" i="18"/>
  <c r="C54" i="18"/>
  <c r="D50" i="18"/>
  <c r="D54" i="18"/>
  <c r="F50" i="18"/>
  <c r="F54" i="18"/>
  <c r="E50" i="18"/>
  <c r="E54" i="18"/>
  <c r="J60" i="18"/>
  <c r="P61" i="18"/>
  <c r="P62" i="18"/>
  <c r="P63" i="18"/>
  <c r="G50" i="18"/>
  <c r="G54" i="18"/>
  <c r="H28" i="7"/>
  <c r="G28" i="7"/>
  <c r="I114" i="18"/>
  <c r="I108" i="18"/>
  <c r="I92" i="18"/>
  <c r="I137" i="18"/>
  <c r="I145" i="18"/>
  <c r="I39" i="18"/>
  <c r="J102" i="18"/>
  <c r="P103" i="18"/>
  <c r="P104" i="18"/>
  <c r="P105" i="18"/>
  <c r="J86" i="18"/>
  <c r="I36" i="18"/>
  <c r="I98" i="18"/>
  <c r="I27" i="18"/>
  <c r="P80" i="18"/>
  <c r="P81" i="18"/>
  <c r="P139" i="18"/>
  <c r="I35" i="18"/>
  <c r="K722" i="53"/>
  <c r="I25" i="18"/>
  <c r="J114" i="18"/>
  <c r="P115" i="18"/>
  <c r="P116" i="18"/>
  <c r="P117" i="18"/>
  <c r="I46" i="18"/>
  <c r="J108" i="18"/>
  <c r="I40" i="18"/>
  <c r="I90" i="18"/>
  <c r="J92" i="18"/>
  <c r="J84" i="18"/>
  <c r="P85" i="18"/>
  <c r="P86" i="18"/>
  <c r="P87" i="18"/>
  <c r="K78" i="18"/>
  <c r="Q79" i="18"/>
  <c r="J35" i="18"/>
  <c r="J39" i="18"/>
  <c r="K102" i="18"/>
  <c r="Q103" i="18"/>
  <c r="Q104" i="18"/>
  <c r="Q105" i="18"/>
  <c r="K72" i="18"/>
  <c r="Q73" i="18"/>
  <c r="Q74" i="18"/>
  <c r="Q75" i="18"/>
  <c r="I96" i="18"/>
  <c r="J25" i="18"/>
  <c r="K60" i="18"/>
  <c r="Q61" i="18"/>
  <c r="Q62" i="18"/>
  <c r="Q63" i="18"/>
  <c r="I26" i="18"/>
  <c r="H44" i="16"/>
  <c r="J44" i="16"/>
  <c r="I44" i="16"/>
  <c r="G44" i="16"/>
  <c r="F44" i="16"/>
  <c r="J43" i="16"/>
  <c r="D51" i="16"/>
  <c r="I16" i="16"/>
  <c r="D37" i="16"/>
  <c r="E37" i="16"/>
  <c r="F37" i="16"/>
  <c r="G37" i="16"/>
  <c r="H37" i="16"/>
  <c r="I37" i="16"/>
  <c r="J37" i="16"/>
  <c r="N1363" i="72"/>
  <c r="O1363" i="72"/>
  <c r="P1363" i="72"/>
  <c r="Q1363" i="72"/>
  <c r="R1363" i="72"/>
  <c r="S1363" i="72"/>
  <c r="T1363" i="72"/>
  <c r="U1363" i="72"/>
  <c r="V1363" i="72"/>
  <c r="W1363" i="72"/>
  <c r="L1362" i="72"/>
  <c r="M1025" i="72"/>
  <c r="M991" i="72"/>
  <c r="M935" i="72"/>
  <c r="M863" i="72"/>
  <c r="M1028" i="72"/>
  <c r="L1360" i="72"/>
  <c r="M925" i="72"/>
  <c r="M924" i="72"/>
  <c r="M923" i="72"/>
  <c r="N923" i="72"/>
  <c r="M919" i="72"/>
  <c r="N919" i="72"/>
  <c r="M918" i="72"/>
  <c r="N918" i="72"/>
  <c r="M917" i="72"/>
  <c r="N917" i="72"/>
  <c r="M916" i="72"/>
  <c r="N916" i="72"/>
  <c r="M915" i="72"/>
  <c r="N915" i="72"/>
  <c r="M913" i="72"/>
  <c r="N913" i="72"/>
  <c r="M912" i="72"/>
  <c r="N912" i="72"/>
  <c r="M911" i="72"/>
  <c r="N911" i="72"/>
  <c r="M910" i="72"/>
  <c r="M909" i="72"/>
  <c r="N909" i="72"/>
  <c r="M908" i="72"/>
  <c r="N908" i="72"/>
  <c r="N907" i="72"/>
  <c r="N906" i="72"/>
  <c r="M1082" i="72"/>
  <c r="M1081" i="72"/>
  <c r="M1080" i="72"/>
  <c r="M1079" i="72"/>
  <c r="M1078" i="72"/>
  <c r="M1077" i="72"/>
  <c r="M1076" i="72"/>
  <c r="M1075" i="72"/>
  <c r="M1074" i="72"/>
  <c r="N1074" i="72"/>
  <c r="M1073" i="72"/>
  <c r="M1072" i="72"/>
  <c r="M1071" i="72"/>
  <c r="N1071" i="72"/>
  <c r="M1070" i="72"/>
  <c r="N1070" i="72"/>
  <c r="M1069" i="72"/>
  <c r="N1069" i="72"/>
  <c r="M1068" i="72"/>
  <c r="M1067" i="72"/>
  <c r="M1066" i="72"/>
  <c r="N1066" i="72"/>
  <c r="M1065" i="72"/>
  <c r="M1064" i="72"/>
  <c r="M1063" i="72"/>
  <c r="M1062" i="72"/>
  <c r="M1061" i="72"/>
  <c r="N1061" i="72"/>
  <c r="M1060" i="72"/>
  <c r="M1059" i="72"/>
  <c r="M1058" i="72"/>
  <c r="N1058" i="72"/>
  <c r="M1057" i="72"/>
  <c r="M1056" i="72"/>
  <c r="N1056" i="72"/>
  <c r="M1055" i="72"/>
  <c r="N1055" i="72"/>
  <c r="M1054" i="72"/>
  <c r="M1053" i="72"/>
  <c r="N1053" i="72"/>
  <c r="M1052" i="72"/>
  <c r="M1051" i="72"/>
  <c r="M1050" i="72"/>
  <c r="N1050" i="72"/>
  <c r="M1049" i="72"/>
  <c r="M1048" i="72"/>
  <c r="M1047" i="72"/>
  <c r="N1047" i="72"/>
  <c r="M1046" i="72"/>
  <c r="M1045" i="72"/>
  <c r="M1044" i="72"/>
  <c r="M1043" i="72"/>
  <c r="M1042" i="72"/>
  <c r="M1041" i="72"/>
  <c r="M1040" i="72"/>
  <c r="N1040" i="72"/>
  <c r="M1039" i="72"/>
  <c r="N1039" i="72"/>
  <c r="M1038" i="72"/>
  <c r="M1037" i="72"/>
  <c r="M1036" i="72"/>
  <c r="M1035" i="72"/>
  <c r="M1034" i="72"/>
  <c r="N1034" i="72"/>
  <c r="O1034" i="72"/>
  <c r="M1033" i="72"/>
  <c r="M1032" i="72"/>
  <c r="M1031" i="72"/>
  <c r="M1030" i="72"/>
  <c r="M1029" i="72"/>
  <c r="M1027" i="72"/>
  <c r="M1026" i="72"/>
  <c r="M1024" i="72"/>
  <c r="M1023" i="72"/>
  <c r="M1022" i="72"/>
  <c r="M1021" i="72"/>
  <c r="M1020" i="72"/>
  <c r="M1019" i="72"/>
  <c r="M1018" i="72"/>
  <c r="M1017" i="72"/>
  <c r="M1016" i="72"/>
  <c r="M1015" i="72"/>
  <c r="M1014" i="72"/>
  <c r="M1013" i="72"/>
  <c r="M1012" i="72"/>
  <c r="M1011" i="72"/>
  <c r="M1010" i="72"/>
  <c r="M1009" i="72"/>
  <c r="M1008" i="72"/>
  <c r="M1007" i="72"/>
  <c r="M1006" i="72"/>
  <c r="M1005" i="72"/>
  <c r="M1004" i="72"/>
  <c r="M1003" i="72"/>
  <c r="M1002" i="72"/>
  <c r="M1001" i="72"/>
  <c r="M1000" i="72"/>
  <c r="M999" i="72"/>
  <c r="M998" i="72"/>
  <c r="M997" i="72"/>
  <c r="M996" i="72"/>
  <c r="M995" i="72"/>
  <c r="M994" i="72"/>
  <c r="M993" i="72"/>
  <c r="M992" i="72"/>
  <c r="M990" i="72"/>
  <c r="M989" i="72"/>
  <c r="M988" i="72"/>
  <c r="M987" i="72"/>
  <c r="M986" i="72"/>
  <c r="M985" i="72"/>
  <c r="M984" i="72"/>
  <c r="M983" i="72"/>
  <c r="M982" i="72"/>
  <c r="M981" i="72"/>
  <c r="M980" i="72"/>
  <c r="M979" i="72"/>
  <c r="M978" i="72"/>
  <c r="M977" i="72"/>
  <c r="M976" i="72"/>
  <c r="M975" i="72"/>
  <c r="M974" i="72"/>
  <c r="M973" i="72"/>
  <c r="M972" i="72"/>
  <c r="M971" i="72"/>
  <c r="M970" i="72"/>
  <c r="M969" i="72"/>
  <c r="M968" i="72"/>
  <c r="M967" i="72"/>
  <c r="M966" i="72"/>
  <c r="M965" i="72"/>
  <c r="M964" i="72"/>
  <c r="M963" i="72"/>
  <c r="M962" i="72"/>
  <c r="M961" i="72"/>
  <c r="M960" i="72"/>
  <c r="M959" i="72"/>
  <c r="M958" i="72"/>
  <c r="M957" i="72"/>
  <c r="M956" i="72"/>
  <c r="M955" i="72"/>
  <c r="M954" i="72"/>
  <c r="M953" i="72"/>
  <c r="M952" i="72"/>
  <c r="M951" i="72"/>
  <c r="M950" i="72"/>
  <c r="M949" i="72"/>
  <c r="M948" i="72"/>
  <c r="M947" i="72"/>
  <c r="M946" i="72"/>
  <c r="M945" i="72"/>
  <c r="M944" i="72"/>
  <c r="M943" i="72"/>
  <c r="M942" i="72"/>
  <c r="M941" i="72"/>
  <c r="M940" i="72"/>
  <c r="M939" i="72"/>
  <c r="M938" i="72"/>
  <c r="M937" i="72"/>
  <c r="M936" i="72"/>
  <c r="M934" i="72"/>
  <c r="M933" i="72"/>
  <c r="M932" i="72"/>
  <c r="M931" i="72"/>
  <c r="M930" i="72"/>
  <c r="M929" i="72"/>
  <c r="M928" i="72"/>
  <c r="M927" i="72"/>
  <c r="M926" i="72"/>
  <c r="M922" i="72"/>
  <c r="N922" i="72"/>
  <c r="M921" i="72"/>
  <c r="N921" i="72"/>
  <c r="M920" i="72"/>
  <c r="N920" i="72"/>
  <c r="M914" i="72"/>
  <c r="N914" i="72"/>
  <c r="N898" i="72"/>
  <c r="M896" i="72"/>
  <c r="M891" i="72"/>
  <c r="N891" i="72"/>
  <c r="M890" i="72"/>
  <c r="M889" i="72"/>
  <c r="M888" i="72"/>
  <c r="M887" i="72"/>
  <c r="M886" i="72"/>
  <c r="M885" i="72"/>
  <c r="M884" i="72"/>
  <c r="M883" i="72"/>
  <c r="M882" i="72"/>
  <c r="N882" i="72"/>
  <c r="M881" i="72"/>
  <c r="M880" i="72"/>
  <c r="M879" i="72"/>
  <c r="M878" i="72"/>
  <c r="M877" i="72"/>
  <c r="M876" i="72"/>
  <c r="M875" i="72"/>
  <c r="N875" i="72"/>
  <c r="M874" i="72"/>
  <c r="M873" i="72"/>
  <c r="M872" i="72"/>
  <c r="M871" i="72"/>
  <c r="M870" i="72"/>
  <c r="M869" i="72"/>
  <c r="N869" i="72"/>
  <c r="M868" i="72"/>
  <c r="M867" i="72"/>
  <c r="N867" i="72"/>
  <c r="M866" i="72"/>
  <c r="N866" i="72"/>
  <c r="M865" i="72"/>
  <c r="M864" i="72"/>
  <c r="M862" i="72"/>
  <c r="N862" i="72"/>
  <c r="M861" i="72"/>
  <c r="M860" i="72"/>
  <c r="M859" i="72"/>
  <c r="M858" i="72"/>
  <c r="N858" i="72"/>
  <c r="M857" i="72"/>
  <c r="M855" i="72"/>
  <c r="M854" i="72"/>
  <c r="M853" i="72"/>
  <c r="M852" i="72"/>
  <c r="M851" i="72"/>
  <c r="N851" i="72"/>
  <c r="M850" i="72"/>
  <c r="M849" i="72"/>
  <c r="M848" i="72"/>
  <c r="M847" i="72"/>
  <c r="M846" i="72"/>
  <c r="N846" i="72"/>
  <c r="M845" i="72"/>
  <c r="M844" i="72"/>
  <c r="M843" i="72"/>
  <c r="M842" i="72"/>
  <c r="M841" i="72"/>
  <c r="M840" i="72"/>
  <c r="M839" i="72"/>
  <c r="M838" i="72"/>
  <c r="M837" i="72"/>
  <c r="N837" i="72"/>
  <c r="M836" i="72"/>
  <c r="M835" i="72"/>
  <c r="N835" i="72"/>
  <c r="M834" i="72"/>
  <c r="N834" i="72"/>
  <c r="M833" i="72"/>
  <c r="M832" i="72"/>
  <c r="M831" i="72"/>
  <c r="M830" i="72"/>
  <c r="M829" i="72"/>
  <c r="M828" i="72"/>
  <c r="M827" i="72"/>
  <c r="M826" i="72"/>
  <c r="M825" i="72"/>
  <c r="M824" i="72"/>
  <c r="M823" i="72"/>
  <c r="M822" i="72"/>
  <c r="M821" i="72"/>
  <c r="M820" i="72"/>
  <c r="M819" i="72"/>
  <c r="N819" i="72"/>
  <c r="M818" i="72"/>
  <c r="N818" i="72"/>
  <c r="M817" i="72"/>
  <c r="M816" i="72"/>
  <c r="M815" i="72"/>
  <c r="M814" i="72"/>
  <c r="N814" i="72"/>
  <c r="M813" i="72"/>
  <c r="M812" i="72"/>
  <c r="M811" i="72"/>
  <c r="N811" i="72"/>
  <c r="O811" i="72"/>
  <c r="M810" i="72"/>
  <c r="M809" i="72"/>
  <c r="M808" i="72"/>
  <c r="M807" i="72"/>
  <c r="M806" i="72"/>
  <c r="M805" i="72"/>
  <c r="M804" i="72"/>
  <c r="M803" i="72"/>
  <c r="N803" i="72"/>
  <c r="M802" i="72"/>
  <c r="M801" i="72"/>
  <c r="M800" i="72"/>
  <c r="M799" i="72"/>
  <c r="M798" i="72"/>
  <c r="N798" i="72"/>
  <c r="M797" i="72"/>
  <c r="M796" i="72"/>
  <c r="M795" i="72"/>
  <c r="N795" i="72"/>
  <c r="O795" i="72"/>
  <c r="M794" i="72"/>
  <c r="N794" i="72"/>
  <c r="M793" i="72"/>
  <c r="M792" i="72"/>
  <c r="M791" i="72"/>
  <c r="M790" i="72"/>
  <c r="N790" i="72"/>
  <c r="M789" i="72"/>
  <c r="M788" i="72"/>
  <c r="M787" i="72"/>
  <c r="M786" i="72"/>
  <c r="M785" i="72"/>
  <c r="M784" i="72"/>
  <c r="M783" i="72"/>
  <c r="M782" i="72"/>
  <c r="M781" i="72"/>
  <c r="M780" i="72"/>
  <c r="M779" i="72"/>
  <c r="N779" i="72"/>
  <c r="M778" i="72"/>
  <c r="N778" i="72"/>
  <c r="M777" i="72"/>
  <c r="M776" i="72"/>
  <c r="M775" i="72"/>
  <c r="M774" i="72"/>
  <c r="M773" i="72"/>
  <c r="M772" i="72"/>
  <c r="M771" i="72"/>
  <c r="M770" i="72"/>
  <c r="M769" i="72"/>
  <c r="M768" i="72"/>
  <c r="M767" i="72"/>
  <c r="M766" i="72"/>
  <c r="M765" i="72"/>
  <c r="M764" i="72"/>
  <c r="M763" i="72"/>
  <c r="N763" i="72"/>
  <c r="M762" i="72"/>
  <c r="M761" i="72"/>
  <c r="M760" i="72"/>
  <c r="M759" i="72"/>
  <c r="M758" i="72"/>
  <c r="N758" i="72"/>
  <c r="M757" i="72"/>
  <c r="M756" i="72"/>
  <c r="M755" i="72"/>
  <c r="N755" i="72"/>
  <c r="M754" i="72"/>
  <c r="N754" i="72"/>
  <c r="M753" i="72"/>
  <c r="M752" i="72"/>
  <c r="M751" i="72"/>
  <c r="M750" i="72"/>
  <c r="M749" i="72"/>
  <c r="M748" i="72"/>
  <c r="M747" i="72"/>
  <c r="N747" i="72"/>
  <c r="O747" i="72"/>
  <c r="M746" i="72"/>
  <c r="M745" i="72"/>
  <c r="M744" i="72"/>
  <c r="M743" i="72"/>
  <c r="M742" i="72"/>
  <c r="M741" i="72"/>
  <c r="M740" i="72"/>
  <c r="M739" i="72"/>
  <c r="N739" i="72"/>
  <c r="M738" i="72"/>
  <c r="N738" i="72"/>
  <c r="M737" i="72"/>
  <c r="M736" i="72"/>
  <c r="M735" i="72"/>
  <c r="M734" i="72"/>
  <c r="M733" i="72"/>
  <c r="M732" i="72"/>
  <c r="M731" i="72"/>
  <c r="N731" i="72"/>
  <c r="O731" i="72"/>
  <c r="M730" i="72"/>
  <c r="M729" i="72"/>
  <c r="M728" i="72"/>
  <c r="M727" i="72"/>
  <c r="M726" i="72"/>
  <c r="M725" i="72"/>
  <c r="M724" i="72"/>
  <c r="M723" i="72"/>
  <c r="N723" i="72"/>
  <c r="M722" i="72"/>
  <c r="M721" i="72"/>
  <c r="M720" i="72"/>
  <c r="M719" i="72"/>
  <c r="M718" i="72"/>
  <c r="M717" i="72"/>
  <c r="M716" i="72"/>
  <c r="M715" i="72"/>
  <c r="N715" i="72"/>
  <c r="M714" i="72"/>
  <c r="M713" i="72"/>
  <c r="M712" i="72"/>
  <c r="M711" i="72"/>
  <c r="M710" i="72"/>
  <c r="M708" i="72"/>
  <c r="M707" i="72"/>
  <c r="N707" i="72"/>
  <c r="O707" i="72"/>
  <c r="M706" i="72"/>
  <c r="N706" i="72"/>
  <c r="O706" i="72"/>
  <c r="M705" i="72"/>
  <c r="M704" i="72"/>
  <c r="M703" i="72"/>
  <c r="M702" i="72"/>
  <c r="M701" i="72"/>
  <c r="M700" i="72"/>
  <c r="M699" i="72"/>
  <c r="N699" i="72"/>
  <c r="M698" i="72"/>
  <c r="N698" i="72"/>
  <c r="M697" i="72"/>
  <c r="M696" i="72"/>
  <c r="M695" i="72"/>
  <c r="M694" i="72"/>
  <c r="N694" i="72"/>
  <c r="M693" i="72"/>
  <c r="M692" i="72"/>
  <c r="M691" i="72"/>
  <c r="N691" i="72"/>
  <c r="M126" i="72"/>
  <c r="J126" i="72"/>
  <c r="Q80" i="18"/>
  <c r="Q81" i="18"/>
  <c r="Q139" i="18"/>
  <c r="I54" i="18"/>
  <c r="K33" i="7"/>
  <c r="J40" i="18"/>
  <c r="P109" i="18"/>
  <c r="P110" i="18"/>
  <c r="P111" i="18"/>
  <c r="L79" i="18"/>
  <c r="R78" i="18"/>
  <c r="R138" i="18"/>
  <c r="K53" i="18"/>
  <c r="M1362" i="72"/>
  <c r="N943" i="72"/>
  <c r="O943" i="72"/>
  <c r="N951" i="72"/>
  <c r="N967" i="72"/>
  <c r="N1008" i="72"/>
  <c r="O1008" i="72"/>
  <c r="N1016" i="72"/>
  <c r="N1024" i="72"/>
  <c r="O1024" i="72"/>
  <c r="N927" i="72"/>
  <c r="O927" i="72"/>
  <c r="N936" i="72"/>
  <c r="O936" i="72"/>
  <c r="N944" i="72"/>
  <c r="O944" i="72"/>
  <c r="N952" i="72"/>
  <c r="O952" i="72"/>
  <c r="P952" i="72"/>
  <c r="N953" i="72"/>
  <c r="N929" i="72"/>
  <c r="O929" i="72"/>
  <c r="N954" i="72"/>
  <c r="O954" i="72"/>
  <c r="P954" i="72"/>
  <c r="N986" i="72"/>
  <c r="O986" i="72"/>
  <c r="P986" i="72"/>
  <c r="N1011" i="72"/>
  <c r="N930" i="72"/>
  <c r="O930" i="72"/>
  <c r="P930" i="72"/>
  <c r="N939" i="72"/>
  <c r="O939" i="72"/>
  <c r="N947" i="72"/>
  <c r="O947" i="72"/>
  <c r="N955" i="72"/>
  <c r="N963" i="72"/>
  <c r="O963" i="72"/>
  <c r="N979" i="72"/>
  <c r="N987" i="72"/>
  <c r="O987" i="72"/>
  <c r="N935" i="72"/>
  <c r="O935" i="72"/>
  <c r="N962" i="72"/>
  <c r="O962" i="72"/>
  <c r="P962" i="72"/>
  <c r="N931" i="72"/>
  <c r="O931" i="72"/>
  <c r="N940" i="72"/>
  <c r="O940" i="72"/>
  <c r="N948" i="72"/>
  <c r="N956" i="72"/>
  <c r="N1005" i="72"/>
  <c r="O1005" i="72"/>
  <c r="N991" i="72"/>
  <c r="O991" i="72"/>
  <c r="P991" i="72"/>
  <c r="N928" i="72"/>
  <c r="O928" i="72"/>
  <c r="N946" i="72"/>
  <c r="O946" i="72"/>
  <c r="N978" i="72"/>
  <c r="O978" i="72"/>
  <c r="N995" i="72"/>
  <c r="O995" i="72"/>
  <c r="P995" i="72"/>
  <c r="N1019" i="72"/>
  <c r="O1019" i="72"/>
  <c r="N932" i="72"/>
  <c r="O932" i="72"/>
  <c r="N941" i="72"/>
  <c r="O941" i="72"/>
  <c r="N949" i="72"/>
  <c r="N957" i="72"/>
  <c r="N989" i="72"/>
  <c r="O989" i="72"/>
  <c r="P989" i="72"/>
  <c r="N1006" i="72"/>
  <c r="O1006" i="72"/>
  <c r="N1025" i="72"/>
  <c r="O1025" i="72"/>
  <c r="P1025" i="72"/>
  <c r="Q1025" i="72"/>
  <c r="N937" i="72"/>
  <c r="O937" i="72"/>
  <c r="N938" i="72"/>
  <c r="O938" i="72"/>
  <c r="N970" i="72"/>
  <c r="O970" i="72"/>
  <c r="N1003" i="72"/>
  <c r="O1003" i="72"/>
  <c r="P1003" i="72"/>
  <c r="N933" i="72"/>
  <c r="O933" i="72"/>
  <c r="N942" i="72"/>
  <c r="O942" i="72"/>
  <c r="N950" i="72"/>
  <c r="O950" i="72"/>
  <c r="K108" i="18"/>
  <c r="K114" i="18"/>
  <c r="Q115" i="18"/>
  <c r="Q116" i="18"/>
  <c r="Q117" i="18"/>
  <c r="J46" i="18"/>
  <c r="I37" i="18"/>
  <c r="L72" i="18"/>
  <c r="R73" i="18"/>
  <c r="R74" i="18"/>
  <c r="R75" i="18"/>
  <c r="K27" i="18"/>
  <c r="J98" i="18"/>
  <c r="J137" i="18"/>
  <c r="J145" i="18"/>
  <c r="I38" i="18"/>
  <c r="J90" i="18"/>
  <c r="P91" i="18"/>
  <c r="P92" i="18"/>
  <c r="P93" i="18"/>
  <c r="K39" i="18"/>
  <c r="L102" i="18"/>
  <c r="R103" i="18"/>
  <c r="R104" i="18"/>
  <c r="R105" i="18"/>
  <c r="K35" i="18"/>
  <c r="K86" i="18"/>
  <c r="J36" i="18"/>
  <c r="L60" i="18"/>
  <c r="R61" i="18"/>
  <c r="R62" i="18"/>
  <c r="R63" i="18"/>
  <c r="K25" i="18"/>
  <c r="I17" i="16"/>
  <c r="N1028" i="72"/>
  <c r="O1028" i="72"/>
  <c r="P1028" i="72"/>
  <c r="Q1028" i="72"/>
  <c r="R1028" i="72"/>
  <c r="O914" i="72"/>
  <c r="P914" i="72"/>
  <c r="N820" i="72"/>
  <c r="O820" i="72"/>
  <c r="N901" i="72"/>
  <c r="O901" i="72"/>
  <c r="N999" i="72"/>
  <c r="O999" i="72"/>
  <c r="N1023" i="72"/>
  <c r="O1023" i="72"/>
  <c r="N934" i="72"/>
  <c r="O934" i="72"/>
  <c r="N959" i="72"/>
  <c r="O959" i="72"/>
  <c r="N975" i="72"/>
  <c r="O975" i="72"/>
  <c r="N983" i="72"/>
  <c r="N992" i="72"/>
  <c r="N1000" i="72"/>
  <c r="N1042" i="72"/>
  <c r="O1042" i="72"/>
  <c r="N1082" i="72"/>
  <c r="O1082" i="72"/>
  <c r="P1082" i="72"/>
  <c r="Q1082" i="72"/>
  <c r="N1007" i="72"/>
  <c r="O1007" i="72"/>
  <c r="P1007" i="72"/>
  <c r="Q1007" i="72"/>
  <c r="N839" i="72"/>
  <c r="O839" i="72"/>
  <c r="N847" i="72"/>
  <c r="O847" i="72"/>
  <c r="N960" i="72"/>
  <c r="O960" i="72"/>
  <c r="N968" i="72"/>
  <c r="O968" i="72"/>
  <c r="N984" i="72"/>
  <c r="O984" i="72"/>
  <c r="N1026" i="72"/>
  <c r="O1026" i="72"/>
  <c r="N1035" i="72"/>
  <c r="O1035" i="72"/>
  <c r="N1043" i="72"/>
  <c r="O1043" i="72"/>
  <c r="N1051" i="72"/>
  <c r="O1051" i="72"/>
  <c r="N1059" i="72"/>
  <c r="N1067" i="72"/>
  <c r="N1075" i="72"/>
  <c r="O909" i="72"/>
  <c r="P909" i="72"/>
  <c r="N994" i="72"/>
  <c r="O994" i="72"/>
  <c r="N1002" i="72"/>
  <c r="O1002" i="72"/>
  <c r="N1010" i="72"/>
  <c r="O1010" i="72"/>
  <c r="N1018" i="72"/>
  <c r="O1018" i="72"/>
  <c r="N1027" i="72"/>
  <c r="O1027" i="72"/>
  <c r="N1044" i="72"/>
  <c r="O1044" i="72"/>
  <c r="N1060" i="72"/>
  <c r="O1060" i="72"/>
  <c r="P1060" i="72"/>
  <c r="N804" i="72"/>
  <c r="O804" i="72"/>
  <c r="N877" i="72"/>
  <c r="O877" i="72"/>
  <c r="N1015" i="72"/>
  <c r="O1015" i="72"/>
  <c r="N717" i="72"/>
  <c r="O717" i="72"/>
  <c r="O955" i="72"/>
  <c r="P955" i="72"/>
  <c r="N996" i="72"/>
  <c r="O996" i="72"/>
  <c r="N1062" i="72"/>
  <c r="N1078" i="72"/>
  <c r="O1078" i="72"/>
  <c r="N770" i="72"/>
  <c r="O770" i="72"/>
  <c r="P770" i="72"/>
  <c r="N810" i="72"/>
  <c r="O810" i="72"/>
  <c r="N842" i="72"/>
  <c r="O842" i="72"/>
  <c r="N874" i="72"/>
  <c r="O874" i="72"/>
  <c r="N971" i="72"/>
  <c r="O971" i="72"/>
  <c r="N787" i="72"/>
  <c r="O787" i="72"/>
  <c r="N843" i="72"/>
  <c r="O843" i="72"/>
  <c r="N859" i="72"/>
  <c r="O859" i="72"/>
  <c r="N1063" i="72"/>
  <c r="N1079" i="72"/>
  <c r="N852" i="72"/>
  <c r="O852" i="72"/>
  <c r="N860" i="72"/>
  <c r="O860" i="72"/>
  <c r="N868" i="72"/>
  <c r="O868" i="72"/>
  <c r="N1072" i="72"/>
  <c r="O1072" i="72"/>
  <c r="N1080" i="72"/>
  <c r="N126" i="72"/>
  <c r="N746" i="72"/>
  <c r="N762" i="72"/>
  <c r="O762" i="72"/>
  <c r="P762" i="72"/>
  <c r="Q762" i="72"/>
  <c r="N786" i="72"/>
  <c r="N826" i="72"/>
  <c r="O826" i="72"/>
  <c r="N722" i="72"/>
  <c r="N827" i="72"/>
  <c r="N714" i="72"/>
  <c r="O714" i="72"/>
  <c r="P714" i="72"/>
  <c r="N730" i="72"/>
  <c r="O730" i="72"/>
  <c r="N802" i="72"/>
  <c r="N716" i="72"/>
  <c r="O716" i="72"/>
  <c r="N724" i="72"/>
  <c r="O724" i="72"/>
  <c r="N732" i="72"/>
  <c r="O732" i="72"/>
  <c r="P732" i="72"/>
  <c r="Q732" i="72"/>
  <c r="N756" i="72"/>
  <c r="O756" i="72"/>
  <c r="N764" i="72"/>
  <c r="O764" i="72"/>
  <c r="N772" i="72"/>
  <c r="O772" i="72"/>
  <c r="N788" i="72"/>
  <c r="O788" i="72"/>
  <c r="P788" i="72"/>
  <c r="N796" i="72"/>
  <c r="O796" i="72"/>
  <c r="P796" i="72"/>
  <c r="Q796" i="72"/>
  <c r="N701" i="72"/>
  <c r="O701" i="72"/>
  <c r="N709" i="72"/>
  <c r="N725" i="72"/>
  <c r="O725" i="72"/>
  <c r="N733" i="72"/>
  <c r="N741" i="72"/>
  <c r="O741" i="72"/>
  <c r="P741" i="72"/>
  <c r="N749" i="72"/>
  <c r="O749" i="72"/>
  <c r="P749" i="72"/>
  <c r="N765" i="72"/>
  <c r="O765" i="72"/>
  <c r="N781" i="72"/>
  <c r="O781" i="72"/>
  <c r="P781" i="72"/>
  <c r="N789" i="72"/>
  <c r="O789" i="72"/>
  <c r="N797" i="72"/>
  <c r="O797" i="72"/>
  <c r="P797" i="72"/>
  <c r="N813" i="72"/>
  <c r="O813" i="72"/>
  <c r="P813" i="72"/>
  <c r="N829" i="72"/>
  <c r="O829" i="72"/>
  <c r="N710" i="72"/>
  <c r="O710" i="72"/>
  <c r="P710" i="72"/>
  <c r="Q710" i="72"/>
  <c r="N718" i="72"/>
  <c r="O718" i="72"/>
  <c r="N726" i="72"/>
  <c r="O726" i="72"/>
  <c r="N734" i="72"/>
  <c r="O734" i="72"/>
  <c r="P734" i="72"/>
  <c r="N742" i="72"/>
  <c r="O742" i="72"/>
  <c r="P742" i="72"/>
  <c r="Q742" i="72"/>
  <c r="N750" i="72"/>
  <c r="N774" i="72"/>
  <c r="O774" i="72"/>
  <c r="N782" i="72"/>
  <c r="O782" i="72"/>
  <c r="N806" i="72"/>
  <c r="O806" i="72"/>
  <c r="P806" i="72"/>
  <c r="Q806" i="72"/>
  <c r="N822" i="72"/>
  <c r="O822" i="72"/>
  <c r="N695" i="72"/>
  <c r="N703" i="72"/>
  <c r="O703" i="72"/>
  <c r="N711" i="72"/>
  <c r="O711" i="72"/>
  <c r="P711" i="72"/>
  <c r="Q711" i="72"/>
  <c r="N719" i="72"/>
  <c r="N727" i="72"/>
  <c r="O727" i="72"/>
  <c r="N735" i="72"/>
  <c r="N743" i="72"/>
  <c r="O743" i="72"/>
  <c r="P743" i="72"/>
  <c r="N751" i="72"/>
  <c r="O751" i="72"/>
  <c r="P751" i="72"/>
  <c r="N759" i="72"/>
  <c r="N767" i="72"/>
  <c r="O767" i="72"/>
  <c r="N775" i="72"/>
  <c r="O775" i="72"/>
  <c r="P775" i="72"/>
  <c r="Q775" i="72"/>
  <c r="N783" i="72"/>
  <c r="N791" i="72"/>
  <c r="O791" i="72"/>
  <c r="P791" i="72"/>
  <c r="N799" i="72"/>
  <c r="O799" i="72"/>
  <c r="N807" i="72"/>
  <c r="O807" i="72"/>
  <c r="P807" i="72"/>
  <c r="N815" i="72"/>
  <c r="O815" i="72"/>
  <c r="P815" i="72"/>
  <c r="Q815" i="72"/>
  <c r="N823" i="72"/>
  <c r="O823" i="72"/>
  <c r="N831" i="72"/>
  <c r="O831" i="72"/>
  <c r="N696" i="72"/>
  <c r="O696" i="72"/>
  <c r="N704" i="72"/>
  <c r="O704" i="72"/>
  <c r="P704" i="72"/>
  <c r="Q704" i="72"/>
  <c r="N712" i="72"/>
  <c r="N720" i="72"/>
  <c r="O720" i="72"/>
  <c r="P720" i="72"/>
  <c r="N728" i="72"/>
  <c r="O728" i="72"/>
  <c r="N736" i="72"/>
  <c r="O736" i="72"/>
  <c r="P736" i="72"/>
  <c r="Q736" i="72"/>
  <c r="N744" i="72"/>
  <c r="O744" i="72"/>
  <c r="N752" i="72"/>
  <c r="O752" i="72"/>
  <c r="N760" i="72"/>
  <c r="O760" i="72"/>
  <c r="N768" i="72"/>
  <c r="N776" i="72"/>
  <c r="N784" i="72"/>
  <c r="O784" i="72"/>
  <c r="P784" i="72"/>
  <c r="Q784" i="72"/>
  <c r="N792" i="72"/>
  <c r="O792" i="72"/>
  <c r="N800" i="72"/>
  <c r="O800" i="72"/>
  <c r="P800" i="72"/>
  <c r="N808" i="72"/>
  <c r="N816" i="72"/>
  <c r="O816" i="72"/>
  <c r="P816" i="72"/>
  <c r="Q816" i="72"/>
  <c r="R816" i="72"/>
  <c r="N824" i="72"/>
  <c r="O824" i="72"/>
  <c r="N832" i="72"/>
  <c r="N840" i="72"/>
  <c r="N848" i="72"/>
  <c r="O848" i="72"/>
  <c r="N856" i="72"/>
  <c r="O856" i="72"/>
  <c r="N864" i="72"/>
  <c r="O864" i="72"/>
  <c r="N872" i="72"/>
  <c r="N880" i="72"/>
  <c r="O880" i="72"/>
  <c r="N888" i="72"/>
  <c r="O888" i="72"/>
  <c r="N896" i="72"/>
  <c r="O896" i="72"/>
  <c r="P896" i="72"/>
  <c r="N904" i="72"/>
  <c r="O912" i="72"/>
  <c r="N850" i="72"/>
  <c r="O850" i="72"/>
  <c r="P850" i="72"/>
  <c r="N890" i="72"/>
  <c r="O890" i="72"/>
  <c r="N853" i="72"/>
  <c r="N861" i="72"/>
  <c r="O861" i="72"/>
  <c r="N838" i="72"/>
  <c r="N854" i="72"/>
  <c r="N870" i="72"/>
  <c r="N878" i="72"/>
  <c r="O878" i="72"/>
  <c r="P878" i="72"/>
  <c r="Q878" i="72"/>
  <c r="N886" i="72"/>
  <c r="O886" i="72"/>
  <c r="P886" i="72"/>
  <c r="N902" i="72"/>
  <c r="O902" i="72"/>
  <c r="N910" i="72"/>
  <c r="O910" i="72"/>
  <c r="P910" i="72"/>
  <c r="Q910" i="72"/>
  <c r="N863" i="72"/>
  <c r="O863" i="72"/>
  <c r="N871" i="72"/>
  <c r="N879" i="72"/>
  <c r="N887" i="72"/>
  <c r="N895" i="72"/>
  <c r="O895" i="72"/>
  <c r="N903" i="72"/>
  <c r="O903" i="72"/>
  <c r="P903" i="72"/>
  <c r="O911" i="72"/>
  <c r="O919" i="72"/>
  <c r="N771" i="72"/>
  <c r="N883" i="72"/>
  <c r="O883" i="72"/>
  <c r="N899" i="72"/>
  <c r="N980" i="72"/>
  <c r="O980" i="72"/>
  <c r="N997" i="72"/>
  <c r="N1031" i="72"/>
  <c r="O1039" i="72"/>
  <c r="O1055" i="72"/>
  <c r="N884" i="72"/>
  <c r="N892" i="72"/>
  <c r="N900" i="72"/>
  <c r="N924" i="72"/>
  <c r="O924" i="72"/>
  <c r="N998" i="72"/>
  <c r="N1014" i="72"/>
  <c r="N1032" i="72"/>
  <c r="N1048" i="72"/>
  <c r="N1064" i="72"/>
  <c r="O1074" i="72"/>
  <c r="P1074" i="72"/>
  <c r="O858" i="72"/>
  <c r="O814" i="72"/>
  <c r="O1066" i="72"/>
  <c r="N773" i="72"/>
  <c r="N855" i="72"/>
  <c r="N976" i="72"/>
  <c r="O976" i="72"/>
  <c r="O698" i="72"/>
  <c r="P698" i="72"/>
  <c r="Q698" i="72"/>
  <c r="O738" i="72"/>
  <c r="O778" i="72"/>
  <c r="O818" i="72"/>
  <c r="O834" i="72"/>
  <c r="P834" i="72"/>
  <c r="O922" i="72"/>
  <c r="O699" i="72"/>
  <c r="P699" i="72"/>
  <c r="Q699" i="72"/>
  <c r="R699" i="72"/>
  <c r="O739" i="72"/>
  <c r="O779" i="72"/>
  <c r="O803" i="72"/>
  <c r="O875" i="72"/>
  <c r="O891" i="72"/>
  <c r="O923" i="72"/>
  <c r="P923" i="72"/>
  <c r="Q923" i="72"/>
  <c r="R923" i="72"/>
  <c r="P707" i="72"/>
  <c r="O715" i="72"/>
  <c r="O763" i="72"/>
  <c r="O907" i="72"/>
  <c r="N693" i="72"/>
  <c r="N757" i="72"/>
  <c r="N821" i="72"/>
  <c r="O837" i="72"/>
  <c r="O869" i="72"/>
  <c r="N885" i="72"/>
  <c r="N965" i="72"/>
  <c r="O965" i="72"/>
  <c r="N973" i="72"/>
  <c r="O973" i="72"/>
  <c r="N981" i="72"/>
  <c r="O981" i="72"/>
  <c r="N1013" i="72"/>
  <c r="N1021" i="72"/>
  <c r="N1029" i="72"/>
  <c r="N1037" i="72"/>
  <c r="N1045" i="72"/>
  <c r="O1053" i="72"/>
  <c r="O1061" i="72"/>
  <c r="O1069" i="72"/>
  <c r="N1077" i="72"/>
  <c r="O898" i="72"/>
  <c r="N748" i="72"/>
  <c r="N812" i="72"/>
  <c r="N876" i="72"/>
  <c r="N972" i="72"/>
  <c r="O972" i="72"/>
  <c r="N1004" i="72"/>
  <c r="N1036" i="72"/>
  <c r="N1068" i="72"/>
  <c r="N844" i="72"/>
  <c r="O694" i="72"/>
  <c r="N702" i="72"/>
  <c r="O758" i="72"/>
  <c r="N766" i="72"/>
  <c r="O790" i="72"/>
  <c r="N830" i="72"/>
  <c r="O846" i="72"/>
  <c r="O862" i="72"/>
  <c r="N894" i="72"/>
  <c r="O894" i="72"/>
  <c r="P894" i="72"/>
  <c r="N926" i="72"/>
  <c r="O926" i="72"/>
  <c r="N958" i="72"/>
  <c r="O958" i="72"/>
  <c r="N966" i="72"/>
  <c r="O966" i="72"/>
  <c r="N974" i="72"/>
  <c r="O974" i="72"/>
  <c r="N982" i="72"/>
  <c r="N990" i="72"/>
  <c r="N1022" i="72"/>
  <c r="N1030" i="72"/>
  <c r="N1038" i="72"/>
  <c r="N1046" i="72"/>
  <c r="N1054" i="72"/>
  <c r="O1070" i="72"/>
  <c r="N1020" i="72"/>
  <c r="N700" i="72"/>
  <c r="N805" i="72"/>
  <c r="N836" i="72"/>
  <c r="N845" i="72"/>
  <c r="N893" i="72"/>
  <c r="N925" i="72"/>
  <c r="O925" i="72"/>
  <c r="N964" i="72"/>
  <c r="O964" i="72"/>
  <c r="N988" i="72"/>
  <c r="N1012" i="72"/>
  <c r="N1076" i="72"/>
  <c r="N708" i="72"/>
  <c r="N692" i="72"/>
  <c r="N740" i="72"/>
  <c r="N780" i="72"/>
  <c r="N828" i="72"/>
  <c r="N1052" i="72"/>
  <c r="O798" i="72"/>
  <c r="O1047" i="72"/>
  <c r="O723" i="72"/>
  <c r="O920" i="72"/>
  <c r="O1040" i="72"/>
  <c r="O1056" i="72"/>
  <c r="N697" i="72"/>
  <c r="N705" i="72"/>
  <c r="N713" i="72"/>
  <c r="N721" i="72"/>
  <c r="N729" i="72"/>
  <c r="N737" i="72"/>
  <c r="N745" i="72"/>
  <c r="N753" i="72"/>
  <c r="N761" i="72"/>
  <c r="N769" i="72"/>
  <c r="N777" i="72"/>
  <c r="N785" i="72"/>
  <c r="N793" i="72"/>
  <c r="N801" i="72"/>
  <c r="N809" i="72"/>
  <c r="N817" i="72"/>
  <c r="N825" i="72"/>
  <c r="N833" i="72"/>
  <c r="N841" i="72"/>
  <c r="N849" i="72"/>
  <c r="N857" i="72"/>
  <c r="N865" i="72"/>
  <c r="N873" i="72"/>
  <c r="N881" i="72"/>
  <c r="N889" i="72"/>
  <c r="N897" i="72"/>
  <c r="N945" i="72"/>
  <c r="O945" i="72"/>
  <c r="N961" i="72"/>
  <c r="O961" i="72"/>
  <c r="N969" i="72"/>
  <c r="O969" i="72"/>
  <c r="N977" i="72"/>
  <c r="O977" i="72"/>
  <c r="N985" i="72"/>
  <c r="N993" i="72"/>
  <c r="N1001" i="72"/>
  <c r="N1009" i="72"/>
  <c r="N1017" i="72"/>
  <c r="N1033" i="72"/>
  <c r="N1041" i="72"/>
  <c r="N1049" i="72"/>
  <c r="N1057" i="72"/>
  <c r="N1065" i="72"/>
  <c r="N1073" i="72"/>
  <c r="N1081" i="72"/>
  <c r="O951" i="72"/>
  <c r="P951" i="72"/>
  <c r="P706" i="72"/>
  <c r="O906" i="72"/>
  <c r="P1034" i="72"/>
  <c r="O1058" i="72"/>
  <c r="O754" i="72"/>
  <c r="O866" i="72"/>
  <c r="O1071" i="72"/>
  <c r="P731" i="72"/>
  <c r="P747" i="72"/>
  <c r="P795" i="72"/>
  <c r="P811" i="72"/>
  <c r="O819" i="72"/>
  <c r="O835" i="72"/>
  <c r="O851" i="72"/>
  <c r="O915" i="72"/>
  <c r="O1011" i="72"/>
  <c r="O691" i="72"/>
  <c r="O755" i="72"/>
  <c r="O794" i="72"/>
  <c r="O867" i="72"/>
  <c r="O882" i="72"/>
  <c r="O1050" i="72"/>
  <c r="N3" i="72"/>
  <c r="O3" i="72"/>
  <c r="I1344" i="72"/>
  <c r="J1344" i="72"/>
  <c r="K1344" i="72"/>
  <c r="I1343" i="72"/>
  <c r="J1343" i="72"/>
  <c r="K1343" i="72"/>
  <c r="I1342" i="72"/>
  <c r="J1342" i="72"/>
  <c r="K1342" i="72"/>
  <c r="I1341" i="72"/>
  <c r="J1341" i="72"/>
  <c r="K1341" i="72"/>
  <c r="L1341" i="72"/>
  <c r="H1340" i="72"/>
  <c r="H1339" i="72"/>
  <c r="I1339" i="72"/>
  <c r="J1339" i="72"/>
  <c r="I1338" i="72"/>
  <c r="J1338" i="72"/>
  <c r="K1338" i="72"/>
  <c r="L1338" i="72"/>
  <c r="I1337" i="72"/>
  <c r="J1337" i="72"/>
  <c r="K1337" i="72"/>
  <c r="L1337" i="72"/>
  <c r="I1336" i="72"/>
  <c r="J1336" i="72"/>
  <c r="K1336" i="72"/>
  <c r="L1336" i="72"/>
  <c r="I1335" i="72"/>
  <c r="J1335" i="72"/>
  <c r="K1335" i="72"/>
  <c r="L1335" i="72"/>
  <c r="I1334" i="72"/>
  <c r="J1334" i="72"/>
  <c r="K1334" i="72"/>
  <c r="L1334" i="72"/>
  <c r="I1333" i="72"/>
  <c r="J1333" i="72"/>
  <c r="K1333" i="72"/>
  <c r="L1333" i="72"/>
  <c r="I1332" i="72"/>
  <c r="J1332" i="72"/>
  <c r="K1332" i="72"/>
  <c r="L1332" i="72"/>
  <c r="I1331" i="72"/>
  <c r="J1331" i="72"/>
  <c r="K1331" i="72"/>
  <c r="L1331" i="72"/>
  <c r="I1330" i="72"/>
  <c r="J1330" i="72"/>
  <c r="K1330" i="72"/>
  <c r="L1330" i="72"/>
  <c r="I1329" i="72"/>
  <c r="J1329" i="72"/>
  <c r="K1329" i="72"/>
  <c r="L1329" i="72"/>
  <c r="I1328" i="72"/>
  <c r="J1328" i="72"/>
  <c r="K1328" i="72"/>
  <c r="L1328" i="72"/>
  <c r="I1327" i="72"/>
  <c r="J1327" i="72"/>
  <c r="K1327" i="72"/>
  <c r="L1327" i="72"/>
  <c r="I1326" i="72"/>
  <c r="J1326" i="72"/>
  <c r="K1326" i="72"/>
  <c r="L1326" i="72"/>
  <c r="I1325" i="72"/>
  <c r="J1325" i="72"/>
  <c r="K1325" i="72"/>
  <c r="L1325" i="72"/>
  <c r="I1324" i="72"/>
  <c r="J1324" i="72"/>
  <c r="K1324" i="72"/>
  <c r="L1324" i="72"/>
  <c r="I1323" i="72"/>
  <c r="J1323" i="72"/>
  <c r="K1323" i="72"/>
  <c r="L1323" i="72"/>
  <c r="I1322" i="72"/>
  <c r="J1322" i="72"/>
  <c r="K1322" i="72"/>
  <c r="L1322" i="72"/>
  <c r="I1321" i="72"/>
  <c r="J1321" i="72"/>
  <c r="K1321" i="72"/>
  <c r="L1321" i="72"/>
  <c r="I1320" i="72"/>
  <c r="J1320" i="72"/>
  <c r="K1320" i="72"/>
  <c r="L1320" i="72"/>
  <c r="M1320" i="72"/>
  <c r="I1319" i="72"/>
  <c r="J1319" i="72"/>
  <c r="K1319" i="72"/>
  <c r="L1319" i="72"/>
  <c r="I1318" i="72"/>
  <c r="J1318" i="72"/>
  <c r="K1318" i="72"/>
  <c r="L1318" i="72"/>
  <c r="I1317" i="72"/>
  <c r="J1317" i="72"/>
  <c r="K1317" i="72"/>
  <c r="L1317" i="72"/>
  <c r="M1317" i="72"/>
  <c r="I1316" i="72"/>
  <c r="J1316" i="72"/>
  <c r="K1316" i="72"/>
  <c r="L1316" i="72"/>
  <c r="H1315" i="72"/>
  <c r="I1315" i="72"/>
  <c r="J1315" i="72"/>
  <c r="K1315" i="72"/>
  <c r="L1315" i="72"/>
  <c r="H1314" i="72"/>
  <c r="H1313" i="72"/>
  <c r="H1312" i="72"/>
  <c r="I1312" i="72"/>
  <c r="J1312" i="72"/>
  <c r="H1311" i="72"/>
  <c r="I1311" i="72"/>
  <c r="J1311" i="72"/>
  <c r="I1310" i="72"/>
  <c r="J1310" i="72"/>
  <c r="K1310" i="72"/>
  <c r="L1310" i="72"/>
  <c r="I1309" i="72"/>
  <c r="J1309" i="72"/>
  <c r="K1309" i="72"/>
  <c r="L1309" i="72"/>
  <c r="I1308" i="72"/>
  <c r="J1308" i="72"/>
  <c r="K1308" i="72"/>
  <c r="L1308" i="72"/>
  <c r="I1307" i="72"/>
  <c r="J1307" i="72"/>
  <c r="K1307" i="72"/>
  <c r="L1307" i="72"/>
  <c r="H1306" i="72"/>
  <c r="I1306" i="72"/>
  <c r="J1306" i="72"/>
  <c r="H1305" i="72"/>
  <c r="I1305" i="72"/>
  <c r="J1305" i="72"/>
  <c r="K1305" i="72"/>
  <c r="L1305" i="72"/>
  <c r="I1304" i="72"/>
  <c r="J1304" i="72"/>
  <c r="K1304" i="72"/>
  <c r="L1304" i="72"/>
  <c r="I1303" i="72"/>
  <c r="J1303" i="72"/>
  <c r="K1303" i="72"/>
  <c r="L1303" i="72"/>
  <c r="I1302" i="72"/>
  <c r="J1302" i="72"/>
  <c r="K1302" i="72"/>
  <c r="L1302" i="72"/>
  <c r="I1301" i="72"/>
  <c r="J1301" i="72"/>
  <c r="K1301" i="72"/>
  <c r="L1301" i="72"/>
  <c r="I1300" i="72"/>
  <c r="J1300" i="72"/>
  <c r="K1300" i="72"/>
  <c r="L1300" i="72"/>
  <c r="M1300" i="72"/>
  <c r="I1299" i="72"/>
  <c r="J1299" i="72"/>
  <c r="K1299" i="72"/>
  <c r="L1299" i="72"/>
  <c r="M1299" i="72"/>
  <c r="I1298" i="72"/>
  <c r="J1298" i="72"/>
  <c r="K1298" i="72"/>
  <c r="L1298" i="72"/>
  <c r="M1298" i="72"/>
  <c r="H1297" i="72"/>
  <c r="H1296" i="72"/>
  <c r="I1295" i="72"/>
  <c r="J1295" i="72"/>
  <c r="K1295" i="72"/>
  <c r="L1295" i="72"/>
  <c r="I1294" i="72"/>
  <c r="J1294" i="72"/>
  <c r="K1294" i="72"/>
  <c r="L1294" i="72"/>
  <c r="I1293" i="72"/>
  <c r="J1293" i="72"/>
  <c r="K1293" i="72"/>
  <c r="L1293" i="72"/>
  <c r="I1292" i="72"/>
  <c r="J1292" i="72"/>
  <c r="K1292" i="72"/>
  <c r="L1292" i="72"/>
  <c r="I1291" i="72"/>
  <c r="J1291" i="72"/>
  <c r="K1291" i="72"/>
  <c r="L1291" i="72"/>
  <c r="I1290" i="72"/>
  <c r="J1290" i="72"/>
  <c r="K1290" i="72"/>
  <c r="L1290" i="72"/>
  <c r="I1289" i="72"/>
  <c r="J1289" i="72"/>
  <c r="K1289" i="72"/>
  <c r="L1289" i="72"/>
  <c r="M1289" i="72"/>
  <c r="I1288" i="72"/>
  <c r="J1288" i="72"/>
  <c r="K1288" i="72"/>
  <c r="L1288" i="72"/>
  <c r="I1287" i="72"/>
  <c r="J1287" i="72"/>
  <c r="K1287" i="72"/>
  <c r="L1287" i="72"/>
  <c r="I1286" i="72"/>
  <c r="J1286" i="72"/>
  <c r="K1286" i="72"/>
  <c r="L1286" i="72"/>
  <c r="I1285" i="72"/>
  <c r="J1285" i="72"/>
  <c r="K1285" i="72"/>
  <c r="L1285" i="72"/>
  <c r="I1284" i="72"/>
  <c r="J1284" i="72"/>
  <c r="K1284" i="72"/>
  <c r="L1284" i="72"/>
  <c r="I1283" i="72"/>
  <c r="J1283" i="72"/>
  <c r="K1283" i="72"/>
  <c r="L1283" i="72"/>
  <c r="I1282" i="72"/>
  <c r="J1282" i="72"/>
  <c r="K1282" i="72"/>
  <c r="L1282" i="72"/>
  <c r="I1281" i="72"/>
  <c r="J1281" i="72"/>
  <c r="K1281" i="72"/>
  <c r="L1281" i="72"/>
  <c r="I1280" i="72"/>
  <c r="J1280" i="72"/>
  <c r="K1280" i="72"/>
  <c r="L1280" i="72"/>
  <c r="I1279" i="72"/>
  <c r="J1279" i="72"/>
  <c r="K1279" i="72"/>
  <c r="L1279" i="72"/>
  <c r="I1278" i="72"/>
  <c r="J1278" i="72"/>
  <c r="K1278" i="72"/>
  <c r="L1278" i="72"/>
  <c r="I1277" i="72"/>
  <c r="J1277" i="72"/>
  <c r="K1277" i="72"/>
  <c r="L1277" i="72"/>
  <c r="I1276" i="72"/>
  <c r="J1276" i="72"/>
  <c r="K1276" i="72"/>
  <c r="L1276" i="72"/>
  <c r="I1275" i="72"/>
  <c r="J1275" i="72"/>
  <c r="K1275" i="72"/>
  <c r="L1275" i="72"/>
  <c r="I1274" i="72"/>
  <c r="J1274" i="72"/>
  <c r="K1274" i="72"/>
  <c r="L1274" i="72"/>
  <c r="I1273" i="72"/>
  <c r="J1273" i="72"/>
  <c r="K1273" i="72"/>
  <c r="I1272" i="72"/>
  <c r="J1272" i="72"/>
  <c r="K1272" i="72"/>
  <c r="L1272" i="72"/>
  <c r="I1271" i="72"/>
  <c r="J1271" i="72"/>
  <c r="K1271" i="72"/>
  <c r="L1271" i="72"/>
  <c r="I1270" i="72"/>
  <c r="J1270" i="72"/>
  <c r="K1270" i="72"/>
  <c r="L1270" i="72"/>
  <c r="I1269" i="72"/>
  <c r="J1269" i="72"/>
  <c r="K1269" i="72"/>
  <c r="L1269" i="72"/>
  <c r="I1268" i="72"/>
  <c r="J1268" i="72"/>
  <c r="K1268" i="72"/>
  <c r="L1268" i="72"/>
  <c r="I1267" i="72"/>
  <c r="J1267" i="72"/>
  <c r="K1267" i="72"/>
  <c r="L1267" i="72"/>
  <c r="M1267" i="72"/>
  <c r="I1266" i="72"/>
  <c r="J1266" i="72"/>
  <c r="K1266" i="72"/>
  <c r="L1266" i="72"/>
  <c r="M1266" i="72"/>
  <c r="I1265" i="72"/>
  <c r="J1265" i="72"/>
  <c r="K1265" i="72"/>
  <c r="L1265" i="72"/>
  <c r="M1265" i="72"/>
  <c r="I1264" i="72"/>
  <c r="J1264" i="72"/>
  <c r="K1264" i="72"/>
  <c r="L1264" i="72"/>
  <c r="M1264" i="72"/>
  <c r="I1263" i="72"/>
  <c r="J1263" i="72"/>
  <c r="K1263" i="72"/>
  <c r="L1263" i="72"/>
  <c r="I1262" i="72"/>
  <c r="J1262" i="72"/>
  <c r="K1262" i="72"/>
  <c r="L1262" i="72"/>
  <c r="I1261" i="72"/>
  <c r="J1261" i="72"/>
  <c r="K1261" i="72"/>
  <c r="L1261" i="72"/>
  <c r="I1260" i="72"/>
  <c r="J1260" i="72"/>
  <c r="K1260" i="72"/>
  <c r="L1260" i="72"/>
  <c r="I1259" i="72"/>
  <c r="J1259" i="72"/>
  <c r="K1259" i="72"/>
  <c r="L1259" i="72"/>
  <c r="I1258" i="72"/>
  <c r="J1258" i="72"/>
  <c r="K1258" i="72"/>
  <c r="L1258" i="72"/>
  <c r="I1257" i="72"/>
  <c r="J1257" i="72"/>
  <c r="K1257" i="72"/>
  <c r="L1257" i="72"/>
  <c r="I1256" i="72"/>
  <c r="J1256" i="72"/>
  <c r="K1256" i="72"/>
  <c r="L1256" i="72"/>
  <c r="I1255" i="72"/>
  <c r="J1255" i="72"/>
  <c r="K1255" i="72"/>
  <c r="L1255" i="72"/>
  <c r="I1254" i="72"/>
  <c r="J1254" i="72"/>
  <c r="K1254" i="72"/>
  <c r="L1254" i="72"/>
  <c r="I1253" i="72"/>
  <c r="J1253" i="72"/>
  <c r="K1253" i="72"/>
  <c r="L1253" i="72"/>
  <c r="I1252" i="72"/>
  <c r="J1252" i="72"/>
  <c r="K1252" i="72"/>
  <c r="L1252" i="72"/>
  <c r="I1251" i="72"/>
  <c r="J1251" i="72"/>
  <c r="K1251" i="72"/>
  <c r="L1251" i="72"/>
  <c r="I1250" i="72"/>
  <c r="J1250" i="72"/>
  <c r="K1250" i="72"/>
  <c r="L1250" i="72"/>
  <c r="I1249" i="72"/>
  <c r="J1249" i="72"/>
  <c r="K1249" i="72"/>
  <c r="L1249" i="72"/>
  <c r="I1248" i="72"/>
  <c r="J1248" i="72"/>
  <c r="K1248" i="72"/>
  <c r="L1248" i="72"/>
  <c r="I1247" i="72"/>
  <c r="J1247" i="72"/>
  <c r="K1247" i="72"/>
  <c r="L1247" i="72"/>
  <c r="I1246" i="72"/>
  <c r="J1246" i="72"/>
  <c r="K1246" i="72"/>
  <c r="L1246" i="72"/>
  <c r="I1245" i="72"/>
  <c r="J1245" i="72"/>
  <c r="K1245" i="72"/>
  <c r="L1245" i="72"/>
  <c r="I1244" i="72"/>
  <c r="J1244" i="72"/>
  <c r="K1244" i="72"/>
  <c r="L1244" i="72"/>
  <c r="I1243" i="72"/>
  <c r="J1243" i="72"/>
  <c r="K1243" i="72"/>
  <c r="L1243" i="72"/>
  <c r="I1242" i="72"/>
  <c r="J1242" i="72"/>
  <c r="K1242" i="72"/>
  <c r="L1242" i="72"/>
  <c r="I1241" i="72"/>
  <c r="J1241" i="72"/>
  <c r="K1241" i="72"/>
  <c r="L1241" i="72"/>
  <c r="I1240" i="72"/>
  <c r="J1240" i="72"/>
  <c r="K1240" i="72"/>
  <c r="L1240" i="72"/>
  <c r="I1239" i="72"/>
  <c r="J1239" i="72"/>
  <c r="K1239" i="72"/>
  <c r="L1239" i="72"/>
  <c r="I1238" i="72"/>
  <c r="J1238" i="72"/>
  <c r="K1238" i="72"/>
  <c r="L1238" i="72"/>
  <c r="I1237" i="72"/>
  <c r="J1237" i="72"/>
  <c r="K1237" i="72"/>
  <c r="L1237" i="72"/>
  <c r="I1236" i="72"/>
  <c r="J1236" i="72"/>
  <c r="K1236" i="72"/>
  <c r="L1236" i="72"/>
  <c r="I1235" i="72"/>
  <c r="J1235" i="72"/>
  <c r="K1235" i="72"/>
  <c r="L1235" i="72"/>
  <c r="I1234" i="72"/>
  <c r="J1234" i="72"/>
  <c r="K1234" i="72"/>
  <c r="L1234" i="72"/>
  <c r="I1233" i="72"/>
  <c r="J1233" i="72"/>
  <c r="K1233" i="72"/>
  <c r="L1233" i="72"/>
  <c r="I1232" i="72"/>
  <c r="J1232" i="72"/>
  <c r="K1232" i="72"/>
  <c r="L1232" i="72"/>
  <c r="I1231" i="72"/>
  <c r="J1231" i="72"/>
  <c r="K1231" i="72"/>
  <c r="L1231" i="72"/>
  <c r="I1230" i="72"/>
  <c r="J1230" i="72"/>
  <c r="K1230" i="72"/>
  <c r="L1230" i="72"/>
  <c r="I1229" i="72"/>
  <c r="J1229" i="72"/>
  <c r="K1229" i="72"/>
  <c r="I1228" i="72"/>
  <c r="J1228" i="72"/>
  <c r="K1228" i="72"/>
  <c r="L1228" i="72"/>
  <c r="I1227" i="72"/>
  <c r="J1227" i="72"/>
  <c r="K1227" i="72"/>
  <c r="L1227" i="72"/>
  <c r="M1227" i="72"/>
  <c r="I1226" i="72"/>
  <c r="J1226" i="72"/>
  <c r="K1226" i="72"/>
  <c r="L1226" i="72"/>
  <c r="I1225" i="72"/>
  <c r="J1225" i="72"/>
  <c r="K1225" i="72"/>
  <c r="L1225" i="72"/>
  <c r="I1224" i="72"/>
  <c r="J1224" i="72"/>
  <c r="K1224" i="72"/>
  <c r="L1224" i="72"/>
  <c r="I1223" i="72"/>
  <c r="J1223" i="72"/>
  <c r="K1223" i="72"/>
  <c r="L1223" i="72"/>
  <c r="I1222" i="72"/>
  <c r="J1222" i="72"/>
  <c r="K1222" i="72"/>
  <c r="L1222" i="72"/>
  <c r="I1221" i="72"/>
  <c r="J1221" i="72"/>
  <c r="K1221" i="72"/>
  <c r="L1221" i="72"/>
  <c r="I1220" i="72"/>
  <c r="J1220" i="72"/>
  <c r="K1220" i="72"/>
  <c r="L1220" i="72"/>
  <c r="I1219" i="72"/>
  <c r="J1219" i="72"/>
  <c r="K1219" i="72"/>
  <c r="L1219" i="72"/>
  <c r="I1218" i="72"/>
  <c r="J1218" i="72"/>
  <c r="K1218" i="72"/>
  <c r="I1217" i="72"/>
  <c r="J1217" i="72"/>
  <c r="K1217" i="72"/>
  <c r="L1217" i="72"/>
  <c r="I1216" i="72"/>
  <c r="J1216" i="72"/>
  <c r="K1216" i="72"/>
  <c r="L1216" i="72"/>
  <c r="I1215" i="72"/>
  <c r="J1215" i="72"/>
  <c r="K1215" i="72"/>
  <c r="L1215" i="72"/>
  <c r="I1214" i="72"/>
  <c r="J1214" i="72"/>
  <c r="K1214" i="72"/>
  <c r="L1214" i="72"/>
  <c r="I1213" i="72"/>
  <c r="J1213" i="72"/>
  <c r="K1213" i="72"/>
  <c r="L1213" i="72"/>
  <c r="I1212" i="72"/>
  <c r="J1212" i="72"/>
  <c r="K1212" i="72"/>
  <c r="L1212" i="72"/>
  <c r="I1211" i="72"/>
  <c r="J1211" i="72"/>
  <c r="K1211" i="72"/>
  <c r="L1211" i="72"/>
  <c r="I1210" i="72"/>
  <c r="J1210" i="72"/>
  <c r="K1210" i="72"/>
  <c r="L1210" i="72"/>
  <c r="I1209" i="72"/>
  <c r="J1209" i="72"/>
  <c r="K1209" i="72"/>
  <c r="L1209" i="72"/>
  <c r="I1208" i="72"/>
  <c r="J1208" i="72"/>
  <c r="K1208" i="72"/>
  <c r="L1208" i="72"/>
  <c r="I1207" i="72"/>
  <c r="J1207" i="72"/>
  <c r="K1207" i="72"/>
  <c r="L1207" i="72"/>
  <c r="I1206" i="72"/>
  <c r="J1206" i="72"/>
  <c r="K1206" i="72"/>
  <c r="L1206" i="72"/>
  <c r="I1205" i="72"/>
  <c r="J1205" i="72"/>
  <c r="K1205" i="72"/>
  <c r="L1205" i="72"/>
  <c r="I1204" i="72"/>
  <c r="J1204" i="72"/>
  <c r="K1204" i="72"/>
  <c r="L1204" i="72"/>
  <c r="I1203" i="72"/>
  <c r="J1203" i="72"/>
  <c r="K1203" i="72"/>
  <c r="L1203" i="72"/>
  <c r="I1202" i="72"/>
  <c r="J1202" i="72"/>
  <c r="K1202" i="72"/>
  <c r="L1202" i="72"/>
  <c r="I1201" i="72"/>
  <c r="J1201" i="72"/>
  <c r="K1201" i="72"/>
  <c r="L1201" i="72"/>
  <c r="I1200" i="72"/>
  <c r="J1200" i="72"/>
  <c r="K1200" i="72"/>
  <c r="L1200" i="72"/>
  <c r="I1199" i="72"/>
  <c r="J1199" i="72"/>
  <c r="K1199" i="72"/>
  <c r="L1199" i="72"/>
  <c r="I1198" i="72"/>
  <c r="J1198" i="72"/>
  <c r="K1198" i="72"/>
  <c r="L1198" i="72"/>
  <c r="I1197" i="72"/>
  <c r="J1197" i="72"/>
  <c r="K1197" i="72"/>
  <c r="L1197" i="72"/>
  <c r="I1196" i="72"/>
  <c r="J1196" i="72"/>
  <c r="K1196" i="72"/>
  <c r="L1196" i="72"/>
  <c r="I1195" i="72"/>
  <c r="J1195" i="72"/>
  <c r="K1195" i="72"/>
  <c r="L1195" i="72"/>
  <c r="I1194" i="72"/>
  <c r="J1194" i="72"/>
  <c r="K1194" i="72"/>
  <c r="L1194" i="72"/>
  <c r="I1193" i="72"/>
  <c r="J1193" i="72"/>
  <c r="K1193" i="72"/>
  <c r="L1193" i="72"/>
  <c r="I1192" i="72"/>
  <c r="J1192" i="72"/>
  <c r="K1192" i="72"/>
  <c r="L1192" i="72"/>
  <c r="I1191" i="72"/>
  <c r="J1191" i="72"/>
  <c r="K1191" i="72"/>
  <c r="L1191" i="72"/>
  <c r="I1190" i="72"/>
  <c r="J1190" i="72"/>
  <c r="K1190" i="72"/>
  <c r="L1190" i="72"/>
  <c r="I1189" i="72"/>
  <c r="J1189" i="72"/>
  <c r="K1189" i="72"/>
  <c r="L1189" i="72"/>
  <c r="I1188" i="72"/>
  <c r="J1188" i="72"/>
  <c r="K1188" i="72"/>
  <c r="L1188" i="72"/>
  <c r="I1187" i="72"/>
  <c r="J1187" i="72"/>
  <c r="K1187" i="72"/>
  <c r="L1187" i="72"/>
  <c r="K1186" i="72"/>
  <c r="L1186" i="72"/>
  <c r="I1186" i="72"/>
  <c r="K1185" i="72"/>
  <c r="L1185" i="72"/>
  <c r="I1185" i="72"/>
  <c r="I1184" i="72"/>
  <c r="J1184" i="72"/>
  <c r="K1184" i="72"/>
  <c r="L1184" i="72"/>
  <c r="I1183" i="72"/>
  <c r="J1183" i="72"/>
  <c r="K1183" i="72"/>
  <c r="L1183" i="72"/>
  <c r="I1182" i="72"/>
  <c r="J1182" i="72"/>
  <c r="K1182" i="72"/>
  <c r="L1182" i="72"/>
  <c r="I1181" i="72"/>
  <c r="J1181" i="72"/>
  <c r="K1181" i="72"/>
  <c r="L1181" i="72"/>
  <c r="I1180" i="72"/>
  <c r="J1180" i="72"/>
  <c r="K1180" i="72"/>
  <c r="L1180" i="72"/>
  <c r="I1179" i="72"/>
  <c r="J1179" i="72"/>
  <c r="K1179" i="72"/>
  <c r="L1179" i="72"/>
  <c r="I1178" i="72"/>
  <c r="J1178" i="72"/>
  <c r="K1178" i="72"/>
  <c r="L1178" i="72"/>
  <c r="I1177" i="72"/>
  <c r="J1177" i="72"/>
  <c r="K1177" i="72"/>
  <c r="L1177" i="72"/>
  <c r="I1176" i="72"/>
  <c r="J1176" i="72"/>
  <c r="K1176" i="72"/>
  <c r="L1176" i="72"/>
  <c r="I1175" i="72"/>
  <c r="J1175" i="72"/>
  <c r="K1175" i="72"/>
  <c r="L1175" i="72"/>
  <c r="M1175" i="72"/>
  <c r="I1174" i="72"/>
  <c r="J1174" i="72"/>
  <c r="K1174" i="72"/>
  <c r="L1174" i="72"/>
  <c r="I1173" i="72"/>
  <c r="J1173" i="72"/>
  <c r="K1173" i="72"/>
  <c r="L1173" i="72"/>
  <c r="I1172" i="72"/>
  <c r="J1172" i="72"/>
  <c r="K1172" i="72"/>
  <c r="L1172" i="72"/>
  <c r="I1171" i="72"/>
  <c r="J1171" i="72"/>
  <c r="K1171" i="72"/>
  <c r="L1171" i="72"/>
  <c r="I1170" i="72"/>
  <c r="J1170" i="72"/>
  <c r="K1170" i="72"/>
  <c r="L1170" i="72"/>
  <c r="I1169" i="72"/>
  <c r="J1169" i="72"/>
  <c r="K1169" i="72"/>
  <c r="L1169" i="72"/>
  <c r="I1168" i="72"/>
  <c r="J1168" i="72"/>
  <c r="K1168" i="72"/>
  <c r="L1168" i="72"/>
  <c r="I1167" i="72"/>
  <c r="J1167" i="72"/>
  <c r="K1167" i="72"/>
  <c r="L1167" i="72"/>
  <c r="I1166" i="72"/>
  <c r="J1166" i="72"/>
  <c r="K1166" i="72"/>
  <c r="L1166" i="72"/>
  <c r="I1165" i="72"/>
  <c r="J1165" i="72"/>
  <c r="K1165" i="72"/>
  <c r="L1165" i="72"/>
  <c r="I1164" i="72"/>
  <c r="J1164" i="72"/>
  <c r="K1164" i="72"/>
  <c r="L1164" i="72"/>
  <c r="I1163" i="72"/>
  <c r="J1163" i="72"/>
  <c r="K1163" i="72"/>
  <c r="L1163" i="72"/>
  <c r="I1162" i="72"/>
  <c r="J1162" i="72"/>
  <c r="K1162" i="72"/>
  <c r="L1162" i="72"/>
  <c r="I1161" i="72"/>
  <c r="J1161" i="72"/>
  <c r="K1161" i="72"/>
  <c r="L1161" i="72"/>
  <c r="I1160" i="72"/>
  <c r="J1160" i="72"/>
  <c r="K1160" i="72"/>
  <c r="L1160" i="72"/>
  <c r="I1159" i="72"/>
  <c r="J1159" i="72"/>
  <c r="K1159" i="72"/>
  <c r="L1159" i="72"/>
  <c r="I1158" i="72"/>
  <c r="J1158" i="72"/>
  <c r="K1158" i="72"/>
  <c r="L1158" i="72"/>
  <c r="I1157" i="72"/>
  <c r="J1157" i="72"/>
  <c r="K1157" i="72"/>
  <c r="L1157" i="72"/>
  <c r="I1156" i="72"/>
  <c r="J1156" i="72"/>
  <c r="K1156" i="72"/>
  <c r="L1156" i="72"/>
  <c r="I1155" i="72"/>
  <c r="J1155" i="72"/>
  <c r="K1155" i="72"/>
  <c r="L1155" i="72"/>
  <c r="I1154" i="72"/>
  <c r="J1154" i="72"/>
  <c r="K1154" i="72"/>
  <c r="L1154" i="72"/>
  <c r="I1153" i="72"/>
  <c r="J1153" i="72"/>
  <c r="K1153" i="72"/>
  <c r="L1153" i="72"/>
  <c r="I1152" i="72"/>
  <c r="J1152" i="72"/>
  <c r="K1152" i="72"/>
  <c r="L1152" i="72"/>
  <c r="I1151" i="72"/>
  <c r="J1151" i="72"/>
  <c r="K1151" i="72"/>
  <c r="L1151" i="72"/>
  <c r="I1150" i="72"/>
  <c r="J1150" i="72"/>
  <c r="K1150" i="72"/>
  <c r="L1150" i="72"/>
  <c r="I1149" i="72"/>
  <c r="J1149" i="72"/>
  <c r="K1149" i="72"/>
  <c r="L1149" i="72"/>
  <c r="I1148" i="72"/>
  <c r="J1148" i="72"/>
  <c r="K1148" i="72"/>
  <c r="L1148" i="72"/>
  <c r="I1147" i="72"/>
  <c r="J1147" i="72"/>
  <c r="K1147" i="72"/>
  <c r="L1147" i="72"/>
  <c r="I1146" i="72"/>
  <c r="J1146" i="72"/>
  <c r="K1146" i="72"/>
  <c r="L1146" i="72"/>
  <c r="I1145" i="72"/>
  <c r="J1145" i="72"/>
  <c r="K1145" i="72"/>
  <c r="L1145" i="72"/>
  <c r="I1144" i="72"/>
  <c r="J1144" i="72"/>
  <c r="K1144" i="72"/>
  <c r="L1144" i="72"/>
  <c r="I1143" i="72"/>
  <c r="J1143" i="72"/>
  <c r="K1143" i="72"/>
  <c r="L1143" i="72"/>
  <c r="I1142" i="72"/>
  <c r="J1142" i="72"/>
  <c r="K1142" i="72"/>
  <c r="L1142" i="72"/>
  <c r="I1141" i="72"/>
  <c r="J1141" i="72"/>
  <c r="K1141" i="72"/>
  <c r="L1141" i="72"/>
  <c r="I1140" i="72"/>
  <c r="J1140" i="72"/>
  <c r="K1140" i="72"/>
  <c r="L1140" i="72"/>
  <c r="I1139" i="72"/>
  <c r="J1139" i="72"/>
  <c r="K1139" i="72"/>
  <c r="L1139" i="72"/>
  <c r="I1138" i="72"/>
  <c r="J1138" i="72"/>
  <c r="K1138" i="72"/>
  <c r="L1138" i="72"/>
  <c r="I1137" i="72"/>
  <c r="J1137" i="72"/>
  <c r="K1137" i="72"/>
  <c r="L1137" i="72"/>
  <c r="I1136" i="72"/>
  <c r="J1136" i="72"/>
  <c r="K1136" i="72"/>
  <c r="L1136" i="72"/>
  <c r="I1135" i="72"/>
  <c r="J1135" i="72"/>
  <c r="K1135" i="72"/>
  <c r="L1135" i="72"/>
  <c r="I1134" i="72"/>
  <c r="J1134" i="72"/>
  <c r="K1134" i="72"/>
  <c r="L1134" i="72"/>
  <c r="I1133" i="72"/>
  <c r="J1133" i="72"/>
  <c r="K1133" i="72"/>
  <c r="L1133" i="72"/>
  <c r="I1132" i="72"/>
  <c r="J1132" i="72"/>
  <c r="K1132" i="72"/>
  <c r="L1132" i="72"/>
  <c r="I1131" i="72"/>
  <c r="J1131" i="72"/>
  <c r="K1131" i="72"/>
  <c r="L1131" i="72"/>
  <c r="I1130" i="72"/>
  <c r="J1130" i="72"/>
  <c r="K1130" i="72"/>
  <c r="L1130" i="72"/>
  <c r="I1129" i="72"/>
  <c r="J1129" i="72"/>
  <c r="K1129" i="72"/>
  <c r="L1129" i="72"/>
  <c r="I1128" i="72"/>
  <c r="J1128" i="72"/>
  <c r="K1128" i="72"/>
  <c r="L1128" i="72"/>
  <c r="I1127" i="72"/>
  <c r="J1127" i="72"/>
  <c r="K1127" i="72"/>
  <c r="L1127" i="72"/>
  <c r="I1126" i="72"/>
  <c r="J1126" i="72"/>
  <c r="K1126" i="72"/>
  <c r="L1126" i="72"/>
  <c r="I1125" i="72"/>
  <c r="J1125" i="72"/>
  <c r="K1125" i="72"/>
  <c r="L1125" i="72"/>
  <c r="I1124" i="72"/>
  <c r="J1124" i="72"/>
  <c r="K1124" i="72"/>
  <c r="L1124" i="72"/>
  <c r="I1123" i="72"/>
  <c r="J1123" i="72"/>
  <c r="K1123" i="72"/>
  <c r="L1123" i="72"/>
  <c r="I1122" i="72"/>
  <c r="J1122" i="72"/>
  <c r="K1122" i="72"/>
  <c r="L1122" i="72"/>
  <c r="I1121" i="72"/>
  <c r="J1121" i="72"/>
  <c r="K1121" i="72"/>
  <c r="L1121" i="72"/>
  <c r="I1120" i="72"/>
  <c r="J1120" i="72"/>
  <c r="K1120" i="72"/>
  <c r="L1120" i="72"/>
  <c r="I1119" i="72"/>
  <c r="J1119" i="72"/>
  <c r="K1119" i="72"/>
  <c r="L1119" i="72"/>
  <c r="I1118" i="72"/>
  <c r="J1118" i="72"/>
  <c r="K1118" i="72"/>
  <c r="L1118" i="72"/>
  <c r="I1117" i="72"/>
  <c r="J1117" i="72"/>
  <c r="K1117" i="72"/>
  <c r="L1117" i="72"/>
  <c r="I1116" i="72"/>
  <c r="J1116" i="72"/>
  <c r="K1116" i="72"/>
  <c r="L1116" i="72"/>
  <c r="I1115" i="72"/>
  <c r="J1115" i="72"/>
  <c r="K1115" i="72"/>
  <c r="L1115" i="72"/>
  <c r="I1114" i="72"/>
  <c r="J1114" i="72"/>
  <c r="K1114" i="72"/>
  <c r="L1114" i="72"/>
  <c r="I1113" i="72"/>
  <c r="J1113" i="72"/>
  <c r="K1113" i="72"/>
  <c r="L1113" i="72"/>
  <c r="I1112" i="72"/>
  <c r="J1112" i="72"/>
  <c r="K1112" i="72"/>
  <c r="L1112" i="72"/>
  <c r="I1111" i="72"/>
  <c r="J1111" i="72"/>
  <c r="K1111" i="72"/>
  <c r="L1111" i="72"/>
  <c r="I1110" i="72"/>
  <c r="J1110" i="72"/>
  <c r="K1110" i="72"/>
  <c r="L1110" i="72"/>
  <c r="I1109" i="72"/>
  <c r="J1109" i="72"/>
  <c r="K1109" i="72"/>
  <c r="L1109" i="72"/>
  <c r="I1108" i="72"/>
  <c r="J1108" i="72"/>
  <c r="K1108" i="72"/>
  <c r="L1108" i="72"/>
  <c r="I1107" i="72"/>
  <c r="J1107" i="72"/>
  <c r="K1107" i="72"/>
  <c r="L1107" i="72"/>
  <c r="I1106" i="72"/>
  <c r="J1106" i="72"/>
  <c r="K1106" i="72"/>
  <c r="L1106" i="72"/>
  <c r="I1105" i="72"/>
  <c r="J1105" i="72"/>
  <c r="K1105" i="72"/>
  <c r="L1105" i="72"/>
  <c r="I1104" i="72"/>
  <c r="J1104" i="72"/>
  <c r="K1104" i="72"/>
  <c r="L1104" i="72"/>
  <c r="J1103" i="72"/>
  <c r="K1103" i="72"/>
  <c r="L1103" i="72"/>
  <c r="I1102" i="72"/>
  <c r="J1102" i="72"/>
  <c r="K1102" i="72"/>
  <c r="L1102" i="72"/>
  <c r="I1101" i="72"/>
  <c r="J1101" i="72"/>
  <c r="K1101" i="72"/>
  <c r="L1101" i="72"/>
  <c r="I1100" i="72"/>
  <c r="J1100" i="72"/>
  <c r="K1100" i="72"/>
  <c r="L1100" i="72"/>
  <c r="I1099" i="72"/>
  <c r="J1099" i="72"/>
  <c r="K1099" i="72"/>
  <c r="L1099" i="72"/>
  <c r="I1098" i="72"/>
  <c r="J1098" i="72"/>
  <c r="K1098" i="72"/>
  <c r="L1098" i="72"/>
  <c r="I1097" i="72"/>
  <c r="J1097" i="72"/>
  <c r="K1097" i="72"/>
  <c r="L1097" i="72"/>
  <c r="I1096" i="72"/>
  <c r="J1096" i="72"/>
  <c r="K1096" i="72"/>
  <c r="L1096" i="72"/>
  <c r="I1095" i="72"/>
  <c r="J1095" i="72"/>
  <c r="K1095" i="72"/>
  <c r="L1095" i="72"/>
  <c r="I1094" i="72"/>
  <c r="J1094" i="72"/>
  <c r="K1094" i="72"/>
  <c r="L1094" i="72"/>
  <c r="I1093" i="72"/>
  <c r="J1093" i="72"/>
  <c r="K1093" i="72"/>
  <c r="L1093" i="72"/>
  <c r="I1092" i="72"/>
  <c r="J1092" i="72"/>
  <c r="K1092" i="72"/>
  <c r="L1092" i="72"/>
  <c r="I1091" i="72"/>
  <c r="J1091" i="72"/>
  <c r="K1091" i="72"/>
  <c r="L1091" i="72"/>
  <c r="I1090" i="72"/>
  <c r="J1090" i="72"/>
  <c r="K1090" i="72"/>
  <c r="L1090" i="72"/>
  <c r="I1089" i="72"/>
  <c r="J1089" i="72"/>
  <c r="K1089" i="72"/>
  <c r="L1089" i="72"/>
  <c r="I1088" i="72"/>
  <c r="J1088" i="72"/>
  <c r="K1088" i="72"/>
  <c r="L1088" i="72"/>
  <c r="I1087" i="72"/>
  <c r="J1087" i="72"/>
  <c r="K1087" i="72"/>
  <c r="L1087" i="72"/>
  <c r="I1086" i="72"/>
  <c r="J1086" i="72"/>
  <c r="K1086" i="72"/>
  <c r="L1086" i="72"/>
  <c r="I1085" i="72"/>
  <c r="J1085" i="72"/>
  <c r="K1085" i="72"/>
  <c r="L1085" i="72"/>
  <c r="I1084" i="72"/>
  <c r="J1084" i="72"/>
  <c r="K1084" i="72"/>
  <c r="L1084" i="72"/>
  <c r="I1083" i="72"/>
  <c r="J1083" i="72"/>
  <c r="K1083" i="72"/>
  <c r="L1083" i="72"/>
  <c r="I690" i="72"/>
  <c r="J690" i="72"/>
  <c r="K690" i="72"/>
  <c r="L690" i="72"/>
  <c r="I688" i="72"/>
  <c r="J688" i="72"/>
  <c r="K688" i="72"/>
  <c r="I687" i="72"/>
  <c r="J687" i="72"/>
  <c r="K687" i="72"/>
  <c r="L687" i="72"/>
  <c r="I686" i="72"/>
  <c r="J686" i="72"/>
  <c r="K686" i="72"/>
  <c r="L686" i="72"/>
  <c r="I685" i="72"/>
  <c r="J685" i="72"/>
  <c r="K685" i="72"/>
  <c r="L685" i="72"/>
  <c r="I684" i="72"/>
  <c r="J684" i="72"/>
  <c r="K684" i="72"/>
  <c r="L684" i="72"/>
  <c r="I683" i="72"/>
  <c r="J683" i="72"/>
  <c r="K683" i="72"/>
  <c r="L683" i="72"/>
  <c r="I682" i="72"/>
  <c r="J682" i="72"/>
  <c r="K682" i="72"/>
  <c r="I681" i="72"/>
  <c r="J681" i="72"/>
  <c r="K681" i="72"/>
  <c r="L681" i="72"/>
  <c r="I680" i="72"/>
  <c r="J680" i="72"/>
  <c r="K680" i="72"/>
  <c r="L680" i="72"/>
  <c r="I679" i="72"/>
  <c r="J679" i="72"/>
  <c r="K679" i="72"/>
  <c r="L679" i="72"/>
  <c r="I678" i="72"/>
  <c r="J678" i="72"/>
  <c r="K678" i="72"/>
  <c r="L678" i="72"/>
  <c r="I677" i="72"/>
  <c r="J677" i="72"/>
  <c r="K677" i="72"/>
  <c r="L677" i="72"/>
  <c r="I676" i="72"/>
  <c r="J676" i="72"/>
  <c r="K676" i="72"/>
  <c r="L676" i="72"/>
  <c r="I675" i="72"/>
  <c r="J675" i="72"/>
  <c r="K675" i="72"/>
  <c r="L675" i="72"/>
  <c r="I674" i="72"/>
  <c r="J674" i="72"/>
  <c r="K674" i="72"/>
  <c r="I673" i="72"/>
  <c r="J673" i="72"/>
  <c r="K673" i="72"/>
  <c r="L673" i="72"/>
  <c r="I672" i="72"/>
  <c r="J672" i="72"/>
  <c r="K672" i="72"/>
  <c r="L672" i="72"/>
  <c r="I671" i="72"/>
  <c r="J671" i="72"/>
  <c r="K671" i="72"/>
  <c r="L671" i="72"/>
  <c r="I670" i="72"/>
  <c r="J670" i="72"/>
  <c r="K670" i="72"/>
  <c r="L670" i="72"/>
  <c r="I669" i="72"/>
  <c r="J669" i="72"/>
  <c r="K669" i="72"/>
  <c r="L669" i="72"/>
  <c r="I668" i="72"/>
  <c r="J668" i="72"/>
  <c r="K668" i="72"/>
  <c r="L668" i="72"/>
  <c r="I667" i="72"/>
  <c r="J667" i="72"/>
  <c r="K667" i="72"/>
  <c r="L667" i="72"/>
  <c r="I666" i="72"/>
  <c r="J666" i="72"/>
  <c r="K666" i="72"/>
  <c r="L666" i="72"/>
  <c r="I665" i="72"/>
  <c r="J665" i="72"/>
  <c r="K665" i="72"/>
  <c r="L665" i="72"/>
  <c r="I664" i="72"/>
  <c r="J664" i="72"/>
  <c r="K664" i="72"/>
  <c r="L664" i="72"/>
  <c r="I663" i="72"/>
  <c r="J663" i="72"/>
  <c r="K663" i="72"/>
  <c r="L663" i="72"/>
  <c r="I662" i="72"/>
  <c r="J662" i="72"/>
  <c r="K662" i="72"/>
  <c r="L662" i="72"/>
  <c r="I661" i="72"/>
  <c r="J661" i="72"/>
  <c r="K661" i="72"/>
  <c r="L661" i="72"/>
  <c r="I660" i="72"/>
  <c r="J660" i="72"/>
  <c r="K660" i="72"/>
  <c r="L660" i="72"/>
  <c r="I659" i="72"/>
  <c r="J659" i="72"/>
  <c r="K659" i="72"/>
  <c r="L659" i="72"/>
  <c r="I658" i="72"/>
  <c r="J658" i="72"/>
  <c r="K658" i="72"/>
  <c r="L658" i="72"/>
  <c r="I657" i="72"/>
  <c r="J657" i="72"/>
  <c r="K657" i="72"/>
  <c r="L657" i="72"/>
  <c r="I656" i="72"/>
  <c r="J656" i="72"/>
  <c r="K656" i="72"/>
  <c r="L656" i="72"/>
  <c r="I655" i="72"/>
  <c r="J655" i="72"/>
  <c r="K655" i="72"/>
  <c r="L655" i="72"/>
  <c r="I654" i="72"/>
  <c r="J654" i="72"/>
  <c r="K654" i="72"/>
  <c r="L654" i="72"/>
  <c r="I653" i="72"/>
  <c r="J653" i="72"/>
  <c r="K653" i="72"/>
  <c r="L653" i="72"/>
  <c r="I652" i="72"/>
  <c r="J652" i="72"/>
  <c r="K652" i="72"/>
  <c r="L652" i="72"/>
  <c r="I651" i="72"/>
  <c r="J651" i="72"/>
  <c r="K651" i="72"/>
  <c r="L651" i="72"/>
  <c r="I650" i="72"/>
  <c r="J650" i="72"/>
  <c r="K650" i="72"/>
  <c r="L650" i="72"/>
  <c r="I649" i="72"/>
  <c r="J649" i="72"/>
  <c r="K649" i="72"/>
  <c r="L649" i="72"/>
  <c r="I648" i="72"/>
  <c r="J648" i="72"/>
  <c r="K648" i="72"/>
  <c r="L648" i="72"/>
  <c r="I647" i="72"/>
  <c r="J647" i="72"/>
  <c r="K647" i="72"/>
  <c r="L647" i="72"/>
  <c r="I646" i="72"/>
  <c r="J646" i="72"/>
  <c r="K646" i="72"/>
  <c r="L646" i="72"/>
  <c r="I645" i="72"/>
  <c r="J645" i="72"/>
  <c r="K645" i="72"/>
  <c r="L645" i="72"/>
  <c r="I644" i="72"/>
  <c r="J644" i="72"/>
  <c r="K644" i="72"/>
  <c r="L644" i="72"/>
  <c r="I643" i="72"/>
  <c r="J643" i="72"/>
  <c r="K643" i="72"/>
  <c r="L643" i="72"/>
  <c r="I642" i="72"/>
  <c r="J642" i="72"/>
  <c r="K642" i="72"/>
  <c r="L642" i="72"/>
  <c r="I641" i="72"/>
  <c r="J641" i="72"/>
  <c r="K641" i="72"/>
  <c r="L641" i="72"/>
  <c r="I640" i="72"/>
  <c r="J640" i="72"/>
  <c r="K640" i="72"/>
  <c r="L640" i="72"/>
  <c r="I639" i="72"/>
  <c r="J639" i="72"/>
  <c r="K639" i="72"/>
  <c r="L639" i="72"/>
  <c r="I638" i="72"/>
  <c r="J638" i="72"/>
  <c r="K638" i="72"/>
  <c r="L638" i="72"/>
  <c r="I637" i="72"/>
  <c r="J637" i="72"/>
  <c r="K637" i="72"/>
  <c r="L637" i="72"/>
  <c r="I636" i="72"/>
  <c r="J636" i="72"/>
  <c r="K636" i="72"/>
  <c r="L636" i="72"/>
  <c r="I635" i="72"/>
  <c r="J635" i="72"/>
  <c r="K635" i="72"/>
  <c r="L635" i="72"/>
  <c r="I634" i="72"/>
  <c r="J634" i="72"/>
  <c r="K634" i="72"/>
  <c r="L634" i="72"/>
  <c r="I633" i="72"/>
  <c r="J633" i="72"/>
  <c r="K633" i="72"/>
  <c r="L633" i="72"/>
  <c r="I632" i="72"/>
  <c r="J632" i="72"/>
  <c r="K632" i="72"/>
  <c r="L632" i="72"/>
  <c r="I631" i="72"/>
  <c r="J631" i="72"/>
  <c r="K631" i="72"/>
  <c r="L631" i="72"/>
  <c r="I630" i="72"/>
  <c r="J630" i="72"/>
  <c r="K630" i="72"/>
  <c r="L630" i="72"/>
  <c r="I629" i="72"/>
  <c r="J629" i="72"/>
  <c r="K629" i="72"/>
  <c r="L629" i="72"/>
  <c r="I628" i="72"/>
  <c r="J628" i="72"/>
  <c r="K628" i="72"/>
  <c r="L628" i="72"/>
  <c r="I627" i="72"/>
  <c r="J627" i="72"/>
  <c r="K627" i="72"/>
  <c r="L627" i="72"/>
  <c r="I626" i="72"/>
  <c r="J626" i="72"/>
  <c r="K626" i="72"/>
  <c r="L626" i="72"/>
  <c r="I625" i="72"/>
  <c r="J625" i="72"/>
  <c r="K625" i="72"/>
  <c r="L625" i="72"/>
  <c r="I624" i="72"/>
  <c r="J624" i="72"/>
  <c r="K624" i="72"/>
  <c r="L624" i="72"/>
  <c r="I623" i="72"/>
  <c r="J623" i="72"/>
  <c r="K623" i="72"/>
  <c r="L623" i="72"/>
  <c r="I622" i="72"/>
  <c r="J622" i="72"/>
  <c r="K622" i="72"/>
  <c r="L622" i="72"/>
  <c r="I621" i="72"/>
  <c r="J621" i="72"/>
  <c r="K621" i="72"/>
  <c r="L621" i="72"/>
  <c r="I620" i="72"/>
  <c r="J620" i="72"/>
  <c r="K620" i="72"/>
  <c r="L620" i="72"/>
  <c r="I619" i="72"/>
  <c r="J619" i="72"/>
  <c r="K619" i="72"/>
  <c r="L619" i="72"/>
  <c r="I618" i="72"/>
  <c r="J618" i="72"/>
  <c r="K618" i="72"/>
  <c r="L618" i="72"/>
  <c r="I617" i="72"/>
  <c r="J617" i="72"/>
  <c r="K617" i="72"/>
  <c r="L617" i="72"/>
  <c r="I616" i="72"/>
  <c r="J616" i="72"/>
  <c r="K616" i="72"/>
  <c r="L616" i="72"/>
  <c r="I615" i="72"/>
  <c r="J615" i="72"/>
  <c r="K615" i="72"/>
  <c r="L615" i="72"/>
  <c r="I614" i="72"/>
  <c r="J614" i="72"/>
  <c r="K614" i="72"/>
  <c r="L614" i="72"/>
  <c r="I613" i="72"/>
  <c r="J613" i="72"/>
  <c r="K613" i="72"/>
  <c r="L613" i="72"/>
  <c r="I612" i="72"/>
  <c r="J612" i="72"/>
  <c r="K612" i="72"/>
  <c r="L612" i="72"/>
  <c r="I611" i="72"/>
  <c r="J611" i="72"/>
  <c r="K611" i="72"/>
  <c r="L611" i="72"/>
  <c r="I610" i="72"/>
  <c r="J610" i="72"/>
  <c r="K610" i="72"/>
  <c r="L610" i="72"/>
  <c r="I609" i="72"/>
  <c r="J609" i="72"/>
  <c r="K609" i="72"/>
  <c r="L609" i="72"/>
  <c r="I608" i="72"/>
  <c r="J608" i="72"/>
  <c r="K608" i="72"/>
  <c r="L608" i="72"/>
  <c r="I607" i="72"/>
  <c r="J607" i="72"/>
  <c r="K607" i="72"/>
  <c r="L607" i="72"/>
  <c r="I606" i="72"/>
  <c r="J606" i="72"/>
  <c r="K606" i="72"/>
  <c r="L606" i="72"/>
  <c r="I605" i="72"/>
  <c r="J605" i="72"/>
  <c r="K605" i="72"/>
  <c r="L605" i="72"/>
  <c r="I604" i="72"/>
  <c r="J604" i="72"/>
  <c r="K604" i="72"/>
  <c r="L604" i="72"/>
  <c r="I603" i="72"/>
  <c r="J603" i="72"/>
  <c r="K603" i="72"/>
  <c r="L603" i="72"/>
  <c r="I602" i="72"/>
  <c r="J602" i="72"/>
  <c r="K602" i="72"/>
  <c r="L602" i="72"/>
  <c r="I601" i="72"/>
  <c r="J601" i="72"/>
  <c r="K601" i="72"/>
  <c r="L601" i="72"/>
  <c r="I600" i="72"/>
  <c r="J600" i="72"/>
  <c r="K600" i="72"/>
  <c r="L600" i="72"/>
  <c r="I599" i="72"/>
  <c r="J599" i="72"/>
  <c r="K599" i="72"/>
  <c r="L599" i="72"/>
  <c r="I598" i="72"/>
  <c r="J598" i="72"/>
  <c r="K598" i="72"/>
  <c r="L598" i="72"/>
  <c r="I597" i="72"/>
  <c r="J597" i="72"/>
  <c r="K597" i="72"/>
  <c r="L597" i="72"/>
  <c r="I596" i="72"/>
  <c r="J596" i="72"/>
  <c r="K596" i="72"/>
  <c r="L596" i="72"/>
  <c r="I595" i="72"/>
  <c r="J595" i="72"/>
  <c r="K595" i="72"/>
  <c r="L595" i="72"/>
  <c r="I594" i="72"/>
  <c r="J594" i="72"/>
  <c r="K594" i="72"/>
  <c r="L594" i="72"/>
  <c r="I593" i="72"/>
  <c r="J593" i="72"/>
  <c r="K593" i="72"/>
  <c r="L593" i="72"/>
  <c r="I592" i="72"/>
  <c r="J592" i="72"/>
  <c r="K592" i="72"/>
  <c r="L592" i="72"/>
  <c r="I591" i="72"/>
  <c r="J591" i="72"/>
  <c r="K591" i="72"/>
  <c r="L591" i="72"/>
  <c r="I590" i="72"/>
  <c r="J590" i="72"/>
  <c r="K590" i="72"/>
  <c r="L590" i="72"/>
  <c r="I589" i="72"/>
  <c r="J589" i="72"/>
  <c r="K589" i="72"/>
  <c r="L589" i="72"/>
  <c r="I588" i="72"/>
  <c r="J588" i="72"/>
  <c r="K588" i="72"/>
  <c r="L588" i="72"/>
  <c r="I587" i="72"/>
  <c r="J587" i="72"/>
  <c r="K587" i="72"/>
  <c r="L587" i="72"/>
  <c r="I586" i="72"/>
  <c r="J586" i="72"/>
  <c r="K586" i="72"/>
  <c r="L586" i="72"/>
  <c r="I585" i="72"/>
  <c r="J585" i="72"/>
  <c r="K585" i="72"/>
  <c r="L585" i="72"/>
  <c r="I584" i="72"/>
  <c r="J584" i="72"/>
  <c r="K584" i="72"/>
  <c r="L584" i="72"/>
  <c r="I583" i="72"/>
  <c r="J583" i="72"/>
  <c r="K583" i="72"/>
  <c r="L583" i="72"/>
  <c r="I582" i="72"/>
  <c r="J582" i="72"/>
  <c r="K582" i="72"/>
  <c r="L582" i="72"/>
  <c r="I581" i="72"/>
  <c r="J581" i="72"/>
  <c r="K581" i="72"/>
  <c r="L581" i="72"/>
  <c r="I580" i="72"/>
  <c r="J580" i="72"/>
  <c r="K580" i="72"/>
  <c r="L580" i="72"/>
  <c r="I579" i="72"/>
  <c r="J579" i="72"/>
  <c r="K579" i="72"/>
  <c r="L579" i="72"/>
  <c r="I578" i="72"/>
  <c r="J578" i="72"/>
  <c r="K578" i="72"/>
  <c r="L578" i="72"/>
  <c r="I577" i="72"/>
  <c r="J577" i="72"/>
  <c r="K577" i="72"/>
  <c r="L577" i="72"/>
  <c r="I576" i="72"/>
  <c r="J576" i="72"/>
  <c r="K576" i="72"/>
  <c r="L576" i="72"/>
  <c r="I575" i="72"/>
  <c r="J575" i="72"/>
  <c r="K575" i="72"/>
  <c r="L575" i="72"/>
  <c r="I574" i="72"/>
  <c r="J574" i="72"/>
  <c r="K574" i="72"/>
  <c r="L574" i="72"/>
  <c r="I573" i="72"/>
  <c r="J573" i="72"/>
  <c r="K573" i="72"/>
  <c r="L573" i="72"/>
  <c r="I572" i="72"/>
  <c r="J572" i="72"/>
  <c r="K572" i="72"/>
  <c r="L572" i="72"/>
  <c r="I571" i="72"/>
  <c r="J571" i="72"/>
  <c r="K571" i="72"/>
  <c r="L571" i="72"/>
  <c r="I570" i="72"/>
  <c r="J570" i="72"/>
  <c r="K570" i="72"/>
  <c r="L570" i="72"/>
  <c r="I569" i="72"/>
  <c r="J569" i="72"/>
  <c r="K569" i="72"/>
  <c r="L569" i="72"/>
  <c r="I568" i="72"/>
  <c r="J568" i="72"/>
  <c r="K568" i="72"/>
  <c r="L568" i="72"/>
  <c r="I567" i="72"/>
  <c r="J567" i="72"/>
  <c r="K567" i="72"/>
  <c r="L567" i="72"/>
  <c r="I566" i="72"/>
  <c r="J566" i="72"/>
  <c r="K566" i="72"/>
  <c r="L566" i="72"/>
  <c r="I565" i="72"/>
  <c r="J565" i="72"/>
  <c r="K565" i="72"/>
  <c r="L565" i="72"/>
  <c r="I564" i="72"/>
  <c r="J564" i="72"/>
  <c r="K564" i="72"/>
  <c r="L564" i="72"/>
  <c r="I563" i="72"/>
  <c r="J563" i="72"/>
  <c r="K563" i="72"/>
  <c r="L563" i="72"/>
  <c r="I562" i="72"/>
  <c r="J562" i="72"/>
  <c r="K562" i="72"/>
  <c r="L562" i="72"/>
  <c r="I561" i="72"/>
  <c r="J561" i="72"/>
  <c r="K561" i="72"/>
  <c r="L561" i="72"/>
  <c r="I560" i="72"/>
  <c r="J560" i="72"/>
  <c r="K560" i="72"/>
  <c r="L560" i="72"/>
  <c r="I559" i="72"/>
  <c r="J559" i="72"/>
  <c r="K559" i="72"/>
  <c r="L559" i="72"/>
  <c r="I558" i="72"/>
  <c r="J558" i="72"/>
  <c r="K558" i="72"/>
  <c r="L558" i="72"/>
  <c r="I557" i="72"/>
  <c r="J557" i="72"/>
  <c r="K557" i="72"/>
  <c r="L557" i="72"/>
  <c r="I556" i="72"/>
  <c r="J556" i="72"/>
  <c r="K556" i="72"/>
  <c r="L556" i="72"/>
  <c r="I555" i="72"/>
  <c r="J555" i="72"/>
  <c r="K555" i="72"/>
  <c r="L555" i="72"/>
  <c r="I554" i="72"/>
  <c r="J554" i="72"/>
  <c r="K554" i="72"/>
  <c r="L554" i="72"/>
  <c r="I553" i="72"/>
  <c r="J553" i="72"/>
  <c r="K553" i="72"/>
  <c r="L553" i="72"/>
  <c r="I552" i="72"/>
  <c r="J552" i="72"/>
  <c r="K552" i="72"/>
  <c r="L552" i="72"/>
  <c r="I551" i="72"/>
  <c r="J551" i="72"/>
  <c r="K551" i="72"/>
  <c r="L551" i="72"/>
  <c r="I550" i="72"/>
  <c r="J550" i="72"/>
  <c r="K550" i="72"/>
  <c r="L550" i="72"/>
  <c r="I549" i="72"/>
  <c r="J549" i="72"/>
  <c r="K549" i="72"/>
  <c r="L549" i="72"/>
  <c r="I548" i="72"/>
  <c r="J548" i="72"/>
  <c r="K548" i="72"/>
  <c r="L548" i="72"/>
  <c r="I547" i="72"/>
  <c r="J547" i="72"/>
  <c r="K547" i="72"/>
  <c r="L547" i="72"/>
  <c r="I546" i="72"/>
  <c r="J546" i="72"/>
  <c r="K546" i="72"/>
  <c r="L546" i="72"/>
  <c r="I545" i="72"/>
  <c r="J545" i="72"/>
  <c r="K545" i="72"/>
  <c r="L545" i="72"/>
  <c r="I544" i="72"/>
  <c r="J544" i="72"/>
  <c r="K544" i="72"/>
  <c r="L544" i="72"/>
  <c r="I543" i="72"/>
  <c r="J543" i="72"/>
  <c r="K543" i="72"/>
  <c r="L543" i="72"/>
  <c r="I542" i="72"/>
  <c r="J542" i="72"/>
  <c r="K542" i="72"/>
  <c r="L542" i="72"/>
  <c r="I541" i="72"/>
  <c r="J541" i="72"/>
  <c r="K541" i="72"/>
  <c r="L541" i="72"/>
  <c r="I540" i="72"/>
  <c r="J540" i="72"/>
  <c r="K540" i="72"/>
  <c r="L540" i="72"/>
  <c r="I539" i="72"/>
  <c r="J539" i="72"/>
  <c r="K539" i="72"/>
  <c r="L539" i="72"/>
  <c r="I538" i="72"/>
  <c r="J538" i="72"/>
  <c r="K538" i="72"/>
  <c r="L538" i="72"/>
  <c r="I537" i="72"/>
  <c r="J537" i="72"/>
  <c r="K537" i="72"/>
  <c r="L537" i="72"/>
  <c r="I536" i="72"/>
  <c r="J536" i="72"/>
  <c r="K536" i="72"/>
  <c r="L536" i="72"/>
  <c r="I535" i="72"/>
  <c r="J535" i="72"/>
  <c r="K535" i="72"/>
  <c r="L535" i="72"/>
  <c r="I534" i="72"/>
  <c r="J534" i="72"/>
  <c r="K534" i="72"/>
  <c r="L534" i="72"/>
  <c r="I533" i="72"/>
  <c r="J533" i="72"/>
  <c r="K533" i="72"/>
  <c r="L533" i="72"/>
  <c r="I532" i="72"/>
  <c r="J532" i="72"/>
  <c r="K532" i="72"/>
  <c r="L532" i="72"/>
  <c r="I531" i="72"/>
  <c r="J531" i="72"/>
  <c r="K531" i="72"/>
  <c r="L531" i="72"/>
  <c r="I530" i="72"/>
  <c r="J530" i="72"/>
  <c r="K530" i="72"/>
  <c r="L530" i="72"/>
  <c r="I529" i="72"/>
  <c r="J529" i="72"/>
  <c r="K529" i="72"/>
  <c r="L529" i="72"/>
  <c r="I528" i="72"/>
  <c r="J528" i="72"/>
  <c r="K528" i="72"/>
  <c r="L528" i="72"/>
  <c r="I527" i="72"/>
  <c r="J527" i="72"/>
  <c r="K527" i="72"/>
  <c r="L527" i="72"/>
  <c r="I526" i="72"/>
  <c r="J526" i="72"/>
  <c r="K526" i="72"/>
  <c r="L526" i="72"/>
  <c r="I525" i="72"/>
  <c r="J525" i="72"/>
  <c r="K525" i="72"/>
  <c r="L525" i="72"/>
  <c r="I524" i="72"/>
  <c r="J524" i="72"/>
  <c r="K524" i="72"/>
  <c r="L524" i="72"/>
  <c r="I523" i="72"/>
  <c r="J523" i="72"/>
  <c r="K523" i="72"/>
  <c r="L523" i="72"/>
  <c r="I522" i="72"/>
  <c r="J522" i="72"/>
  <c r="K522" i="72"/>
  <c r="L522" i="72"/>
  <c r="I521" i="72"/>
  <c r="J521" i="72"/>
  <c r="K521" i="72"/>
  <c r="L521" i="72"/>
  <c r="I520" i="72"/>
  <c r="J520" i="72"/>
  <c r="K520" i="72"/>
  <c r="L520" i="72"/>
  <c r="I519" i="72"/>
  <c r="J519" i="72"/>
  <c r="K519" i="72"/>
  <c r="L519" i="72"/>
  <c r="I518" i="72"/>
  <c r="J518" i="72"/>
  <c r="K518" i="72"/>
  <c r="L518" i="72"/>
  <c r="I517" i="72"/>
  <c r="J517" i="72"/>
  <c r="K517" i="72"/>
  <c r="L517" i="72"/>
  <c r="I516" i="72"/>
  <c r="J516" i="72"/>
  <c r="K516" i="72"/>
  <c r="L516" i="72"/>
  <c r="I515" i="72"/>
  <c r="J515" i="72"/>
  <c r="K515" i="72"/>
  <c r="L515" i="72"/>
  <c r="I514" i="72"/>
  <c r="J514" i="72"/>
  <c r="K514" i="72"/>
  <c r="L514" i="72"/>
  <c r="I513" i="72"/>
  <c r="J513" i="72"/>
  <c r="K513" i="72"/>
  <c r="L513" i="72"/>
  <c r="I512" i="72"/>
  <c r="J512" i="72"/>
  <c r="K512" i="72"/>
  <c r="L512" i="72"/>
  <c r="I511" i="72"/>
  <c r="J511" i="72"/>
  <c r="K511" i="72"/>
  <c r="L511" i="72"/>
  <c r="I510" i="72"/>
  <c r="J510" i="72"/>
  <c r="K510" i="72"/>
  <c r="L510" i="72"/>
  <c r="I509" i="72"/>
  <c r="J509" i="72"/>
  <c r="K509" i="72"/>
  <c r="L509" i="72"/>
  <c r="I508" i="72"/>
  <c r="J508" i="72"/>
  <c r="K508" i="72"/>
  <c r="L508" i="72"/>
  <c r="I507" i="72"/>
  <c r="J507" i="72"/>
  <c r="K507" i="72"/>
  <c r="L507" i="72"/>
  <c r="I506" i="72"/>
  <c r="J506" i="72"/>
  <c r="K506" i="72"/>
  <c r="L506" i="72"/>
  <c r="I505" i="72"/>
  <c r="J505" i="72"/>
  <c r="K505" i="72"/>
  <c r="L505" i="72"/>
  <c r="I504" i="72"/>
  <c r="J504" i="72"/>
  <c r="K504" i="72"/>
  <c r="L504" i="72"/>
  <c r="I503" i="72"/>
  <c r="J503" i="72"/>
  <c r="K503" i="72"/>
  <c r="L503" i="72"/>
  <c r="I502" i="72"/>
  <c r="J502" i="72"/>
  <c r="K502" i="72"/>
  <c r="L502" i="72"/>
  <c r="I501" i="72"/>
  <c r="J501" i="72"/>
  <c r="K501" i="72"/>
  <c r="L501" i="72"/>
  <c r="I500" i="72"/>
  <c r="J500" i="72"/>
  <c r="K500" i="72"/>
  <c r="L500" i="72"/>
  <c r="I499" i="72"/>
  <c r="J499" i="72"/>
  <c r="K499" i="72"/>
  <c r="L499" i="72"/>
  <c r="I498" i="72"/>
  <c r="J498" i="72"/>
  <c r="K498" i="72"/>
  <c r="L498" i="72"/>
  <c r="I497" i="72"/>
  <c r="J497" i="72"/>
  <c r="K497" i="72"/>
  <c r="L497" i="72"/>
  <c r="I496" i="72"/>
  <c r="J496" i="72"/>
  <c r="K496" i="72"/>
  <c r="L496" i="72"/>
  <c r="I495" i="72"/>
  <c r="J495" i="72"/>
  <c r="K495" i="72"/>
  <c r="L495" i="72"/>
  <c r="I494" i="72"/>
  <c r="J494" i="72"/>
  <c r="K494" i="72"/>
  <c r="L494" i="72"/>
  <c r="I493" i="72"/>
  <c r="J493" i="72"/>
  <c r="K493" i="72"/>
  <c r="L493" i="72"/>
  <c r="I492" i="72"/>
  <c r="J492" i="72"/>
  <c r="K492" i="72"/>
  <c r="L492" i="72"/>
  <c r="I491" i="72"/>
  <c r="J491" i="72"/>
  <c r="K491" i="72"/>
  <c r="L491" i="72"/>
  <c r="I490" i="72"/>
  <c r="J490" i="72"/>
  <c r="K490" i="72"/>
  <c r="L490" i="72"/>
  <c r="I489" i="72"/>
  <c r="J489" i="72"/>
  <c r="K489" i="72"/>
  <c r="L489" i="72"/>
  <c r="I488" i="72"/>
  <c r="J488" i="72"/>
  <c r="K488" i="72"/>
  <c r="L488" i="72"/>
  <c r="I487" i="72"/>
  <c r="J487" i="72"/>
  <c r="K487" i="72"/>
  <c r="L487" i="72"/>
  <c r="I486" i="72"/>
  <c r="J486" i="72"/>
  <c r="K486" i="72"/>
  <c r="L486" i="72"/>
  <c r="I485" i="72"/>
  <c r="J485" i="72"/>
  <c r="K485" i="72"/>
  <c r="L485" i="72"/>
  <c r="I484" i="72"/>
  <c r="J484" i="72"/>
  <c r="K484" i="72"/>
  <c r="L484" i="72"/>
  <c r="I483" i="72"/>
  <c r="J483" i="72"/>
  <c r="K483" i="72"/>
  <c r="L483" i="72"/>
  <c r="I482" i="72"/>
  <c r="J482" i="72"/>
  <c r="K482" i="72"/>
  <c r="L482" i="72"/>
  <c r="I481" i="72"/>
  <c r="J481" i="72"/>
  <c r="K481" i="72"/>
  <c r="L481" i="72"/>
  <c r="I480" i="72"/>
  <c r="J480" i="72"/>
  <c r="K480" i="72"/>
  <c r="L480" i="72"/>
  <c r="I479" i="72"/>
  <c r="J479" i="72"/>
  <c r="K479" i="72"/>
  <c r="L479" i="72"/>
  <c r="I478" i="72"/>
  <c r="J478" i="72"/>
  <c r="K478" i="72"/>
  <c r="L478" i="72"/>
  <c r="I477" i="72"/>
  <c r="J477" i="72"/>
  <c r="K477" i="72"/>
  <c r="L477" i="72"/>
  <c r="I476" i="72"/>
  <c r="J476" i="72"/>
  <c r="K476" i="72"/>
  <c r="L476" i="72"/>
  <c r="I475" i="72"/>
  <c r="J475" i="72"/>
  <c r="K475" i="72"/>
  <c r="L475" i="72"/>
  <c r="I474" i="72"/>
  <c r="J474" i="72"/>
  <c r="K474" i="72"/>
  <c r="L474" i="72"/>
  <c r="I473" i="72"/>
  <c r="J473" i="72"/>
  <c r="K473" i="72"/>
  <c r="L473" i="72"/>
  <c r="I472" i="72"/>
  <c r="J472" i="72"/>
  <c r="K472" i="72"/>
  <c r="L472" i="72"/>
  <c r="I471" i="72"/>
  <c r="J471" i="72"/>
  <c r="K471" i="72"/>
  <c r="L471" i="72"/>
  <c r="I470" i="72"/>
  <c r="J470" i="72"/>
  <c r="K470" i="72"/>
  <c r="L470" i="72"/>
  <c r="I469" i="72"/>
  <c r="J469" i="72"/>
  <c r="K469" i="72"/>
  <c r="L469" i="72"/>
  <c r="I468" i="72"/>
  <c r="J468" i="72"/>
  <c r="K468" i="72"/>
  <c r="L468" i="72"/>
  <c r="I467" i="72"/>
  <c r="J467" i="72"/>
  <c r="K467" i="72"/>
  <c r="L467" i="72"/>
  <c r="I466" i="72"/>
  <c r="J466" i="72"/>
  <c r="K466" i="72"/>
  <c r="L466" i="72"/>
  <c r="I465" i="72"/>
  <c r="J465" i="72"/>
  <c r="K465" i="72"/>
  <c r="L465" i="72"/>
  <c r="I464" i="72"/>
  <c r="J464" i="72"/>
  <c r="K464" i="72"/>
  <c r="L464" i="72"/>
  <c r="I463" i="72"/>
  <c r="J463" i="72"/>
  <c r="K463" i="72"/>
  <c r="L463" i="72"/>
  <c r="I462" i="72"/>
  <c r="J462" i="72"/>
  <c r="K462" i="72"/>
  <c r="L462" i="72"/>
  <c r="I461" i="72"/>
  <c r="J461" i="72"/>
  <c r="K461" i="72"/>
  <c r="L461" i="72"/>
  <c r="I460" i="72"/>
  <c r="J460" i="72"/>
  <c r="K460" i="72"/>
  <c r="L460" i="72"/>
  <c r="I459" i="72"/>
  <c r="J459" i="72"/>
  <c r="K459" i="72"/>
  <c r="L459" i="72"/>
  <c r="I458" i="72"/>
  <c r="J458" i="72"/>
  <c r="K458" i="72"/>
  <c r="L458" i="72"/>
  <c r="I457" i="72"/>
  <c r="J457" i="72"/>
  <c r="K457" i="72"/>
  <c r="L457" i="72"/>
  <c r="I456" i="72"/>
  <c r="J456" i="72"/>
  <c r="K456" i="72"/>
  <c r="L456" i="72"/>
  <c r="I455" i="72"/>
  <c r="J455" i="72"/>
  <c r="K455" i="72"/>
  <c r="L455" i="72"/>
  <c r="I454" i="72"/>
  <c r="J454" i="72"/>
  <c r="K454" i="72"/>
  <c r="L454" i="72"/>
  <c r="I453" i="72"/>
  <c r="J453" i="72"/>
  <c r="K453" i="72"/>
  <c r="L453" i="72"/>
  <c r="I452" i="72"/>
  <c r="J452" i="72"/>
  <c r="K452" i="72"/>
  <c r="L452" i="72"/>
  <c r="I451" i="72"/>
  <c r="J451" i="72"/>
  <c r="K451" i="72"/>
  <c r="L451" i="72"/>
  <c r="I450" i="72"/>
  <c r="J450" i="72"/>
  <c r="K450" i="72"/>
  <c r="L450" i="72"/>
  <c r="I449" i="72"/>
  <c r="J449" i="72"/>
  <c r="K449" i="72"/>
  <c r="L449" i="72"/>
  <c r="I448" i="72"/>
  <c r="J448" i="72"/>
  <c r="K448" i="72"/>
  <c r="L448" i="72"/>
  <c r="I447" i="72"/>
  <c r="J447" i="72"/>
  <c r="K447" i="72"/>
  <c r="L447" i="72"/>
  <c r="I446" i="72"/>
  <c r="J446" i="72"/>
  <c r="K446" i="72"/>
  <c r="L446" i="72"/>
  <c r="I445" i="72"/>
  <c r="J445" i="72"/>
  <c r="K445" i="72"/>
  <c r="L445" i="72"/>
  <c r="I444" i="72"/>
  <c r="J444" i="72"/>
  <c r="K444" i="72"/>
  <c r="L444" i="72"/>
  <c r="I443" i="72"/>
  <c r="J443" i="72"/>
  <c r="K443" i="72"/>
  <c r="L443" i="72"/>
  <c r="I442" i="72"/>
  <c r="J442" i="72"/>
  <c r="K442" i="72"/>
  <c r="L442" i="72"/>
  <c r="I441" i="72"/>
  <c r="J441" i="72"/>
  <c r="K441" i="72"/>
  <c r="L441" i="72"/>
  <c r="I440" i="72"/>
  <c r="J440" i="72"/>
  <c r="K440" i="72"/>
  <c r="L440" i="72"/>
  <c r="I439" i="72"/>
  <c r="J439" i="72"/>
  <c r="K439" i="72"/>
  <c r="L439" i="72"/>
  <c r="I438" i="72"/>
  <c r="J438" i="72"/>
  <c r="K438" i="72"/>
  <c r="L438" i="72"/>
  <c r="I437" i="72"/>
  <c r="J437" i="72"/>
  <c r="K437" i="72"/>
  <c r="L437" i="72"/>
  <c r="I436" i="72"/>
  <c r="J436" i="72"/>
  <c r="K436" i="72"/>
  <c r="L436" i="72"/>
  <c r="I435" i="72"/>
  <c r="J435" i="72"/>
  <c r="K435" i="72"/>
  <c r="L435" i="72"/>
  <c r="I434" i="72"/>
  <c r="J434" i="72"/>
  <c r="K434" i="72"/>
  <c r="L434" i="72"/>
  <c r="I433" i="72"/>
  <c r="J433" i="72"/>
  <c r="K433" i="72"/>
  <c r="L433" i="72"/>
  <c r="I432" i="72"/>
  <c r="J432" i="72"/>
  <c r="K432" i="72"/>
  <c r="L432" i="72"/>
  <c r="I431" i="72"/>
  <c r="J431" i="72"/>
  <c r="K431" i="72"/>
  <c r="L431" i="72"/>
  <c r="I430" i="72"/>
  <c r="J430" i="72"/>
  <c r="K430" i="72"/>
  <c r="L430" i="72"/>
  <c r="I429" i="72"/>
  <c r="J429" i="72"/>
  <c r="K429" i="72"/>
  <c r="L429" i="72"/>
  <c r="I428" i="72"/>
  <c r="J428" i="72"/>
  <c r="K428" i="72"/>
  <c r="L428" i="72"/>
  <c r="I427" i="72"/>
  <c r="J427" i="72"/>
  <c r="K427" i="72"/>
  <c r="L427" i="72"/>
  <c r="I426" i="72"/>
  <c r="J426" i="72"/>
  <c r="K426" i="72"/>
  <c r="L426" i="72"/>
  <c r="I425" i="72"/>
  <c r="J425" i="72"/>
  <c r="K425" i="72"/>
  <c r="L425" i="72"/>
  <c r="I424" i="72"/>
  <c r="J424" i="72"/>
  <c r="K424" i="72"/>
  <c r="L424" i="72"/>
  <c r="I423" i="72"/>
  <c r="J423" i="72"/>
  <c r="K423" i="72"/>
  <c r="L423" i="72"/>
  <c r="I422" i="72"/>
  <c r="J422" i="72"/>
  <c r="K422" i="72"/>
  <c r="L422" i="72"/>
  <c r="I421" i="72"/>
  <c r="J421" i="72"/>
  <c r="K421" i="72"/>
  <c r="L421" i="72"/>
  <c r="I420" i="72"/>
  <c r="J420" i="72"/>
  <c r="K420" i="72"/>
  <c r="L420" i="72"/>
  <c r="I419" i="72"/>
  <c r="J419" i="72"/>
  <c r="K419" i="72"/>
  <c r="L419" i="72"/>
  <c r="I418" i="72"/>
  <c r="J418" i="72"/>
  <c r="K418" i="72"/>
  <c r="L418" i="72"/>
  <c r="I417" i="72"/>
  <c r="J417" i="72"/>
  <c r="K417" i="72"/>
  <c r="L417" i="72"/>
  <c r="I416" i="72"/>
  <c r="J416" i="72"/>
  <c r="K416" i="72"/>
  <c r="L416" i="72"/>
  <c r="I415" i="72"/>
  <c r="J415" i="72"/>
  <c r="K415" i="72"/>
  <c r="L415" i="72"/>
  <c r="I414" i="72"/>
  <c r="J414" i="72"/>
  <c r="K414" i="72"/>
  <c r="L414" i="72"/>
  <c r="I413" i="72"/>
  <c r="J413" i="72"/>
  <c r="K413" i="72"/>
  <c r="L413" i="72"/>
  <c r="I412" i="72"/>
  <c r="J412" i="72"/>
  <c r="K412" i="72"/>
  <c r="L412" i="72"/>
  <c r="I411" i="72"/>
  <c r="J411" i="72"/>
  <c r="K411" i="72"/>
  <c r="L411" i="72"/>
  <c r="I410" i="72"/>
  <c r="J410" i="72"/>
  <c r="K410" i="72"/>
  <c r="L410" i="72"/>
  <c r="I409" i="72"/>
  <c r="J409" i="72"/>
  <c r="K409" i="72"/>
  <c r="L409" i="72"/>
  <c r="I408" i="72"/>
  <c r="J408" i="72"/>
  <c r="K408" i="72"/>
  <c r="L408" i="72"/>
  <c r="I407" i="72"/>
  <c r="J407" i="72"/>
  <c r="K407" i="72"/>
  <c r="L407" i="72"/>
  <c r="I406" i="72"/>
  <c r="J406" i="72"/>
  <c r="K406" i="72"/>
  <c r="L406" i="72"/>
  <c r="I405" i="72"/>
  <c r="J405" i="72"/>
  <c r="K405" i="72"/>
  <c r="L405" i="72"/>
  <c r="I404" i="72"/>
  <c r="J404" i="72"/>
  <c r="K404" i="72"/>
  <c r="L404" i="72"/>
  <c r="I403" i="72"/>
  <c r="J403" i="72"/>
  <c r="K403" i="72"/>
  <c r="L403" i="72"/>
  <c r="I402" i="72"/>
  <c r="J402" i="72"/>
  <c r="K402" i="72"/>
  <c r="L402" i="72"/>
  <c r="I401" i="72"/>
  <c r="J401" i="72"/>
  <c r="K401" i="72"/>
  <c r="L401" i="72"/>
  <c r="I400" i="72"/>
  <c r="J400" i="72"/>
  <c r="K400" i="72"/>
  <c r="L400" i="72"/>
  <c r="I399" i="72"/>
  <c r="J399" i="72"/>
  <c r="K399" i="72"/>
  <c r="L399" i="72"/>
  <c r="I398" i="72"/>
  <c r="J398" i="72"/>
  <c r="K398" i="72"/>
  <c r="L398" i="72"/>
  <c r="I397" i="72"/>
  <c r="J397" i="72"/>
  <c r="K397" i="72"/>
  <c r="L397" i="72"/>
  <c r="I396" i="72"/>
  <c r="J396" i="72"/>
  <c r="K396" i="72"/>
  <c r="L396" i="72"/>
  <c r="I395" i="72"/>
  <c r="J395" i="72"/>
  <c r="K395" i="72"/>
  <c r="L395" i="72"/>
  <c r="I394" i="72"/>
  <c r="J394" i="72"/>
  <c r="K394" i="72"/>
  <c r="L394" i="72"/>
  <c r="I393" i="72"/>
  <c r="J393" i="72"/>
  <c r="K393" i="72"/>
  <c r="L393" i="72"/>
  <c r="I392" i="72"/>
  <c r="J392" i="72"/>
  <c r="K392" i="72"/>
  <c r="L392" i="72"/>
  <c r="I391" i="72"/>
  <c r="J391" i="72"/>
  <c r="K391" i="72"/>
  <c r="L391" i="72"/>
  <c r="I390" i="72"/>
  <c r="J390" i="72"/>
  <c r="K390" i="72"/>
  <c r="L390" i="72"/>
  <c r="I389" i="72"/>
  <c r="J389" i="72"/>
  <c r="K389" i="72"/>
  <c r="L389" i="72"/>
  <c r="I388" i="72"/>
  <c r="J388" i="72"/>
  <c r="K388" i="72"/>
  <c r="L388" i="72"/>
  <c r="I387" i="72"/>
  <c r="J387" i="72"/>
  <c r="K387" i="72"/>
  <c r="L387" i="72"/>
  <c r="I386" i="72"/>
  <c r="J386" i="72"/>
  <c r="K386" i="72"/>
  <c r="L386" i="72"/>
  <c r="I385" i="72"/>
  <c r="J385" i="72"/>
  <c r="K385" i="72"/>
  <c r="L385" i="72"/>
  <c r="I384" i="72"/>
  <c r="J384" i="72"/>
  <c r="K384" i="72"/>
  <c r="L384" i="72"/>
  <c r="I383" i="72"/>
  <c r="J383" i="72"/>
  <c r="K383" i="72"/>
  <c r="L383" i="72"/>
  <c r="I382" i="72"/>
  <c r="J382" i="72"/>
  <c r="K382" i="72"/>
  <c r="L382" i="72"/>
  <c r="I381" i="72"/>
  <c r="J381" i="72"/>
  <c r="K381" i="72"/>
  <c r="L381" i="72"/>
  <c r="I380" i="72"/>
  <c r="J380" i="72"/>
  <c r="K380" i="72"/>
  <c r="L380" i="72"/>
  <c r="I379" i="72"/>
  <c r="J379" i="72"/>
  <c r="K379" i="72"/>
  <c r="L379" i="72"/>
  <c r="I378" i="72"/>
  <c r="J378" i="72"/>
  <c r="K378" i="72"/>
  <c r="L378" i="72"/>
  <c r="I377" i="72"/>
  <c r="J377" i="72"/>
  <c r="K377" i="72"/>
  <c r="L377" i="72"/>
  <c r="I376" i="72"/>
  <c r="J376" i="72"/>
  <c r="K376" i="72"/>
  <c r="L376" i="72"/>
  <c r="I375" i="72"/>
  <c r="J375" i="72"/>
  <c r="K375" i="72"/>
  <c r="L375" i="72"/>
  <c r="I374" i="72"/>
  <c r="J374" i="72"/>
  <c r="K374" i="72"/>
  <c r="L374" i="72"/>
  <c r="I373" i="72"/>
  <c r="J373" i="72"/>
  <c r="K373" i="72"/>
  <c r="L373" i="72"/>
  <c r="I372" i="72"/>
  <c r="J372" i="72"/>
  <c r="K372" i="72"/>
  <c r="L372" i="72"/>
  <c r="I371" i="72"/>
  <c r="J371" i="72"/>
  <c r="K371" i="72"/>
  <c r="L371" i="72"/>
  <c r="I370" i="72"/>
  <c r="J370" i="72"/>
  <c r="K370" i="72"/>
  <c r="L370" i="72"/>
  <c r="I369" i="72"/>
  <c r="J369" i="72"/>
  <c r="K369" i="72"/>
  <c r="L369" i="72"/>
  <c r="I368" i="72"/>
  <c r="J368" i="72"/>
  <c r="K368" i="72"/>
  <c r="L368" i="72"/>
  <c r="I367" i="72"/>
  <c r="J367" i="72"/>
  <c r="K367" i="72"/>
  <c r="L367" i="72"/>
  <c r="I366" i="72"/>
  <c r="J366" i="72"/>
  <c r="K366" i="72"/>
  <c r="L366" i="72"/>
  <c r="I365" i="72"/>
  <c r="J365" i="72"/>
  <c r="K365" i="72"/>
  <c r="L365" i="72"/>
  <c r="I364" i="72"/>
  <c r="J364" i="72"/>
  <c r="K364" i="72"/>
  <c r="L364" i="72"/>
  <c r="I363" i="72"/>
  <c r="J363" i="72"/>
  <c r="K363" i="72"/>
  <c r="L363" i="72"/>
  <c r="I362" i="72"/>
  <c r="J362" i="72"/>
  <c r="K362" i="72"/>
  <c r="L362" i="72"/>
  <c r="I361" i="72"/>
  <c r="J361" i="72"/>
  <c r="K361" i="72"/>
  <c r="L361" i="72"/>
  <c r="I360" i="72"/>
  <c r="J360" i="72"/>
  <c r="K360" i="72"/>
  <c r="L360" i="72"/>
  <c r="I359" i="72"/>
  <c r="J359" i="72"/>
  <c r="K359" i="72"/>
  <c r="L359" i="72"/>
  <c r="I358" i="72"/>
  <c r="J358" i="72"/>
  <c r="K358" i="72"/>
  <c r="L358" i="72"/>
  <c r="I357" i="72"/>
  <c r="J357" i="72"/>
  <c r="K357" i="72"/>
  <c r="L357" i="72"/>
  <c r="I356" i="72"/>
  <c r="J356" i="72"/>
  <c r="K356" i="72"/>
  <c r="L356" i="72"/>
  <c r="I355" i="72"/>
  <c r="J355" i="72"/>
  <c r="K355" i="72"/>
  <c r="L355" i="72"/>
  <c r="I354" i="72"/>
  <c r="J354" i="72"/>
  <c r="K354" i="72"/>
  <c r="L354" i="72"/>
  <c r="I353" i="72"/>
  <c r="J353" i="72"/>
  <c r="K353" i="72"/>
  <c r="L353" i="72"/>
  <c r="I352" i="72"/>
  <c r="J352" i="72"/>
  <c r="K352" i="72"/>
  <c r="L352" i="72"/>
  <c r="I351" i="72"/>
  <c r="J351" i="72"/>
  <c r="K351" i="72"/>
  <c r="L351" i="72"/>
  <c r="I350" i="72"/>
  <c r="J350" i="72"/>
  <c r="K350" i="72"/>
  <c r="L350" i="72"/>
  <c r="I349" i="72"/>
  <c r="J349" i="72"/>
  <c r="K349" i="72"/>
  <c r="L349" i="72"/>
  <c r="I348" i="72"/>
  <c r="J348" i="72"/>
  <c r="K348" i="72"/>
  <c r="L348" i="72"/>
  <c r="I347" i="72"/>
  <c r="J347" i="72"/>
  <c r="K347" i="72"/>
  <c r="L347" i="72"/>
  <c r="I346" i="72"/>
  <c r="J346" i="72"/>
  <c r="K346" i="72"/>
  <c r="L346" i="72"/>
  <c r="I345" i="72"/>
  <c r="J345" i="72"/>
  <c r="K345" i="72"/>
  <c r="L345" i="72"/>
  <c r="I344" i="72"/>
  <c r="J344" i="72"/>
  <c r="K344" i="72"/>
  <c r="L344" i="72"/>
  <c r="I343" i="72"/>
  <c r="J343" i="72"/>
  <c r="K343" i="72"/>
  <c r="L343" i="72"/>
  <c r="I342" i="72"/>
  <c r="J342" i="72"/>
  <c r="K342" i="72"/>
  <c r="L342" i="72"/>
  <c r="I341" i="72"/>
  <c r="J341" i="72"/>
  <c r="K341" i="72"/>
  <c r="L341" i="72"/>
  <c r="I340" i="72"/>
  <c r="J340" i="72"/>
  <c r="K340" i="72"/>
  <c r="L340" i="72"/>
  <c r="I339" i="72"/>
  <c r="J339" i="72"/>
  <c r="K339" i="72"/>
  <c r="L339" i="72"/>
  <c r="I338" i="72"/>
  <c r="J338" i="72"/>
  <c r="K338" i="72"/>
  <c r="L338" i="72"/>
  <c r="I337" i="72"/>
  <c r="J337" i="72"/>
  <c r="K337" i="72"/>
  <c r="L337" i="72"/>
  <c r="I336" i="72"/>
  <c r="J336" i="72"/>
  <c r="K336" i="72"/>
  <c r="L336" i="72"/>
  <c r="I335" i="72"/>
  <c r="J335" i="72"/>
  <c r="K335" i="72"/>
  <c r="L335" i="72"/>
  <c r="I334" i="72"/>
  <c r="J334" i="72"/>
  <c r="K334" i="72"/>
  <c r="L334" i="72"/>
  <c r="I333" i="72"/>
  <c r="J333" i="72"/>
  <c r="K333" i="72"/>
  <c r="L333" i="72"/>
  <c r="I332" i="72"/>
  <c r="J332" i="72"/>
  <c r="K332" i="72"/>
  <c r="L332" i="72"/>
  <c r="I331" i="72"/>
  <c r="J331" i="72"/>
  <c r="K331" i="72"/>
  <c r="L331" i="72"/>
  <c r="I330" i="72"/>
  <c r="J330" i="72"/>
  <c r="K330" i="72"/>
  <c r="L330" i="72"/>
  <c r="I329" i="72"/>
  <c r="J329" i="72"/>
  <c r="K329" i="72"/>
  <c r="L329" i="72"/>
  <c r="I328" i="72"/>
  <c r="J328" i="72"/>
  <c r="K328" i="72"/>
  <c r="L328" i="72"/>
  <c r="I327" i="72"/>
  <c r="J327" i="72"/>
  <c r="K327" i="72"/>
  <c r="L327" i="72"/>
  <c r="I326" i="72"/>
  <c r="J326" i="72"/>
  <c r="K326" i="72"/>
  <c r="L326" i="72"/>
  <c r="I325" i="72"/>
  <c r="J325" i="72"/>
  <c r="K325" i="72"/>
  <c r="L325" i="72"/>
  <c r="I324" i="72"/>
  <c r="J324" i="72"/>
  <c r="K324" i="72"/>
  <c r="L324" i="72"/>
  <c r="I323" i="72"/>
  <c r="J323" i="72"/>
  <c r="K323" i="72"/>
  <c r="L323" i="72"/>
  <c r="I322" i="72"/>
  <c r="J322" i="72"/>
  <c r="K322" i="72"/>
  <c r="L322" i="72"/>
  <c r="I321" i="72"/>
  <c r="J321" i="72"/>
  <c r="K321" i="72"/>
  <c r="L321" i="72"/>
  <c r="I320" i="72"/>
  <c r="J320" i="72"/>
  <c r="K320" i="72"/>
  <c r="L320" i="72"/>
  <c r="I319" i="72"/>
  <c r="J319" i="72"/>
  <c r="K319" i="72"/>
  <c r="L319" i="72"/>
  <c r="I318" i="72"/>
  <c r="J318" i="72"/>
  <c r="K318" i="72"/>
  <c r="L318" i="72"/>
  <c r="I317" i="72"/>
  <c r="J317" i="72"/>
  <c r="K317" i="72"/>
  <c r="L317" i="72"/>
  <c r="I316" i="72"/>
  <c r="J316" i="72"/>
  <c r="K316" i="72"/>
  <c r="L316" i="72"/>
  <c r="I315" i="72"/>
  <c r="J315" i="72"/>
  <c r="K315" i="72"/>
  <c r="L315" i="72"/>
  <c r="I314" i="72"/>
  <c r="J314" i="72"/>
  <c r="K314" i="72"/>
  <c r="L314" i="72"/>
  <c r="I313" i="72"/>
  <c r="J313" i="72"/>
  <c r="K313" i="72"/>
  <c r="L313" i="72"/>
  <c r="I312" i="72"/>
  <c r="J312" i="72"/>
  <c r="K312" i="72"/>
  <c r="L312" i="72"/>
  <c r="I311" i="72"/>
  <c r="J311" i="72"/>
  <c r="K311" i="72"/>
  <c r="L311" i="72"/>
  <c r="I310" i="72"/>
  <c r="J310" i="72"/>
  <c r="K310" i="72"/>
  <c r="L310" i="72"/>
  <c r="I309" i="72"/>
  <c r="J309" i="72"/>
  <c r="K309" i="72"/>
  <c r="L309" i="72"/>
  <c r="I308" i="72"/>
  <c r="J308" i="72"/>
  <c r="K308" i="72"/>
  <c r="L308" i="72"/>
  <c r="I307" i="72"/>
  <c r="J307" i="72"/>
  <c r="K307" i="72"/>
  <c r="L307" i="72"/>
  <c r="I306" i="72"/>
  <c r="J306" i="72"/>
  <c r="K306" i="72"/>
  <c r="L306" i="72"/>
  <c r="I305" i="72"/>
  <c r="J305" i="72"/>
  <c r="K305" i="72"/>
  <c r="L305" i="72"/>
  <c r="I304" i="72"/>
  <c r="J304" i="72"/>
  <c r="K304" i="72"/>
  <c r="L304" i="72"/>
  <c r="I303" i="72"/>
  <c r="J303" i="72"/>
  <c r="K303" i="72"/>
  <c r="L303" i="72"/>
  <c r="I302" i="72"/>
  <c r="J302" i="72"/>
  <c r="K302" i="72"/>
  <c r="L302" i="72"/>
  <c r="I298" i="72"/>
  <c r="I297" i="72"/>
  <c r="J297" i="72"/>
  <c r="K297" i="72"/>
  <c r="L297" i="72"/>
  <c r="I296" i="72"/>
  <c r="J296" i="72"/>
  <c r="K296" i="72"/>
  <c r="L296" i="72"/>
  <c r="I295" i="72"/>
  <c r="J295" i="72"/>
  <c r="K295" i="72"/>
  <c r="L295" i="72"/>
  <c r="I294" i="72"/>
  <c r="J294" i="72"/>
  <c r="K294" i="72"/>
  <c r="L294" i="72"/>
  <c r="I293" i="72"/>
  <c r="J293" i="72"/>
  <c r="K293" i="72"/>
  <c r="L293" i="72"/>
  <c r="M293" i="72"/>
  <c r="I292" i="72"/>
  <c r="J292" i="72"/>
  <c r="K292" i="72"/>
  <c r="L292" i="72"/>
  <c r="I291" i="72"/>
  <c r="J291" i="72"/>
  <c r="K291" i="72"/>
  <c r="L291" i="72"/>
  <c r="I290" i="72"/>
  <c r="J290" i="72"/>
  <c r="K290" i="72"/>
  <c r="L290" i="72"/>
  <c r="I289" i="72"/>
  <c r="J289" i="72"/>
  <c r="K289" i="72"/>
  <c r="L289" i="72"/>
  <c r="I288" i="72"/>
  <c r="J288" i="72"/>
  <c r="K288" i="72"/>
  <c r="L288" i="72"/>
  <c r="I287" i="72"/>
  <c r="J287" i="72"/>
  <c r="K287" i="72"/>
  <c r="L287" i="72"/>
  <c r="I286" i="72"/>
  <c r="J286" i="72"/>
  <c r="K286" i="72"/>
  <c r="L286" i="72"/>
  <c r="I285" i="72"/>
  <c r="J285" i="72"/>
  <c r="K285" i="72"/>
  <c r="L285" i="72"/>
  <c r="I284" i="72"/>
  <c r="J284" i="72"/>
  <c r="K284" i="72"/>
  <c r="L284" i="72"/>
  <c r="I283" i="72"/>
  <c r="J283" i="72"/>
  <c r="K283" i="72"/>
  <c r="L283" i="72"/>
  <c r="I282" i="72"/>
  <c r="J282" i="72"/>
  <c r="K282" i="72"/>
  <c r="L282" i="72"/>
  <c r="I281" i="72"/>
  <c r="J281" i="72"/>
  <c r="K281" i="72"/>
  <c r="L281" i="72"/>
  <c r="I280" i="72"/>
  <c r="J280" i="72"/>
  <c r="K280" i="72"/>
  <c r="L280" i="72"/>
  <c r="I279" i="72"/>
  <c r="J279" i="72"/>
  <c r="K279" i="72"/>
  <c r="L279" i="72"/>
  <c r="I278" i="72"/>
  <c r="J278" i="72"/>
  <c r="K278" i="72"/>
  <c r="L278" i="72"/>
  <c r="I277" i="72"/>
  <c r="J277" i="72"/>
  <c r="I276" i="72"/>
  <c r="J276" i="72"/>
  <c r="I275" i="72"/>
  <c r="J275" i="72"/>
  <c r="I274" i="72"/>
  <c r="J274" i="72"/>
  <c r="K274" i="72"/>
  <c r="L274" i="72"/>
  <c r="I273" i="72"/>
  <c r="J273" i="72"/>
  <c r="K273" i="72"/>
  <c r="L273" i="72"/>
  <c r="I272" i="72"/>
  <c r="J272" i="72"/>
  <c r="I271" i="72"/>
  <c r="J271" i="72"/>
  <c r="K271" i="72"/>
  <c r="L271" i="72"/>
  <c r="I270" i="72"/>
  <c r="J270" i="72"/>
  <c r="K270" i="72"/>
  <c r="L270" i="72"/>
  <c r="I269" i="72"/>
  <c r="J269" i="72"/>
  <c r="K269" i="72"/>
  <c r="L269" i="72"/>
  <c r="K268" i="72"/>
  <c r="L268" i="72"/>
  <c r="M268" i="72"/>
  <c r="I268" i="72"/>
  <c r="K267" i="72"/>
  <c r="L267" i="72"/>
  <c r="I267" i="72"/>
  <c r="I266" i="72"/>
  <c r="J266" i="72"/>
  <c r="K266" i="72"/>
  <c r="L266" i="72"/>
  <c r="I265" i="72"/>
  <c r="J265" i="72"/>
  <c r="K265" i="72"/>
  <c r="L265" i="72"/>
  <c r="I264" i="72"/>
  <c r="J264" i="72"/>
  <c r="K264" i="72"/>
  <c r="L264" i="72"/>
  <c r="I263" i="72"/>
  <c r="J263" i="72"/>
  <c r="K263" i="72"/>
  <c r="L263" i="72"/>
  <c r="I262" i="72"/>
  <c r="J262" i="72"/>
  <c r="K262" i="72"/>
  <c r="L262" i="72"/>
  <c r="I261" i="72"/>
  <c r="J261" i="72"/>
  <c r="K261" i="72"/>
  <c r="L261" i="72"/>
  <c r="I260" i="72"/>
  <c r="J260" i="72"/>
  <c r="K260" i="72"/>
  <c r="L260" i="72"/>
  <c r="I259" i="72"/>
  <c r="J259" i="72"/>
  <c r="K259" i="72"/>
  <c r="L259" i="72"/>
  <c r="I258" i="72"/>
  <c r="J258" i="72"/>
  <c r="K258" i="72"/>
  <c r="L258" i="72"/>
  <c r="I257" i="72"/>
  <c r="J257" i="72"/>
  <c r="K257" i="72"/>
  <c r="L257" i="72"/>
  <c r="I256" i="72"/>
  <c r="J256" i="72"/>
  <c r="K256" i="72"/>
  <c r="L256" i="72"/>
  <c r="I255" i="72"/>
  <c r="J255" i="72"/>
  <c r="K255" i="72"/>
  <c r="L255" i="72"/>
  <c r="M255" i="72"/>
  <c r="I254" i="72"/>
  <c r="J254" i="72"/>
  <c r="K254" i="72"/>
  <c r="L254" i="72"/>
  <c r="M254" i="72"/>
  <c r="I253" i="72"/>
  <c r="J253" i="72"/>
  <c r="K253" i="72"/>
  <c r="L253" i="72"/>
  <c r="M253" i="72"/>
  <c r="I252" i="72"/>
  <c r="J252" i="72"/>
  <c r="K252" i="72"/>
  <c r="L252" i="72"/>
  <c r="M252" i="72"/>
  <c r="I251" i="72"/>
  <c r="J251" i="72"/>
  <c r="K251" i="72"/>
  <c r="L251" i="72"/>
  <c r="M251" i="72"/>
  <c r="I250" i="72"/>
  <c r="J250" i="72"/>
  <c r="K250" i="72"/>
  <c r="L250" i="72"/>
  <c r="M250" i="72"/>
  <c r="H249" i="72"/>
  <c r="H248" i="72"/>
  <c r="I248" i="72"/>
  <c r="J248" i="72"/>
  <c r="K248" i="72"/>
  <c r="L248" i="72"/>
  <c r="H247" i="72"/>
  <c r="H246" i="72"/>
  <c r="H245" i="72"/>
  <c r="I245" i="72"/>
  <c r="J245" i="72"/>
  <c r="I244" i="72"/>
  <c r="J244" i="72"/>
  <c r="K244" i="72"/>
  <c r="L244" i="72"/>
  <c r="M244" i="72"/>
  <c r="I243" i="72"/>
  <c r="J243" i="72"/>
  <c r="K243" i="72"/>
  <c r="L243" i="72"/>
  <c r="I242" i="72"/>
  <c r="J242" i="72"/>
  <c r="K242" i="72"/>
  <c r="L242" i="72"/>
  <c r="I241" i="72"/>
  <c r="J241" i="72"/>
  <c r="K241" i="72"/>
  <c r="L241" i="72"/>
  <c r="M241" i="72"/>
  <c r="I240" i="72"/>
  <c r="J240" i="72"/>
  <c r="K240" i="72"/>
  <c r="L240" i="72"/>
  <c r="I239" i="72"/>
  <c r="J239" i="72"/>
  <c r="K239" i="72"/>
  <c r="L239" i="72"/>
  <c r="I238" i="72"/>
  <c r="J238" i="72"/>
  <c r="K238" i="72"/>
  <c r="L238" i="72"/>
  <c r="I237" i="72"/>
  <c r="J237" i="72"/>
  <c r="K237" i="72"/>
  <c r="L237" i="72"/>
  <c r="I236" i="72"/>
  <c r="J236" i="72"/>
  <c r="K236" i="72"/>
  <c r="L236" i="72"/>
  <c r="I235" i="72"/>
  <c r="J235" i="72"/>
  <c r="K235" i="72"/>
  <c r="L235" i="72"/>
  <c r="I234" i="72"/>
  <c r="J234" i="72"/>
  <c r="K234" i="72"/>
  <c r="L234" i="72"/>
  <c r="I233" i="72"/>
  <c r="J233" i="72"/>
  <c r="K233" i="72"/>
  <c r="L233" i="72"/>
  <c r="I232" i="72"/>
  <c r="J232" i="72"/>
  <c r="K232" i="72"/>
  <c r="L232" i="72"/>
  <c r="I231" i="72"/>
  <c r="J231" i="72"/>
  <c r="K231" i="72"/>
  <c r="L231" i="72"/>
  <c r="I230" i="72"/>
  <c r="J230" i="72"/>
  <c r="K230" i="72"/>
  <c r="L230" i="72"/>
  <c r="I229" i="72"/>
  <c r="J229" i="72"/>
  <c r="K229" i="72"/>
  <c r="L229" i="72"/>
  <c r="I228" i="72"/>
  <c r="J228" i="72"/>
  <c r="K228" i="72"/>
  <c r="L228" i="72"/>
  <c r="I227" i="72"/>
  <c r="J227" i="72"/>
  <c r="K227" i="72"/>
  <c r="L227" i="72"/>
  <c r="I226" i="72"/>
  <c r="J226" i="72"/>
  <c r="K226" i="72"/>
  <c r="L226" i="72"/>
  <c r="I225" i="72"/>
  <c r="J225" i="72"/>
  <c r="K225" i="72"/>
  <c r="L225" i="72"/>
  <c r="I224" i="72"/>
  <c r="J224" i="72"/>
  <c r="K224" i="72"/>
  <c r="L224" i="72"/>
  <c r="I223" i="72"/>
  <c r="J223" i="72"/>
  <c r="K223" i="72"/>
  <c r="L223" i="72"/>
  <c r="I222" i="72"/>
  <c r="J222" i="72"/>
  <c r="K222" i="72"/>
  <c r="L222" i="72"/>
  <c r="I221" i="72"/>
  <c r="J221" i="72"/>
  <c r="K221" i="72"/>
  <c r="L221" i="72"/>
  <c r="I220" i="72"/>
  <c r="J220" i="72"/>
  <c r="K220" i="72"/>
  <c r="L220" i="72"/>
  <c r="I219" i="72"/>
  <c r="J219" i="72"/>
  <c r="K219" i="72"/>
  <c r="L219" i="72"/>
  <c r="I218" i="72"/>
  <c r="J218" i="72"/>
  <c r="K218" i="72"/>
  <c r="L218" i="72"/>
  <c r="I217" i="72"/>
  <c r="J217" i="72"/>
  <c r="K217" i="72"/>
  <c r="L217" i="72"/>
  <c r="I216" i="72"/>
  <c r="J216" i="72"/>
  <c r="K216" i="72"/>
  <c r="L216" i="72"/>
  <c r="I215" i="72"/>
  <c r="J215" i="72"/>
  <c r="K215" i="72"/>
  <c r="L215" i="72"/>
  <c r="I214" i="72"/>
  <c r="J214" i="72"/>
  <c r="K214" i="72"/>
  <c r="L214" i="72"/>
  <c r="I213" i="72"/>
  <c r="J213" i="72"/>
  <c r="K213" i="72"/>
  <c r="L213" i="72"/>
  <c r="I212" i="72"/>
  <c r="J212" i="72"/>
  <c r="K212" i="72"/>
  <c r="L212" i="72"/>
  <c r="I211" i="72"/>
  <c r="J211" i="72"/>
  <c r="K211" i="72"/>
  <c r="L211" i="72"/>
  <c r="I210" i="72"/>
  <c r="J210" i="72"/>
  <c r="K210" i="72"/>
  <c r="L210" i="72"/>
  <c r="I209" i="72"/>
  <c r="J209" i="72"/>
  <c r="K209" i="72"/>
  <c r="L209" i="72"/>
  <c r="I208" i="72"/>
  <c r="J208" i="72"/>
  <c r="K208" i="72"/>
  <c r="L208" i="72"/>
  <c r="I207" i="72"/>
  <c r="J207" i="72"/>
  <c r="K207" i="72"/>
  <c r="L207" i="72"/>
  <c r="M206" i="72"/>
  <c r="I206" i="72"/>
  <c r="I205" i="72"/>
  <c r="J205" i="72"/>
  <c r="K205" i="72"/>
  <c r="L205" i="72"/>
  <c r="I204" i="72"/>
  <c r="J204" i="72"/>
  <c r="K204" i="72"/>
  <c r="L204" i="72"/>
  <c r="I203" i="72"/>
  <c r="J203" i="72"/>
  <c r="K203" i="72"/>
  <c r="L203" i="72"/>
  <c r="I202" i="72"/>
  <c r="J202" i="72"/>
  <c r="K202" i="72"/>
  <c r="L202" i="72"/>
  <c r="I201" i="72"/>
  <c r="J201" i="72"/>
  <c r="K201" i="72"/>
  <c r="L201" i="72"/>
  <c r="I200" i="72"/>
  <c r="J200" i="72"/>
  <c r="K200" i="72"/>
  <c r="L200" i="72"/>
  <c r="I199" i="72"/>
  <c r="J199" i="72"/>
  <c r="K199" i="72"/>
  <c r="L199" i="72"/>
  <c r="I198" i="72"/>
  <c r="J198" i="72"/>
  <c r="K198" i="72"/>
  <c r="L198" i="72"/>
  <c r="I197" i="72"/>
  <c r="J197" i="72"/>
  <c r="K197" i="72"/>
  <c r="L197" i="72"/>
  <c r="I196" i="72"/>
  <c r="J196" i="72"/>
  <c r="K196" i="72"/>
  <c r="L196" i="72"/>
  <c r="I195" i="72"/>
  <c r="J195" i="72"/>
  <c r="K195" i="72"/>
  <c r="L195" i="72"/>
  <c r="I194" i="72"/>
  <c r="J194" i="72"/>
  <c r="K194" i="72"/>
  <c r="L194" i="72"/>
  <c r="I193" i="72"/>
  <c r="J193" i="72"/>
  <c r="K193" i="72"/>
  <c r="L193" i="72"/>
  <c r="I192" i="72"/>
  <c r="J192" i="72"/>
  <c r="K192" i="72"/>
  <c r="L192" i="72"/>
  <c r="I191" i="72"/>
  <c r="J191" i="72"/>
  <c r="K191" i="72"/>
  <c r="L191" i="72"/>
  <c r="I190" i="72"/>
  <c r="J190" i="72"/>
  <c r="K190" i="72"/>
  <c r="L190" i="72"/>
  <c r="I189" i="72"/>
  <c r="J189" i="72"/>
  <c r="K189" i="72"/>
  <c r="L189" i="72"/>
  <c r="I188" i="72"/>
  <c r="J188" i="72"/>
  <c r="K188" i="72"/>
  <c r="L188" i="72"/>
  <c r="I187" i="72"/>
  <c r="J187" i="72"/>
  <c r="K187" i="72"/>
  <c r="L187" i="72"/>
  <c r="I186" i="72"/>
  <c r="J186" i="72"/>
  <c r="K186" i="72"/>
  <c r="L186" i="72"/>
  <c r="I185" i="72"/>
  <c r="J185" i="72"/>
  <c r="K185" i="72"/>
  <c r="L185" i="72"/>
  <c r="I184" i="72"/>
  <c r="J184" i="72"/>
  <c r="K184" i="72"/>
  <c r="L184" i="72"/>
  <c r="I183" i="72"/>
  <c r="J183" i="72"/>
  <c r="K183" i="72"/>
  <c r="L183" i="72"/>
  <c r="I182" i="72"/>
  <c r="J182" i="72"/>
  <c r="K182" i="72"/>
  <c r="L182" i="72"/>
  <c r="I181" i="72"/>
  <c r="J181" i="72"/>
  <c r="K181" i="72"/>
  <c r="L181" i="72"/>
  <c r="I180" i="72"/>
  <c r="J180" i="72"/>
  <c r="K180" i="72"/>
  <c r="L180" i="72"/>
  <c r="I179" i="72"/>
  <c r="J179" i="72"/>
  <c r="K179" i="72"/>
  <c r="L179" i="72"/>
  <c r="I178" i="72"/>
  <c r="J178" i="72"/>
  <c r="K178" i="72"/>
  <c r="L178" i="72"/>
  <c r="I177" i="72"/>
  <c r="J177" i="72"/>
  <c r="K177" i="72"/>
  <c r="L177" i="72"/>
  <c r="I176" i="72"/>
  <c r="J176" i="72"/>
  <c r="K176" i="72"/>
  <c r="L176" i="72"/>
  <c r="I175" i="72"/>
  <c r="J175" i="72"/>
  <c r="K175" i="72"/>
  <c r="L175" i="72"/>
  <c r="I174" i="72"/>
  <c r="J174" i="72"/>
  <c r="K174" i="72"/>
  <c r="L174" i="72"/>
  <c r="I173" i="72"/>
  <c r="J173" i="72"/>
  <c r="K173" i="72"/>
  <c r="L173" i="72"/>
  <c r="I172" i="72"/>
  <c r="J172" i="72"/>
  <c r="K172" i="72"/>
  <c r="L172" i="72"/>
  <c r="I171" i="72"/>
  <c r="J171" i="72"/>
  <c r="K171" i="72"/>
  <c r="L171" i="72"/>
  <c r="I170" i="72"/>
  <c r="J170" i="72"/>
  <c r="K170" i="72"/>
  <c r="L170" i="72"/>
  <c r="I169" i="72"/>
  <c r="J169" i="72"/>
  <c r="K169" i="72"/>
  <c r="L169" i="72"/>
  <c r="I168" i="72"/>
  <c r="J168" i="72"/>
  <c r="K168" i="72"/>
  <c r="L168" i="72"/>
  <c r="I167" i="72"/>
  <c r="J167" i="72"/>
  <c r="K167" i="72"/>
  <c r="L167" i="72"/>
  <c r="I166" i="72"/>
  <c r="J166" i="72"/>
  <c r="K166" i="72"/>
  <c r="L166" i="72"/>
  <c r="I165" i="72"/>
  <c r="J165" i="72"/>
  <c r="K165" i="72"/>
  <c r="L165" i="72"/>
  <c r="I164" i="72"/>
  <c r="J164" i="72"/>
  <c r="K164" i="72"/>
  <c r="L164" i="72"/>
  <c r="I163" i="72"/>
  <c r="J163" i="72"/>
  <c r="K163" i="72"/>
  <c r="L163" i="72"/>
  <c r="I162" i="72"/>
  <c r="J162" i="72"/>
  <c r="K162" i="72"/>
  <c r="L162" i="72"/>
  <c r="I161" i="72"/>
  <c r="J161" i="72"/>
  <c r="K161" i="72"/>
  <c r="L161" i="72"/>
  <c r="I160" i="72"/>
  <c r="J160" i="72"/>
  <c r="K160" i="72"/>
  <c r="L160" i="72"/>
  <c r="I159" i="72"/>
  <c r="J159" i="72"/>
  <c r="K159" i="72"/>
  <c r="L159" i="72"/>
  <c r="I158" i="72"/>
  <c r="J158" i="72"/>
  <c r="K158" i="72"/>
  <c r="L158" i="72"/>
  <c r="I157" i="72"/>
  <c r="J157" i="72"/>
  <c r="K157" i="72"/>
  <c r="L157" i="72"/>
  <c r="I156" i="72"/>
  <c r="J156" i="72"/>
  <c r="K156" i="72"/>
  <c r="L156" i="72"/>
  <c r="I155" i="72"/>
  <c r="J155" i="72"/>
  <c r="K155" i="72"/>
  <c r="L155" i="72"/>
  <c r="I154" i="72"/>
  <c r="J154" i="72"/>
  <c r="K154" i="72"/>
  <c r="L154" i="72"/>
  <c r="I153" i="72"/>
  <c r="J153" i="72"/>
  <c r="K153" i="72"/>
  <c r="L153" i="72"/>
  <c r="I152" i="72"/>
  <c r="J152" i="72"/>
  <c r="K152" i="72"/>
  <c r="L152" i="72"/>
  <c r="I151" i="72"/>
  <c r="J151" i="72"/>
  <c r="K151" i="72"/>
  <c r="L151" i="72"/>
  <c r="I150" i="72"/>
  <c r="J150" i="72"/>
  <c r="K150" i="72"/>
  <c r="L150" i="72"/>
  <c r="I149" i="72"/>
  <c r="J149" i="72"/>
  <c r="K149" i="72"/>
  <c r="L149" i="72"/>
  <c r="I148" i="72"/>
  <c r="J148" i="72"/>
  <c r="K148" i="72"/>
  <c r="L148" i="72"/>
  <c r="I147" i="72"/>
  <c r="J147" i="72"/>
  <c r="K147" i="72"/>
  <c r="L147" i="72"/>
  <c r="I146" i="72"/>
  <c r="J146" i="72"/>
  <c r="K146" i="72"/>
  <c r="L146" i="72"/>
  <c r="I145" i="72"/>
  <c r="J145" i="72"/>
  <c r="K145" i="72"/>
  <c r="L145" i="72"/>
  <c r="I144" i="72"/>
  <c r="J144" i="72"/>
  <c r="K144" i="72"/>
  <c r="L144" i="72"/>
  <c r="I143" i="72"/>
  <c r="J143" i="72"/>
  <c r="K143" i="72"/>
  <c r="L143" i="72"/>
  <c r="I142" i="72"/>
  <c r="J142" i="72"/>
  <c r="K142" i="72"/>
  <c r="L142" i="72"/>
  <c r="I141" i="72"/>
  <c r="J141" i="72"/>
  <c r="K141" i="72"/>
  <c r="L141" i="72"/>
  <c r="I140" i="72"/>
  <c r="J140" i="72"/>
  <c r="K140" i="72"/>
  <c r="L140" i="72"/>
  <c r="I139" i="72"/>
  <c r="J139" i="72"/>
  <c r="K139" i="72"/>
  <c r="L139" i="72"/>
  <c r="I138" i="72"/>
  <c r="J138" i="72"/>
  <c r="K138" i="72"/>
  <c r="L138" i="72"/>
  <c r="I137" i="72"/>
  <c r="J137" i="72"/>
  <c r="K137" i="72"/>
  <c r="L137" i="72"/>
  <c r="I136" i="72"/>
  <c r="J136" i="72"/>
  <c r="K136" i="72"/>
  <c r="L136" i="72"/>
  <c r="I135" i="72"/>
  <c r="J135" i="72"/>
  <c r="K135" i="72"/>
  <c r="L135" i="72"/>
  <c r="I134" i="72"/>
  <c r="J134" i="72"/>
  <c r="K134" i="72"/>
  <c r="L134" i="72"/>
  <c r="I133" i="72"/>
  <c r="J133" i="72"/>
  <c r="K133" i="72"/>
  <c r="L133" i="72"/>
  <c r="I132" i="72"/>
  <c r="J132" i="72"/>
  <c r="K132" i="72"/>
  <c r="L132" i="72"/>
  <c r="I131" i="72"/>
  <c r="J131" i="72"/>
  <c r="K131" i="72"/>
  <c r="L131" i="72"/>
  <c r="I130" i="72"/>
  <c r="J130" i="72"/>
  <c r="K130" i="72"/>
  <c r="L130" i="72"/>
  <c r="I129" i="72"/>
  <c r="J129" i="72"/>
  <c r="K129" i="72"/>
  <c r="L129" i="72"/>
  <c r="I128" i="72"/>
  <c r="J128" i="72"/>
  <c r="K128" i="72"/>
  <c r="L128" i="72"/>
  <c r="I127" i="72"/>
  <c r="J127" i="72"/>
  <c r="K127" i="72"/>
  <c r="L127" i="72"/>
  <c r="J125" i="72"/>
  <c r="K125" i="72"/>
  <c r="L125" i="72"/>
  <c r="I124" i="72"/>
  <c r="J124" i="72"/>
  <c r="K124" i="72"/>
  <c r="L124" i="72"/>
  <c r="I123" i="72"/>
  <c r="J123" i="72"/>
  <c r="K123" i="72"/>
  <c r="L123" i="72"/>
  <c r="I122" i="72"/>
  <c r="J122" i="72"/>
  <c r="K122" i="72"/>
  <c r="L122" i="72"/>
  <c r="I121" i="72"/>
  <c r="J121" i="72"/>
  <c r="K121" i="72"/>
  <c r="L121" i="72"/>
  <c r="I120" i="72"/>
  <c r="J120" i="72"/>
  <c r="K120" i="72"/>
  <c r="L120" i="72"/>
  <c r="I119" i="72"/>
  <c r="J119" i="72"/>
  <c r="K119" i="72"/>
  <c r="L119" i="72"/>
  <c r="I118" i="72"/>
  <c r="J118" i="72"/>
  <c r="K118" i="72"/>
  <c r="L118" i="72"/>
  <c r="I117" i="72"/>
  <c r="J117" i="72"/>
  <c r="K117" i="72"/>
  <c r="L117" i="72"/>
  <c r="I116" i="72"/>
  <c r="J116" i="72"/>
  <c r="K116" i="72"/>
  <c r="L116" i="72"/>
  <c r="I115" i="72"/>
  <c r="J115" i="72"/>
  <c r="K115" i="72"/>
  <c r="L115" i="72"/>
  <c r="I114" i="72"/>
  <c r="J114" i="72"/>
  <c r="I113" i="72"/>
  <c r="J113" i="72"/>
  <c r="I112" i="72"/>
  <c r="J112" i="72"/>
  <c r="I111" i="72"/>
  <c r="J111" i="72"/>
  <c r="I110" i="72"/>
  <c r="J110" i="72"/>
  <c r="I109" i="72"/>
  <c r="J109" i="72"/>
  <c r="I108" i="72"/>
  <c r="J108" i="72"/>
  <c r="I107" i="72"/>
  <c r="J107" i="72"/>
  <c r="I106" i="72"/>
  <c r="J106" i="72"/>
  <c r="I105" i="72"/>
  <c r="J105" i="72"/>
  <c r="I104" i="72"/>
  <c r="J104" i="72"/>
  <c r="I103" i="72"/>
  <c r="J103" i="72"/>
  <c r="I102" i="72"/>
  <c r="J102" i="72"/>
  <c r="I101" i="72"/>
  <c r="J101" i="72"/>
  <c r="I100" i="72"/>
  <c r="J100" i="72"/>
  <c r="K100" i="72"/>
  <c r="L100" i="72"/>
  <c r="I99" i="72"/>
  <c r="J99" i="72"/>
  <c r="K99" i="72"/>
  <c r="L99" i="72"/>
  <c r="I98" i="72"/>
  <c r="J98" i="72"/>
  <c r="I97" i="72"/>
  <c r="J97" i="72"/>
  <c r="I96" i="72"/>
  <c r="J96" i="72"/>
  <c r="I95" i="72"/>
  <c r="J95" i="72"/>
  <c r="K95" i="72"/>
  <c r="L95" i="72"/>
  <c r="I94" i="72"/>
  <c r="J94" i="72"/>
  <c r="K94" i="72"/>
  <c r="L94" i="72"/>
  <c r="I93" i="72"/>
  <c r="J93" i="72"/>
  <c r="K93" i="72"/>
  <c r="L93" i="72"/>
  <c r="I92" i="72"/>
  <c r="J92" i="72"/>
  <c r="K92" i="72"/>
  <c r="L92" i="72"/>
  <c r="I91" i="72"/>
  <c r="J91" i="72"/>
  <c r="K91" i="72"/>
  <c r="L91" i="72"/>
  <c r="I90" i="72"/>
  <c r="J90" i="72"/>
  <c r="K90" i="72"/>
  <c r="L90" i="72"/>
  <c r="I89" i="72"/>
  <c r="J89" i="72"/>
  <c r="K89" i="72"/>
  <c r="L89" i="72"/>
  <c r="I88" i="72"/>
  <c r="J88" i="72"/>
  <c r="K88" i="72"/>
  <c r="L88" i="72"/>
  <c r="I87" i="72"/>
  <c r="J87" i="72"/>
  <c r="K87" i="72"/>
  <c r="L87" i="72"/>
  <c r="I86" i="72"/>
  <c r="J86" i="72"/>
  <c r="K86" i="72"/>
  <c r="L86" i="72"/>
  <c r="I85" i="72"/>
  <c r="J85" i="72"/>
  <c r="K85" i="72"/>
  <c r="L85" i="72"/>
  <c r="I84" i="72"/>
  <c r="J84" i="72"/>
  <c r="K84" i="72"/>
  <c r="L84" i="72"/>
  <c r="I83" i="72"/>
  <c r="J83" i="72"/>
  <c r="K83" i="72"/>
  <c r="L83" i="72"/>
  <c r="I82" i="72"/>
  <c r="J82" i="72"/>
  <c r="K82" i="72"/>
  <c r="L82" i="72"/>
  <c r="I81" i="72"/>
  <c r="J81" i="72"/>
  <c r="K81" i="72"/>
  <c r="L81" i="72"/>
  <c r="I80" i="72"/>
  <c r="J80" i="72"/>
  <c r="K80" i="72"/>
  <c r="L80" i="72"/>
  <c r="I79" i="72"/>
  <c r="J79" i="72"/>
  <c r="K79" i="72"/>
  <c r="L79" i="72"/>
  <c r="I78" i="72"/>
  <c r="J78" i="72"/>
  <c r="K78" i="72"/>
  <c r="L78" i="72"/>
  <c r="I77" i="72"/>
  <c r="J77" i="72"/>
  <c r="K77" i="72"/>
  <c r="L77" i="72"/>
  <c r="I76" i="72"/>
  <c r="J76" i="72"/>
  <c r="K76" i="72"/>
  <c r="L76" i="72"/>
  <c r="I75" i="72"/>
  <c r="J75" i="72"/>
  <c r="K75" i="72"/>
  <c r="L75" i="72"/>
  <c r="I74" i="72"/>
  <c r="J74" i="72"/>
  <c r="K74" i="72"/>
  <c r="L74" i="72"/>
  <c r="I73" i="72"/>
  <c r="J73" i="72"/>
  <c r="K73" i="72"/>
  <c r="L73" i="72"/>
  <c r="I72" i="72"/>
  <c r="J72" i="72"/>
  <c r="I71" i="72"/>
  <c r="J71" i="72"/>
  <c r="I70" i="72"/>
  <c r="J70" i="72"/>
  <c r="K70" i="72"/>
  <c r="L70" i="72"/>
  <c r="I69" i="72"/>
  <c r="J69" i="72"/>
  <c r="I68" i="72"/>
  <c r="J68" i="72"/>
  <c r="I67" i="72"/>
  <c r="J67" i="72"/>
  <c r="I66" i="72"/>
  <c r="J66" i="72"/>
  <c r="I65" i="72"/>
  <c r="J65" i="72"/>
  <c r="K65" i="72"/>
  <c r="L65" i="72"/>
  <c r="M65" i="72"/>
  <c r="I64" i="72"/>
  <c r="J64" i="72"/>
  <c r="I63" i="72"/>
  <c r="J63" i="72"/>
  <c r="I62" i="72"/>
  <c r="J62" i="72"/>
  <c r="I61" i="72"/>
  <c r="J61" i="72"/>
  <c r="I60" i="72"/>
  <c r="J60" i="72"/>
  <c r="I59" i="72"/>
  <c r="J59" i="72"/>
  <c r="I58" i="72"/>
  <c r="J58" i="72"/>
  <c r="I57" i="72"/>
  <c r="J57" i="72"/>
  <c r="K57" i="72"/>
  <c r="L57" i="72"/>
  <c r="I56" i="72"/>
  <c r="J56" i="72"/>
  <c r="K56" i="72"/>
  <c r="L56" i="72"/>
  <c r="I55" i="72"/>
  <c r="J55" i="72"/>
  <c r="K55" i="72"/>
  <c r="L55" i="72"/>
  <c r="I54" i="72"/>
  <c r="J54" i="72"/>
  <c r="I53" i="72"/>
  <c r="J53" i="72"/>
  <c r="K53" i="72"/>
  <c r="L53" i="72"/>
  <c r="I52" i="72"/>
  <c r="J52" i="72"/>
  <c r="K52" i="72"/>
  <c r="L52" i="72"/>
  <c r="I51" i="72"/>
  <c r="J51" i="72"/>
  <c r="K51" i="72"/>
  <c r="L51" i="72"/>
  <c r="I50" i="72"/>
  <c r="J50" i="72"/>
  <c r="K50" i="72"/>
  <c r="L50" i="72"/>
  <c r="I49" i="72"/>
  <c r="J49" i="72"/>
  <c r="K49" i="72"/>
  <c r="L49" i="72"/>
  <c r="I48" i="72"/>
  <c r="J48" i="72"/>
  <c r="K48" i="72"/>
  <c r="L48" i="72"/>
  <c r="I47" i="72"/>
  <c r="J47" i="72"/>
  <c r="K47" i="72"/>
  <c r="L47" i="72"/>
  <c r="I46" i="72"/>
  <c r="J46" i="72"/>
  <c r="K46" i="72"/>
  <c r="L46" i="72"/>
  <c r="I45" i="72"/>
  <c r="J45" i="72"/>
  <c r="K45" i="72"/>
  <c r="L45" i="72"/>
  <c r="I44" i="72"/>
  <c r="J44" i="72"/>
  <c r="K44" i="72"/>
  <c r="L44" i="72"/>
  <c r="I43" i="72"/>
  <c r="J43" i="72"/>
  <c r="K43" i="72"/>
  <c r="L43" i="72"/>
  <c r="I42" i="72"/>
  <c r="J42" i="72"/>
  <c r="K42" i="72"/>
  <c r="L42" i="72"/>
  <c r="I41" i="72"/>
  <c r="J41" i="72"/>
  <c r="K41" i="72"/>
  <c r="L41" i="72"/>
  <c r="I40" i="72"/>
  <c r="J40" i="72"/>
  <c r="K40" i="72"/>
  <c r="L40" i="72"/>
  <c r="I39" i="72"/>
  <c r="J39" i="72"/>
  <c r="K39" i="72"/>
  <c r="L39" i="72"/>
  <c r="I38" i="72"/>
  <c r="J38" i="72"/>
  <c r="K38" i="72"/>
  <c r="L38" i="72"/>
  <c r="I37" i="72"/>
  <c r="J37" i="72"/>
  <c r="K37" i="72"/>
  <c r="L37" i="72"/>
  <c r="I36" i="72"/>
  <c r="J36" i="72"/>
  <c r="K36" i="72"/>
  <c r="L36" i="72"/>
  <c r="I35" i="72"/>
  <c r="J35" i="72"/>
  <c r="K35" i="72"/>
  <c r="L35" i="72"/>
  <c r="I34" i="72"/>
  <c r="J34" i="72"/>
  <c r="K34" i="72"/>
  <c r="L34" i="72"/>
  <c r="I33" i="72"/>
  <c r="J33" i="72"/>
  <c r="K33" i="72"/>
  <c r="L33" i="72"/>
  <c r="I32" i="72"/>
  <c r="J32" i="72"/>
  <c r="K32" i="72"/>
  <c r="L32" i="72"/>
  <c r="I31" i="72"/>
  <c r="J31" i="72"/>
  <c r="K31" i="72"/>
  <c r="L31" i="72"/>
  <c r="I30" i="72"/>
  <c r="J30" i="72"/>
  <c r="K30" i="72"/>
  <c r="L30" i="72"/>
  <c r="I29" i="72"/>
  <c r="J29" i="72"/>
  <c r="K29" i="72"/>
  <c r="L29" i="72"/>
  <c r="H28" i="72"/>
  <c r="H27" i="72"/>
  <c r="I27" i="72"/>
  <c r="J27" i="72"/>
  <c r="H26" i="72"/>
  <c r="I26" i="72"/>
  <c r="J26" i="72"/>
  <c r="H25" i="72"/>
  <c r="H24" i="72"/>
  <c r="I23" i="72"/>
  <c r="I22" i="72"/>
  <c r="J22" i="72"/>
  <c r="K22" i="72"/>
  <c r="L22" i="72"/>
  <c r="I21" i="72"/>
  <c r="J21" i="72"/>
  <c r="K21" i="72"/>
  <c r="L21" i="72"/>
  <c r="I20" i="72"/>
  <c r="J20" i="72"/>
  <c r="K20" i="72"/>
  <c r="L20" i="72"/>
  <c r="I19" i="72"/>
  <c r="J19" i="72"/>
  <c r="K19" i="72"/>
  <c r="L19" i="72"/>
  <c r="I18" i="72"/>
  <c r="J18" i="72"/>
  <c r="K18" i="72"/>
  <c r="L18" i="72"/>
  <c r="I17" i="72"/>
  <c r="J17" i="72"/>
  <c r="K17" i="72"/>
  <c r="L17" i="72"/>
  <c r="I16" i="72"/>
  <c r="J16" i="72"/>
  <c r="K16" i="72"/>
  <c r="L16" i="72"/>
  <c r="I15" i="72"/>
  <c r="J15" i="72"/>
  <c r="K15" i="72"/>
  <c r="L15" i="72"/>
  <c r="I14" i="72"/>
  <c r="J14" i="72"/>
  <c r="K14" i="72"/>
  <c r="L14" i="72"/>
  <c r="I13" i="72"/>
  <c r="J13" i="72"/>
  <c r="K13" i="72"/>
  <c r="L13" i="72"/>
  <c r="I12" i="72"/>
  <c r="J12" i="72"/>
  <c r="K12" i="72"/>
  <c r="L12" i="72"/>
  <c r="I11" i="72"/>
  <c r="J11" i="72"/>
  <c r="K11" i="72"/>
  <c r="L11" i="72"/>
  <c r="I10" i="72"/>
  <c r="J10" i="72"/>
  <c r="K10" i="72"/>
  <c r="L10" i="72"/>
  <c r="I9" i="72"/>
  <c r="J9" i="72"/>
  <c r="K9" i="72"/>
  <c r="L9" i="72"/>
  <c r="I8" i="72"/>
  <c r="J8" i="72"/>
  <c r="K8" i="72"/>
  <c r="L8" i="72"/>
  <c r="I7" i="72"/>
  <c r="J7" i="72"/>
  <c r="K7" i="72"/>
  <c r="L7" i="72"/>
  <c r="I6" i="72"/>
  <c r="J6" i="72"/>
  <c r="K6" i="72"/>
  <c r="L6" i="72"/>
  <c r="I5" i="72"/>
  <c r="D4" i="16"/>
  <c r="E4" i="16"/>
  <c r="F4" i="16"/>
  <c r="G4" i="16"/>
  <c r="I4" i="16"/>
  <c r="J4" i="16"/>
  <c r="K4" i="16"/>
  <c r="L4" i="16"/>
  <c r="M4" i="16"/>
  <c r="G172" i="15"/>
  <c r="F172" i="15"/>
  <c r="E172" i="15"/>
  <c r="D172" i="15"/>
  <c r="C172" i="15"/>
  <c r="M32" i="7"/>
  <c r="J54" i="18"/>
  <c r="L78" i="18"/>
  <c r="R79" i="18"/>
  <c r="K40" i="18"/>
  <c r="Q109" i="18"/>
  <c r="Q110" i="18"/>
  <c r="Q111" i="18"/>
  <c r="N1362" i="72"/>
  <c r="O1362" i="72"/>
  <c r="P987" i="72"/>
  <c r="I50" i="18"/>
  <c r="P140" i="18"/>
  <c r="L108" i="18"/>
  <c r="P964" i="72"/>
  <c r="P963" i="72"/>
  <c r="P965" i="72"/>
  <c r="P966" i="72"/>
  <c r="P950" i="72"/>
  <c r="R1025" i="72"/>
  <c r="S1025" i="72"/>
  <c r="O967" i="72"/>
  <c r="P967" i="72"/>
  <c r="P959" i="72"/>
  <c r="Q959" i="72"/>
  <c r="P960" i="72"/>
  <c r="Q960" i="72"/>
  <c r="R1007" i="72"/>
  <c r="P961" i="72"/>
  <c r="S1028" i="72"/>
  <c r="O979" i="72"/>
  <c r="P979" i="72"/>
  <c r="Q979" i="72"/>
  <c r="Q962" i="72"/>
  <c r="R962" i="72"/>
  <c r="P958" i="72"/>
  <c r="O1016" i="72"/>
  <c r="P1016" i="72"/>
  <c r="Q1016" i="72"/>
  <c r="R991" i="72"/>
  <c r="J298" i="72"/>
  <c r="K298" i="72"/>
  <c r="L298" i="72"/>
  <c r="M298" i="72"/>
  <c r="Z1084" i="72"/>
  <c r="Z1085" i="72"/>
  <c r="Z1244" i="72"/>
  <c r="Z1245" i="72"/>
  <c r="Z1102" i="72"/>
  <c r="Z1103" i="72"/>
  <c r="Z127" i="72"/>
  <c r="Z128" i="72"/>
  <c r="Z303" i="72"/>
  <c r="Z304" i="72"/>
  <c r="Z209" i="72"/>
  <c r="Z210" i="72"/>
  <c r="Z115" i="72"/>
  <c r="Z116" i="72"/>
  <c r="Z118" i="72"/>
  <c r="L114" i="18"/>
  <c r="R115" i="18"/>
  <c r="R116" i="18"/>
  <c r="R117" i="18"/>
  <c r="K46" i="18"/>
  <c r="L722" i="53"/>
  <c r="J37" i="18"/>
  <c r="K92" i="18"/>
  <c r="J96" i="18"/>
  <c r="P97" i="18"/>
  <c r="P98" i="18"/>
  <c r="P99" i="18"/>
  <c r="K84" i="18"/>
  <c r="Q85" i="18"/>
  <c r="Q86" i="18"/>
  <c r="Q87" i="18"/>
  <c r="L39" i="18"/>
  <c r="M102" i="18"/>
  <c r="M72" i="18"/>
  <c r="L27" i="18"/>
  <c r="M60" i="18"/>
  <c r="L25" i="18"/>
  <c r="L1273" i="72"/>
  <c r="Z1246" i="72"/>
  <c r="Z1247" i="72"/>
  <c r="M1273" i="72"/>
  <c r="L1354" i="72"/>
  <c r="L1377" i="72"/>
  <c r="O1075" i="72"/>
  <c r="P1075" i="72"/>
  <c r="Q1075" i="72"/>
  <c r="O1067" i="72"/>
  <c r="P1067" i="72"/>
  <c r="O1063" i="72"/>
  <c r="O1059" i="72"/>
  <c r="P1059" i="72"/>
  <c r="O1079" i="72"/>
  <c r="P1079" i="72"/>
  <c r="M1167" i="72"/>
  <c r="P1002" i="72"/>
  <c r="P994" i="72"/>
  <c r="Q994" i="72"/>
  <c r="P996" i="72"/>
  <c r="Q996" i="72"/>
  <c r="R996" i="72"/>
  <c r="P999" i="72"/>
  <c r="O1000" i="72"/>
  <c r="P1000" i="72"/>
  <c r="O992" i="72"/>
  <c r="P992" i="72"/>
  <c r="O983" i="72"/>
  <c r="P983" i="72"/>
  <c r="P984" i="72"/>
  <c r="Q984" i="72"/>
  <c r="Q986" i="72"/>
  <c r="R986" i="72"/>
  <c r="M73" i="72"/>
  <c r="P980" i="72"/>
  <c r="Q980" i="72"/>
  <c r="M1171" i="72"/>
  <c r="N1171" i="72"/>
  <c r="P843" i="72"/>
  <c r="Q843" i="72"/>
  <c r="R843" i="72"/>
  <c r="O1062" i="72"/>
  <c r="P1015" i="72"/>
  <c r="Q1015" i="72"/>
  <c r="O719" i="72"/>
  <c r="P719" i="72"/>
  <c r="P794" i="72"/>
  <c r="Q794" i="72"/>
  <c r="P835" i="72"/>
  <c r="Q835" i="72"/>
  <c r="O833" i="72"/>
  <c r="P833" i="72"/>
  <c r="O769" i="72"/>
  <c r="P769" i="72"/>
  <c r="O705" i="72"/>
  <c r="P705" i="72"/>
  <c r="O768" i="72"/>
  <c r="P768" i="72"/>
  <c r="Q768" i="72"/>
  <c r="O916" i="72"/>
  <c r="P916" i="72"/>
  <c r="O1038" i="72"/>
  <c r="P1038" i="72"/>
  <c r="O1004" i="72"/>
  <c r="P1004" i="72"/>
  <c r="O957" i="72"/>
  <c r="P957" i="72"/>
  <c r="P877" i="72"/>
  <c r="Q877" i="72"/>
  <c r="S923" i="72"/>
  <c r="O855" i="72"/>
  <c r="P855" i="72"/>
  <c r="Q855" i="72"/>
  <c r="R855" i="72"/>
  <c r="P946" i="72"/>
  <c r="Q946" i="72"/>
  <c r="R946" i="72"/>
  <c r="O1064" i="72"/>
  <c r="P1064" i="72"/>
  <c r="O871" i="72"/>
  <c r="P871" i="72"/>
  <c r="Q987" i="72"/>
  <c r="R987" i="72"/>
  <c r="P810" i="72"/>
  <c r="Q810" i="72"/>
  <c r="O713" i="72"/>
  <c r="P713" i="72"/>
  <c r="Q706" i="72"/>
  <c r="R706" i="72"/>
  <c r="O1017" i="72"/>
  <c r="O953" i="72"/>
  <c r="P953" i="72"/>
  <c r="O889" i="72"/>
  <c r="P889" i="72"/>
  <c r="O825" i="72"/>
  <c r="P825" i="72"/>
  <c r="O761" i="72"/>
  <c r="P761" i="72"/>
  <c r="O988" i="72"/>
  <c r="P988" i="72"/>
  <c r="P972" i="72"/>
  <c r="Q972" i="72"/>
  <c r="O709" i="72"/>
  <c r="P709" i="72"/>
  <c r="O1021" i="72"/>
  <c r="O949" i="72"/>
  <c r="P949" i="72"/>
  <c r="O693" i="72"/>
  <c r="P693" i="72"/>
  <c r="P891" i="72"/>
  <c r="Q891" i="72"/>
  <c r="P922" i="72"/>
  <c r="P928" i="72"/>
  <c r="Q928" i="72"/>
  <c r="R928" i="72"/>
  <c r="P1055" i="72"/>
  <c r="Q1055" i="72"/>
  <c r="O771" i="72"/>
  <c r="P771" i="72"/>
  <c r="S816" i="72"/>
  <c r="T816" i="72"/>
  <c r="O746" i="72"/>
  <c r="P746" i="72"/>
  <c r="O783" i="72"/>
  <c r="P947" i="72"/>
  <c r="Q947" i="72"/>
  <c r="P819" i="72"/>
  <c r="Q819" i="72"/>
  <c r="O881" i="72"/>
  <c r="P881" i="72"/>
  <c r="P1024" i="72"/>
  <c r="Q1024" i="72"/>
  <c r="O879" i="72"/>
  <c r="P879" i="72"/>
  <c r="P862" i="72"/>
  <c r="Q862" i="72"/>
  <c r="O908" i="72"/>
  <c r="P908" i="72"/>
  <c r="O1013" i="72"/>
  <c r="P1013" i="72"/>
  <c r="P939" i="72"/>
  <c r="Q939" i="72"/>
  <c r="P875" i="72"/>
  <c r="Q875" i="72"/>
  <c r="O773" i="72"/>
  <c r="P773" i="72"/>
  <c r="O1032" i="72"/>
  <c r="P1032" i="72"/>
  <c r="P1039" i="72"/>
  <c r="Q1039" i="72"/>
  <c r="O759" i="72"/>
  <c r="P759" i="72"/>
  <c r="O695" i="72"/>
  <c r="P695" i="72"/>
  <c r="O126" i="72"/>
  <c r="P126" i="72"/>
  <c r="Q930" i="72"/>
  <c r="R930" i="72"/>
  <c r="P860" i="72"/>
  <c r="Q860" i="72"/>
  <c r="P1027" i="72"/>
  <c r="O873" i="72"/>
  <c r="P873" i="72"/>
  <c r="P1040" i="72"/>
  <c r="O805" i="72"/>
  <c r="P805" i="72"/>
  <c r="O854" i="72"/>
  <c r="P854" i="72"/>
  <c r="Q854" i="72"/>
  <c r="O876" i="72"/>
  <c r="P876" i="72"/>
  <c r="P1005" i="72"/>
  <c r="Q1005" i="72"/>
  <c r="P933" i="72"/>
  <c r="Q933" i="72"/>
  <c r="R933" i="72"/>
  <c r="O757" i="72"/>
  <c r="P757" i="72"/>
  <c r="P803" i="72"/>
  <c r="P818" i="72"/>
  <c r="Q995" i="72"/>
  <c r="R995" i="72"/>
  <c r="P814" i="72"/>
  <c r="P858" i="72"/>
  <c r="O1014" i="72"/>
  <c r="O1031" i="72"/>
  <c r="P1044" i="72"/>
  <c r="Q1044" i="72"/>
  <c r="S699" i="72"/>
  <c r="O892" i="72"/>
  <c r="P892" i="72"/>
  <c r="P915" i="72"/>
  <c r="Q915" i="72"/>
  <c r="P1058" i="72"/>
  <c r="Q1058" i="72"/>
  <c r="O1057" i="72"/>
  <c r="P1057" i="72"/>
  <c r="O865" i="72"/>
  <c r="P865" i="72"/>
  <c r="O801" i="72"/>
  <c r="P801" i="72"/>
  <c r="Q801" i="72"/>
  <c r="P820" i="72"/>
  <c r="O990" i="72"/>
  <c r="P990" i="72"/>
  <c r="P846" i="72"/>
  <c r="Q846" i="72"/>
  <c r="P758" i="72"/>
  <c r="Q758" i="72"/>
  <c r="O812" i="72"/>
  <c r="P812" i="72"/>
  <c r="P859" i="72"/>
  <c r="Q859" i="72"/>
  <c r="P787" i="72"/>
  <c r="Q787" i="72"/>
  <c r="R787" i="72"/>
  <c r="P778" i="72"/>
  <c r="P978" i="72"/>
  <c r="Q978" i="72"/>
  <c r="P971" i="72"/>
  <c r="Q971" i="72"/>
  <c r="O998" i="72"/>
  <c r="P998" i="72"/>
  <c r="O997" i="72"/>
  <c r="P997" i="72"/>
  <c r="O827" i="72"/>
  <c r="P827" i="72"/>
  <c r="Q827" i="72"/>
  <c r="R827" i="72"/>
  <c r="O841" i="72"/>
  <c r="P841" i="72"/>
  <c r="Q747" i="72"/>
  <c r="R747" i="72"/>
  <c r="P866" i="72"/>
  <c r="Q866" i="72"/>
  <c r="P1042" i="72"/>
  <c r="Q1042" i="72"/>
  <c r="Q954" i="72"/>
  <c r="O921" i="72"/>
  <c r="P921" i="72"/>
  <c r="O857" i="72"/>
  <c r="P857" i="72"/>
  <c r="O729" i="72"/>
  <c r="P729" i="72"/>
  <c r="P847" i="72"/>
  <c r="O982" i="72"/>
  <c r="O750" i="72"/>
  <c r="P750" i="72"/>
  <c r="O844" i="72"/>
  <c r="P844" i="72"/>
  <c r="O748" i="72"/>
  <c r="P748" i="72"/>
  <c r="P763" i="72"/>
  <c r="Q763" i="72"/>
  <c r="P779" i="72"/>
  <c r="Q779" i="72"/>
  <c r="R779" i="72"/>
  <c r="P738" i="72"/>
  <c r="Q738" i="72"/>
  <c r="R738" i="72"/>
  <c r="O735" i="72"/>
  <c r="P735" i="72"/>
  <c r="Q735" i="72"/>
  <c r="R735" i="72"/>
  <c r="O722" i="72"/>
  <c r="P722" i="72"/>
  <c r="Q722" i="72"/>
  <c r="R722" i="72"/>
  <c r="S722" i="72"/>
  <c r="O777" i="72"/>
  <c r="P777" i="72"/>
  <c r="Q707" i="72"/>
  <c r="R707" i="72"/>
  <c r="O899" i="72"/>
  <c r="P899" i="72"/>
  <c r="Q731" i="72"/>
  <c r="R731" i="72"/>
  <c r="P938" i="72"/>
  <c r="P977" i="72"/>
  <c r="Q977" i="72"/>
  <c r="O849" i="72"/>
  <c r="P849" i="72"/>
  <c r="Q849" i="72"/>
  <c r="O785" i="72"/>
  <c r="P785" i="72"/>
  <c r="O721" i="72"/>
  <c r="P721" i="72"/>
  <c r="O832" i="72"/>
  <c r="P832" i="72"/>
  <c r="P723" i="72"/>
  <c r="Q723" i="72"/>
  <c r="R723" i="72"/>
  <c r="O1052" i="72"/>
  <c r="P1052" i="72"/>
  <c r="O786" i="72"/>
  <c r="P786" i="72"/>
  <c r="O956" i="72"/>
  <c r="P956" i="72"/>
  <c r="O1068" i="72"/>
  <c r="P1068" i="72"/>
  <c r="P973" i="72"/>
  <c r="Q973" i="72"/>
  <c r="P739" i="72"/>
  <c r="P931" i="72"/>
  <c r="O887" i="72"/>
  <c r="P887" i="72"/>
  <c r="O840" i="72"/>
  <c r="P840" i="72"/>
  <c r="O1080" i="72"/>
  <c r="O808" i="72"/>
  <c r="O870" i="72"/>
  <c r="P870" i="72"/>
  <c r="O900" i="72"/>
  <c r="O776" i="72"/>
  <c r="P776" i="72"/>
  <c r="Q776" i="72"/>
  <c r="O712" i="72"/>
  <c r="P712" i="72"/>
  <c r="Q712" i="72"/>
  <c r="R712" i="72"/>
  <c r="O853" i="72"/>
  <c r="O884" i="72"/>
  <c r="O872" i="72"/>
  <c r="O838" i="72"/>
  <c r="O917" i="72"/>
  <c r="O904" i="72"/>
  <c r="O802" i="72"/>
  <c r="O733" i="72"/>
  <c r="P1043" i="72"/>
  <c r="P1072" i="72"/>
  <c r="O918" i="72"/>
  <c r="O993" i="72"/>
  <c r="P993" i="72"/>
  <c r="P936" i="72"/>
  <c r="Q1074" i="72"/>
  <c r="O1048" i="72"/>
  <c r="P1023" i="72"/>
  <c r="Q1023" i="72"/>
  <c r="R1082" i="72"/>
  <c r="S1082" i="72"/>
  <c r="P1018" i="72"/>
  <c r="P911" i="72"/>
  <c r="O1029" i="72"/>
  <c r="P1010" i="72"/>
  <c r="Q1010" i="72"/>
  <c r="O1001" i="72"/>
  <c r="P1001" i="72"/>
  <c r="P831" i="72"/>
  <c r="P883" i="72"/>
  <c r="O1049" i="72"/>
  <c r="P752" i="72"/>
  <c r="P975" i="72"/>
  <c r="Q975" i="72"/>
  <c r="P756" i="72"/>
  <c r="Q1060" i="72"/>
  <c r="P1070" i="72"/>
  <c r="O766" i="72"/>
  <c r="P726" i="72"/>
  <c r="P1069" i="72"/>
  <c r="P1011" i="72"/>
  <c r="Q1011" i="72"/>
  <c r="P715" i="72"/>
  <c r="P1066" i="72"/>
  <c r="O830" i="72"/>
  <c r="Q834" i="72"/>
  <c r="Q770" i="72"/>
  <c r="P968" i="72"/>
  <c r="Q968" i="72"/>
  <c r="P943" i="72"/>
  <c r="P764" i="72"/>
  <c r="O1046" i="72"/>
  <c r="O1036" i="72"/>
  <c r="P1053" i="72"/>
  <c r="R784" i="72"/>
  <c r="O985" i="72"/>
  <c r="P985" i="72"/>
  <c r="Q985" i="72"/>
  <c r="P1008" i="72"/>
  <c r="P767" i="72"/>
  <c r="Q894" i="72"/>
  <c r="O780" i="72"/>
  <c r="P874" i="72"/>
  <c r="O1077" i="72"/>
  <c r="Q751" i="72"/>
  <c r="Q813" i="72"/>
  <c r="R806" i="72"/>
  <c r="R710" i="72"/>
  <c r="S710" i="72"/>
  <c r="R796" i="72"/>
  <c r="R742" i="72"/>
  <c r="S742" i="72"/>
  <c r="Q797" i="72"/>
  <c r="Q734" i="72"/>
  <c r="Q781" i="72"/>
  <c r="Q791" i="72"/>
  <c r="R732" i="72"/>
  <c r="M80" i="72"/>
  <c r="M88" i="72"/>
  <c r="M120" i="72"/>
  <c r="M129" i="72"/>
  <c r="M137" i="72"/>
  <c r="M145" i="72"/>
  <c r="M153" i="72"/>
  <c r="M161" i="72"/>
  <c r="M169" i="72"/>
  <c r="M177" i="72"/>
  <c r="M185" i="72"/>
  <c r="M193" i="72"/>
  <c r="M201" i="72"/>
  <c r="M208" i="72"/>
  <c r="M216" i="72"/>
  <c r="M224" i="72"/>
  <c r="M232" i="72"/>
  <c r="M240" i="72"/>
  <c r="M248" i="72"/>
  <c r="M256" i="72"/>
  <c r="N256" i="72"/>
  <c r="M264" i="72"/>
  <c r="N264" i="72"/>
  <c r="M270" i="72"/>
  <c r="M278" i="72"/>
  <c r="M286" i="72"/>
  <c r="M294" i="72"/>
  <c r="M305" i="72"/>
  <c r="M313" i="72"/>
  <c r="M321" i="72"/>
  <c r="M329" i="72"/>
  <c r="M337" i="72"/>
  <c r="M345" i="72"/>
  <c r="M353" i="72"/>
  <c r="M361" i="72"/>
  <c r="M369" i="72"/>
  <c r="M377" i="72"/>
  <c r="M385" i="72"/>
  <c r="M393" i="72"/>
  <c r="M401" i="72"/>
  <c r="M409" i="72"/>
  <c r="M417" i="72"/>
  <c r="M425" i="72"/>
  <c r="M433" i="72"/>
  <c r="M441" i="72"/>
  <c r="M449" i="72"/>
  <c r="M457" i="72"/>
  <c r="M465" i="72"/>
  <c r="M473" i="72"/>
  <c r="M481" i="72"/>
  <c r="M489" i="72"/>
  <c r="M497" i="72"/>
  <c r="M505" i="72"/>
  <c r="M513" i="72"/>
  <c r="M521" i="72"/>
  <c r="M529" i="72"/>
  <c r="M537" i="72"/>
  <c r="M545" i="72"/>
  <c r="M553" i="72"/>
  <c r="M561" i="72"/>
  <c r="M569" i="72"/>
  <c r="M577" i="72"/>
  <c r="M585" i="72"/>
  <c r="M593" i="72"/>
  <c r="M601" i="72"/>
  <c r="M609" i="72"/>
  <c r="M617" i="72"/>
  <c r="M625" i="72"/>
  <c r="M633" i="72"/>
  <c r="M641" i="72"/>
  <c r="M649" i="72"/>
  <c r="M657" i="72"/>
  <c r="M665" i="72"/>
  <c r="M673" i="72"/>
  <c r="M681" i="72"/>
  <c r="M690" i="72"/>
  <c r="M1090" i="72"/>
  <c r="M1098" i="72"/>
  <c r="M1106" i="72"/>
  <c r="M1114" i="72"/>
  <c r="M1122" i="72"/>
  <c r="M1130" i="72"/>
  <c r="M1138" i="72"/>
  <c r="M1146" i="72"/>
  <c r="M1154" i="72"/>
  <c r="M1162" i="72"/>
  <c r="M1170" i="72"/>
  <c r="M1178" i="72"/>
  <c r="M1192" i="72"/>
  <c r="M1200" i="72"/>
  <c r="M1208" i="72"/>
  <c r="M1216" i="72"/>
  <c r="M1224" i="72"/>
  <c r="M1232" i="72"/>
  <c r="M1240" i="72"/>
  <c r="M1248" i="72"/>
  <c r="M1256" i="72"/>
  <c r="M1272" i="72"/>
  <c r="M1280" i="72"/>
  <c r="M1288" i="72"/>
  <c r="M1304" i="72"/>
  <c r="N1304" i="72"/>
  <c r="M1328" i="72"/>
  <c r="M1336" i="72"/>
  <c r="M1344" i="72"/>
  <c r="O809" i="72"/>
  <c r="Q795" i="72"/>
  <c r="P1026" i="72"/>
  <c r="Q1026" i="72"/>
  <c r="P970" i="72"/>
  <c r="Q970" i="72"/>
  <c r="Q914" i="72"/>
  <c r="P890" i="72"/>
  <c r="Q850" i="72"/>
  <c r="R698" i="72"/>
  <c r="O1081" i="72"/>
  <c r="O1065" i="72"/>
  <c r="O1033" i="72"/>
  <c r="O897" i="72"/>
  <c r="O817" i="72"/>
  <c r="P912" i="72"/>
  <c r="Q896" i="72"/>
  <c r="P856" i="72"/>
  <c r="Q800" i="72"/>
  <c r="R736" i="72"/>
  <c r="Q720" i="72"/>
  <c r="R704" i="72"/>
  <c r="O1041" i="72"/>
  <c r="P927" i="72"/>
  <c r="R815" i="72"/>
  <c r="R775" i="72"/>
  <c r="P727" i="72"/>
  <c r="R711" i="72"/>
  <c r="O740" i="72"/>
  <c r="O692" i="72"/>
  <c r="P924" i="72"/>
  <c r="P868" i="72"/>
  <c r="P716" i="72"/>
  <c r="O1054" i="72"/>
  <c r="P934" i="72"/>
  <c r="R910" i="72"/>
  <c r="R878" i="72"/>
  <c r="P790" i="72"/>
  <c r="P774" i="72"/>
  <c r="O885" i="72"/>
  <c r="P869" i="72"/>
  <c r="P837" i="72"/>
  <c r="P725" i="72"/>
  <c r="M47" i="72"/>
  <c r="M119" i="72"/>
  <c r="M176" i="72"/>
  <c r="M239" i="72"/>
  <c r="M304" i="72"/>
  <c r="M352" i="72"/>
  <c r="M400" i="72"/>
  <c r="M448" i="72"/>
  <c r="M504" i="72"/>
  <c r="M544" i="72"/>
  <c r="M600" i="72"/>
  <c r="M648" i="72"/>
  <c r="M680" i="72"/>
  <c r="N680" i="72"/>
  <c r="M1121" i="72"/>
  <c r="M1169" i="72"/>
  <c r="M1231" i="72"/>
  <c r="M1271" i="72"/>
  <c r="M1343" i="72"/>
  <c r="M40" i="72"/>
  <c r="M17" i="72"/>
  <c r="M130" i="72"/>
  <c r="M178" i="72"/>
  <c r="M233" i="72"/>
  <c r="M279" i="72"/>
  <c r="M330" i="72"/>
  <c r="M402" i="72"/>
  <c r="M458" i="72"/>
  <c r="M514" i="72"/>
  <c r="M554" i="72"/>
  <c r="M602" i="72"/>
  <c r="M658" i="72"/>
  <c r="M1083" i="72"/>
  <c r="M1115" i="72"/>
  <c r="M1155" i="72"/>
  <c r="M1209" i="72"/>
  <c r="M1241" i="72"/>
  <c r="O697" i="72"/>
  <c r="P703" i="72"/>
  <c r="P804" i="72"/>
  <c r="O948" i="72"/>
  <c r="P948" i="72"/>
  <c r="P901" i="72"/>
  <c r="M7" i="72"/>
  <c r="M160" i="72"/>
  <c r="M207" i="72"/>
  <c r="M285" i="72"/>
  <c r="M336" i="72"/>
  <c r="M384" i="72"/>
  <c r="M432" i="72"/>
  <c r="M472" i="72"/>
  <c r="M528" i="72"/>
  <c r="M584" i="72"/>
  <c r="M1105" i="72"/>
  <c r="M1153" i="72"/>
  <c r="M1199" i="72"/>
  <c r="M1239" i="72"/>
  <c r="M1295" i="72"/>
  <c r="M1327" i="72"/>
  <c r="M16" i="72"/>
  <c r="M121" i="72"/>
  <c r="M162" i="72"/>
  <c r="M202" i="72"/>
  <c r="M257" i="72"/>
  <c r="N257" i="72"/>
  <c r="M295" i="72"/>
  <c r="M338" i="72"/>
  <c r="M370" i="72"/>
  <c r="M410" i="72"/>
  <c r="M442" i="72"/>
  <c r="M482" i="72"/>
  <c r="M530" i="72"/>
  <c r="M570" i="72"/>
  <c r="M626" i="72"/>
  <c r="M1179" i="72"/>
  <c r="Q714" i="72"/>
  <c r="P888" i="72"/>
  <c r="P823" i="72"/>
  <c r="Q807" i="72"/>
  <c r="P932" i="72"/>
  <c r="O1022" i="72"/>
  <c r="P822" i="72"/>
  <c r="P694" i="72"/>
  <c r="O1037" i="72"/>
  <c r="O821" i="72"/>
  <c r="P789" i="72"/>
  <c r="Q741" i="72"/>
  <c r="P851" i="72"/>
  <c r="M31" i="72"/>
  <c r="M87" i="72"/>
  <c r="M128" i="72"/>
  <c r="M168" i="72"/>
  <c r="M215" i="72"/>
  <c r="M263" i="72"/>
  <c r="N263" i="72"/>
  <c r="M320" i="72"/>
  <c r="M368" i="72"/>
  <c r="M416" i="72"/>
  <c r="M464" i="72"/>
  <c r="M512" i="72"/>
  <c r="M560" i="72"/>
  <c r="M592" i="72"/>
  <c r="M624" i="72"/>
  <c r="M656" i="72"/>
  <c r="M688" i="72"/>
  <c r="M1113" i="72"/>
  <c r="M1145" i="72"/>
  <c r="M1223" i="72"/>
  <c r="M1255" i="72"/>
  <c r="M1279" i="72"/>
  <c r="M1319" i="72"/>
  <c r="M56" i="72"/>
  <c r="M9" i="72"/>
  <c r="M49" i="72"/>
  <c r="M89" i="72"/>
  <c r="M154" i="72"/>
  <c r="M186" i="72"/>
  <c r="M225" i="72"/>
  <c r="M287" i="72"/>
  <c r="M322" i="72"/>
  <c r="M362" i="72"/>
  <c r="M394" i="72"/>
  <c r="M426" i="72"/>
  <c r="M474" i="72"/>
  <c r="M506" i="72"/>
  <c r="M546" i="72"/>
  <c r="M586" i="72"/>
  <c r="M618" i="72"/>
  <c r="M650" i="72"/>
  <c r="M682" i="72"/>
  <c r="M1107" i="72"/>
  <c r="M1139" i="72"/>
  <c r="M1201" i="72"/>
  <c r="M1233" i="72"/>
  <c r="M1305" i="72"/>
  <c r="N1305" i="72"/>
  <c r="M1337" i="72"/>
  <c r="M50" i="72"/>
  <c r="M90" i="72"/>
  <c r="M139" i="72"/>
  <c r="M147" i="72"/>
  <c r="M171" i="72"/>
  <c r="M195" i="72"/>
  <c r="M218" i="72"/>
  <c r="M242" i="72"/>
  <c r="M258" i="72"/>
  <c r="N258" i="72"/>
  <c r="M296" i="72"/>
  <c r="M331" i="72"/>
  <c r="M355" i="72"/>
  <c r="M379" i="72"/>
  <c r="M403" i="72"/>
  <c r="M427" i="72"/>
  <c r="M451" i="72"/>
  <c r="M475" i="72"/>
  <c r="M491" i="72"/>
  <c r="M515" i="72"/>
  <c r="M539" i="72"/>
  <c r="M563" i="72"/>
  <c r="M587" i="72"/>
  <c r="M611" i="72"/>
  <c r="M635" i="72"/>
  <c r="M651" i="72"/>
  <c r="M683" i="72"/>
  <c r="M1092" i="72"/>
  <c r="M1116" i="72"/>
  <c r="M1132" i="72"/>
  <c r="M1156" i="72"/>
  <c r="M1180" i="72"/>
  <c r="M1218" i="72"/>
  <c r="M1242" i="72"/>
  <c r="M1290" i="72"/>
  <c r="M1338" i="72"/>
  <c r="P863" i="72"/>
  <c r="M11" i="72"/>
  <c r="M19" i="72"/>
  <c r="M35" i="72"/>
  <c r="M43" i="72"/>
  <c r="M51" i="72"/>
  <c r="M75" i="72"/>
  <c r="M83" i="72"/>
  <c r="M91" i="72"/>
  <c r="M99" i="72"/>
  <c r="M115" i="72"/>
  <c r="M123" i="72"/>
  <c r="M132" i="72"/>
  <c r="M140" i="72"/>
  <c r="M148" i="72"/>
  <c r="M156" i="72"/>
  <c r="M164" i="72"/>
  <c r="M172" i="72"/>
  <c r="M180" i="72"/>
  <c r="M188" i="72"/>
  <c r="M196" i="72"/>
  <c r="M204" i="72"/>
  <c r="M211" i="72"/>
  <c r="M219" i="72"/>
  <c r="M227" i="72"/>
  <c r="M235" i="72"/>
  <c r="M243" i="72"/>
  <c r="M259" i="72"/>
  <c r="N259" i="72"/>
  <c r="M273" i="72"/>
  <c r="M281" i="72"/>
  <c r="M289" i="72"/>
  <c r="M297" i="72"/>
  <c r="M308" i="72"/>
  <c r="M316" i="72"/>
  <c r="M324" i="72"/>
  <c r="M332" i="72"/>
  <c r="M340" i="72"/>
  <c r="M348" i="72"/>
  <c r="M356" i="72"/>
  <c r="M364" i="72"/>
  <c r="M372" i="72"/>
  <c r="M380" i="72"/>
  <c r="M388" i="72"/>
  <c r="M396" i="72"/>
  <c r="M404" i="72"/>
  <c r="M412" i="72"/>
  <c r="M420" i="72"/>
  <c r="M428" i="72"/>
  <c r="M436" i="72"/>
  <c r="M444" i="72"/>
  <c r="M452" i="72"/>
  <c r="M460" i="72"/>
  <c r="M468" i="72"/>
  <c r="M476" i="72"/>
  <c r="M484" i="72"/>
  <c r="M492" i="72"/>
  <c r="M500" i="72"/>
  <c r="M508" i="72"/>
  <c r="M516" i="72"/>
  <c r="M524" i="72"/>
  <c r="M532" i="72"/>
  <c r="M540" i="72"/>
  <c r="M548" i="72"/>
  <c r="M556" i="72"/>
  <c r="M564" i="72"/>
  <c r="M572" i="72"/>
  <c r="M580" i="72"/>
  <c r="M588" i="72"/>
  <c r="M596" i="72"/>
  <c r="M604" i="72"/>
  <c r="M612" i="72"/>
  <c r="M620" i="72"/>
  <c r="M628" i="72"/>
  <c r="M636" i="72"/>
  <c r="M644" i="72"/>
  <c r="M652" i="72"/>
  <c r="M660" i="72"/>
  <c r="M668" i="72"/>
  <c r="M676" i="72"/>
  <c r="M684" i="72"/>
  <c r="M1085" i="72"/>
  <c r="M1093" i="72"/>
  <c r="M1101" i="72"/>
  <c r="M1109" i="72"/>
  <c r="M1117" i="72"/>
  <c r="M1125" i="72"/>
  <c r="M1133" i="72"/>
  <c r="M1141" i="72"/>
  <c r="M1149" i="72"/>
  <c r="M1157" i="72"/>
  <c r="M1165" i="72"/>
  <c r="M1173" i="72"/>
  <c r="N1173" i="72"/>
  <c r="M1181" i="72"/>
  <c r="M1187" i="72"/>
  <c r="M1195" i="72"/>
  <c r="M1203" i="72"/>
  <c r="M1211" i="72"/>
  <c r="M1219" i="72"/>
  <c r="M1235" i="72"/>
  <c r="M1243" i="72"/>
  <c r="M1251" i="72"/>
  <c r="M1259" i="72"/>
  <c r="M1275" i="72"/>
  <c r="M1283" i="72"/>
  <c r="M1291" i="72"/>
  <c r="M1307" i="72"/>
  <c r="N1307" i="72"/>
  <c r="M1315" i="72"/>
  <c r="M1323" i="72"/>
  <c r="M1331" i="72"/>
  <c r="O1073" i="72"/>
  <c r="Q811" i="72"/>
  <c r="P691" i="72"/>
  <c r="O793" i="72"/>
  <c r="P906" i="72"/>
  <c r="P882" i="72"/>
  <c r="P842" i="72"/>
  <c r="P826" i="72"/>
  <c r="R762" i="72"/>
  <c r="O913" i="72"/>
  <c r="P848" i="72"/>
  <c r="P792" i="72"/>
  <c r="P760" i="72"/>
  <c r="P744" i="72"/>
  <c r="P728" i="72"/>
  <c r="P696" i="72"/>
  <c r="P1071" i="72"/>
  <c r="Q1071" i="72"/>
  <c r="P919" i="72"/>
  <c r="Q903" i="72"/>
  <c r="Q743" i="72"/>
  <c r="O1076" i="72"/>
  <c r="O1012" i="72"/>
  <c r="O836" i="72"/>
  <c r="P754" i="72"/>
  <c r="P902" i="72"/>
  <c r="Q886" i="72"/>
  <c r="O893" i="72"/>
  <c r="M39" i="72"/>
  <c r="M152" i="72"/>
  <c r="M192" i="72"/>
  <c r="M231" i="72"/>
  <c r="M269" i="72"/>
  <c r="M312" i="72"/>
  <c r="M360" i="72"/>
  <c r="M408" i="72"/>
  <c r="M456" i="72"/>
  <c r="M496" i="72"/>
  <c r="M536" i="72"/>
  <c r="M576" i="72"/>
  <c r="M608" i="72"/>
  <c r="M632" i="72"/>
  <c r="M672" i="72"/>
  <c r="M1097" i="72"/>
  <c r="M1137" i="72"/>
  <c r="M1177" i="72"/>
  <c r="M1215" i="72"/>
  <c r="M1263" i="72"/>
  <c r="M1303" i="72"/>
  <c r="N1303" i="72"/>
  <c r="M8" i="72"/>
  <c r="M48" i="72"/>
  <c r="M41" i="72"/>
  <c r="M81" i="72"/>
  <c r="M146" i="72"/>
  <c r="M194" i="72"/>
  <c r="M271" i="72"/>
  <c r="M314" i="72"/>
  <c r="M354" i="72"/>
  <c r="M386" i="72"/>
  <c r="M434" i="72"/>
  <c r="M466" i="72"/>
  <c r="M498" i="72"/>
  <c r="M538" i="72"/>
  <c r="M578" i="72"/>
  <c r="M610" i="72"/>
  <c r="M642" i="72"/>
  <c r="M674" i="72"/>
  <c r="M1091" i="72"/>
  <c r="M1123" i="72"/>
  <c r="M1147" i="72"/>
  <c r="M1193" i="72"/>
  <c r="M1225" i="72"/>
  <c r="M1257" i="72"/>
  <c r="M1281" i="72"/>
  <c r="M1329" i="72"/>
  <c r="M10" i="72"/>
  <c r="M34" i="72"/>
  <c r="M82" i="72"/>
  <c r="M131" i="72"/>
  <c r="M155" i="72"/>
  <c r="M179" i="72"/>
  <c r="M203" i="72"/>
  <c r="M226" i="72"/>
  <c r="M280" i="72"/>
  <c r="M307" i="72"/>
  <c r="M323" i="72"/>
  <c r="M347" i="72"/>
  <c r="M371" i="72"/>
  <c r="M395" i="72"/>
  <c r="M419" i="72"/>
  <c r="M443" i="72"/>
  <c r="M467" i="72"/>
  <c r="M499" i="72"/>
  <c r="M523" i="72"/>
  <c r="M547" i="72"/>
  <c r="M571" i="72"/>
  <c r="M579" i="72"/>
  <c r="M603" i="72"/>
  <c r="M627" i="72"/>
  <c r="M659" i="72"/>
  <c r="M675" i="72"/>
  <c r="M1100" i="72"/>
  <c r="M1124" i="72"/>
  <c r="M1148" i="72"/>
  <c r="M1164" i="72"/>
  <c r="M1194" i="72"/>
  <c r="M1210" i="72"/>
  <c r="M1234" i="72"/>
  <c r="M1258" i="72"/>
  <c r="M1282" i="72"/>
  <c r="M1330" i="72"/>
  <c r="M12" i="72"/>
  <c r="M20" i="72"/>
  <c r="M36" i="72"/>
  <c r="M44" i="72"/>
  <c r="M52" i="72"/>
  <c r="M76" i="72"/>
  <c r="M84" i="72"/>
  <c r="M92" i="72"/>
  <c r="M100" i="72"/>
  <c r="M116" i="72"/>
  <c r="M124" i="72"/>
  <c r="M133" i="72"/>
  <c r="M141" i="72"/>
  <c r="M149" i="72"/>
  <c r="M157" i="72"/>
  <c r="M165" i="72"/>
  <c r="M173" i="72"/>
  <c r="M181" i="72"/>
  <c r="M189" i="72"/>
  <c r="M197" i="72"/>
  <c r="M205" i="72"/>
  <c r="M212" i="72"/>
  <c r="M220" i="72"/>
  <c r="M228" i="72"/>
  <c r="M236" i="72"/>
  <c r="M260" i="72"/>
  <c r="N260" i="72"/>
  <c r="M267" i="72"/>
  <c r="M274" i="72"/>
  <c r="M282" i="72"/>
  <c r="M290" i="72"/>
  <c r="M309" i="72"/>
  <c r="M317" i="72"/>
  <c r="M325" i="72"/>
  <c r="M333" i="72"/>
  <c r="M341" i="72"/>
  <c r="M349" i="72"/>
  <c r="M357" i="72"/>
  <c r="M365" i="72"/>
  <c r="M373" i="72"/>
  <c r="M381" i="72"/>
  <c r="M389" i="72"/>
  <c r="M397" i="72"/>
  <c r="M405" i="72"/>
  <c r="M413" i="72"/>
  <c r="M421" i="72"/>
  <c r="M429" i="72"/>
  <c r="M437" i="72"/>
  <c r="M445" i="72"/>
  <c r="M453" i="72"/>
  <c r="M461" i="72"/>
  <c r="M469" i="72"/>
  <c r="M477" i="72"/>
  <c r="M485" i="72"/>
  <c r="M493" i="72"/>
  <c r="M501" i="72"/>
  <c r="M509" i="72"/>
  <c r="M517" i="72"/>
  <c r="M525" i="72"/>
  <c r="M533" i="72"/>
  <c r="M541" i="72"/>
  <c r="M549" i="72"/>
  <c r="M557" i="72"/>
  <c r="M565" i="72"/>
  <c r="M573" i="72"/>
  <c r="M581" i="72"/>
  <c r="M589" i="72"/>
  <c r="M597" i="72"/>
  <c r="M605" i="72"/>
  <c r="M613" i="72"/>
  <c r="M621" i="72"/>
  <c r="M629" i="72"/>
  <c r="M637" i="72"/>
  <c r="M645" i="72"/>
  <c r="M653" i="72"/>
  <c r="M661" i="72"/>
  <c r="M669" i="72"/>
  <c r="M677" i="72"/>
  <c r="M685" i="72"/>
  <c r="M1086" i="72"/>
  <c r="M1094" i="72"/>
  <c r="M1102" i="72"/>
  <c r="M1110" i="72"/>
  <c r="M1118" i="72"/>
  <c r="M1126" i="72"/>
  <c r="M1134" i="72"/>
  <c r="M1142" i="72"/>
  <c r="M1150" i="72"/>
  <c r="M1158" i="72"/>
  <c r="M1166" i="72"/>
  <c r="M1174" i="72"/>
  <c r="M1182" i="72"/>
  <c r="M1188" i="72"/>
  <c r="M1196" i="72"/>
  <c r="M1204" i="72"/>
  <c r="M1212" i="72"/>
  <c r="M1220" i="72"/>
  <c r="M1228" i="72"/>
  <c r="M1236" i="72"/>
  <c r="M1244" i="72"/>
  <c r="M1252" i="72"/>
  <c r="M1260" i="72"/>
  <c r="M1268" i="72"/>
  <c r="N1268" i="72"/>
  <c r="M1276" i="72"/>
  <c r="M1284" i="72"/>
  <c r="M1292" i="72"/>
  <c r="M1308" i="72"/>
  <c r="N1308" i="72"/>
  <c r="M1316" i="72"/>
  <c r="M1324" i="72"/>
  <c r="M1332" i="72"/>
  <c r="P907" i="72"/>
  <c r="P867" i="72"/>
  <c r="P730" i="72"/>
  <c r="O745" i="72"/>
  <c r="P864" i="72"/>
  <c r="P935" i="72"/>
  <c r="P839" i="72"/>
  <c r="O708" i="72"/>
  <c r="O828" i="72"/>
  <c r="P1006" i="72"/>
  <c r="Q1006" i="72"/>
  <c r="O700" i="72"/>
  <c r="P941" i="72"/>
  <c r="O845" i="72"/>
  <c r="P717" i="72"/>
  <c r="P701" i="72"/>
  <c r="M15" i="72"/>
  <c r="M79" i="72"/>
  <c r="M144" i="72"/>
  <c r="M200" i="72"/>
  <c r="M328" i="72"/>
  <c r="M376" i="72"/>
  <c r="M440" i="72"/>
  <c r="M488" i="72"/>
  <c r="M552" i="72"/>
  <c r="M640" i="72"/>
  <c r="M1191" i="72"/>
  <c r="M32" i="72"/>
  <c r="M209" i="72"/>
  <c r="M13" i="72"/>
  <c r="M21" i="72"/>
  <c r="M29" i="72"/>
  <c r="M37" i="72"/>
  <c r="M45" i="72"/>
  <c r="M53" i="72"/>
  <c r="M77" i="72"/>
  <c r="M85" i="72"/>
  <c r="M93" i="72"/>
  <c r="M117" i="72"/>
  <c r="M125" i="72"/>
  <c r="M134" i="72"/>
  <c r="M142" i="72"/>
  <c r="M150" i="72"/>
  <c r="M158" i="72"/>
  <c r="M166" i="72"/>
  <c r="M174" i="72"/>
  <c r="M182" i="72"/>
  <c r="M190" i="72"/>
  <c r="M198" i="72"/>
  <c r="M213" i="72"/>
  <c r="M221" i="72"/>
  <c r="M229" i="72"/>
  <c r="M237" i="72"/>
  <c r="M261" i="72"/>
  <c r="N261" i="72"/>
  <c r="M283" i="72"/>
  <c r="M291" i="72"/>
  <c r="M302" i="72"/>
  <c r="M310" i="72"/>
  <c r="M318" i="72"/>
  <c r="M326" i="72"/>
  <c r="M334" i="72"/>
  <c r="M342" i="72"/>
  <c r="M350" i="72"/>
  <c r="M358" i="72"/>
  <c r="M366" i="72"/>
  <c r="M374" i="72"/>
  <c r="M382" i="72"/>
  <c r="M390" i="72"/>
  <c r="M398" i="72"/>
  <c r="M406" i="72"/>
  <c r="M414" i="72"/>
  <c r="M422" i="72"/>
  <c r="M430" i="72"/>
  <c r="M438" i="72"/>
  <c r="M446" i="72"/>
  <c r="M454" i="72"/>
  <c r="M462" i="72"/>
  <c r="M470" i="72"/>
  <c r="M478" i="72"/>
  <c r="M486" i="72"/>
  <c r="M494" i="72"/>
  <c r="M502" i="72"/>
  <c r="M510" i="72"/>
  <c r="M518" i="72"/>
  <c r="M526" i="72"/>
  <c r="M534" i="72"/>
  <c r="M542" i="72"/>
  <c r="M550" i="72"/>
  <c r="M558" i="72"/>
  <c r="M566" i="72"/>
  <c r="M574" i="72"/>
  <c r="M582" i="72"/>
  <c r="M590" i="72"/>
  <c r="M598" i="72"/>
  <c r="M606" i="72"/>
  <c r="M614" i="72"/>
  <c r="M622" i="72"/>
  <c r="M630" i="72"/>
  <c r="M638" i="72"/>
  <c r="M646" i="72"/>
  <c r="M654" i="72"/>
  <c r="M662" i="72"/>
  <c r="M670" i="72"/>
  <c r="M678" i="72"/>
  <c r="M686" i="72"/>
  <c r="M1087" i="72"/>
  <c r="M1095" i="72"/>
  <c r="M1103" i="72"/>
  <c r="M1111" i="72"/>
  <c r="M1119" i="72"/>
  <c r="M1127" i="72"/>
  <c r="M1135" i="72"/>
  <c r="M1143" i="72"/>
  <c r="M1151" i="72"/>
  <c r="M1159" i="72"/>
  <c r="M1183" i="72"/>
  <c r="M1189" i="72"/>
  <c r="M1197" i="72"/>
  <c r="M1205" i="72"/>
  <c r="M1213" i="72"/>
  <c r="M1221" i="72"/>
  <c r="M1229" i="72"/>
  <c r="M1237" i="72"/>
  <c r="M1245" i="72"/>
  <c r="M1253" i="72"/>
  <c r="M1261" i="72"/>
  <c r="M1269" i="72"/>
  <c r="N1269" i="72"/>
  <c r="M1277" i="72"/>
  <c r="M1285" i="72"/>
  <c r="M1293" i="72"/>
  <c r="M1301" i="72"/>
  <c r="N1301" i="72"/>
  <c r="M1309" i="72"/>
  <c r="M1325" i="72"/>
  <c r="M1333" i="72"/>
  <c r="M1341" i="72"/>
  <c r="P1051" i="72"/>
  <c r="P1035" i="72"/>
  <c r="P1019" i="72"/>
  <c r="Q1019" i="72"/>
  <c r="Q1003" i="72"/>
  <c r="P755" i="72"/>
  <c r="P1050" i="72"/>
  <c r="Q1034" i="72"/>
  <c r="R1034" i="72"/>
  <c r="P898" i="72"/>
  <c r="O1009" i="72"/>
  <c r="P1056" i="72"/>
  <c r="P920" i="72"/>
  <c r="P880" i="72"/>
  <c r="P824" i="72"/>
  <c r="P1047" i="72"/>
  <c r="P895" i="72"/>
  <c r="P799" i="72"/>
  <c r="O737" i="72"/>
  <c r="P852" i="72"/>
  <c r="Q788" i="72"/>
  <c r="P772" i="72"/>
  <c r="P724" i="72"/>
  <c r="P1078" i="72"/>
  <c r="O1030" i="72"/>
  <c r="P942" i="72"/>
  <c r="P798" i="72"/>
  <c r="P782" i="72"/>
  <c r="P718" i="72"/>
  <c r="O702" i="72"/>
  <c r="P1061" i="72"/>
  <c r="O1045" i="72"/>
  <c r="Q909" i="72"/>
  <c r="P861" i="72"/>
  <c r="P829" i="72"/>
  <c r="P765" i="72"/>
  <c r="Q749" i="72"/>
  <c r="M55" i="72"/>
  <c r="M95" i="72"/>
  <c r="M136" i="72"/>
  <c r="M184" i="72"/>
  <c r="M223" i="72"/>
  <c r="M344" i="72"/>
  <c r="M392" i="72"/>
  <c r="M424" i="72"/>
  <c r="M480" i="72"/>
  <c r="M520" i="72"/>
  <c r="M568" i="72"/>
  <c r="M616" i="72"/>
  <c r="M664" i="72"/>
  <c r="M1089" i="72"/>
  <c r="M1129" i="72"/>
  <c r="M1161" i="72"/>
  <c r="M1207" i="72"/>
  <c r="M1247" i="72"/>
  <c r="M1287" i="72"/>
  <c r="M1335" i="72"/>
  <c r="M33" i="72"/>
  <c r="M57" i="72"/>
  <c r="M138" i="72"/>
  <c r="M170" i="72"/>
  <c r="M217" i="72"/>
  <c r="M265" i="72"/>
  <c r="N265" i="72"/>
  <c r="M306" i="72"/>
  <c r="M346" i="72"/>
  <c r="M378" i="72"/>
  <c r="M418" i="72"/>
  <c r="M450" i="72"/>
  <c r="M490" i="72"/>
  <c r="M522" i="72"/>
  <c r="M562" i="72"/>
  <c r="M594" i="72"/>
  <c r="M634" i="72"/>
  <c r="M666" i="72"/>
  <c r="M1099" i="72"/>
  <c r="M1131" i="72"/>
  <c r="M1163" i="72"/>
  <c r="M1217" i="72"/>
  <c r="M1249" i="72"/>
  <c r="M1321" i="72"/>
  <c r="M18" i="72"/>
  <c r="M42" i="72"/>
  <c r="M74" i="72"/>
  <c r="M122" i="72"/>
  <c r="M163" i="72"/>
  <c r="M187" i="72"/>
  <c r="M210" i="72"/>
  <c r="M234" i="72"/>
  <c r="M266" i="72"/>
  <c r="M288" i="72"/>
  <c r="M315" i="72"/>
  <c r="M339" i="72"/>
  <c r="M363" i="72"/>
  <c r="M387" i="72"/>
  <c r="M411" i="72"/>
  <c r="M435" i="72"/>
  <c r="M459" i="72"/>
  <c r="M483" i="72"/>
  <c r="M507" i="72"/>
  <c r="M531" i="72"/>
  <c r="M555" i="72"/>
  <c r="M595" i="72"/>
  <c r="M619" i="72"/>
  <c r="M643" i="72"/>
  <c r="M667" i="72"/>
  <c r="M1084" i="72"/>
  <c r="M1108" i="72"/>
  <c r="M1140" i="72"/>
  <c r="M1172" i="72"/>
  <c r="N1172" i="72"/>
  <c r="M1202" i="72"/>
  <c r="M1226" i="72"/>
  <c r="M1250" i="72"/>
  <c r="M1274" i="72"/>
  <c r="M1322" i="72"/>
  <c r="M6" i="72"/>
  <c r="M14" i="72"/>
  <c r="M22" i="72"/>
  <c r="M30" i="72"/>
  <c r="M38" i="72"/>
  <c r="M46" i="72"/>
  <c r="M70" i="72"/>
  <c r="N70" i="72"/>
  <c r="M78" i="72"/>
  <c r="M86" i="72"/>
  <c r="M94" i="72"/>
  <c r="M118" i="72"/>
  <c r="M127" i="72"/>
  <c r="M135" i="72"/>
  <c r="M143" i="72"/>
  <c r="M151" i="72"/>
  <c r="M159" i="72"/>
  <c r="M167" i="72"/>
  <c r="M175" i="72"/>
  <c r="M183" i="72"/>
  <c r="M191" i="72"/>
  <c r="M199" i="72"/>
  <c r="M214" i="72"/>
  <c r="M222" i="72"/>
  <c r="M230" i="72"/>
  <c r="M238" i="72"/>
  <c r="M262" i="72"/>
  <c r="N262" i="72"/>
  <c r="M284" i="72"/>
  <c r="M292" i="72"/>
  <c r="M303" i="72"/>
  <c r="M311" i="72"/>
  <c r="M319" i="72"/>
  <c r="M327" i="72"/>
  <c r="M335" i="72"/>
  <c r="M343" i="72"/>
  <c r="M351" i="72"/>
  <c r="M359" i="72"/>
  <c r="M367" i="72"/>
  <c r="M375" i="72"/>
  <c r="M383" i="72"/>
  <c r="M391" i="72"/>
  <c r="M399" i="72"/>
  <c r="M407" i="72"/>
  <c r="M415" i="72"/>
  <c r="M423" i="72"/>
  <c r="M431" i="72"/>
  <c r="M439" i="72"/>
  <c r="M447" i="72"/>
  <c r="M455" i="72"/>
  <c r="M463" i="72"/>
  <c r="M471" i="72"/>
  <c r="M479" i="72"/>
  <c r="M487" i="72"/>
  <c r="M495" i="72"/>
  <c r="M503" i="72"/>
  <c r="M511" i="72"/>
  <c r="M519" i="72"/>
  <c r="M527" i="72"/>
  <c r="M535" i="72"/>
  <c r="M543" i="72"/>
  <c r="M551" i="72"/>
  <c r="M559" i="72"/>
  <c r="M567" i="72"/>
  <c r="M575" i="72"/>
  <c r="M583" i="72"/>
  <c r="M591" i="72"/>
  <c r="M599" i="72"/>
  <c r="M607" i="72"/>
  <c r="M615" i="72"/>
  <c r="M623" i="72"/>
  <c r="M631" i="72"/>
  <c r="M639" i="72"/>
  <c r="M647" i="72"/>
  <c r="M655" i="72"/>
  <c r="M663" i="72"/>
  <c r="M671" i="72"/>
  <c r="M679" i="72"/>
  <c r="M687" i="72"/>
  <c r="M1088" i="72"/>
  <c r="M1096" i="72"/>
  <c r="M1104" i="72"/>
  <c r="M1112" i="72"/>
  <c r="M1120" i="72"/>
  <c r="M1128" i="72"/>
  <c r="M1136" i="72"/>
  <c r="M1144" i="72"/>
  <c r="M1152" i="72"/>
  <c r="M1160" i="72"/>
  <c r="M1168" i="72"/>
  <c r="M1176" i="72"/>
  <c r="M1184" i="72"/>
  <c r="M1190" i="72"/>
  <c r="M1198" i="72"/>
  <c r="M1206" i="72"/>
  <c r="M1214" i="72"/>
  <c r="M1222" i="72"/>
  <c r="M1230" i="72"/>
  <c r="M1238" i="72"/>
  <c r="M1246" i="72"/>
  <c r="M1254" i="72"/>
  <c r="M1262" i="72"/>
  <c r="M1270" i="72"/>
  <c r="M1278" i="72"/>
  <c r="M1286" i="72"/>
  <c r="M1294" i="72"/>
  <c r="M1302" i="72"/>
  <c r="N1302" i="72"/>
  <c r="M1310" i="72"/>
  <c r="M1318" i="72"/>
  <c r="M1326" i="72"/>
  <c r="M1334" i="72"/>
  <c r="M1342" i="72"/>
  <c r="O753" i="72"/>
  <c r="O1020" i="72"/>
  <c r="J5" i="72"/>
  <c r="J23" i="72"/>
  <c r="K23" i="72"/>
  <c r="L23" i="72"/>
  <c r="P3" i="72"/>
  <c r="Q3" i="72"/>
  <c r="K105" i="72"/>
  <c r="L105" i="72"/>
  <c r="K98" i="72"/>
  <c r="L98" i="72"/>
  <c r="M98" i="72"/>
  <c r="K113" i="72"/>
  <c r="L113" i="72"/>
  <c r="K103" i="72"/>
  <c r="L103" i="72"/>
  <c r="K111" i="72"/>
  <c r="L111" i="72"/>
  <c r="K276" i="72"/>
  <c r="L276" i="72"/>
  <c r="I25" i="72"/>
  <c r="J25" i="72"/>
  <c r="K245" i="72"/>
  <c r="L245" i="72"/>
  <c r="I1340" i="72"/>
  <c r="J1340" i="72"/>
  <c r="K1340" i="72"/>
  <c r="L1340" i="72"/>
  <c r="I247" i="72"/>
  <c r="J247" i="72"/>
  <c r="K247" i="72"/>
  <c r="L247" i="72"/>
  <c r="I1296" i="72"/>
  <c r="J1296" i="72"/>
  <c r="K1296" i="72"/>
  <c r="I1297" i="72"/>
  <c r="J1297" i="72"/>
  <c r="K1297" i="72"/>
  <c r="L1297" i="72"/>
  <c r="M1297" i="72"/>
  <c r="K1306" i="72"/>
  <c r="L1306" i="72"/>
  <c r="K1311" i="72"/>
  <c r="L1311" i="72"/>
  <c r="K1312" i="72"/>
  <c r="L1312" i="72"/>
  <c r="I1314" i="72"/>
  <c r="J1314" i="72"/>
  <c r="K1314" i="72"/>
  <c r="L1314" i="72"/>
  <c r="K1339" i="72"/>
  <c r="L1339" i="72"/>
  <c r="I1313" i="72"/>
  <c r="J1313" i="72"/>
  <c r="K1313" i="72"/>
  <c r="L1313" i="72"/>
  <c r="K275" i="72"/>
  <c r="L275" i="72"/>
  <c r="K272" i="72"/>
  <c r="L272" i="72"/>
  <c r="I249" i="72"/>
  <c r="J249" i="72"/>
  <c r="K249" i="72"/>
  <c r="L249" i="72"/>
  <c r="I246" i="72"/>
  <c r="J246" i="72"/>
  <c r="K246" i="72"/>
  <c r="L246" i="72"/>
  <c r="K277" i="72"/>
  <c r="L277" i="72"/>
  <c r="K106" i="72"/>
  <c r="L106" i="72"/>
  <c r="K107" i="72"/>
  <c r="L107" i="72"/>
  <c r="K108" i="72"/>
  <c r="L108" i="72"/>
  <c r="K112" i="72"/>
  <c r="L112" i="72"/>
  <c r="K104" i="72"/>
  <c r="L104" i="72"/>
  <c r="K114" i="72"/>
  <c r="L114" i="72"/>
  <c r="K102" i="72"/>
  <c r="L102" i="72"/>
  <c r="K110" i="72"/>
  <c r="L110" i="72"/>
  <c r="K109" i="72"/>
  <c r="L109" i="72"/>
  <c r="K96" i="72"/>
  <c r="L96" i="72"/>
  <c r="M96" i="72"/>
  <c r="K101" i="72"/>
  <c r="L101" i="72"/>
  <c r="M101" i="72"/>
  <c r="K97" i="72"/>
  <c r="L97" i="72"/>
  <c r="M97" i="72"/>
  <c r="K58" i="72"/>
  <c r="L58" i="72"/>
  <c r="K64" i="72"/>
  <c r="L64" i="72"/>
  <c r="M64" i="72"/>
  <c r="K68" i="72"/>
  <c r="L68" i="72"/>
  <c r="M68" i="72"/>
  <c r="K54" i="72"/>
  <c r="L54" i="72"/>
  <c r="K60" i="72"/>
  <c r="L60" i="72"/>
  <c r="M60" i="72"/>
  <c r="K71" i="72"/>
  <c r="L71" i="72"/>
  <c r="K66" i="72"/>
  <c r="L66" i="72"/>
  <c r="M66" i="72"/>
  <c r="K62" i="72"/>
  <c r="L62" i="72"/>
  <c r="M62" i="72"/>
  <c r="K59" i="72"/>
  <c r="L59" i="72"/>
  <c r="K67" i="72"/>
  <c r="L67" i="72"/>
  <c r="M67" i="72"/>
  <c r="K72" i="72"/>
  <c r="L72" i="72"/>
  <c r="K61" i="72"/>
  <c r="L61" i="72"/>
  <c r="M61" i="72"/>
  <c r="K69" i="72"/>
  <c r="L69" i="72"/>
  <c r="M69" i="72"/>
  <c r="K63" i="72"/>
  <c r="L63" i="72"/>
  <c r="M63" i="72"/>
  <c r="K26" i="72"/>
  <c r="L26" i="72"/>
  <c r="K27" i="72"/>
  <c r="L27" i="72"/>
  <c r="I24" i="72"/>
  <c r="J24" i="72"/>
  <c r="I28" i="72"/>
  <c r="J28" i="72"/>
  <c r="K28" i="72"/>
  <c r="L28" i="72"/>
  <c r="R80" i="18"/>
  <c r="R81" i="18"/>
  <c r="R139" i="18"/>
  <c r="L35" i="18"/>
  <c r="M78" i="18"/>
  <c r="M35" i="18"/>
  <c r="L33" i="7"/>
  <c r="M39" i="18"/>
  <c r="S103" i="18"/>
  <c r="S104" i="18"/>
  <c r="S105" i="18"/>
  <c r="T105" i="18"/>
  <c r="M25" i="18"/>
  <c r="S61" i="18"/>
  <c r="S62" i="18"/>
  <c r="S63" i="18"/>
  <c r="T63" i="18"/>
  <c r="M27" i="18"/>
  <c r="S73" i="18"/>
  <c r="S74" i="18"/>
  <c r="S75" i="18"/>
  <c r="T75" i="18"/>
  <c r="M108" i="18"/>
  <c r="R109" i="18"/>
  <c r="R110" i="18"/>
  <c r="R111" i="18"/>
  <c r="L40" i="18"/>
  <c r="P1362" i="72"/>
  <c r="L1296" i="72"/>
  <c r="M1296" i="72"/>
  <c r="S962" i="72"/>
  <c r="T962" i="72"/>
  <c r="U962" i="72"/>
  <c r="Q967" i="72"/>
  <c r="R967" i="72"/>
  <c r="S967" i="72"/>
  <c r="R1005" i="72"/>
  <c r="Q1002" i="72"/>
  <c r="P1021" i="72"/>
  <c r="Q1021" i="72"/>
  <c r="R1021" i="72"/>
  <c r="Q983" i="72"/>
  <c r="R983" i="72"/>
  <c r="S983" i="72"/>
  <c r="T983" i="72"/>
  <c r="P1031" i="72"/>
  <c r="Q1031" i="72"/>
  <c r="Q1018" i="72"/>
  <c r="R994" i="72"/>
  <c r="S994" i="72"/>
  <c r="R1006" i="72"/>
  <c r="Z232" i="72"/>
  <c r="Z233" i="72"/>
  <c r="Z48" i="72"/>
  <c r="Z49" i="72"/>
  <c r="Z90" i="72"/>
  <c r="Z91" i="72"/>
  <c r="M102" i="72"/>
  <c r="Z103" i="72"/>
  <c r="Z104" i="72"/>
  <c r="M114" i="18"/>
  <c r="L46" i="18"/>
  <c r="J38" i="18"/>
  <c r="K98" i="18"/>
  <c r="K137" i="18"/>
  <c r="K145" i="18"/>
  <c r="K90" i="18"/>
  <c r="Q91" i="18"/>
  <c r="Q92" i="18"/>
  <c r="Q93" i="18"/>
  <c r="K36" i="18"/>
  <c r="L86" i="18"/>
  <c r="N1273" i="72"/>
  <c r="P1273" i="72"/>
  <c r="R1273" i="72"/>
  <c r="T1273" i="72"/>
  <c r="O1273" i="72"/>
  <c r="Q1273" i="72"/>
  <c r="S1273" i="72"/>
  <c r="U1273" i="72"/>
  <c r="M1359" i="72"/>
  <c r="M1382" i="72"/>
  <c r="I27" i="16"/>
  <c r="P1062" i="72"/>
  <c r="Q1062" i="72"/>
  <c r="Q922" i="72"/>
  <c r="R922" i="72"/>
  <c r="P1063" i="72"/>
  <c r="Q1063" i="72"/>
  <c r="Q1027" i="72"/>
  <c r="R1027" i="72"/>
  <c r="S1027" i="72"/>
  <c r="R1039" i="72"/>
  <c r="S1039" i="72"/>
  <c r="R1044" i="72"/>
  <c r="R1042" i="72"/>
  <c r="S1042" i="72"/>
  <c r="Q1013" i="72"/>
  <c r="P1017" i="72"/>
  <c r="Q1017" i="72"/>
  <c r="Q709" i="72"/>
  <c r="R709" i="72"/>
  <c r="R1016" i="72"/>
  <c r="Q931" i="72"/>
  <c r="R931" i="72"/>
  <c r="Q1032" i="72"/>
  <c r="R1032" i="72"/>
  <c r="S1032" i="72"/>
  <c r="P982" i="72"/>
  <c r="Q695" i="72"/>
  <c r="R695" i="72"/>
  <c r="Q759" i="72"/>
  <c r="R759" i="72"/>
  <c r="R810" i="72"/>
  <c r="S810" i="72"/>
  <c r="Q786" i="72"/>
  <c r="R786" i="72"/>
  <c r="R862" i="72"/>
  <c r="S862" i="72"/>
  <c r="T862" i="72"/>
  <c r="Q769" i="72"/>
  <c r="R769" i="72"/>
  <c r="S769" i="72"/>
  <c r="T769" i="72"/>
  <c r="U769" i="72"/>
  <c r="Q748" i="72"/>
  <c r="R748" i="72"/>
  <c r="S748" i="72"/>
  <c r="P884" i="72"/>
  <c r="Q884" i="72"/>
  <c r="R884" i="72"/>
  <c r="Q773" i="72"/>
  <c r="R773" i="72"/>
  <c r="R860" i="72"/>
  <c r="S860" i="72"/>
  <c r="T860" i="72"/>
  <c r="R849" i="72"/>
  <c r="S849" i="72"/>
  <c r="R758" i="72"/>
  <c r="S758" i="72"/>
  <c r="Q998" i="72"/>
  <c r="S827" i="72"/>
  <c r="T827" i="72"/>
  <c r="R794" i="72"/>
  <c r="S794" i="72"/>
  <c r="Q956" i="72"/>
  <c r="R956" i="72"/>
  <c r="R971" i="72"/>
  <c r="S971" i="72"/>
  <c r="Q871" i="72"/>
  <c r="S996" i="72"/>
  <c r="R768" i="72"/>
  <c r="S768" i="72"/>
  <c r="R915" i="72"/>
  <c r="S915" i="72"/>
  <c r="T915" i="72"/>
  <c r="Q887" i="72"/>
  <c r="R887" i="72"/>
  <c r="S787" i="72"/>
  <c r="T787" i="72"/>
  <c r="Q126" i="72"/>
  <c r="R126" i="72"/>
  <c r="R1024" i="72"/>
  <c r="P945" i="72"/>
  <c r="Q945" i="72"/>
  <c r="R945" i="72"/>
  <c r="R979" i="72"/>
  <c r="S979" i="72"/>
  <c r="S712" i="72"/>
  <c r="T712" i="72"/>
  <c r="U712" i="72"/>
  <c r="T1082" i="72"/>
  <c r="S735" i="72"/>
  <c r="T735" i="72"/>
  <c r="Q865" i="72"/>
  <c r="R865" i="72"/>
  <c r="S865" i="72"/>
  <c r="R846" i="72"/>
  <c r="S846" i="72"/>
  <c r="R1075" i="72"/>
  <c r="S1075" i="72"/>
  <c r="S747" i="72"/>
  <c r="T747" i="72"/>
  <c r="Q691" i="72"/>
  <c r="R691" i="72"/>
  <c r="S704" i="72"/>
  <c r="T704" i="72"/>
  <c r="R1060" i="72"/>
  <c r="S1060" i="72"/>
  <c r="Q938" i="72"/>
  <c r="R938" i="72"/>
  <c r="O265" i="72"/>
  <c r="P940" i="72"/>
  <c r="Q940" i="72"/>
  <c r="R1015" i="72"/>
  <c r="S1015" i="72"/>
  <c r="Q792" i="72"/>
  <c r="R792" i="72"/>
  <c r="Q882" i="72"/>
  <c r="R882" i="72"/>
  <c r="R763" i="72"/>
  <c r="S763" i="72"/>
  <c r="Q997" i="72"/>
  <c r="R997" i="72"/>
  <c r="P1022" i="72"/>
  <c r="Q1022" i="72"/>
  <c r="R714" i="72"/>
  <c r="S714" i="72"/>
  <c r="Q725" i="72"/>
  <c r="R725" i="72"/>
  <c r="Q934" i="72"/>
  <c r="R934" i="72"/>
  <c r="S775" i="72"/>
  <c r="T775" i="72"/>
  <c r="R720" i="72"/>
  <c r="S720" i="72"/>
  <c r="R970" i="72"/>
  <c r="N1216" i="72"/>
  <c r="R791" i="72"/>
  <c r="S791" i="72"/>
  <c r="T791" i="72"/>
  <c r="S796" i="72"/>
  <c r="T796" i="72"/>
  <c r="S784" i="72"/>
  <c r="T784" i="72"/>
  <c r="U784" i="72"/>
  <c r="V784" i="72"/>
  <c r="Q943" i="72"/>
  <c r="R943" i="72"/>
  <c r="P944" i="72"/>
  <c r="Q944" i="72"/>
  <c r="R944" i="72"/>
  <c r="R984" i="72"/>
  <c r="P872" i="72"/>
  <c r="P808" i="72"/>
  <c r="Q739" i="72"/>
  <c r="Q818" i="72"/>
  <c r="R959" i="72"/>
  <c r="S959" i="72"/>
  <c r="T959" i="72"/>
  <c r="P981" i="72"/>
  <c r="Q981" i="72"/>
  <c r="P845" i="72"/>
  <c r="Q845" i="72"/>
  <c r="P708" i="72"/>
  <c r="Q708" i="72"/>
  <c r="Q867" i="72"/>
  <c r="R867" i="72"/>
  <c r="R811" i="72"/>
  <c r="R741" i="72"/>
  <c r="S741" i="72"/>
  <c r="Q932" i="72"/>
  <c r="R932" i="72"/>
  <c r="P697" i="72"/>
  <c r="Q697" i="72"/>
  <c r="S815" i="72"/>
  <c r="T815" i="72"/>
  <c r="S736" i="72"/>
  <c r="T736" i="72"/>
  <c r="Q713" i="72"/>
  <c r="R713" i="72"/>
  <c r="R1026" i="72"/>
  <c r="S1026" i="72"/>
  <c r="P809" i="72"/>
  <c r="Q809" i="72"/>
  <c r="R809" i="72"/>
  <c r="N690" i="72"/>
  <c r="O690" i="72"/>
  <c r="N88" i="72"/>
  <c r="O88" i="72"/>
  <c r="R781" i="72"/>
  <c r="S781" i="72"/>
  <c r="P780" i="72"/>
  <c r="Q780" i="72"/>
  <c r="R780" i="72"/>
  <c r="Q833" i="72"/>
  <c r="R833" i="72"/>
  <c r="R968" i="72"/>
  <c r="R834" i="72"/>
  <c r="S834" i="72"/>
  <c r="T834" i="72"/>
  <c r="P1029" i="72"/>
  <c r="Q1029" i="72"/>
  <c r="Q993" i="72"/>
  <c r="R993" i="72"/>
  <c r="S723" i="72"/>
  <c r="S731" i="72"/>
  <c r="T731" i="72"/>
  <c r="S738" i="72"/>
  <c r="P836" i="72"/>
  <c r="Q836" i="72"/>
  <c r="Q839" i="72"/>
  <c r="R839" i="72"/>
  <c r="N1194" i="72"/>
  <c r="O1194" i="72"/>
  <c r="Q696" i="72"/>
  <c r="R696" i="72"/>
  <c r="P1037" i="72"/>
  <c r="R800" i="72"/>
  <c r="S698" i="72"/>
  <c r="T698" i="72"/>
  <c r="Q825" i="72"/>
  <c r="R734" i="72"/>
  <c r="R894" i="72"/>
  <c r="R770" i="72"/>
  <c r="Q1068" i="72"/>
  <c r="Q752" i="72"/>
  <c r="R752" i="72"/>
  <c r="Q1004" i="72"/>
  <c r="R1004" i="72"/>
  <c r="Q840" i="72"/>
  <c r="R840" i="72"/>
  <c r="S840" i="72"/>
  <c r="Q746" i="72"/>
  <c r="S1007" i="72"/>
  <c r="S946" i="72"/>
  <c r="T946" i="72"/>
  <c r="N267" i="72"/>
  <c r="Q842" i="72"/>
  <c r="R842" i="72"/>
  <c r="Q952" i="72"/>
  <c r="R952" i="72"/>
  <c r="R985" i="72"/>
  <c r="P1049" i="72"/>
  <c r="Q1049" i="72"/>
  <c r="P1080" i="72"/>
  <c r="Q1080" i="72"/>
  <c r="R1080" i="72"/>
  <c r="S1080" i="72"/>
  <c r="N1322" i="72"/>
  <c r="N74" i="72"/>
  <c r="O74" i="72"/>
  <c r="P700" i="72"/>
  <c r="Q700" i="72"/>
  <c r="P893" i="72"/>
  <c r="Q893" i="72"/>
  <c r="R743" i="72"/>
  <c r="Q789" i="72"/>
  <c r="R789" i="72"/>
  <c r="Q694" i="72"/>
  <c r="R694" i="72"/>
  <c r="S694" i="72"/>
  <c r="R807" i="72"/>
  <c r="S807" i="72"/>
  <c r="P853" i="72"/>
  <c r="Q949" i="72"/>
  <c r="R949" i="72"/>
  <c r="R866" i="72"/>
  <c r="S866" i="72"/>
  <c r="Q726" i="72"/>
  <c r="R726" i="72"/>
  <c r="R960" i="72"/>
  <c r="S960" i="72"/>
  <c r="P733" i="72"/>
  <c r="S910" i="72"/>
  <c r="T910" i="72"/>
  <c r="U910" i="72"/>
  <c r="R909" i="72"/>
  <c r="S909" i="72"/>
  <c r="R788" i="72"/>
  <c r="P937" i="72"/>
  <c r="Q937" i="72"/>
  <c r="R886" i="72"/>
  <c r="Q728" i="72"/>
  <c r="R728" i="72"/>
  <c r="P1073" i="72"/>
  <c r="Q1073" i="72"/>
  <c r="N1242" i="72"/>
  <c r="O1242" i="72"/>
  <c r="P1242" i="72"/>
  <c r="N1328" i="72"/>
  <c r="O1328" i="72"/>
  <c r="S732" i="72"/>
  <c r="Q1064" i="72"/>
  <c r="Q999" i="72"/>
  <c r="R999" i="72"/>
  <c r="R1074" i="72"/>
  <c r="S1074" i="72"/>
  <c r="Q1072" i="72"/>
  <c r="P802" i="72"/>
  <c r="S933" i="72"/>
  <c r="T933" i="72"/>
  <c r="Q703" i="72"/>
  <c r="R703" i="72"/>
  <c r="S806" i="72"/>
  <c r="Q715" i="72"/>
  <c r="Q841" i="72"/>
  <c r="M23" i="72"/>
  <c r="N23" i="72"/>
  <c r="N284" i="72"/>
  <c r="O284" i="72"/>
  <c r="N206" i="72"/>
  <c r="N1274" i="72"/>
  <c r="O1274" i="72"/>
  <c r="N1325" i="72"/>
  <c r="N1330" i="72"/>
  <c r="O1330" i="72"/>
  <c r="S762" i="72"/>
  <c r="R1058" i="72"/>
  <c r="S1058" i="72"/>
  <c r="N1223" i="72"/>
  <c r="P838" i="72"/>
  <c r="Q1038" i="72"/>
  <c r="R1038" i="72"/>
  <c r="Q716" i="72"/>
  <c r="R716" i="72"/>
  <c r="Q890" i="72"/>
  <c r="R890" i="72"/>
  <c r="N270" i="72"/>
  <c r="O270" i="72"/>
  <c r="Q908" i="72"/>
  <c r="R797" i="72"/>
  <c r="Q1008" i="72"/>
  <c r="R939" i="72"/>
  <c r="P830" i="72"/>
  <c r="Q830" i="72"/>
  <c r="Q705" i="72"/>
  <c r="Q936" i="72"/>
  <c r="P904" i="72"/>
  <c r="P900" i="72"/>
  <c r="S928" i="72"/>
  <c r="Q778" i="72"/>
  <c r="Q858" i="72"/>
  <c r="N135" i="72"/>
  <c r="O135" i="72"/>
  <c r="P135" i="72"/>
  <c r="Q135" i="72"/>
  <c r="P737" i="72"/>
  <c r="Q737" i="72"/>
  <c r="R1003" i="72"/>
  <c r="S1003" i="72"/>
  <c r="N283" i="72"/>
  <c r="O283" i="72"/>
  <c r="P283" i="72"/>
  <c r="Q721" i="72"/>
  <c r="R721" i="72"/>
  <c r="Q760" i="72"/>
  <c r="R760" i="72"/>
  <c r="S760" i="72"/>
  <c r="Q826" i="72"/>
  <c r="R826" i="72"/>
  <c r="S878" i="72"/>
  <c r="T878" i="72"/>
  <c r="S711" i="72"/>
  <c r="T711" i="72"/>
  <c r="U711" i="72"/>
  <c r="V711" i="72"/>
  <c r="W711" i="72"/>
  <c r="P1041" i="72"/>
  <c r="R914" i="72"/>
  <c r="S914" i="72"/>
  <c r="T742" i="72"/>
  <c r="T710" i="72"/>
  <c r="R751" i="72"/>
  <c r="P1046" i="72"/>
  <c r="Q1046" i="72"/>
  <c r="R1046" i="72"/>
  <c r="Q958" i="72"/>
  <c r="R958" i="72"/>
  <c r="S958" i="72"/>
  <c r="Q1070" i="72"/>
  <c r="R1070" i="72"/>
  <c r="S986" i="72"/>
  <c r="Q1001" i="72"/>
  <c r="R1001" i="72"/>
  <c r="Q771" i="72"/>
  <c r="T722" i="72"/>
  <c r="U722" i="72"/>
  <c r="T699" i="72"/>
  <c r="Q847" i="72"/>
  <c r="S779" i="72"/>
  <c r="T779" i="72"/>
  <c r="T923" i="72"/>
  <c r="U923" i="72"/>
  <c r="V923" i="72"/>
  <c r="W923" i="72"/>
  <c r="Q814" i="72"/>
  <c r="Q989" i="72"/>
  <c r="R989" i="72"/>
  <c r="Q803" i="72"/>
  <c r="Q719" i="72"/>
  <c r="P1014" i="72"/>
  <c r="Q1014" i="72"/>
  <c r="S707" i="72"/>
  <c r="P969" i="72"/>
  <c r="Q969" i="72"/>
  <c r="S843" i="72"/>
  <c r="S930" i="72"/>
  <c r="Q820" i="72"/>
  <c r="Q1040" i="72"/>
  <c r="R1040" i="72"/>
  <c r="Q1059" i="72"/>
  <c r="Q950" i="72"/>
  <c r="S855" i="72"/>
  <c r="T855" i="72"/>
  <c r="U855" i="72"/>
  <c r="P783" i="72"/>
  <c r="U816" i="72"/>
  <c r="S706" i="72"/>
  <c r="S987" i="72"/>
  <c r="N1136" i="72"/>
  <c r="N1278" i="72"/>
  <c r="O1278" i="72"/>
  <c r="N1140" i="72"/>
  <c r="O1140" i="72"/>
  <c r="N122" i="72"/>
  <c r="O122" i="72"/>
  <c r="P122" i="72"/>
  <c r="N170" i="72"/>
  <c r="O170" i="72"/>
  <c r="N507" i="72"/>
  <c r="O507" i="72"/>
  <c r="N315" i="72"/>
  <c r="O315" i="72"/>
  <c r="P315" i="72"/>
  <c r="N1128" i="72"/>
  <c r="O1128" i="72"/>
  <c r="N607" i="72"/>
  <c r="O607" i="72"/>
  <c r="N543" i="72"/>
  <c r="O543" i="72"/>
  <c r="P543" i="72"/>
  <c r="N415" i="72"/>
  <c r="N351" i="72"/>
  <c r="O351" i="72"/>
  <c r="N667" i="72"/>
  <c r="N459" i="72"/>
  <c r="O459" i="72"/>
  <c r="P459" i="72"/>
  <c r="N666" i="72"/>
  <c r="N1089" i="72"/>
  <c r="O1089" i="72"/>
  <c r="P1089" i="72"/>
  <c r="Q1089" i="72"/>
  <c r="R1089" i="72"/>
  <c r="R749" i="72"/>
  <c r="N628" i="72"/>
  <c r="O628" i="72"/>
  <c r="P628" i="72"/>
  <c r="N564" i="72"/>
  <c r="O564" i="72"/>
  <c r="N500" i="72"/>
  <c r="O500" i="72"/>
  <c r="N372" i="72"/>
  <c r="O372" i="72"/>
  <c r="N235" i="72"/>
  <c r="N154" i="72"/>
  <c r="O154" i="72"/>
  <c r="N560" i="72"/>
  <c r="O560" i="72"/>
  <c r="P560" i="72"/>
  <c r="N168" i="72"/>
  <c r="Q822" i="72"/>
  <c r="Q823" i="72"/>
  <c r="R823" i="72"/>
  <c r="P917" i="72"/>
  <c r="Q917" i="72"/>
  <c r="R917" i="72"/>
  <c r="Q790" i="72"/>
  <c r="R790" i="72"/>
  <c r="R795" i="72"/>
  <c r="N545" i="72"/>
  <c r="N224" i="72"/>
  <c r="O224" i="72"/>
  <c r="N161" i="72"/>
  <c r="O161" i="72"/>
  <c r="P161" i="72"/>
  <c r="Q844" i="72"/>
  <c r="R891" i="72"/>
  <c r="N1120" i="72"/>
  <c r="O1120" i="72"/>
  <c r="N634" i="72"/>
  <c r="Q744" i="72"/>
  <c r="R744" i="72"/>
  <c r="Q863" i="72"/>
  <c r="R863" i="72"/>
  <c r="N475" i="72"/>
  <c r="N50" i="72"/>
  <c r="O50" i="72"/>
  <c r="N570" i="72"/>
  <c r="O570" i="72"/>
  <c r="N384" i="72"/>
  <c r="O384" i="72"/>
  <c r="N458" i="72"/>
  <c r="N17" i="72"/>
  <c r="O17" i="72"/>
  <c r="Q869" i="72"/>
  <c r="R869" i="72"/>
  <c r="P905" i="72"/>
  <c r="Q905" i="72"/>
  <c r="R905" i="72"/>
  <c r="R850" i="72"/>
  <c r="N665" i="72"/>
  <c r="N601" i="72"/>
  <c r="N537" i="72"/>
  <c r="N345" i="72"/>
  <c r="O345" i="72"/>
  <c r="N153" i="72"/>
  <c r="Q777" i="72"/>
  <c r="R813" i="72"/>
  <c r="S813" i="72"/>
  <c r="R835" i="72"/>
  <c r="R819" i="72"/>
  <c r="Q805" i="72"/>
  <c r="P766" i="72"/>
  <c r="Q766" i="72"/>
  <c r="R766" i="72"/>
  <c r="N479" i="72"/>
  <c r="O479" i="72"/>
  <c r="P479" i="72"/>
  <c r="N1246" i="72"/>
  <c r="N1112" i="72"/>
  <c r="O1112" i="72"/>
  <c r="P1112" i="72"/>
  <c r="N591" i="72"/>
  <c r="O591" i="72"/>
  <c r="N527" i="72"/>
  <c r="O527" i="72"/>
  <c r="N463" i="72"/>
  <c r="O463" i="72"/>
  <c r="N127" i="72"/>
  <c r="N30" i="72"/>
  <c r="O30" i="72"/>
  <c r="P30" i="72"/>
  <c r="Q30" i="72"/>
  <c r="R30" i="72"/>
  <c r="N619" i="72"/>
  <c r="O619" i="72"/>
  <c r="P619" i="72"/>
  <c r="N411" i="72"/>
  <c r="O411" i="72"/>
  <c r="P411" i="72"/>
  <c r="N594" i="72"/>
  <c r="O594" i="72"/>
  <c r="P594" i="72"/>
  <c r="N306" i="72"/>
  <c r="O306" i="72"/>
  <c r="P306" i="72"/>
  <c r="N223" i="72"/>
  <c r="O223" i="72"/>
  <c r="P223" i="72"/>
  <c r="N1127" i="72"/>
  <c r="N478" i="72"/>
  <c r="O478" i="72"/>
  <c r="N190" i="72"/>
  <c r="O190" i="72"/>
  <c r="P190" i="72"/>
  <c r="N125" i="72"/>
  <c r="O125" i="72"/>
  <c r="P125" i="72"/>
  <c r="Q125" i="72"/>
  <c r="N29" i="72"/>
  <c r="O29" i="72"/>
  <c r="N15" i="72"/>
  <c r="O15" i="72"/>
  <c r="N1118" i="72"/>
  <c r="O1118" i="72"/>
  <c r="P1118" i="72"/>
  <c r="N597" i="72"/>
  <c r="N533" i="72"/>
  <c r="O533" i="72"/>
  <c r="N469" i="72"/>
  <c r="O469" i="72"/>
  <c r="N405" i="72"/>
  <c r="O405" i="72"/>
  <c r="P405" i="72"/>
  <c r="N341" i="72"/>
  <c r="O341" i="72"/>
  <c r="N1282" i="72"/>
  <c r="N1100" i="72"/>
  <c r="O1100" i="72"/>
  <c r="P1100" i="72"/>
  <c r="N323" i="72"/>
  <c r="N131" i="72"/>
  <c r="N538" i="72"/>
  <c r="N1263" i="72"/>
  <c r="O1263" i="72"/>
  <c r="Q754" i="72"/>
  <c r="R754" i="72"/>
  <c r="N42" i="72"/>
  <c r="N1104" i="72"/>
  <c r="O1104" i="72"/>
  <c r="P1104" i="72"/>
  <c r="Q1104" i="72"/>
  <c r="R1104" i="72"/>
  <c r="N187" i="72"/>
  <c r="N1249" i="72"/>
  <c r="N568" i="72"/>
  <c r="N1119" i="72"/>
  <c r="O1119" i="72"/>
  <c r="N662" i="72"/>
  <c r="N598" i="72"/>
  <c r="O598" i="72"/>
  <c r="P598" i="72"/>
  <c r="N182" i="72"/>
  <c r="O182" i="72"/>
  <c r="P745" i="72"/>
  <c r="Q745" i="72"/>
  <c r="R745" i="72"/>
  <c r="N1174" i="72"/>
  <c r="N1110" i="72"/>
  <c r="N397" i="72"/>
  <c r="O397" i="72"/>
  <c r="N483" i="72"/>
  <c r="O483" i="72"/>
  <c r="N1168" i="72"/>
  <c r="N183" i="72"/>
  <c r="N1096" i="72"/>
  <c r="O1096" i="72"/>
  <c r="N639" i="72"/>
  <c r="O639" i="72"/>
  <c r="N575" i="72"/>
  <c r="O575" i="72"/>
  <c r="P575" i="72"/>
  <c r="N511" i="72"/>
  <c r="N447" i="72"/>
  <c r="O447" i="72"/>
  <c r="N383" i="72"/>
  <c r="O383" i="72"/>
  <c r="N319" i="72"/>
  <c r="O319" i="72"/>
  <c r="N94" i="72"/>
  <c r="O94" i="72"/>
  <c r="N14" i="72"/>
  <c r="O14" i="72"/>
  <c r="N163" i="72"/>
  <c r="O163" i="72"/>
  <c r="N522" i="72"/>
  <c r="O522" i="72"/>
  <c r="N217" i="72"/>
  <c r="N520" i="72"/>
  <c r="O520" i="72"/>
  <c r="P520" i="72"/>
  <c r="N136" i="72"/>
  <c r="O136" i="72"/>
  <c r="R877" i="72"/>
  <c r="N1111" i="72"/>
  <c r="N13" i="72"/>
  <c r="O13" i="72"/>
  <c r="P13" i="72"/>
  <c r="N517" i="72"/>
  <c r="O517" i="72"/>
  <c r="P517" i="72"/>
  <c r="N453" i="72"/>
  <c r="N389" i="72"/>
  <c r="N44" i="72"/>
  <c r="O44" i="72"/>
  <c r="P44" i="72"/>
  <c r="N659" i="72"/>
  <c r="N280" i="72"/>
  <c r="O280" i="72"/>
  <c r="N1147" i="72"/>
  <c r="O1147" i="72"/>
  <c r="P1147" i="72"/>
  <c r="P793" i="72"/>
  <c r="Q793" i="72"/>
  <c r="R793" i="72"/>
  <c r="N1133" i="72"/>
  <c r="O1133" i="72"/>
  <c r="P1133" i="72"/>
  <c r="N612" i="72"/>
  <c r="O612" i="72"/>
  <c r="P612" i="72"/>
  <c r="N484" i="72"/>
  <c r="O484" i="72"/>
  <c r="N394" i="72"/>
  <c r="O394" i="72"/>
  <c r="N1145" i="72"/>
  <c r="O1145" i="72"/>
  <c r="N530" i="72"/>
  <c r="O530" i="72"/>
  <c r="P530" i="72"/>
  <c r="Q530" i="72"/>
  <c r="N336" i="72"/>
  <c r="O336" i="72"/>
  <c r="N402" i="72"/>
  <c r="O402" i="72"/>
  <c r="N40" i="72"/>
  <c r="O40" i="72"/>
  <c r="P40" i="72"/>
  <c r="N600" i="72"/>
  <c r="N1114" i="72"/>
  <c r="O1114" i="72"/>
  <c r="P1114" i="72"/>
  <c r="Q1114" i="72"/>
  <c r="N465" i="72"/>
  <c r="O465" i="72"/>
  <c r="N145" i="72"/>
  <c r="O145" i="72"/>
  <c r="P145" i="72"/>
  <c r="Q798" i="72"/>
  <c r="R798" i="72"/>
  <c r="N390" i="72"/>
  <c r="O390" i="72"/>
  <c r="P390" i="72"/>
  <c r="N326" i="72"/>
  <c r="N166" i="72"/>
  <c r="O166" i="72"/>
  <c r="P166" i="72"/>
  <c r="Q166" i="72"/>
  <c r="N328" i="72"/>
  <c r="O328" i="72"/>
  <c r="P328" i="72"/>
  <c r="Q328" i="72"/>
  <c r="N1158" i="72"/>
  <c r="N637" i="72"/>
  <c r="O637" i="72"/>
  <c r="N509" i="72"/>
  <c r="N445" i="72"/>
  <c r="N317" i="72"/>
  <c r="N496" i="72"/>
  <c r="O496" i="72"/>
  <c r="N1125" i="72"/>
  <c r="O1125" i="72"/>
  <c r="N668" i="72"/>
  <c r="N476" i="72"/>
  <c r="O476" i="72"/>
  <c r="P476" i="72"/>
  <c r="N412" i="72"/>
  <c r="O412" i="72"/>
  <c r="P412" i="72"/>
  <c r="Q412" i="72"/>
  <c r="N348" i="72"/>
  <c r="O348" i="72"/>
  <c r="P348" i="72"/>
  <c r="N281" i="72"/>
  <c r="O281" i="72"/>
  <c r="P281" i="72"/>
  <c r="N218" i="72"/>
  <c r="N1115" i="72"/>
  <c r="O1115" i="72"/>
  <c r="N1106" i="72"/>
  <c r="N649" i="72"/>
  <c r="O649" i="72"/>
  <c r="N585" i="72"/>
  <c r="O585" i="72"/>
  <c r="P585" i="72"/>
  <c r="N521" i="72"/>
  <c r="O521" i="72"/>
  <c r="P521" i="72"/>
  <c r="Q521" i="72"/>
  <c r="R521" i="72"/>
  <c r="N393" i="72"/>
  <c r="O393" i="72"/>
  <c r="P393" i="72"/>
  <c r="Q393" i="72"/>
  <c r="N329" i="72"/>
  <c r="O329" i="72"/>
  <c r="P329" i="72"/>
  <c r="Q329" i="72"/>
  <c r="Q729" i="72"/>
  <c r="N1131" i="72"/>
  <c r="O1131" i="72"/>
  <c r="P1131" i="72"/>
  <c r="Q1131" i="72"/>
  <c r="N450" i="72"/>
  <c r="O450" i="72"/>
  <c r="P450" i="72"/>
  <c r="N1161" i="72"/>
  <c r="O1161" i="72"/>
  <c r="N424" i="72"/>
  <c r="O424" i="72"/>
  <c r="P424" i="72"/>
  <c r="Q424" i="72"/>
  <c r="N638" i="72"/>
  <c r="O638" i="72"/>
  <c r="N510" i="72"/>
  <c r="O510" i="72"/>
  <c r="P510" i="72"/>
  <c r="N318" i="72"/>
  <c r="O318" i="72"/>
  <c r="N229" i="72"/>
  <c r="N158" i="72"/>
  <c r="O158" i="72"/>
  <c r="P158" i="72"/>
  <c r="Q158" i="72"/>
  <c r="N1276" i="72"/>
  <c r="O1276" i="72"/>
  <c r="P1276" i="72"/>
  <c r="N1150" i="72"/>
  <c r="O1150" i="72"/>
  <c r="P1150" i="72"/>
  <c r="N1086" i="72"/>
  <c r="O1086" i="72"/>
  <c r="P1086" i="72"/>
  <c r="N629" i="72"/>
  <c r="N501" i="72"/>
  <c r="O501" i="72"/>
  <c r="P501" i="72"/>
  <c r="Q501" i="72"/>
  <c r="N437" i="72"/>
  <c r="N373" i="72"/>
  <c r="O373" i="72"/>
  <c r="P373" i="72"/>
  <c r="N116" i="72"/>
  <c r="O116" i="72"/>
  <c r="P116" i="72"/>
  <c r="N20" i="72"/>
  <c r="O20" i="72"/>
  <c r="N226" i="72"/>
  <c r="N1137" i="72"/>
  <c r="O1137" i="72"/>
  <c r="P1137" i="72"/>
  <c r="N468" i="72"/>
  <c r="O468" i="72"/>
  <c r="P468" i="72"/>
  <c r="N51" i="72"/>
  <c r="R875" i="72"/>
  <c r="N403" i="72"/>
  <c r="O403" i="72"/>
  <c r="P403" i="72"/>
  <c r="N195" i="72"/>
  <c r="O195" i="72"/>
  <c r="N368" i="72"/>
  <c r="O368" i="72"/>
  <c r="P368" i="72"/>
  <c r="N47" i="72"/>
  <c r="O47" i="72"/>
  <c r="P47" i="72"/>
  <c r="Q727" i="72"/>
  <c r="R727" i="72"/>
  <c r="N129" i="72"/>
  <c r="O129" i="72"/>
  <c r="N392" i="72"/>
  <c r="O392" i="72"/>
  <c r="P392" i="72"/>
  <c r="Q392" i="72"/>
  <c r="N1341" i="72"/>
  <c r="N1277" i="72"/>
  <c r="N1151" i="72"/>
  <c r="O1151" i="72"/>
  <c r="N221" i="72"/>
  <c r="N150" i="72"/>
  <c r="N53" i="72"/>
  <c r="N200" i="72"/>
  <c r="O200" i="72"/>
  <c r="N621" i="72"/>
  <c r="O621" i="72"/>
  <c r="N429" i="72"/>
  <c r="O429" i="72"/>
  <c r="N365" i="72"/>
  <c r="O365" i="72"/>
  <c r="P365" i="72"/>
  <c r="Q365" i="72"/>
  <c r="N203" i="72"/>
  <c r="O203" i="72"/>
  <c r="N1097" i="72"/>
  <c r="Q906" i="72"/>
  <c r="R906" i="72"/>
  <c r="N588" i="72"/>
  <c r="O588" i="72"/>
  <c r="N396" i="72"/>
  <c r="N320" i="72"/>
  <c r="N584" i="72"/>
  <c r="N160" i="72"/>
  <c r="O160" i="72"/>
  <c r="N658" i="72"/>
  <c r="O658" i="72"/>
  <c r="N448" i="72"/>
  <c r="O448" i="72"/>
  <c r="P448" i="72"/>
  <c r="N1280" i="72"/>
  <c r="O1280" i="72"/>
  <c r="P1280" i="72"/>
  <c r="N313" i="72"/>
  <c r="O313" i="72"/>
  <c r="P313" i="72"/>
  <c r="N142" i="72"/>
  <c r="O142" i="72"/>
  <c r="P142" i="72"/>
  <c r="Q142" i="72"/>
  <c r="N45" i="72"/>
  <c r="O45" i="72"/>
  <c r="P45" i="72"/>
  <c r="Q45" i="72"/>
  <c r="R45" i="72"/>
  <c r="N640" i="72"/>
  <c r="N144" i="72"/>
  <c r="N485" i="72"/>
  <c r="O485" i="72"/>
  <c r="N421" i="72"/>
  <c r="O421" i="72"/>
  <c r="P421" i="72"/>
  <c r="Q421" i="72"/>
  <c r="N1148" i="72"/>
  <c r="O1148" i="72"/>
  <c r="N354" i="72"/>
  <c r="N48" i="72"/>
  <c r="O48" i="72"/>
  <c r="N672" i="72"/>
  <c r="O672" i="72"/>
  <c r="N360" i="72"/>
  <c r="N644" i="72"/>
  <c r="N188" i="72"/>
  <c r="N123" i="72"/>
  <c r="O123" i="72"/>
  <c r="P123" i="72"/>
  <c r="Q123" i="72"/>
  <c r="N355" i="72"/>
  <c r="N624" i="72"/>
  <c r="N370" i="72"/>
  <c r="N16" i="72"/>
  <c r="O16" i="72"/>
  <c r="N602" i="72"/>
  <c r="N178" i="72"/>
  <c r="O178" i="72"/>
  <c r="N1146" i="72"/>
  <c r="O1146" i="72"/>
  <c r="N625" i="72"/>
  <c r="O625" i="72"/>
  <c r="N561" i="72"/>
  <c r="N497" i="72"/>
  <c r="O497" i="72"/>
  <c r="N433" i="72"/>
  <c r="O433" i="72"/>
  <c r="N369" i="72"/>
  <c r="O369" i="72"/>
  <c r="N240" i="72"/>
  <c r="O240" i="72"/>
  <c r="N177" i="72"/>
  <c r="N1135" i="72"/>
  <c r="O1135" i="72"/>
  <c r="P1135" i="72"/>
  <c r="Q1135" i="72"/>
  <c r="N678" i="72"/>
  <c r="O678" i="72"/>
  <c r="P678" i="72"/>
  <c r="N614" i="72"/>
  <c r="O614" i="72"/>
  <c r="P614" i="72"/>
  <c r="N550" i="72"/>
  <c r="O550" i="72"/>
  <c r="P550" i="72"/>
  <c r="Q550" i="72"/>
  <c r="R550" i="72"/>
  <c r="N486" i="72"/>
  <c r="O486" i="72"/>
  <c r="P486" i="72"/>
  <c r="Q486" i="72"/>
  <c r="N422" i="72"/>
  <c r="O422" i="72"/>
  <c r="N358" i="72"/>
  <c r="O358" i="72"/>
  <c r="N198" i="72"/>
  <c r="O198" i="72"/>
  <c r="N37" i="72"/>
  <c r="O37" i="72"/>
  <c r="P37" i="72"/>
  <c r="Q37" i="72"/>
  <c r="N552" i="72"/>
  <c r="N1252" i="72"/>
  <c r="N605" i="72"/>
  <c r="N413" i="72"/>
  <c r="O413" i="72"/>
  <c r="P413" i="72"/>
  <c r="N220" i="72"/>
  <c r="O220" i="72"/>
  <c r="N155" i="72"/>
  <c r="N312" i="72"/>
  <c r="N1157" i="72"/>
  <c r="O1157" i="72"/>
  <c r="N1093" i="72"/>
  <c r="O1093" i="72"/>
  <c r="P1093" i="72"/>
  <c r="N592" i="72"/>
  <c r="N215" i="72"/>
  <c r="O215" i="72"/>
  <c r="P215" i="72"/>
  <c r="N472" i="72"/>
  <c r="N130" i="72"/>
  <c r="O130" i="72"/>
  <c r="P130" i="72"/>
  <c r="N1121" i="72"/>
  <c r="O1121" i="72"/>
  <c r="P1121" i="72"/>
  <c r="Q1121" i="72"/>
  <c r="N352" i="72"/>
  <c r="O352" i="72"/>
  <c r="N553" i="72"/>
  <c r="O553" i="72"/>
  <c r="N489" i="72"/>
  <c r="O489" i="72"/>
  <c r="P489" i="72"/>
  <c r="Q489" i="72"/>
  <c r="N425" i="72"/>
  <c r="O425" i="72"/>
  <c r="N361" i="72"/>
  <c r="O361" i="72"/>
  <c r="P361" i="72"/>
  <c r="Q361" i="72"/>
  <c r="N232" i="72"/>
  <c r="O232" i="72"/>
  <c r="P232" i="72"/>
  <c r="Q232" i="72"/>
  <c r="N169" i="72"/>
  <c r="O169" i="72"/>
  <c r="Q911" i="72"/>
  <c r="N1184" i="72"/>
  <c r="O1184" i="72"/>
  <c r="N1286" i="72"/>
  <c r="N85" i="72"/>
  <c r="N124" i="72"/>
  <c r="N242" i="72"/>
  <c r="Q916" i="72"/>
  <c r="R954" i="72"/>
  <c r="P976" i="72"/>
  <c r="Q976" i="72"/>
  <c r="N1321" i="72"/>
  <c r="N1213" i="72"/>
  <c r="O1213" i="72"/>
  <c r="N296" i="72"/>
  <c r="N656" i="72"/>
  <c r="O656" i="72"/>
  <c r="Q730" i="72"/>
  <c r="N676" i="72"/>
  <c r="R896" i="72"/>
  <c r="N1288" i="72"/>
  <c r="Q953" i="72"/>
  <c r="N1230" i="72"/>
  <c r="N655" i="72"/>
  <c r="N1316" i="72"/>
  <c r="O1316" i="72"/>
  <c r="N1338" i="72"/>
  <c r="N1342" i="72"/>
  <c r="N1176" i="72"/>
  <c r="O1176" i="72"/>
  <c r="R978" i="72"/>
  <c r="N77" i="72"/>
  <c r="N1182" i="72"/>
  <c r="O1182" i="72"/>
  <c r="N81" i="72"/>
  <c r="Q879" i="72"/>
  <c r="R879" i="72"/>
  <c r="N540" i="72"/>
  <c r="N1337" i="72"/>
  <c r="N89" i="72"/>
  <c r="N1199" i="72"/>
  <c r="Q992" i="72"/>
  <c r="R992" i="72"/>
  <c r="P1048" i="72"/>
  <c r="N1332" i="72"/>
  <c r="P885" i="72"/>
  <c r="N133" i="72"/>
  <c r="N1334" i="72"/>
  <c r="O1334" i="72"/>
  <c r="P1334" i="72"/>
  <c r="N1270" i="72"/>
  <c r="N293" i="72"/>
  <c r="N1300" i="72"/>
  <c r="R903" i="72"/>
  <c r="N657" i="72"/>
  <c r="N1206" i="72"/>
  <c r="N1217" i="72"/>
  <c r="N1287" i="72"/>
  <c r="O1287" i="72"/>
  <c r="N616" i="72"/>
  <c r="Q942" i="72"/>
  <c r="N1175" i="72"/>
  <c r="O1175" i="72"/>
  <c r="N253" i="72"/>
  <c r="N282" i="72"/>
  <c r="O282" i="72"/>
  <c r="N152" i="72"/>
  <c r="Q919" i="72"/>
  <c r="R919" i="72"/>
  <c r="N1101" i="72"/>
  <c r="N1179" i="72"/>
  <c r="O1179" i="72"/>
  <c r="N65" i="72"/>
  <c r="N1241" i="72"/>
  <c r="Q961" i="72"/>
  <c r="R859" i="72"/>
  <c r="Q873" i="72"/>
  <c r="N378" i="72"/>
  <c r="N291" i="72"/>
  <c r="N1141" i="72"/>
  <c r="N1319" i="72"/>
  <c r="N1238" i="72"/>
  <c r="Q767" i="72"/>
  <c r="N664" i="72"/>
  <c r="O664" i="72"/>
  <c r="N193" i="72"/>
  <c r="N1318" i="72"/>
  <c r="N1262" i="72"/>
  <c r="N157" i="72"/>
  <c r="N250" i="72"/>
  <c r="N408" i="72"/>
  <c r="N39" i="72"/>
  <c r="N286" i="72"/>
  <c r="Q756" i="72"/>
  <c r="Q957" i="72"/>
  <c r="R957" i="72"/>
  <c r="N93" i="72"/>
  <c r="Q902" i="72"/>
  <c r="Q888" i="72"/>
  <c r="N1139" i="72"/>
  <c r="P1054" i="72"/>
  <c r="N1214" i="72"/>
  <c r="N1183" i="72"/>
  <c r="O1183" i="72"/>
  <c r="Q864" i="72"/>
  <c r="N661" i="72"/>
  <c r="N674" i="72"/>
  <c r="Q851" i="72"/>
  <c r="Q881" i="72"/>
  <c r="P918" i="72"/>
  <c r="N1310" i="72"/>
  <c r="O1310" i="72"/>
  <c r="N1190" i="72"/>
  <c r="N671" i="72"/>
  <c r="N78" i="72"/>
  <c r="Q907" i="72"/>
  <c r="N1212" i="72"/>
  <c r="N579" i="72"/>
  <c r="Q870" i="72"/>
  <c r="N1149" i="72"/>
  <c r="N1201" i="72"/>
  <c r="P925" i="72"/>
  <c r="R1055" i="72"/>
  <c r="S1055" i="72"/>
  <c r="Q927" i="72"/>
  <c r="Q955" i="72"/>
  <c r="N1240" i="72"/>
  <c r="O1240" i="72"/>
  <c r="N278" i="72"/>
  <c r="Q1069" i="72"/>
  <c r="Q1043" i="72"/>
  <c r="R1043" i="72"/>
  <c r="N55" i="72"/>
  <c r="Q941" i="72"/>
  <c r="N1177" i="72"/>
  <c r="O1177" i="72"/>
  <c r="P1012" i="72"/>
  <c r="Q1012" i="72"/>
  <c r="N56" i="72"/>
  <c r="N1169" i="72"/>
  <c r="N1224" i="72"/>
  <c r="N1178" i="72"/>
  <c r="O1178" i="72"/>
  <c r="N1344" i="72"/>
  <c r="N294" i="72"/>
  <c r="Q1057" i="72"/>
  <c r="N1333" i="72"/>
  <c r="N685" i="72"/>
  <c r="N165" i="72"/>
  <c r="N1225" i="72"/>
  <c r="N688" i="72"/>
  <c r="N1239" i="72"/>
  <c r="N237" i="72"/>
  <c r="N1210" i="72"/>
  <c r="N239" i="72"/>
  <c r="R980" i="72"/>
  <c r="Q899" i="72"/>
  <c r="N1200" i="72"/>
  <c r="R947" i="72"/>
  <c r="N1202" i="72"/>
  <c r="N1108" i="72"/>
  <c r="N309" i="72"/>
  <c r="N197" i="72"/>
  <c r="N456" i="72"/>
  <c r="N1109" i="72"/>
  <c r="N660" i="72"/>
  <c r="N440" i="72"/>
  <c r="N34" i="72"/>
  <c r="N1205" i="72"/>
  <c r="N1087" i="72"/>
  <c r="N534" i="72"/>
  <c r="N310" i="72"/>
  <c r="N32" i="72"/>
  <c r="N349" i="72"/>
  <c r="N307" i="72"/>
  <c r="N1218" i="72"/>
  <c r="N1233" i="72"/>
  <c r="N1105" i="72"/>
  <c r="N382" i="72"/>
  <c r="N1204" i="72"/>
  <c r="N589" i="72"/>
  <c r="N416" i="72"/>
  <c r="P1077" i="72"/>
  <c r="N436" i="72"/>
  <c r="N504" i="72"/>
  <c r="N1294" i="72"/>
  <c r="N1084" i="72"/>
  <c r="N1309" i="72"/>
  <c r="O1309" i="72"/>
  <c r="N1191" i="72"/>
  <c r="Q868" i="72"/>
  <c r="Q1079" i="72"/>
  <c r="N1130" i="72"/>
  <c r="N578" i="72"/>
  <c r="N73" i="72"/>
  <c r="O73" i="72"/>
  <c r="Q874" i="72"/>
  <c r="N1129" i="72"/>
  <c r="N1245" i="72"/>
  <c r="O1245" i="72"/>
  <c r="N406" i="72"/>
  <c r="N342" i="72"/>
  <c r="Q1052" i="72"/>
  <c r="R1052" i="72"/>
  <c r="N1085" i="72"/>
  <c r="N580" i="72"/>
  <c r="N635" i="72"/>
  <c r="N330" i="72"/>
  <c r="Q764" i="72"/>
  <c r="Q883" i="72"/>
  <c r="N347" i="72"/>
  <c r="N449" i="72"/>
  <c r="Q856" i="72"/>
  <c r="N1244" i="72"/>
  <c r="N1144" i="72"/>
  <c r="N191" i="72"/>
  <c r="N1226" i="72"/>
  <c r="N288" i="72"/>
  <c r="N490" i="72"/>
  <c r="N574" i="72"/>
  <c r="N576" i="72"/>
  <c r="N115" i="72"/>
  <c r="N480" i="72"/>
  <c r="N446" i="72"/>
  <c r="N554" i="72"/>
  <c r="Q831" i="72"/>
  <c r="N488" i="72"/>
  <c r="N269" i="72"/>
  <c r="O269" i="72"/>
  <c r="N1165" i="72"/>
  <c r="N186" i="72"/>
  <c r="N464" i="72"/>
  <c r="N1295" i="72"/>
  <c r="N432" i="72"/>
  <c r="N1343" i="72"/>
  <c r="O1343" i="72"/>
  <c r="N304" i="72"/>
  <c r="N1170" i="72"/>
  <c r="N216" i="72"/>
  <c r="P926" i="72"/>
  <c r="Q1066" i="72"/>
  <c r="N271" i="72"/>
  <c r="O271" i="72"/>
  <c r="N147" i="72"/>
  <c r="N7" i="72"/>
  <c r="Q1053" i="72"/>
  <c r="R1053" i="72"/>
  <c r="N1237" i="72"/>
  <c r="N470" i="72"/>
  <c r="N645" i="72"/>
  <c r="N565" i="72"/>
  <c r="N524" i="72"/>
  <c r="N308" i="72"/>
  <c r="N1092" i="72"/>
  <c r="N473" i="72"/>
  <c r="Q857" i="72"/>
  <c r="P1036" i="72"/>
  <c r="N460" i="72"/>
  <c r="N539" i="72"/>
  <c r="N451" i="72"/>
  <c r="N87" i="72"/>
  <c r="N207" i="72"/>
  <c r="N604" i="72"/>
  <c r="N8" i="72"/>
  <c r="N332" i="72"/>
  <c r="N120" i="72"/>
  <c r="N503" i="72"/>
  <c r="N303" i="72"/>
  <c r="Q921" i="72"/>
  <c r="N630" i="72"/>
  <c r="N518" i="72"/>
  <c r="N213" i="72"/>
  <c r="N174" i="72"/>
  <c r="N495" i="72"/>
  <c r="N471" i="72"/>
  <c r="N159" i="72"/>
  <c r="N1250" i="72"/>
  <c r="N234" i="72"/>
  <c r="P1009" i="72"/>
  <c r="Q1009" i="72"/>
  <c r="R1009" i="72"/>
  <c r="N1229" i="72"/>
  <c r="N1103" i="72"/>
  <c r="N542" i="72"/>
  <c r="N374" i="72"/>
  <c r="N376" i="72"/>
  <c r="N631" i="72"/>
  <c r="N1335" i="72"/>
  <c r="N1317" i="72"/>
  <c r="O1317" i="72"/>
  <c r="N1221" i="72"/>
  <c r="N1095" i="72"/>
  <c r="N454" i="72"/>
  <c r="N599" i="72"/>
  <c r="N439" i="72"/>
  <c r="N151" i="72"/>
  <c r="N86" i="72"/>
  <c r="N531" i="72"/>
  <c r="N562" i="72"/>
  <c r="N1189" i="72"/>
  <c r="N1188" i="72"/>
  <c r="N663" i="72"/>
  <c r="N222" i="72"/>
  <c r="N1207" i="72"/>
  <c r="Q824" i="72"/>
  <c r="N623" i="72"/>
  <c r="M54" i="72"/>
  <c r="M110" i="72"/>
  <c r="M277" i="72"/>
  <c r="M1312" i="72"/>
  <c r="N431" i="72"/>
  <c r="N407" i="72"/>
  <c r="Q880" i="72"/>
  <c r="Q963" i="72"/>
  <c r="N1293" i="72"/>
  <c r="N1167" i="72"/>
  <c r="N646" i="72"/>
  <c r="N502" i="72"/>
  <c r="N1220" i="72"/>
  <c r="N687" i="72"/>
  <c r="N567" i="72"/>
  <c r="N399" i="72"/>
  <c r="N375" i="72"/>
  <c r="N57" i="72"/>
  <c r="Q718" i="72"/>
  <c r="Q1078" i="72"/>
  <c r="N1285" i="72"/>
  <c r="N1159" i="72"/>
  <c r="N670" i="72"/>
  <c r="N414" i="72"/>
  <c r="Q935" i="72"/>
  <c r="N1284" i="72"/>
  <c r="M28" i="72"/>
  <c r="M114" i="72"/>
  <c r="M111" i="72"/>
  <c r="N559" i="72"/>
  <c r="N535" i="72"/>
  <c r="N367" i="72"/>
  <c r="N343" i="72"/>
  <c r="N118" i="72"/>
  <c r="N435" i="72"/>
  <c r="N1099" i="72"/>
  <c r="N346" i="72"/>
  <c r="N344" i="72"/>
  <c r="N184" i="72"/>
  <c r="Q852" i="72"/>
  <c r="N1261" i="72"/>
  <c r="N582" i="72"/>
  <c r="N438" i="72"/>
  <c r="P828" i="72"/>
  <c r="N268" i="72"/>
  <c r="N643" i="72"/>
  <c r="N210" i="72"/>
  <c r="Q1056" i="72"/>
  <c r="N1197" i="72"/>
  <c r="N566" i="72"/>
  <c r="M249" i="72"/>
  <c r="M1306" i="72"/>
  <c r="N1306" i="72"/>
  <c r="Q693" i="72"/>
  <c r="N1152" i="72"/>
  <c r="N1088" i="72"/>
  <c r="N335" i="72"/>
  <c r="N311" i="72"/>
  <c r="N339" i="72"/>
  <c r="Q782" i="72"/>
  <c r="Q892" i="72"/>
  <c r="N1253" i="72"/>
  <c r="N606" i="72"/>
  <c r="N350" i="72"/>
  <c r="N117" i="72"/>
  <c r="N21" i="72"/>
  <c r="Q717" i="72"/>
  <c r="Q812" i="72"/>
  <c r="N461" i="72"/>
  <c r="N298" i="72"/>
  <c r="N76" i="72"/>
  <c r="N1091" i="72"/>
  <c r="N610" i="72"/>
  <c r="N466" i="72"/>
  <c r="N482" i="72"/>
  <c r="M72" i="72"/>
  <c r="N72" i="72"/>
  <c r="M246" i="72"/>
  <c r="M1311" i="72"/>
  <c r="M276" i="72"/>
  <c r="N230" i="72"/>
  <c r="N199" i="72"/>
  <c r="N167" i="72"/>
  <c r="N38" i="72"/>
  <c r="N6" i="72"/>
  <c r="N418" i="72"/>
  <c r="N33" i="72"/>
  <c r="Q750" i="72"/>
  <c r="Q799" i="72"/>
  <c r="N209" i="72"/>
  <c r="N255" i="72"/>
  <c r="Q876" i="72"/>
  <c r="N1126" i="72"/>
  <c r="N1094" i="72"/>
  <c r="N677" i="72"/>
  <c r="N557" i="72"/>
  <c r="N541" i="72"/>
  <c r="N325" i="72"/>
  <c r="N141" i="72"/>
  <c r="N1234" i="72"/>
  <c r="N1329" i="72"/>
  <c r="N314" i="72"/>
  <c r="N506" i="72"/>
  <c r="N137" i="72"/>
  <c r="N9" i="72"/>
  <c r="M58" i="72"/>
  <c r="M272" i="72"/>
  <c r="P1045" i="72"/>
  <c r="Q724" i="72"/>
  <c r="Q895" i="72"/>
  <c r="Q920" i="72"/>
  <c r="Q1035" i="72"/>
  <c r="R1035" i="72"/>
  <c r="N1324" i="72"/>
  <c r="N1292" i="72"/>
  <c r="N1260" i="72"/>
  <c r="N1196" i="72"/>
  <c r="N1134" i="72"/>
  <c r="N581" i="72"/>
  <c r="N525" i="72"/>
  <c r="N290" i="72"/>
  <c r="N212" i="72"/>
  <c r="N675" i="72"/>
  <c r="N523" i="72"/>
  <c r="N419" i="72"/>
  <c r="P821" i="72"/>
  <c r="N162" i="72"/>
  <c r="N681" i="72"/>
  <c r="N457" i="72"/>
  <c r="N443" i="72"/>
  <c r="N1281" i="72"/>
  <c r="M104" i="72"/>
  <c r="P1020" i="72"/>
  <c r="Q1020" i="72"/>
  <c r="M27" i="72"/>
  <c r="M112" i="72"/>
  <c r="M275" i="72"/>
  <c r="M113" i="72"/>
  <c r="N1254" i="72"/>
  <c r="N1160" i="72"/>
  <c r="N238" i="72"/>
  <c r="N175" i="72"/>
  <c r="N143" i="72"/>
  <c r="N46" i="72"/>
  <c r="N555" i="72"/>
  <c r="N363" i="72"/>
  <c r="N266" i="72"/>
  <c r="O266" i="72"/>
  <c r="N18" i="72"/>
  <c r="N138" i="72"/>
  <c r="Q765" i="72"/>
  <c r="Q1061" i="72"/>
  <c r="Q772" i="72"/>
  <c r="Q1050" i="72"/>
  <c r="R1050" i="72"/>
  <c r="Q1051" i="72"/>
  <c r="R1051" i="72"/>
  <c r="N1143" i="72"/>
  <c r="N686" i="72"/>
  <c r="N654" i="72"/>
  <c r="N622" i="72"/>
  <c r="N590" i="72"/>
  <c r="N558" i="72"/>
  <c r="N526" i="72"/>
  <c r="N494" i="72"/>
  <c r="N462" i="72"/>
  <c r="N430" i="72"/>
  <c r="N398" i="72"/>
  <c r="N366" i="72"/>
  <c r="N334" i="72"/>
  <c r="N134" i="72"/>
  <c r="N79" i="72"/>
  <c r="Q990" i="72"/>
  <c r="R990" i="72"/>
  <c r="N1236" i="72"/>
  <c r="N1228" i="72"/>
  <c r="N1166" i="72"/>
  <c r="N1142" i="72"/>
  <c r="N1102" i="72"/>
  <c r="N274" i="72"/>
  <c r="N189" i="72"/>
  <c r="N395" i="72"/>
  <c r="N516" i="72"/>
  <c r="N512" i="72"/>
  <c r="Q774" i="72"/>
  <c r="N481" i="72"/>
  <c r="M59" i="72"/>
  <c r="M108" i="72"/>
  <c r="M1313" i="72"/>
  <c r="M247" i="72"/>
  <c r="N1326" i="72"/>
  <c r="N1222" i="72"/>
  <c r="N1198" i="72"/>
  <c r="N679" i="72"/>
  <c r="N647" i="72"/>
  <c r="N615" i="72"/>
  <c r="N583" i="72"/>
  <c r="N551" i="72"/>
  <c r="N519" i="72"/>
  <c r="N487" i="72"/>
  <c r="N455" i="72"/>
  <c r="N423" i="72"/>
  <c r="N391" i="72"/>
  <c r="N359" i="72"/>
  <c r="N327" i="72"/>
  <c r="N292" i="72"/>
  <c r="N254" i="72"/>
  <c r="N214" i="72"/>
  <c r="N22" i="72"/>
  <c r="N1298" i="72"/>
  <c r="N595" i="72"/>
  <c r="N387" i="72"/>
  <c r="N1163" i="72"/>
  <c r="N1247" i="72"/>
  <c r="N95" i="72"/>
  <c r="Q829" i="72"/>
  <c r="Q951" i="72"/>
  <c r="Q755" i="72"/>
  <c r="Q1067" i="72"/>
  <c r="N302" i="72"/>
  <c r="N333" i="72"/>
  <c r="N241" i="72"/>
  <c r="N508" i="72"/>
  <c r="N650" i="72"/>
  <c r="M103" i="72"/>
  <c r="M1339" i="72"/>
  <c r="M105" i="72"/>
  <c r="P1030" i="72"/>
  <c r="Q1030" i="72"/>
  <c r="Q1000" i="72"/>
  <c r="R1000" i="72"/>
  <c r="Q889" i="72"/>
  <c r="N669" i="72"/>
  <c r="N549" i="72"/>
  <c r="N493" i="72"/>
  <c r="N205" i="72"/>
  <c r="N181" i="72"/>
  <c r="N92" i="72"/>
  <c r="N642" i="72"/>
  <c r="N498" i="72"/>
  <c r="N194" i="72"/>
  <c r="N632" i="72"/>
  <c r="R776" i="72"/>
  <c r="R1002" i="72"/>
  <c r="S1002" i="72"/>
  <c r="N243" i="72"/>
  <c r="N219" i="72"/>
  <c r="N379" i="72"/>
  <c r="N618" i="72"/>
  <c r="N362" i="72"/>
  <c r="N513" i="72"/>
  <c r="N474" i="72"/>
  <c r="M26" i="72"/>
  <c r="M71" i="72"/>
  <c r="N71" i="72"/>
  <c r="M107" i="72"/>
  <c r="M1340" i="72"/>
  <c r="M109" i="72"/>
  <c r="M106" i="72"/>
  <c r="M1314" i="72"/>
  <c r="M245" i="72"/>
  <c r="P753" i="72"/>
  <c r="Q861" i="72"/>
  <c r="P702" i="72"/>
  <c r="Q988" i="72"/>
  <c r="R988" i="72"/>
  <c r="Q1047" i="72"/>
  <c r="R1047" i="72"/>
  <c r="Q898" i="72"/>
  <c r="Q701" i="72"/>
  <c r="N653" i="72"/>
  <c r="N613" i="72"/>
  <c r="N573" i="72"/>
  <c r="N477" i="72"/>
  <c r="N381" i="72"/>
  <c r="N357" i="72"/>
  <c r="N252" i="72"/>
  <c r="N236" i="72"/>
  <c r="N173" i="72"/>
  <c r="N84" i="72"/>
  <c r="N627" i="72"/>
  <c r="N179" i="72"/>
  <c r="N322" i="72"/>
  <c r="N338" i="72"/>
  <c r="Q832" i="72"/>
  <c r="N244" i="72"/>
  <c r="N36" i="72"/>
  <c r="N1124" i="72"/>
  <c r="N571" i="72"/>
  <c r="N371" i="72"/>
  <c r="N10" i="72"/>
  <c r="N434" i="72"/>
  <c r="N41" i="72"/>
  <c r="N608" i="72"/>
  <c r="N192" i="72"/>
  <c r="P1076" i="72"/>
  <c r="N388" i="72"/>
  <c r="N356" i="72"/>
  <c r="N211" i="72"/>
  <c r="N1113" i="72"/>
  <c r="N1327" i="72"/>
  <c r="N528" i="72"/>
  <c r="N400" i="72"/>
  <c r="N1098" i="72"/>
  <c r="N673" i="72"/>
  <c r="N617" i="72"/>
  <c r="R854" i="72"/>
  <c r="N228" i="72"/>
  <c r="N1164" i="72"/>
  <c r="N603" i="72"/>
  <c r="N499" i="72"/>
  <c r="N82" i="72"/>
  <c r="R1071" i="72"/>
  <c r="S1071" i="72"/>
  <c r="Q848" i="72"/>
  <c r="N548" i="72"/>
  <c r="N380" i="72"/>
  <c r="N156" i="72"/>
  <c r="N1290" i="72"/>
  <c r="N1156" i="72"/>
  <c r="N683" i="72"/>
  <c r="N31" i="72"/>
  <c r="N1153" i="72"/>
  <c r="N1209" i="72"/>
  <c r="N544" i="72"/>
  <c r="N1336" i="72"/>
  <c r="N1192" i="72"/>
  <c r="N641" i="72"/>
  <c r="N609" i="72"/>
  <c r="N417" i="72"/>
  <c r="N385" i="72"/>
  <c r="N80" i="72"/>
  <c r="N636" i="72"/>
  <c r="N572" i="72"/>
  <c r="N180" i="72"/>
  <c r="N148" i="72"/>
  <c r="N651" i="72"/>
  <c r="N587" i="72"/>
  <c r="N1255" i="72"/>
  <c r="Q901" i="72"/>
  <c r="N1155" i="72"/>
  <c r="N233" i="72"/>
  <c r="Q757" i="72"/>
  <c r="N577" i="72"/>
  <c r="N201" i="72"/>
  <c r="N547" i="72"/>
  <c r="N1193" i="72"/>
  <c r="N1323" i="72"/>
  <c r="N1291" i="72"/>
  <c r="N1259" i="72"/>
  <c r="N1227" i="72"/>
  <c r="N1195" i="72"/>
  <c r="N324" i="72"/>
  <c r="N83" i="72"/>
  <c r="N1132" i="72"/>
  <c r="N563" i="72"/>
  <c r="N491" i="72"/>
  <c r="N90" i="72"/>
  <c r="N225" i="72"/>
  <c r="N285" i="72"/>
  <c r="N648" i="72"/>
  <c r="Q837" i="72"/>
  <c r="Q804" i="72"/>
  <c r="N1138" i="72"/>
  <c r="N353" i="72"/>
  <c r="N149" i="72"/>
  <c r="N100" i="72"/>
  <c r="N1258" i="72"/>
  <c r="N467" i="72"/>
  <c r="N1257" i="72"/>
  <c r="N386" i="72"/>
  <c r="N1215" i="72"/>
  <c r="N1315" i="72"/>
  <c r="N1283" i="72"/>
  <c r="N1251" i="72"/>
  <c r="N1219" i="72"/>
  <c r="N1187" i="72"/>
  <c r="N452" i="72"/>
  <c r="N420" i="72"/>
  <c r="N316" i="72"/>
  <c r="N289" i="72"/>
  <c r="N75" i="72"/>
  <c r="O75" i="72"/>
  <c r="N35" i="72"/>
  <c r="N1116" i="72"/>
  <c r="N171" i="72"/>
  <c r="N202" i="72"/>
  <c r="N1289" i="72"/>
  <c r="N1264" i="72"/>
  <c r="N1162" i="72"/>
  <c r="N321" i="72"/>
  <c r="N536" i="72"/>
  <c r="N444" i="72"/>
  <c r="N251" i="72"/>
  <c r="N19" i="72"/>
  <c r="N1265" i="72"/>
  <c r="N49" i="72"/>
  <c r="Q924" i="72"/>
  <c r="N1256" i="72"/>
  <c r="N1232" i="72"/>
  <c r="N52" i="72"/>
  <c r="N12" i="72"/>
  <c r="N1123" i="72"/>
  <c r="N146" i="72"/>
  <c r="N231" i="72"/>
  <c r="P974" i="72"/>
  <c r="Q974" i="72"/>
  <c r="N1331" i="72"/>
  <c r="N1267" i="72"/>
  <c r="N1235" i="72"/>
  <c r="N1203" i="72"/>
  <c r="N684" i="72"/>
  <c r="N652" i="72"/>
  <c r="N620" i="72"/>
  <c r="N556" i="72"/>
  <c r="N492" i="72"/>
  <c r="N428" i="72"/>
  <c r="N364" i="72"/>
  <c r="N297" i="72"/>
  <c r="N227" i="72"/>
  <c r="N196" i="72"/>
  <c r="N164" i="72"/>
  <c r="N132" i="72"/>
  <c r="N91" i="72"/>
  <c r="N682" i="72"/>
  <c r="N1279" i="72"/>
  <c r="N128" i="72"/>
  <c r="N410" i="72"/>
  <c r="N1083" i="72"/>
  <c r="N279" i="72"/>
  <c r="N1271" i="72"/>
  <c r="N1231" i="72"/>
  <c r="N119" i="72"/>
  <c r="Q785" i="72"/>
  <c r="N1272" i="72"/>
  <c r="N1208" i="72"/>
  <c r="N401" i="72"/>
  <c r="N337" i="72"/>
  <c r="N208" i="72"/>
  <c r="R801" i="72"/>
  <c r="Q761" i="72"/>
  <c r="N1299" i="72"/>
  <c r="N1180" i="72"/>
  <c r="O1180" i="72"/>
  <c r="N611" i="72"/>
  <c r="N515" i="72"/>
  <c r="N427" i="72"/>
  <c r="N331" i="72"/>
  <c r="N139" i="72"/>
  <c r="N1107" i="72"/>
  <c r="N586" i="72"/>
  <c r="N546" i="72"/>
  <c r="N426" i="72"/>
  <c r="N287" i="72"/>
  <c r="N626" i="72"/>
  <c r="N442" i="72"/>
  <c r="N295" i="72"/>
  <c r="N121" i="72"/>
  <c r="N514" i="72"/>
  <c r="N176" i="72"/>
  <c r="P692" i="72"/>
  <c r="P817" i="72"/>
  <c r="P1033" i="72"/>
  <c r="N1320" i="72"/>
  <c r="N1154" i="72"/>
  <c r="N1122" i="72"/>
  <c r="N1090" i="72"/>
  <c r="N633" i="72"/>
  <c r="N593" i="72"/>
  <c r="N569" i="72"/>
  <c r="N529" i="72"/>
  <c r="N505" i="72"/>
  <c r="N441" i="72"/>
  <c r="N409" i="72"/>
  <c r="N377" i="72"/>
  <c r="N305" i="72"/>
  <c r="N248" i="72"/>
  <c r="N185" i="72"/>
  <c r="N1275" i="72"/>
  <c r="N1243" i="72"/>
  <c r="N1211" i="72"/>
  <c r="N1181" i="72"/>
  <c r="O1181" i="72"/>
  <c r="N1117" i="72"/>
  <c r="N596" i="72"/>
  <c r="N532" i="72"/>
  <c r="N404" i="72"/>
  <c r="N340" i="72"/>
  <c r="N273" i="72"/>
  <c r="N204" i="72"/>
  <c r="N172" i="72"/>
  <c r="N140" i="72"/>
  <c r="N99" i="72"/>
  <c r="N43" i="72"/>
  <c r="N11" i="72"/>
  <c r="N1266" i="72"/>
  <c r="P740" i="72"/>
  <c r="P897" i="72"/>
  <c r="P1065" i="72"/>
  <c r="Q912" i="72"/>
  <c r="P929" i="72"/>
  <c r="P1081" i="72"/>
  <c r="N1248" i="72"/>
  <c r="P913" i="72"/>
  <c r="I1345" i="72"/>
  <c r="K5" i="72"/>
  <c r="J1345" i="72"/>
  <c r="R3" i="72"/>
  <c r="S3" i="72"/>
  <c r="T3" i="72"/>
  <c r="U3" i="72"/>
  <c r="V3" i="72"/>
  <c r="W3" i="72"/>
  <c r="K24" i="72"/>
  <c r="L24" i="72"/>
  <c r="K25" i="72"/>
  <c r="L25" i="72"/>
  <c r="G5" i="14"/>
  <c r="G8" i="14"/>
  <c r="T81" i="18"/>
  <c r="S79" i="18"/>
  <c r="S80" i="18"/>
  <c r="S81" i="18"/>
  <c r="K54" i="18"/>
  <c r="M46" i="18"/>
  <c r="S115" i="18"/>
  <c r="S116" i="18"/>
  <c r="S117" i="18"/>
  <c r="T117" i="18"/>
  <c r="M40" i="18"/>
  <c r="S109" i="18"/>
  <c r="S110" i="18"/>
  <c r="S111" i="18"/>
  <c r="T111" i="18"/>
  <c r="G167" i="18"/>
  <c r="G174" i="18"/>
  <c r="D18" i="114"/>
  <c r="D20" i="114"/>
  <c r="Q1362" i="72"/>
  <c r="Z1275" i="72"/>
  <c r="Z1276" i="72"/>
  <c r="J1346" i="72"/>
  <c r="G64" i="14"/>
  <c r="G67" i="14"/>
  <c r="O1218" i="72"/>
  <c r="S1021" i="72"/>
  <c r="T1021" i="72"/>
  <c r="U1021" i="72"/>
  <c r="V1021" i="72"/>
  <c r="W1021" i="72"/>
  <c r="S1024" i="72"/>
  <c r="T1024" i="72"/>
  <c r="U1024" i="72"/>
  <c r="V1024" i="72"/>
  <c r="Q982" i="72"/>
  <c r="R982" i="72"/>
  <c r="S982" i="72"/>
  <c r="T982" i="72"/>
  <c r="R998" i="72"/>
  <c r="S998" i="72"/>
  <c r="T998" i="72"/>
  <c r="S1016" i="72"/>
  <c r="T1016" i="72"/>
  <c r="U1016" i="72"/>
  <c r="V1016" i="72"/>
  <c r="W1016" i="72"/>
  <c r="Y1016" i="72"/>
  <c r="R1031" i="72"/>
  <c r="S1031" i="72"/>
  <c r="R1008" i="72"/>
  <c r="S1008" i="72"/>
  <c r="T1008" i="72"/>
  <c r="O206" i="72"/>
  <c r="P206" i="72"/>
  <c r="Q206" i="72"/>
  <c r="R206" i="72"/>
  <c r="M722" i="53"/>
  <c r="L84" i="18"/>
  <c r="K96" i="18"/>
  <c r="K37" i="18"/>
  <c r="L92" i="18"/>
  <c r="M1354" i="72"/>
  <c r="M1377" i="72"/>
  <c r="I26" i="16"/>
  <c r="L30" i="6"/>
  <c r="R1062" i="72"/>
  <c r="S1062" i="72"/>
  <c r="O127" i="72"/>
  <c r="P127" i="72"/>
  <c r="N1359" i="72"/>
  <c r="N1382" i="72"/>
  <c r="J27" i="16"/>
  <c r="R1063" i="72"/>
  <c r="S1063" i="72"/>
  <c r="T1063" i="72"/>
  <c r="S922" i="72"/>
  <c r="S1070" i="72"/>
  <c r="R1064" i="72"/>
  <c r="S1064" i="72"/>
  <c r="R1072" i="72"/>
  <c r="S1072" i="72"/>
  <c r="T1072" i="72"/>
  <c r="R1049" i="72"/>
  <c r="S1049" i="72"/>
  <c r="R1017" i="72"/>
  <c r="S1017" i="72"/>
  <c r="O1337" i="72"/>
  <c r="P1337" i="72"/>
  <c r="O1223" i="72"/>
  <c r="O1325" i="72"/>
  <c r="P1325" i="72"/>
  <c r="O1322" i="72"/>
  <c r="P1322" i="72"/>
  <c r="Q1322" i="72"/>
  <c r="Q1242" i="72"/>
  <c r="S773" i="72"/>
  <c r="T773" i="72"/>
  <c r="U773" i="72"/>
  <c r="S931" i="72"/>
  <c r="T931" i="72"/>
  <c r="O1216" i="72"/>
  <c r="P1216" i="72"/>
  <c r="P1317" i="72"/>
  <c r="O1206" i="72"/>
  <c r="P1206" i="72"/>
  <c r="Q1206" i="72"/>
  <c r="P1213" i="72"/>
  <c r="P1194" i="72"/>
  <c r="S984" i="72"/>
  <c r="T984" i="72"/>
  <c r="S786" i="72"/>
  <c r="T786" i="72"/>
  <c r="S887" i="72"/>
  <c r="T887" i="72"/>
  <c r="U887" i="72"/>
  <c r="V887" i="72"/>
  <c r="T763" i="72"/>
  <c r="U763" i="72"/>
  <c r="V763" i="72"/>
  <c r="T794" i="72"/>
  <c r="U794" i="72"/>
  <c r="V794" i="72"/>
  <c r="T849" i="72"/>
  <c r="U849" i="72"/>
  <c r="V849" i="72"/>
  <c r="R1029" i="72"/>
  <c r="S1029" i="72"/>
  <c r="T1042" i="72"/>
  <c r="U1042" i="72"/>
  <c r="V1042" i="72"/>
  <c r="U815" i="72"/>
  <c r="V815" i="72"/>
  <c r="R893" i="72"/>
  <c r="S893" i="72"/>
  <c r="T893" i="72"/>
  <c r="P1151" i="72"/>
  <c r="Q1151" i="72"/>
  <c r="R940" i="72"/>
  <c r="S940" i="72"/>
  <c r="T940" i="72"/>
  <c r="P621" i="72"/>
  <c r="Q621" i="72"/>
  <c r="T909" i="72"/>
  <c r="U909" i="72"/>
  <c r="V909" i="72"/>
  <c r="T1060" i="72"/>
  <c r="U1060" i="72"/>
  <c r="U796" i="72"/>
  <c r="V796" i="72"/>
  <c r="W796" i="72"/>
  <c r="S956" i="72"/>
  <c r="T956" i="72"/>
  <c r="S879" i="72"/>
  <c r="T879" i="72"/>
  <c r="T846" i="72"/>
  <c r="U846" i="72"/>
  <c r="V846" i="72"/>
  <c r="S938" i="72"/>
  <c r="R836" i="72"/>
  <c r="S836" i="72"/>
  <c r="S944" i="72"/>
  <c r="T944" i="72"/>
  <c r="U698" i="72"/>
  <c r="V698" i="72"/>
  <c r="U735" i="72"/>
  <c r="V735" i="72"/>
  <c r="W735" i="72"/>
  <c r="Y735" i="72"/>
  <c r="T1027" i="72"/>
  <c r="U1027" i="72"/>
  <c r="V1027" i="72"/>
  <c r="W1027" i="72"/>
  <c r="U1082" i="72"/>
  <c r="V1082" i="72"/>
  <c r="W1082" i="72"/>
  <c r="T928" i="72"/>
  <c r="U928" i="72"/>
  <c r="V928" i="72"/>
  <c r="R871" i="72"/>
  <c r="S871" i="72"/>
  <c r="T914" i="72"/>
  <c r="R1022" i="72"/>
  <c r="S1022" i="72"/>
  <c r="T994" i="72"/>
  <c r="U994" i="72"/>
  <c r="V994" i="72"/>
  <c r="T958" i="72"/>
  <c r="U958" i="72"/>
  <c r="V958" i="72"/>
  <c r="T840" i="72"/>
  <c r="S734" i="72"/>
  <c r="U983" i="72"/>
  <c r="V983" i="72"/>
  <c r="W983" i="72"/>
  <c r="P1287" i="72"/>
  <c r="Q1287" i="72"/>
  <c r="T810" i="72"/>
  <c r="U787" i="72"/>
  <c r="V787" i="72"/>
  <c r="W787" i="72"/>
  <c r="U736" i="72"/>
  <c r="V736" i="72"/>
  <c r="U775" i="72"/>
  <c r="S945" i="72"/>
  <c r="T945" i="72"/>
  <c r="V962" i="72"/>
  <c r="W962" i="72"/>
  <c r="Y962" i="72"/>
  <c r="S126" i="72"/>
  <c r="T126" i="72"/>
  <c r="T1080" i="72"/>
  <c r="U704" i="72"/>
  <c r="T807" i="72"/>
  <c r="U807" i="72"/>
  <c r="T738" i="72"/>
  <c r="R1073" i="72"/>
  <c r="S1073" i="72"/>
  <c r="S521" i="72"/>
  <c r="T521" i="72"/>
  <c r="S833" i="72"/>
  <c r="T833" i="72"/>
  <c r="T865" i="72"/>
  <c r="U865" i="72"/>
  <c r="S886" i="72"/>
  <c r="O260" i="72"/>
  <c r="P260" i="72"/>
  <c r="Q1081" i="72"/>
  <c r="R1081" i="72"/>
  <c r="S1081" i="72"/>
  <c r="O1117" i="72"/>
  <c r="P1117" i="72"/>
  <c r="O119" i="72"/>
  <c r="P119" i="72"/>
  <c r="O19" i="72"/>
  <c r="P19" i="72"/>
  <c r="O452" i="72"/>
  <c r="P452" i="72"/>
  <c r="S728" i="72"/>
  <c r="O400" i="72"/>
  <c r="P400" i="72"/>
  <c r="O388" i="72"/>
  <c r="P388" i="72"/>
  <c r="R832" i="72"/>
  <c r="R951" i="72"/>
  <c r="S951" i="72"/>
  <c r="O462" i="72"/>
  <c r="P462" i="72"/>
  <c r="Q462" i="72"/>
  <c r="R462" i="72"/>
  <c r="R772" i="72"/>
  <c r="S772" i="72"/>
  <c r="O681" i="72"/>
  <c r="P681" i="72"/>
  <c r="Q681" i="72"/>
  <c r="R681" i="72"/>
  <c r="O1126" i="72"/>
  <c r="P1126" i="72"/>
  <c r="P74" i="72"/>
  <c r="Q74" i="72"/>
  <c r="O1268" i="72"/>
  <c r="P1268" i="72"/>
  <c r="O1087" i="72"/>
  <c r="P1087" i="72"/>
  <c r="O456" i="72"/>
  <c r="P456" i="72"/>
  <c r="Q456" i="72"/>
  <c r="Q740" i="72"/>
  <c r="R740" i="72"/>
  <c r="Q929" i="72"/>
  <c r="R929" i="72"/>
  <c r="R761" i="72"/>
  <c r="R924" i="72"/>
  <c r="S924" i="72"/>
  <c r="O171" i="72"/>
  <c r="P171" i="72"/>
  <c r="S842" i="72"/>
  <c r="S713" i="72"/>
  <c r="T713" i="72"/>
  <c r="O528" i="72"/>
  <c r="P528" i="72"/>
  <c r="O338" i="72"/>
  <c r="P338" i="72"/>
  <c r="R898" i="72"/>
  <c r="S898" i="72"/>
  <c r="O379" i="72"/>
  <c r="P379" i="72"/>
  <c r="R774" i="72"/>
  <c r="S774" i="72"/>
  <c r="T774" i="72"/>
  <c r="R1061" i="72"/>
  <c r="S1061" i="72"/>
  <c r="O555" i="72"/>
  <c r="P555" i="72"/>
  <c r="O589" i="72"/>
  <c r="P589" i="72"/>
  <c r="U860" i="72"/>
  <c r="V860" i="72"/>
  <c r="S793" i="72"/>
  <c r="T793" i="72"/>
  <c r="R1010" i="72"/>
  <c r="P1274" i="72"/>
  <c r="Q1274" i="72"/>
  <c r="O1333" i="72"/>
  <c r="P1333" i="72"/>
  <c r="Q1333" i="72"/>
  <c r="Q817" i="72"/>
  <c r="R817" i="72"/>
  <c r="O139" i="72"/>
  <c r="P139" i="72"/>
  <c r="O444" i="72"/>
  <c r="P444" i="72"/>
  <c r="O1215" i="72"/>
  <c r="P1215" i="72"/>
  <c r="R837" i="72"/>
  <c r="S837" i="72"/>
  <c r="O563" i="72"/>
  <c r="P563" i="72"/>
  <c r="Q563" i="72"/>
  <c r="R563" i="72"/>
  <c r="P497" i="72"/>
  <c r="Q497" i="72"/>
  <c r="O617" i="72"/>
  <c r="P617" i="72"/>
  <c r="O494" i="72"/>
  <c r="P494" i="72"/>
  <c r="Q1045" i="72"/>
  <c r="O1189" i="72"/>
  <c r="P1189" i="72"/>
  <c r="O1095" i="72"/>
  <c r="P1095" i="72"/>
  <c r="O8" i="72"/>
  <c r="P8" i="72"/>
  <c r="O207" i="72"/>
  <c r="P207" i="72"/>
  <c r="O330" i="72"/>
  <c r="P330" i="72"/>
  <c r="R953" i="72"/>
  <c r="S953" i="72"/>
  <c r="T953" i="72"/>
  <c r="O1321" i="72"/>
  <c r="S744" i="72"/>
  <c r="T744" i="72"/>
  <c r="U744" i="72"/>
  <c r="T843" i="72"/>
  <c r="S788" i="72"/>
  <c r="O1154" i="72"/>
  <c r="P1154" i="72"/>
  <c r="O380" i="72"/>
  <c r="P380" i="72"/>
  <c r="O99" i="72"/>
  <c r="P99" i="72"/>
  <c r="O305" i="72"/>
  <c r="P305" i="72"/>
  <c r="O593" i="72"/>
  <c r="P593" i="72"/>
  <c r="Q692" i="72"/>
  <c r="R692" i="72"/>
  <c r="O331" i="72"/>
  <c r="P331" i="72"/>
  <c r="S801" i="72"/>
  <c r="T801" i="72"/>
  <c r="O259" i="72"/>
  <c r="P259" i="72"/>
  <c r="R981" i="72"/>
  <c r="S981" i="72"/>
  <c r="O1187" i="72"/>
  <c r="P1187" i="72"/>
  <c r="O577" i="72"/>
  <c r="P577" i="72"/>
  <c r="O148" i="72"/>
  <c r="P148" i="72"/>
  <c r="Q1076" i="72"/>
  <c r="R1076" i="72"/>
  <c r="S1076" i="72"/>
  <c r="S988" i="72"/>
  <c r="O92" i="72"/>
  <c r="P92" i="72"/>
  <c r="Q92" i="72"/>
  <c r="O214" i="72"/>
  <c r="P214" i="72"/>
  <c r="O1324" i="72"/>
  <c r="P1324" i="72"/>
  <c r="Q926" i="72"/>
  <c r="R926" i="72"/>
  <c r="S926" i="72"/>
  <c r="R831" i="72"/>
  <c r="S831" i="72"/>
  <c r="O574" i="72"/>
  <c r="P574" i="72"/>
  <c r="R767" i="72"/>
  <c r="P1179" i="72"/>
  <c r="Q1179" i="72"/>
  <c r="T760" i="72"/>
  <c r="U760" i="72"/>
  <c r="Q900" i="72"/>
  <c r="R900" i="72"/>
  <c r="T694" i="72"/>
  <c r="U694" i="72"/>
  <c r="U731" i="72"/>
  <c r="V731" i="72"/>
  <c r="W731" i="72"/>
  <c r="Y731" i="72"/>
  <c r="O273" i="72"/>
  <c r="R901" i="72"/>
  <c r="S901" i="72"/>
  <c r="O1239" i="72"/>
  <c r="P1239" i="72"/>
  <c r="Q1239" i="72"/>
  <c r="O427" i="72"/>
  <c r="P427" i="72"/>
  <c r="O279" i="72"/>
  <c r="P279" i="72"/>
  <c r="O1219" i="72"/>
  <c r="P1219" i="72"/>
  <c r="O1257" i="72"/>
  <c r="P1257" i="72"/>
  <c r="O83" i="72"/>
  <c r="P83" i="72"/>
  <c r="S882" i="72"/>
  <c r="T882" i="72"/>
  <c r="O609" i="72"/>
  <c r="P609" i="72"/>
  <c r="O1124" i="72"/>
  <c r="P1124" i="72"/>
  <c r="Q702" i="72"/>
  <c r="R702" i="72"/>
  <c r="S867" i="72"/>
  <c r="T867" i="72"/>
  <c r="T1002" i="72"/>
  <c r="O1198" i="72"/>
  <c r="P1198" i="72"/>
  <c r="O516" i="72"/>
  <c r="P516" i="72"/>
  <c r="O1142" i="72"/>
  <c r="P1142" i="72"/>
  <c r="O76" i="72"/>
  <c r="P76" i="72"/>
  <c r="R937" i="72"/>
  <c r="S937" i="72"/>
  <c r="T937" i="72"/>
  <c r="U937" i="72"/>
  <c r="O1229" i="72"/>
  <c r="P1229" i="72"/>
  <c r="S968" i="72"/>
  <c r="T968" i="72"/>
  <c r="O554" i="72"/>
  <c r="P554" i="72"/>
  <c r="Q554" i="72"/>
  <c r="R554" i="72"/>
  <c r="O1190" i="72"/>
  <c r="P1190" i="72"/>
  <c r="P1183" i="72"/>
  <c r="R756" i="72"/>
  <c r="S756" i="72"/>
  <c r="R873" i="72"/>
  <c r="S873" i="72"/>
  <c r="O1101" i="72"/>
  <c r="P1101" i="72"/>
  <c r="Q1048" i="72"/>
  <c r="R1048" i="72"/>
  <c r="T1039" i="72"/>
  <c r="S949" i="72"/>
  <c r="R755" i="72"/>
  <c r="R812" i="72"/>
  <c r="S812" i="72"/>
  <c r="O1109" i="72"/>
  <c r="P1109" i="72"/>
  <c r="R697" i="72"/>
  <c r="S697" i="72"/>
  <c r="Q913" i="72"/>
  <c r="R913" i="72"/>
  <c r="S1038" i="72"/>
  <c r="T1038" i="72"/>
  <c r="O1251" i="72"/>
  <c r="P1251" i="72"/>
  <c r="R848" i="72"/>
  <c r="S848" i="72"/>
  <c r="R861" i="72"/>
  <c r="S861" i="72"/>
  <c r="S776" i="72"/>
  <c r="T776" i="72"/>
  <c r="S1035" i="72"/>
  <c r="T1035" i="72"/>
  <c r="O298" i="72"/>
  <c r="P298" i="72"/>
  <c r="R1066" i="72"/>
  <c r="R870" i="72"/>
  <c r="O1214" i="72"/>
  <c r="P1214" i="72"/>
  <c r="O286" i="72"/>
  <c r="P286" i="72"/>
  <c r="O1318" i="72"/>
  <c r="P1318" i="72"/>
  <c r="S30" i="72"/>
  <c r="T30" i="72"/>
  <c r="U30" i="72"/>
  <c r="T758" i="72"/>
  <c r="U758" i="72"/>
  <c r="V758" i="72"/>
  <c r="S751" i="72"/>
  <c r="R785" i="72"/>
  <c r="S785" i="72"/>
  <c r="O263" i="72"/>
  <c r="P263" i="72"/>
  <c r="Q263" i="72"/>
  <c r="O1200" i="72"/>
  <c r="P1200" i="72"/>
  <c r="T971" i="72"/>
  <c r="O316" i="72"/>
  <c r="P316" i="72"/>
  <c r="Q316" i="72"/>
  <c r="O1283" i="72"/>
  <c r="P1283" i="72"/>
  <c r="O572" i="72"/>
  <c r="P572" i="72"/>
  <c r="O1209" i="72"/>
  <c r="P1209" i="72"/>
  <c r="S854" i="72"/>
  <c r="T854" i="72"/>
  <c r="U854" i="72"/>
  <c r="R700" i="72"/>
  <c r="S700" i="72"/>
  <c r="Q964" i="72"/>
  <c r="R964" i="72"/>
  <c r="R920" i="72"/>
  <c r="O137" i="72"/>
  <c r="P137" i="72"/>
  <c r="O141" i="72"/>
  <c r="P141" i="72"/>
  <c r="Q141" i="72"/>
  <c r="O677" i="72"/>
  <c r="P677" i="72"/>
  <c r="Q677" i="72"/>
  <c r="R677" i="72"/>
  <c r="O1173" i="72"/>
  <c r="P1173" i="72"/>
  <c r="T1026" i="72"/>
  <c r="S947" i="72"/>
  <c r="O261" i="72"/>
  <c r="P261" i="72"/>
  <c r="Q261" i="72"/>
  <c r="R261" i="72"/>
  <c r="P1178" i="72"/>
  <c r="Q1178" i="72"/>
  <c r="S752" i="72"/>
  <c r="O592" i="72"/>
  <c r="P592" i="72"/>
  <c r="Q592" i="72"/>
  <c r="O1252" i="72"/>
  <c r="O561" i="72"/>
  <c r="P561" i="72"/>
  <c r="Q561" i="72"/>
  <c r="O355" i="72"/>
  <c r="P355" i="72"/>
  <c r="S906" i="72"/>
  <c r="T906" i="72"/>
  <c r="O150" i="72"/>
  <c r="O226" i="72"/>
  <c r="P226" i="72"/>
  <c r="Q226" i="72"/>
  <c r="R226" i="72"/>
  <c r="O668" i="72"/>
  <c r="O600" i="72"/>
  <c r="O389" i="72"/>
  <c r="P389" i="72"/>
  <c r="O217" i="72"/>
  <c r="O511" i="72"/>
  <c r="P511" i="72"/>
  <c r="O1110" i="72"/>
  <c r="P1110" i="72"/>
  <c r="Q1110" i="72"/>
  <c r="O131" i="72"/>
  <c r="P131" i="72"/>
  <c r="Q131" i="72"/>
  <c r="R131" i="72"/>
  <c r="O597" i="72"/>
  <c r="P597" i="72"/>
  <c r="R805" i="72"/>
  <c r="S805" i="72"/>
  <c r="T805" i="72"/>
  <c r="O601" i="72"/>
  <c r="P601" i="72"/>
  <c r="R822" i="72"/>
  <c r="R847" i="72"/>
  <c r="S847" i="72"/>
  <c r="T806" i="72"/>
  <c r="U806" i="72"/>
  <c r="V806" i="72"/>
  <c r="W806" i="72"/>
  <c r="O1106" i="72"/>
  <c r="P1106" i="72"/>
  <c r="O1174" i="72"/>
  <c r="P1174" i="72"/>
  <c r="O323" i="72"/>
  <c r="O665" i="72"/>
  <c r="P665" i="72"/>
  <c r="S695" i="72"/>
  <c r="S1005" i="72"/>
  <c r="T967" i="72"/>
  <c r="U967" i="72"/>
  <c r="R771" i="72"/>
  <c r="S771" i="72"/>
  <c r="S754" i="72"/>
  <c r="T754" i="72"/>
  <c r="S905" i="72"/>
  <c r="T905" i="72"/>
  <c r="S789" i="72"/>
  <c r="S696" i="72"/>
  <c r="T696" i="72"/>
  <c r="O642" i="72"/>
  <c r="P642" i="72"/>
  <c r="Q642" i="72"/>
  <c r="O669" i="72"/>
  <c r="P669" i="72"/>
  <c r="S839" i="72"/>
  <c r="T839" i="72"/>
  <c r="R829" i="72"/>
  <c r="S829" i="72"/>
  <c r="O22" i="72"/>
  <c r="P22" i="72"/>
  <c r="S1050" i="72"/>
  <c r="O523" i="72"/>
  <c r="P523" i="72"/>
  <c r="Q948" i="72"/>
  <c r="R948" i="72"/>
  <c r="R824" i="72"/>
  <c r="O213" i="72"/>
  <c r="P213" i="72"/>
  <c r="O87" i="72"/>
  <c r="O552" i="72"/>
  <c r="P552" i="72"/>
  <c r="S997" i="72"/>
  <c r="T997" i="72"/>
  <c r="U997" i="72"/>
  <c r="O565" i="72"/>
  <c r="Q965" i="72"/>
  <c r="R965" i="72"/>
  <c r="O464" i="72"/>
  <c r="P464" i="72"/>
  <c r="O490" i="72"/>
  <c r="P490" i="72"/>
  <c r="Q490" i="72"/>
  <c r="R490" i="72"/>
  <c r="R856" i="72"/>
  <c r="O34" i="72"/>
  <c r="O1224" i="72"/>
  <c r="P1224" i="72"/>
  <c r="R941" i="72"/>
  <c r="S941" i="72"/>
  <c r="T941" i="72"/>
  <c r="R955" i="72"/>
  <c r="O1212" i="72"/>
  <c r="P1212" i="72"/>
  <c r="Q1054" i="72"/>
  <c r="R1054" i="72"/>
  <c r="O1172" i="72"/>
  <c r="P1172" i="72"/>
  <c r="S992" i="72"/>
  <c r="O81" i="72"/>
  <c r="P81" i="72"/>
  <c r="S896" i="72"/>
  <c r="T896" i="72"/>
  <c r="R976" i="72"/>
  <c r="S976" i="72"/>
  <c r="O1136" i="72"/>
  <c r="P1136" i="72"/>
  <c r="O188" i="72"/>
  <c r="P188" i="72"/>
  <c r="O326" i="72"/>
  <c r="S745" i="72"/>
  <c r="O187" i="72"/>
  <c r="S835" i="72"/>
  <c r="O475" i="72"/>
  <c r="S1089" i="72"/>
  <c r="T1089" i="72"/>
  <c r="T706" i="72"/>
  <c r="U706" i="72"/>
  <c r="V706" i="72"/>
  <c r="S891" i="72"/>
  <c r="T891" i="72"/>
  <c r="R950" i="72"/>
  <c r="T930" i="72"/>
  <c r="U930" i="72"/>
  <c r="V930" i="72"/>
  <c r="U827" i="72"/>
  <c r="V827" i="72"/>
  <c r="U779" i="72"/>
  <c r="V779" i="72"/>
  <c r="U710" i="72"/>
  <c r="V710" i="72"/>
  <c r="W710" i="72"/>
  <c r="Q1041" i="72"/>
  <c r="R1041" i="72"/>
  <c r="T1003" i="72"/>
  <c r="S716" i="72"/>
  <c r="T813" i="72"/>
  <c r="U813" i="72"/>
  <c r="S709" i="72"/>
  <c r="T748" i="72"/>
  <c r="O518" i="72"/>
  <c r="P518" i="72"/>
  <c r="O7" i="72"/>
  <c r="P1328" i="72"/>
  <c r="Q1328" i="72"/>
  <c r="O186" i="72"/>
  <c r="P186" i="72"/>
  <c r="Q186" i="72"/>
  <c r="R186" i="72"/>
  <c r="R1079" i="72"/>
  <c r="O349" i="72"/>
  <c r="P349" i="72"/>
  <c r="S980" i="72"/>
  <c r="O688" i="72"/>
  <c r="P688" i="72"/>
  <c r="O294" i="72"/>
  <c r="S725" i="72"/>
  <c r="T725" i="72"/>
  <c r="U725" i="72"/>
  <c r="V725" i="72"/>
  <c r="O55" i="72"/>
  <c r="P55" i="72"/>
  <c r="Q55" i="72"/>
  <c r="R927" i="72"/>
  <c r="S927" i="72"/>
  <c r="T927" i="72"/>
  <c r="U927" i="72"/>
  <c r="S1044" i="72"/>
  <c r="O1238" i="72"/>
  <c r="R1011" i="72"/>
  <c r="S954" i="72"/>
  <c r="O1286" i="72"/>
  <c r="O644" i="72"/>
  <c r="O144" i="72"/>
  <c r="P144" i="72"/>
  <c r="R729" i="72"/>
  <c r="S729" i="72"/>
  <c r="O218" i="72"/>
  <c r="P218" i="72"/>
  <c r="Q218" i="72"/>
  <c r="R218" i="72"/>
  <c r="S1104" i="72"/>
  <c r="O1282" i="72"/>
  <c r="S863" i="72"/>
  <c r="O545" i="72"/>
  <c r="O666" i="72"/>
  <c r="P666" i="72"/>
  <c r="Q666" i="72"/>
  <c r="Q783" i="72"/>
  <c r="R803" i="72"/>
  <c r="S803" i="72"/>
  <c r="T803" i="72"/>
  <c r="U803" i="72"/>
  <c r="R814" i="72"/>
  <c r="S1001" i="72"/>
  <c r="S957" i="72"/>
  <c r="T957" i="72"/>
  <c r="S721" i="72"/>
  <c r="R858" i="72"/>
  <c r="R778" i="72"/>
  <c r="S778" i="72"/>
  <c r="T778" i="72"/>
  <c r="S797" i="72"/>
  <c r="T960" i="72"/>
  <c r="U960" i="72"/>
  <c r="V960" i="72"/>
  <c r="T866" i="72"/>
  <c r="U866" i="72"/>
  <c r="O314" i="72"/>
  <c r="R935" i="72"/>
  <c r="S935" i="72"/>
  <c r="O222" i="72"/>
  <c r="P222" i="72"/>
  <c r="O258" i="72"/>
  <c r="P258" i="72"/>
  <c r="Q258" i="72"/>
  <c r="R258" i="72"/>
  <c r="O1129" i="72"/>
  <c r="P1129" i="72"/>
  <c r="O239" i="72"/>
  <c r="O1225" i="72"/>
  <c r="O1344" i="72"/>
  <c r="O229" i="72"/>
  <c r="P229" i="72"/>
  <c r="Q229" i="72"/>
  <c r="R851" i="72"/>
  <c r="S884" i="72"/>
  <c r="T884" i="72"/>
  <c r="S859" i="72"/>
  <c r="T859" i="72"/>
  <c r="O133" i="72"/>
  <c r="P133" i="72"/>
  <c r="R977" i="72"/>
  <c r="O77" i="72"/>
  <c r="P77" i="72"/>
  <c r="O1338" i="72"/>
  <c r="P1338" i="72"/>
  <c r="O312" i="72"/>
  <c r="S995" i="72"/>
  <c r="R911" i="72"/>
  <c r="S911" i="72"/>
  <c r="O360" i="72"/>
  <c r="P360" i="72"/>
  <c r="O584" i="72"/>
  <c r="P584" i="72"/>
  <c r="Q584" i="72"/>
  <c r="R584" i="72"/>
  <c r="S584" i="72"/>
  <c r="T584" i="72"/>
  <c r="O445" i="72"/>
  <c r="P445" i="72"/>
  <c r="Q445" i="72"/>
  <c r="S798" i="72"/>
  <c r="T798" i="72"/>
  <c r="O1111" i="72"/>
  <c r="P1111" i="72"/>
  <c r="O183" i="72"/>
  <c r="O42" i="72"/>
  <c r="R777" i="72"/>
  <c r="S777" i="72"/>
  <c r="S869" i="72"/>
  <c r="S795" i="72"/>
  <c r="T795" i="72"/>
  <c r="O235" i="72"/>
  <c r="V816" i="72"/>
  <c r="W816" i="72"/>
  <c r="S759" i="72"/>
  <c r="T759" i="72"/>
  <c r="R1059" i="72"/>
  <c r="S1059" i="72"/>
  <c r="R820" i="72"/>
  <c r="Y923" i="72"/>
  <c r="T996" i="72"/>
  <c r="U699" i="72"/>
  <c r="U742" i="72"/>
  <c r="V742" i="72"/>
  <c r="W742" i="72"/>
  <c r="S826" i="72"/>
  <c r="T979" i="72"/>
  <c r="S749" i="72"/>
  <c r="T749" i="72"/>
  <c r="U749" i="72"/>
  <c r="S985" i="72"/>
  <c r="Q904" i="72"/>
  <c r="Q838" i="72"/>
  <c r="R838" i="72"/>
  <c r="S703" i="72"/>
  <c r="T703" i="72"/>
  <c r="U703" i="72"/>
  <c r="V769" i="72"/>
  <c r="V910" i="72"/>
  <c r="W910" i="72"/>
  <c r="U915" i="72"/>
  <c r="V915" i="72"/>
  <c r="S1034" i="72"/>
  <c r="T1034" i="72"/>
  <c r="T986" i="72"/>
  <c r="R765" i="72"/>
  <c r="R1020" i="72"/>
  <c r="S1020" i="72"/>
  <c r="O541" i="72"/>
  <c r="P541" i="72"/>
  <c r="R799" i="72"/>
  <c r="S799" i="72"/>
  <c r="O1261" i="72"/>
  <c r="P1261" i="72"/>
  <c r="O542" i="72"/>
  <c r="P542" i="72"/>
  <c r="O539" i="72"/>
  <c r="P539" i="72"/>
  <c r="Q1036" i="72"/>
  <c r="R1036" i="72"/>
  <c r="O470" i="72"/>
  <c r="P470" i="72"/>
  <c r="O168" i="72"/>
  <c r="P168" i="72"/>
  <c r="P269" i="72"/>
  <c r="O635" i="72"/>
  <c r="O1249" i="72"/>
  <c r="O165" i="72"/>
  <c r="P165" i="72"/>
  <c r="Q165" i="72"/>
  <c r="R975" i="72"/>
  <c r="S975" i="72"/>
  <c r="Q925" i="72"/>
  <c r="R925" i="72"/>
  <c r="O78" i="72"/>
  <c r="P78" i="72"/>
  <c r="O674" i="72"/>
  <c r="P674" i="72"/>
  <c r="O250" i="72"/>
  <c r="O1301" i="72"/>
  <c r="P1301" i="72"/>
  <c r="O1199" i="72"/>
  <c r="P1199" i="72"/>
  <c r="S978" i="72"/>
  <c r="T978" i="72"/>
  <c r="R730" i="72"/>
  <c r="P1184" i="72"/>
  <c r="Q1184" i="72"/>
  <c r="O1277" i="72"/>
  <c r="S45" i="72"/>
  <c r="T45" i="72"/>
  <c r="U45" i="72"/>
  <c r="O51" i="72"/>
  <c r="P51" i="72"/>
  <c r="Q51" i="72"/>
  <c r="R51" i="72"/>
  <c r="O509" i="72"/>
  <c r="S877" i="72"/>
  <c r="T877" i="72"/>
  <c r="O662" i="72"/>
  <c r="O153" i="72"/>
  <c r="P153" i="72"/>
  <c r="Q153" i="72"/>
  <c r="O634" i="72"/>
  <c r="S790" i="72"/>
  <c r="T707" i="72"/>
  <c r="U707" i="72"/>
  <c r="V707" i="72"/>
  <c r="S919" i="72"/>
  <c r="T919" i="72"/>
  <c r="U834" i="72"/>
  <c r="V834" i="72"/>
  <c r="W834" i="72"/>
  <c r="R908" i="72"/>
  <c r="S850" i="72"/>
  <c r="T850" i="72"/>
  <c r="O138" i="72"/>
  <c r="Q821" i="72"/>
  <c r="R821" i="72"/>
  <c r="O1196" i="72"/>
  <c r="P1196" i="72"/>
  <c r="O557" i="72"/>
  <c r="O610" i="72"/>
  <c r="P610" i="72"/>
  <c r="R1019" i="72"/>
  <c r="O86" i="72"/>
  <c r="P86" i="72"/>
  <c r="O471" i="72"/>
  <c r="P471" i="72"/>
  <c r="Q471" i="72"/>
  <c r="R471" i="72"/>
  <c r="O1237" i="72"/>
  <c r="P1237" i="72"/>
  <c r="R764" i="72"/>
  <c r="O580" i="72"/>
  <c r="P580" i="72"/>
  <c r="Q580" i="72"/>
  <c r="R874" i="72"/>
  <c r="S874" i="72"/>
  <c r="T874" i="72"/>
  <c r="U874" i="72"/>
  <c r="O1191" i="72"/>
  <c r="P1191" i="72"/>
  <c r="O436" i="72"/>
  <c r="P436" i="72"/>
  <c r="Q436" i="72"/>
  <c r="R436" i="72"/>
  <c r="O1210" i="72"/>
  <c r="P1210" i="72"/>
  <c r="R1069" i="72"/>
  <c r="S1069" i="72"/>
  <c r="O1201" i="72"/>
  <c r="O157" i="72"/>
  <c r="P157" i="72"/>
  <c r="Q157" i="72"/>
  <c r="S903" i="72"/>
  <c r="O1171" i="72"/>
  <c r="P1171" i="72"/>
  <c r="O89" i="72"/>
  <c r="P89" i="72"/>
  <c r="O472" i="72"/>
  <c r="P472" i="72"/>
  <c r="Q472" i="72"/>
  <c r="O370" i="72"/>
  <c r="P370" i="72"/>
  <c r="Q370" i="72"/>
  <c r="O396" i="72"/>
  <c r="P396" i="72"/>
  <c r="Q396" i="72"/>
  <c r="R396" i="72"/>
  <c r="O659" i="72"/>
  <c r="O458" i="72"/>
  <c r="S917" i="72"/>
  <c r="T917" i="72"/>
  <c r="S875" i="72"/>
  <c r="S1046" i="72"/>
  <c r="T1046" i="72"/>
  <c r="U878" i="72"/>
  <c r="S819" i="72"/>
  <c r="T819" i="72"/>
  <c r="T732" i="72"/>
  <c r="U732" i="72"/>
  <c r="S726" i="72"/>
  <c r="T726" i="72"/>
  <c r="S770" i="72"/>
  <c r="R701" i="72"/>
  <c r="S701" i="72"/>
  <c r="O632" i="72"/>
  <c r="P632" i="72"/>
  <c r="Q632" i="72"/>
  <c r="O1281" i="72"/>
  <c r="O1260" i="72"/>
  <c r="P1260" i="72"/>
  <c r="O1234" i="72"/>
  <c r="P1234" i="72"/>
  <c r="R782" i="72"/>
  <c r="S782" i="72"/>
  <c r="R852" i="72"/>
  <c r="S852" i="72"/>
  <c r="O70" i="72"/>
  <c r="P70" i="72"/>
  <c r="O503" i="72"/>
  <c r="P503" i="72"/>
  <c r="O1097" i="72"/>
  <c r="O1269" i="72"/>
  <c r="O191" i="72"/>
  <c r="P73" i="72"/>
  <c r="Q73" i="72"/>
  <c r="Q1077" i="72"/>
  <c r="R1077" i="72"/>
  <c r="S1077" i="72"/>
  <c r="O1233" i="72"/>
  <c r="P1233" i="72"/>
  <c r="Q1233" i="72"/>
  <c r="O1202" i="72"/>
  <c r="P1202" i="72"/>
  <c r="O1308" i="72"/>
  <c r="R864" i="72"/>
  <c r="O291" i="72"/>
  <c r="O65" i="72"/>
  <c r="O1332" i="72"/>
  <c r="P1332" i="72"/>
  <c r="Q1332" i="72"/>
  <c r="O296" i="72"/>
  <c r="P296" i="72"/>
  <c r="Q296" i="72"/>
  <c r="O605" i="72"/>
  <c r="S550" i="72"/>
  <c r="O53" i="72"/>
  <c r="S727" i="72"/>
  <c r="T727" i="72"/>
  <c r="O1158" i="72"/>
  <c r="P1158" i="72"/>
  <c r="O538" i="72"/>
  <c r="O1127" i="72"/>
  <c r="S766" i="72"/>
  <c r="S823" i="72"/>
  <c r="T823" i="72"/>
  <c r="O415" i="72"/>
  <c r="P415" i="72"/>
  <c r="Q415" i="72"/>
  <c r="V855" i="72"/>
  <c r="W855" i="72"/>
  <c r="T987" i="72"/>
  <c r="R719" i="72"/>
  <c r="V722" i="72"/>
  <c r="Y711" i="72"/>
  <c r="S939" i="72"/>
  <c r="S890" i="72"/>
  <c r="T762" i="72"/>
  <c r="U762" i="72"/>
  <c r="V762" i="72"/>
  <c r="U933" i="72"/>
  <c r="V933" i="72"/>
  <c r="W933" i="72"/>
  <c r="T1058" i="72"/>
  <c r="U1058" i="72"/>
  <c r="R841" i="72"/>
  <c r="S841" i="72"/>
  <c r="S952" i="72"/>
  <c r="T952" i="72"/>
  <c r="U952" i="72"/>
  <c r="V952" i="72"/>
  <c r="T1007" i="72"/>
  <c r="U1007" i="72"/>
  <c r="T720" i="72"/>
  <c r="U720" i="72"/>
  <c r="R1018" i="72"/>
  <c r="S1018" i="72"/>
  <c r="T768" i="72"/>
  <c r="Q853" i="72"/>
  <c r="V712" i="72"/>
  <c r="W712" i="72"/>
  <c r="Y712" i="72"/>
  <c r="U959" i="72"/>
  <c r="Q733" i="72"/>
  <c r="T781" i="72"/>
  <c r="S691" i="72"/>
  <c r="T691" i="72"/>
  <c r="R705" i="72"/>
  <c r="T1075" i="72"/>
  <c r="U1075" i="72"/>
  <c r="R1023" i="72"/>
  <c r="S1023" i="72"/>
  <c r="U747" i="72"/>
  <c r="V747" i="72"/>
  <c r="S743" i="72"/>
  <c r="T743" i="72"/>
  <c r="O267" i="72"/>
  <c r="P267" i="72"/>
  <c r="U946" i="72"/>
  <c r="S894" i="72"/>
  <c r="T894" i="72"/>
  <c r="T714" i="72"/>
  <c r="U714" i="72"/>
  <c r="R715" i="72"/>
  <c r="R746" i="72"/>
  <c r="R1068" i="72"/>
  <c r="S1068" i="72"/>
  <c r="R936" i="72"/>
  <c r="U862" i="72"/>
  <c r="V862" i="72"/>
  <c r="Q802" i="72"/>
  <c r="S1004" i="72"/>
  <c r="R825" i="72"/>
  <c r="S825" i="72"/>
  <c r="S932" i="72"/>
  <c r="W784" i="72"/>
  <c r="Y784" i="72"/>
  <c r="S800" i="72"/>
  <c r="Q1037" i="72"/>
  <c r="R1037" i="72"/>
  <c r="S970" i="72"/>
  <c r="S792" i="72"/>
  <c r="T792" i="72"/>
  <c r="U792" i="72"/>
  <c r="S993" i="72"/>
  <c r="T993" i="72"/>
  <c r="T741" i="72"/>
  <c r="U791" i="72"/>
  <c r="V791" i="72"/>
  <c r="T1015" i="72"/>
  <c r="R818" i="72"/>
  <c r="Q808" i="72"/>
  <c r="R808" i="72"/>
  <c r="S934" i="72"/>
  <c r="T934" i="72"/>
  <c r="R739" i="72"/>
  <c r="S811" i="72"/>
  <c r="S780" i="72"/>
  <c r="S809" i="72"/>
  <c r="T809" i="72"/>
  <c r="S943" i="72"/>
  <c r="T943" i="72"/>
  <c r="T723" i="72"/>
  <c r="Q872" i="72"/>
  <c r="R872" i="72"/>
  <c r="O1153" i="72"/>
  <c r="P1153" i="72"/>
  <c r="O653" i="72"/>
  <c r="O513" i="72"/>
  <c r="P513" i="72"/>
  <c r="Q513" i="72"/>
  <c r="O1253" i="72"/>
  <c r="P1253" i="72"/>
  <c r="Q1253" i="72"/>
  <c r="O210" i="72"/>
  <c r="P210" i="72"/>
  <c r="Q210" i="72"/>
  <c r="N111" i="72"/>
  <c r="R737" i="72"/>
  <c r="S737" i="72"/>
  <c r="R868" i="72"/>
  <c r="R899" i="72"/>
  <c r="S899" i="72"/>
  <c r="O378" i="72"/>
  <c r="O176" i="72"/>
  <c r="P176" i="72"/>
  <c r="Q176" i="72"/>
  <c r="R176" i="72"/>
  <c r="O321" i="72"/>
  <c r="R804" i="72"/>
  <c r="O1259" i="72"/>
  <c r="O177" i="72"/>
  <c r="O189" i="72"/>
  <c r="P189" i="72"/>
  <c r="Q189" i="72"/>
  <c r="R189" i="72"/>
  <c r="O175" i="72"/>
  <c r="P175" i="72"/>
  <c r="Q175" i="72"/>
  <c r="O1292" i="72"/>
  <c r="P1292" i="72"/>
  <c r="R876" i="72"/>
  <c r="R750" i="72"/>
  <c r="P527" i="72"/>
  <c r="Q527" i="72"/>
  <c r="R527" i="72"/>
  <c r="O414" i="72"/>
  <c r="O1341" i="72"/>
  <c r="O174" i="72"/>
  <c r="O624" i="72"/>
  <c r="P624" i="72"/>
  <c r="Q624" i="72"/>
  <c r="O604" i="72"/>
  <c r="P604" i="72"/>
  <c r="Q604" i="72"/>
  <c r="R604" i="72"/>
  <c r="O1170" i="72"/>
  <c r="P1170" i="72"/>
  <c r="Q1170" i="72"/>
  <c r="O504" i="72"/>
  <c r="R830" i="72"/>
  <c r="R881" i="72"/>
  <c r="O1139" i="72"/>
  <c r="P1139" i="72"/>
  <c r="Q1139" i="72"/>
  <c r="R1139" i="72"/>
  <c r="O655" i="72"/>
  <c r="O417" i="72"/>
  <c r="P383" i="72"/>
  <c r="Q383" i="72"/>
  <c r="R383" i="72"/>
  <c r="R845" i="72"/>
  <c r="S845" i="72"/>
  <c r="P345" i="72"/>
  <c r="R857" i="72"/>
  <c r="S857" i="72"/>
  <c r="T857" i="72"/>
  <c r="U857" i="72"/>
  <c r="V857" i="72"/>
  <c r="W857" i="72"/>
  <c r="Y857" i="72"/>
  <c r="O304" i="72"/>
  <c r="P304" i="72"/>
  <c r="O409" i="72"/>
  <c r="O611" i="72"/>
  <c r="O149" i="72"/>
  <c r="O648" i="72"/>
  <c r="P648" i="72"/>
  <c r="Q648" i="72"/>
  <c r="R648" i="72"/>
  <c r="O651" i="72"/>
  <c r="Q753" i="72"/>
  <c r="O194" i="72"/>
  <c r="P194" i="72"/>
  <c r="Q194" i="72"/>
  <c r="R194" i="72"/>
  <c r="O453" i="72"/>
  <c r="N63" i="72"/>
  <c r="O430" i="72"/>
  <c r="P430" i="72"/>
  <c r="Q430" i="72"/>
  <c r="N97" i="72"/>
  <c r="P15" i="72"/>
  <c r="O184" i="72"/>
  <c r="P184" i="72"/>
  <c r="Q184" i="72"/>
  <c r="R184" i="72"/>
  <c r="O1159" i="72"/>
  <c r="P1159" i="72"/>
  <c r="O1085" i="72"/>
  <c r="O534" i="72"/>
  <c r="P534" i="72"/>
  <c r="O408" i="72"/>
  <c r="O540" i="72"/>
  <c r="R724" i="72"/>
  <c r="O57" i="72"/>
  <c r="O173" i="72"/>
  <c r="P173" i="72"/>
  <c r="Q173" i="72"/>
  <c r="O362" i="72"/>
  <c r="O308" i="72"/>
  <c r="O488" i="72"/>
  <c r="P488" i="72"/>
  <c r="Q488" i="72"/>
  <c r="O1105" i="72"/>
  <c r="O56" i="72"/>
  <c r="O514" i="72"/>
  <c r="P514" i="72"/>
  <c r="Q514" i="72"/>
  <c r="R514" i="72"/>
  <c r="O49" i="72"/>
  <c r="O544" i="72"/>
  <c r="P544" i="72"/>
  <c r="Q544" i="72"/>
  <c r="O1164" i="72"/>
  <c r="P1164" i="72"/>
  <c r="Q1164" i="72"/>
  <c r="R1164" i="72"/>
  <c r="O498" i="72"/>
  <c r="N103" i="72"/>
  <c r="O103" i="72"/>
  <c r="P103" i="72"/>
  <c r="O241" i="72"/>
  <c r="P241" i="72"/>
  <c r="Q241" i="72"/>
  <c r="N108" i="72"/>
  <c r="O512" i="72"/>
  <c r="P512" i="72"/>
  <c r="Q512" i="72"/>
  <c r="R512" i="72"/>
  <c r="O654" i="72"/>
  <c r="P654" i="72"/>
  <c r="Q654" i="72"/>
  <c r="R654" i="72"/>
  <c r="O221" i="72"/>
  <c r="N58" i="72"/>
  <c r="O58" i="72"/>
  <c r="P58" i="72"/>
  <c r="O38" i="72"/>
  <c r="P38" i="72"/>
  <c r="O606" i="72"/>
  <c r="P606" i="72"/>
  <c r="O343" i="72"/>
  <c r="O1246" i="72"/>
  <c r="O502" i="72"/>
  <c r="P502" i="72"/>
  <c r="Q502" i="72"/>
  <c r="R502" i="72"/>
  <c r="O407" i="72"/>
  <c r="O630" i="72"/>
  <c r="P630" i="72"/>
  <c r="O524" i="72"/>
  <c r="O432" i="72"/>
  <c r="O1144" i="72"/>
  <c r="O416" i="72"/>
  <c r="O660" i="72"/>
  <c r="P660" i="72"/>
  <c r="Q660" i="72"/>
  <c r="R660" i="72"/>
  <c r="O671" i="72"/>
  <c r="P671" i="72"/>
  <c r="O661" i="72"/>
  <c r="O93" i="72"/>
  <c r="O1288" i="72"/>
  <c r="R844" i="72"/>
  <c r="O90" i="72"/>
  <c r="N105" i="72"/>
  <c r="O105" i="72"/>
  <c r="P105" i="72"/>
  <c r="N110" i="72"/>
  <c r="P154" i="72"/>
  <c r="Q154" i="72"/>
  <c r="R154" i="72"/>
  <c r="O353" i="72"/>
  <c r="P353" i="72"/>
  <c r="Q353" i="72"/>
  <c r="R757" i="72"/>
  <c r="O354" i="72"/>
  <c r="P354" i="72"/>
  <c r="Q354" i="72"/>
  <c r="R354" i="72"/>
  <c r="O650" i="72"/>
  <c r="P650" i="72"/>
  <c r="Q650" i="72"/>
  <c r="R650" i="72"/>
  <c r="O423" i="72"/>
  <c r="O551" i="72"/>
  <c r="P551" i="72"/>
  <c r="Q551" i="72"/>
  <c r="P1128" i="72"/>
  <c r="Q1128" i="72"/>
  <c r="R1128" i="72"/>
  <c r="O1102" i="72"/>
  <c r="P1102" i="72"/>
  <c r="Q1102" i="72"/>
  <c r="R1102" i="72"/>
  <c r="O334" i="72"/>
  <c r="P334" i="72"/>
  <c r="Q334" i="72"/>
  <c r="O9" i="72"/>
  <c r="O461" i="72"/>
  <c r="P461" i="72"/>
  <c r="Q461" i="72"/>
  <c r="O438" i="72"/>
  <c r="P1278" i="72"/>
  <c r="Q1278" i="72"/>
  <c r="R1278" i="72"/>
  <c r="O646" i="72"/>
  <c r="O431" i="72"/>
  <c r="O1244" i="72"/>
  <c r="P1244" i="72"/>
  <c r="O342" i="72"/>
  <c r="P342" i="72"/>
  <c r="Q342" i="72"/>
  <c r="O1168" i="72"/>
  <c r="O320" i="72"/>
  <c r="O437" i="72"/>
  <c r="P607" i="72"/>
  <c r="R693" i="72"/>
  <c r="R907" i="72"/>
  <c r="S907" i="72"/>
  <c r="P280" i="72"/>
  <c r="P639" i="72"/>
  <c r="Q639" i="72"/>
  <c r="R639" i="72"/>
  <c r="N112" i="72"/>
  <c r="O525" i="72"/>
  <c r="R888" i="72"/>
  <c r="O11" i="72"/>
  <c r="P11" i="72"/>
  <c r="O185" i="72"/>
  <c r="P185" i="72"/>
  <c r="Q185" i="72"/>
  <c r="O1107" i="72"/>
  <c r="P1107" i="72"/>
  <c r="Q1107" i="72"/>
  <c r="O536" i="72"/>
  <c r="P536" i="72"/>
  <c r="O233" i="72"/>
  <c r="O608" i="72"/>
  <c r="O36" i="72"/>
  <c r="P36" i="72"/>
  <c r="Q36" i="72"/>
  <c r="O317" i="72"/>
  <c r="N106" i="72"/>
  <c r="O474" i="72"/>
  <c r="O629" i="72"/>
  <c r="O667" i="72"/>
  <c r="P667" i="72"/>
  <c r="Q667" i="72"/>
  <c r="R667" i="72"/>
  <c r="O1254" i="72"/>
  <c r="O209" i="72"/>
  <c r="O482" i="72"/>
  <c r="O346" i="72"/>
  <c r="P346" i="72"/>
  <c r="Q346" i="72"/>
  <c r="R346" i="72"/>
  <c r="O1167" i="72"/>
  <c r="P1167" i="72"/>
  <c r="P1120" i="72"/>
  <c r="O1103" i="72"/>
  <c r="O495" i="72"/>
  <c r="P495" i="72"/>
  <c r="Q495" i="72"/>
  <c r="O303" i="72"/>
  <c r="P303" i="72"/>
  <c r="Q303" i="72"/>
  <c r="R303" i="72"/>
  <c r="P1115" i="72"/>
  <c r="O406" i="72"/>
  <c r="O1130" i="72"/>
  <c r="O1084" i="72"/>
  <c r="O155" i="72"/>
  <c r="P469" i="72"/>
  <c r="O657" i="72"/>
  <c r="Q885" i="72"/>
  <c r="O676" i="72"/>
  <c r="O124" i="72"/>
  <c r="P124" i="72"/>
  <c r="Q124" i="72"/>
  <c r="R124" i="72"/>
  <c r="P351" i="72"/>
  <c r="R708" i="72"/>
  <c r="S708" i="72"/>
  <c r="O18" i="72"/>
  <c r="N102" i="72"/>
  <c r="O537" i="72"/>
  <c r="P1145" i="72"/>
  <c r="P465" i="72"/>
  <c r="Q465" i="72"/>
  <c r="R465" i="72"/>
  <c r="O1256" i="72"/>
  <c r="O202" i="72"/>
  <c r="P202" i="72"/>
  <c r="O41" i="72"/>
  <c r="P41" i="72"/>
  <c r="Q41" i="72"/>
  <c r="O627" i="72"/>
  <c r="P627" i="72"/>
  <c r="O181" i="72"/>
  <c r="O583" i="72"/>
  <c r="P583" i="72"/>
  <c r="O1166" i="72"/>
  <c r="P1166" i="72"/>
  <c r="Q1166" i="72"/>
  <c r="R1166" i="72"/>
  <c r="O640" i="72"/>
  <c r="O526" i="72"/>
  <c r="P526" i="72"/>
  <c r="Q526" i="72"/>
  <c r="R717" i="72"/>
  <c r="O1152" i="72"/>
  <c r="P1152" i="72"/>
  <c r="O1099" i="72"/>
  <c r="P1099" i="72"/>
  <c r="Q1099" i="72"/>
  <c r="O559" i="72"/>
  <c r="R718" i="72"/>
  <c r="P1119" i="72"/>
  <c r="Q1119" i="72"/>
  <c r="R1119" i="72"/>
  <c r="O602" i="72"/>
  <c r="O449" i="72"/>
  <c r="O382" i="72"/>
  <c r="P382" i="72"/>
  <c r="Q382" i="72"/>
  <c r="O307" i="72"/>
  <c r="Q918" i="72"/>
  <c r="O1262" i="72"/>
  <c r="P1262" i="72"/>
  <c r="O253" i="72"/>
  <c r="O568" i="72"/>
  <c r="P656" i="72"/>
  <c r="Q448" i="72"/>
  <c r="Q130" i="72"/>
  <c r="Q1093" i="72"/>
  <c r="Q468" i="72"/>
  <c r="Q13" i="72"/>
  <c r="R166" i="72"/>
  <c r="Q368" i="72"/>
  <c r="Q628" i="72"/>
  <c r="O333" i="72"/>
  <c r="Q1086" i="72"/>
  <c r="R1086" i="72"/>
  <c r="R963" i="72"/>
  <c r="Q1147" i="72"/>
  <c r="Q560" i="72"/>
  <c r="O579" i="72"/>
  <c r="O152" i="72"/>
  <c r="O480" i="72"/>
  <c r="O1315" i="72"/>
  <c r="O84" i="72"/>
  <c r="R883" i="72"/>
  <c r="O1305" i="72"/>
  <c r="O1169" i="72"/>
  <c r="R902" i="72"/>
  <c r="O193" i="72"/>
  <c r="O1193" i="72"/>
  <c r="N69" i="72"/>
  <c r="R916" i="72"/>
  <c r="N27" i="72"/>
  <c r="N276" i="72"/>
  <c r="R1078" i="72"/>
  <c r="S1078" i="72"/>
  <c r="N1296" i="72"/>
  <c r="O147" i="72"/>
  <c r="O1300" i="72"/>
  <c r="O1327" i="72"/>
  <c r="R961" i="72"/>
  <c r="O242" i="72"/>
  <c r="R1057" i="72"/>
  <c r="S1057" i="72"/>
  <c r="O39" i="72"/>
  <c r="R942" i="72"/>
  <c r="O1266" i="72"/>
  <c r="N28" i="72"/>
  <c r="R880" i="72"/>
  <c r="O1342" i="72"/>
  <c r="O287" i="72"/>
  <c r="P178" i="72"/>
  <c r="N109" i="72"/>
  <c r="N26" i="72"/>
  <c r="R889" i="72"/>
  <c r="O199" i="72"/>
  <c r="O237" i="72"/>
  <c r="P588" i="72"/>
  <c r="Q588" i="72"/>
  <c r="R588" i="72"/>
  <c r="O446" i="72"/>
  <c r="O1303" i="72"/>
  <c r="O120" i="72"/>
  <c r="R973" i="72"/>
  <c r="O685" i="72"/>
  <c r="O278" i="72"/>
  <c r="P278" i="72"/>
  <c r="Q278" i="72"/>
  <c r="R278" i="72"/>
  <c r="S278" i="72"/>
  <c r="N62" i="72"/>
  <c r="O62" i="72"/>
  <c r="P62" i="72"/>
  <c r="P1140" i="72"/>
  <c r="P658" i="72"/>
  <c r="N277" i="72"/>
  <c r="O1207" i="72"/>
  <c r="P1207" i="72"/>
  <c r="R912" i="72"/>
  <c r="N60" i="72"/>
  <c r="N1297" i="72"/>
  <c r="O230" i="72"/>
  <c r="O473" i="72"/>
  <c r="N245" i="72"/>
  <c r="R1067" i="72"/>
  <c r="S1067" i="72"/>
  <c r="N67" i="72"/>
  <c r="O460" i="72"/>
  <c r="S1043" i="72"/>
  <c r="T1043" i="72"/>
  <c r="O1319" i="72"/>
  <c r="P1319" i="72"/>
  <c r="O616" i="72"/>
  <c r="O293" i="72"/>
  <c r="O1230" i="72"/>
  <c r="Q897" i="72"/>
  <c r="O1323" i="72"/>
  <c r="O1304" i="72"/>
  <c r="O256" i="72"/>
  <c r="N1314" i="72"/>
  <c r="P284" i="72"/>
  <c r="N54" i="72"/>
  <c r="R921" i="72"/>
  <c r="O1149" i="72"/>
  <c r="O1141" i="72"/>
  <c r="O1241" i="72"/>
  <c r="O531" i="72"/>
  <c r="O1320" i="72"/>
  <c r="P1320" i="72"/>
  <c r="N247" i="72"/>
  <c r="Q390" i="72"/>
  <c r="N275" i="72"/>
  <c r="O1294" i="72"/>
  <c r="O1217" i="72"/>
  <c r="P1217" i="72"/>
  <c r="P522" i="72"/>
  <c r="O85" i="72"/>
  <c r="O1192" i="72"/>
  <c r="P1192" i="72"/>
  <c r="O673" i="72"/>
  <c r="Q1033" i="72"/>
  <c r="R1033" i="72"/>
  <c r="O251" i="72"/>
  <c r="O434" i="72"/>
  <c r="N96" i="72"/>
  <c r="R895" i="72"/>
  <c r="R892" i="72"/>
  <c r="O1270" i="72"/>
  <c r="N98" i="72"/>
  <c r="P265" i="72"/>
  <c r="R972" i="72"/>
  <c r="P447" i="72"/>
  <c r="Q479" i="72"/>
  <c r="P341" i="72"/>
  <c r="O1293" i="72"/>
  <c r="O288" i="72"/>
  <c r="P1175" i="72"/>
  <c r="N101" i="72"/>
  <c r="Q306" i="72"/>
  <c r="O1295" i="72"/>
  <c r="O680" i="72"/>
  <c r="N66" i="72"/>
  <c r="R1013" i="72"/>
  <c r="S1013" i="72"/>
  <c r="R1056" i="72"/>
  <c r="S1056" i="72"/>
  <c r="N249" i="72"/>
  <c r="N1312" i="72"/>
  <c r="O1312" i="72"/>
  <c r="O643" i="72"/>
  <c r="O32" i="72"/>
  <c r="P224" i="72"/>
  <c r="P625" i="72"/>
  <c r="O324" i="72"/>
  <c r="N113" i="72"/>
  <c r="O1250" i="72"/>
  <c r="O1092" i="72"/>
  <c r="O347" i="72"/>
  <c r="O440" i="72"/>
  <c r="P88" i="72"/>
  <c r="Q88" i="72"/>
  <c r="P433" i="72"/>
  <c r="Q281" i="72"/>
  <c r="Q348" i="72"/>
  <c r="O683" i="72"/>
  <c r="O356" i="72"/>
  <c r="P425" i="72"/>
  <c r="O508" i="72"/>
  <c r="O418" i="72"/>
  <c r="O117" i="72"/>
  <c r="O1232" i="72"/>
  <c r="O587" i="72"/>
  <c r="O264" i="72"/>
  <c r="Q1276" i="72"/>
  <c r="O344" i="72"/>
  <c r="O435" i="72"/>
  <c r="O151" i="72"/>
  <c r="O451" i="72"/>
  <c r="O115" i="72"/>
  <c r="P160" i="72"/>
  <c r="P29" i="72"/>
  <c r="O645" i="72"/>
  <c r="O582" i="72"/>
  <c r="O1165" i="72"/>
  <c r="O1108" i="72"/>
  <c r="Q1065" i="72"/>
  <c r="R489" i="72"/>
  <c r="S489" i="72"/>
  <c r="Q517" i="72"/>
  <c r="O1220" i="72"/>
  <c r="O262" i="72"/>
  <c r="O234" i="72"/>
  <c r="P483" i="72"/>
  <c r="O121" i="72"/>
  <c r="O1155" i="72"/>
  <c r="O1132" i="72"/>
  <c r="Q1137" i="72"/>
  <c r="O581" i="72"/>
  <c r="O1284" i="72"/>
  <c r="O216" i="72"/>
  <c r="P1161" i="72"/>
  <c r="O1205" i="72"/>
  <c r="P1205" i="72"/>
  <c r="O197" i="72"/>
  <c r="O335" i="72"/>
  <c r="O180" i="72"/>
  <c r="P649" i="72"/>
  <c r="O289" i="72"/>
  <c r="P20" i="72"/>
  <c r="P429" i="72"/>
  <c r="O578" i="72"/>
  <c r="O1226" i="72"/>
  <c r="R486" i="72"/>
  <c r="R365" i="72"/>
  <c r="Q1280" i="72"/>
  <c r="R412" i="72"/>
  <c r="O252" i="72"/>
  <c r="Q411" i="72"/>
  <c r="O21" i="72"/>
  <c r="O562" i="72"/>
  <c r="O631" i="72"/>
  <c r="O576" i="72"/>
  <c r="O310" i="72"/>
  <c r="O309" i="72"/>
  <c r="O636" i="72"/>
  <c r="Q413" i="72"/>
  <c r="R361" i="72"/>
  <c r="S361" i="72"/>
  <c r="O339" i="72"/>
  <c r="O268" i="72"/>
  <c r="P200" i="72"/>
  <c r="N64" i="72"/>
  <c r="O687" i="72"/>
  <c r="O332" i="72"/>
  <c r="O506" i="72"/>
  <c r="O1255" i="72"/>
  <c r="Q585" i="72"/>
  <c r="Q47" i="72"/>
  <c r="Q594" i="72"/>
  <c r="P1343" i="72"/>
  <c r="O1204" i="72"/>
  <c r="P1204" i="72"/>
  <c r="Q598" i="72"/>
  <c r="P50" i="72"/>
  <c r="O366" i="72"/>
  <c r="O162" i="72"/>
  <c r="N272" i="72"/>
  <c r="P16" i="72"/>
  <c r="O670" i="72"/>
  <c r="O663" i="72"/>
  <c r="P478" i="72"/>
  <c r="O599" i="72"/>
  <c r="Q510" i="72"/>
  <c r="O454" i="72"/>
  <c r="O404" i="72"/>
  <c r="O556" i="72"/>
  <c r="O641" i="72"/>
  <c r="O357" i="72"/>
  <c r="O243" i="72"/>
  <c r="O686" i="72"/>
  <c r="O1197" i="72"/>
  <c r="P1197" i="72"/>
  <c r="O399" i="72"/>
  <c r="O1272" i="72"/>
  <c r="P240" i="72"/>
  <c r="O1163" i="72"/>
  <c r="O1258" i="72"/>
  <c r="P282" i="72"/>
  <c r="N1339" i="72"/>
  <c r="O1247" i="72"/>
  <c r="O457" i="72"/>
  <c r="Q828" i="72"/>
  <c r="Q1133" i="72"/>
  <c r="O1116" i="72"/>
  <c r="O201" i="72"/>
  <c r="O1291" i="72"/>
  <c r="Q40" i="72"/>
  <c r="O31" i="72"/>
  <c r="Q215" i="72"/>
  <c r="P1125" i="72"/>
  <c r="Q161" i="72"/>
  <c r="O398" i="72"/>
  <c r="O558" i="72"/>
  <c r="O46" i="72"/>
  <c r="O443" i="72"/>
  <c r="O675" i="72"/>
  <c r="O167" i="72"/>
  <c r="O466" i="72"/>
  <c r="O1088" i="72"/>
  <c r="R1135" i="72"/>
  <c r="O376" i="72"/>
  <c r="O1211" i="72"/>
  <c r="P1211" i="72"/>
  <c r="O196" i="72"/>
  <c r="O80" i="72"/>
  <c r="P80" i="72"/>
  <c r="O1336" i="72"/>
  <c r="N246" i="72"/>
  <c r="R530" i="72"/>
  <c r="P553" i="72"/>
  <c r="O79" i="72"/>
  <c r="P79" i="72"/>
  <c r="O140" i="72"/>
  <c r="O618" i="72"/>
  <c r="Q966" i="72"/>
  <c r="O1143" i="72"/>
  <c r="P14" i="72"/>
  <c r="R421" i="72"/>
  <c r="O426" i="72"/>
  <c r="O515" i="72"/>
  <c r="P394" i="72"/>
  <c r="P1330" i="72"/>
  <c r="Q1330" i="72"/>
  <c r="O1162" i="72"/>
  <c r="O1289" i="72"/>
  <c r="R329" i="72"/>
  <c r="O1138" i="72"/>
  <c r="P402" i="72"/>
  <c r="P195" i="72"/>
  <c r="R393" i="72"/>
  <c r="O1098" i="72"/>
  <c r="O1113" i="72"/>
  <c r="O573" i="72"/>
  <c r="O95" i="72"/>
  <c r="P170" i="72"/>
  <c r="O359" i="72"/>
  <c r="O487" i="72"/>
  <c r="O615" i="72"/>
  <c r="O1222" i="72"/>
  <c r="P182" i="72"/>
  <c r="R232" i="72"/>
  <c r="O1094" i="72"/>
  <c r="R142" i="72"/>
  <c r="S142" i="72"/>
  <c r="O595" i="72"/>
  <c r="Q122" i="72"/>
  <c r="P1096" i="72"/>
  <c r="N61" i="72"/>
  <c r="O1188" i="72"/>
  <c r="P1188" i="72"/>
  <c r="O43" i="72"/>
  <c r="O549" i="72"/>
  <c r="N59" i="72"/>
  <c r="O1090" i="72"/>
  <c r="O205" i="72"/>
  <c r="O1236" i="72"/>
  <c r="P500" i="72"/>
  <c r="O386" i="72"/>
  <c r="O491" i="72"/>
  <c r="P48" i="72"/>
  <c r="O682" i="72"/>
  <c r="O231" i="72"/>
  <c r="O1123" i="72"/>
  <c r="O547" i="72"/>
  <c r="O179" i="72"/>
  <c r="P94" i="72"/>
  <c r="P485" i="72"/>
  <c r="Q1118" i="72"/>
  <c r="O255" i="72"/>
  <c r="O211" i="72"/>
  <c r="O1134" i="72"/>
  <c r="O441" i="72"/>
  <c r="O1299" i="72"/>
  <c r="O1231" i="72"/>
  <c r="O156" i="72"/>
  <c r="O371" i="72"/>
  <c r="O1275" i="72"/>
  <c r="O1248" i="72"/>
  <c r="O295" i="72"/>
  <c r="O586" i="72"/>
  <c r="O128" i="72"/>
  <c r="O132" i="72"/>
  <c r="P484" i="72"/>
  <c r="O420" i="72"/>
  <c r="O467" i="72"/>
  <c r="O285" i="72"/>
  <c r="R123" i="72"/>
  <c r="O548" i="72"/>
  <c r="O10" i="72"/>
  <c r="O613" i="72"/>
  <c r="O219" i="72"/>
  <c r="P319" i="72"/>
  <c r="O391" i="72"/>
  <c r="O519" i="72"/>
  <c r="O647" i="72"/>
  <c r="N1313" i="72"/>
  <c r="O1313" i="72"/>
  <c r="O481" i="72"/>
  <c r="P17" i="72"/>
  <c r="O290" i="72"/>
  <c r="O1329" i="72"/>
  <c r="N1311" i="72"/>
  <c r="O1311" i="72"/>
  <c r="O1091" i="72"/>
  <c r="O1285" i="72"/>
  <c r="O623" i="72"/>
  <c r="O626" i="72"/>
  <c r="P336" i="72"/>
  <c r="O248" i="72"/>
  <c r="O401" i="72"/>
  <c r="O633" i="72"/>
  <c r="P352" i="72"/>
  <c r="O1265" i="72"/>
  <c r="Q145" i="72"/>
  <c r="O257" i="72"/>
  <c r="O1227" i="72"/>
  <c r="P664" i="72"/>
  <c r="O493" i="72"/>
  <c r="O254" i="72"/>
  <c r="O325" i="72"/>
  <c r="O566" i="72"/>
  <c r="O118" i="72"/>
  <c r="N114" i="72"/>
  <c r="O375" i="72"/>
  <c r="O374" i="72"/>
  <c r="R1121" i="72"/>
  <c r="O442" i="72"/>
  <c r="O337" i="72"/>
  <c r="O1271" i="72"/>
  <c r="O546" i="72"/>
  <c r="O164" i="72"/>
  <c r="O492" i="72"/>
  <c r="P129" i="72"/>
  <c r="R1114" i="72"/>
  <c r="O82" i="72"/>
  <c r="P82" i="72"/>
  <c r="O477" i="72"/>
  <c r="N107" i="72"/>
  <c r="Q678" i="72"/>
  <c r="P163" i="72"/>
  <c r="O274" i="72"/>
  <c r="O238" i="72"/>
  <c r="O1302" i="72"/>
  <c r="R158" i="72"/>
  <c r="P507" i="72"/>
  <c r="Q190" i="72"/>
  <c r="O23" i="72"/>
  <c r="O1221" i="72"/>
  <c r="O1203" i="72"/>
  <c r="P1203" i="72"/>
  <c r="O12" i="72"/>
  <c r="O571" i="72"/>
  <c r="P220" i="72"/>
  <c r="O1243" i="72"/>
  <c r="O143" i="72"/>
  <c r="O1160" i="72"/>
  <c r="O33" i="72"/>
  <c r="Q1334" i="72"/>
  <c r="R1334" i="72"/>
  <c r="Q450" i="72"/>
  <c r="O172" i="72"/>
  <c r="M25" i="72"/>
  <c r="O204" i="72"/>
  <c r="P496" i="72"/>
  <c r="O505" i="72"/>
  <c r="O208" i="72"/>
  <c r="O620" i="72"/>
  <c r="O1235" i="72"/>
  <c r="O52" i="72"/>
  <c r="P169" i="72"/>
  <c r="P369" i="72"/>
  <c r="Q403" i="72"/>
  <c r="P690" i="72"/>
  <c r="O35" i="72"/>
  <c r="P564" i="72"/>
  <c r="O225" i="72"/>
  <c r="O1195" i="72"/>
  <c r="P1195" i="72"/>
  <c r="P570" i="72"/>
  <c r="Q612" i="72"/>
  <c r="O385" i="72"/>
  <c r="O1156" i="72"/>
  <c r="O1290" i="72"/>
  <c r="P1263" i="72"/>
  <c r="O499" i="72"/>
  <c r="Q116" i="72"/>
  <c r="P1146" i="72"/>
  <c r="P1157" i="72"/>
  <c r="O192" i="72"/>
  <c r="P397" i="72"/>
  <c r="Q373" i="72"/>
  <c r="P358" i="72"/>
  <c r="O590" i="72"/>
  <c r="R392" i="72"/>
  <c r="O292" i="72"/>
  <c r="R328" i="72"/>
  <c r="Q614" i="72"/>
  <c r="N104" i="72"/>
  <c r="P203" i="72"/>
  <c r="N68" i="72"/>
  <c r="O367" i="72"/>
  <c r="O535" i="72"/>
  <c r="P591" i="72"/>
  <c r="Q283" i="72"/>
  <c r="O567" i="72"/>
  <c r="Q1150" i="72"/>
  <c r="Q543" i="72"/>
  <c r="P198" i="72"/>
  <c r="Q223" i="72"/>
  <c r="O1335" i="72"/>
  <c r="Q315" i="72"/>
  <c r="P637" i="72"/>
  <c r="P463" i="72"/>
  <c r="P384" i="72"/>
  <c r="M24" i="72"/>
  <c r="O596" i="72"/>
  <c r="Q313" i="72"/>
  <c r="R313" i="72"/>
  <c r="O1208" i="72"/>
  <c r="O1279" i="72"/>
  <c r="O297" i="72"/>
  <c r="O652" i="72"/>
  <c r="O1267" i="72"/>
  <c r="P270" i="72"/>
  <c r="O1264" i="72"/>
  <c r="Q476" i="72"/>
  <c r="R476" i="72"/>
  <c r="O603" i="72"/>
  <c r="O322" i="72"/>
  <c r="N1340" i="72"/>
  <c r="R125" i="72"/>
  <c r="O532" i="72"/>
  <c r="O302" i="72"/>
  <c r="O622" i="72"/>
  <c r="O363" i="72"/>
  <c r="O419" i="72"/>
  <c r="O212" i="72"/>
  <c r="R37" i="72"/>
  <c r="S37" i="72"/>
  <c r="O6" i="72"/>
  <c r="O311" i="72"/>
  <c r="Q1112" i="72"/>
  <c r="Q619" i="72"/>
  <c r="P318" i="72"/>
  <c r="R135" i="72"/>
  <c r="R501" i="72"/>
  <c r="S501" i="72"/>
  <c r="R424" i="72"/>
  <c r="O439" i="72"/>
  <c r="P136" i="72"/>
  <c r="O1326" i="72"/>
  <c r="O1122" i="72"/>
  <c r="O569" i="72"/>
  <c r="O227" i="72"/>
  <c r="P672" i="72"/>
  <c r="O529" i="72"/>
  <c r="O410" i="72"/>
  <c r="O91" i="72"/>
  <c r="O364" i="72"/>
  <c r="Q1100" i="72"/>
  <c r="Q44" i="72"/>
  <c r="R44" i="72"/>
  <c r="O228" i="72"/>
  <c r="P533" i="72"/>
  <c r="O1228" i="72"/>
  <c r="Q520" i="72"/>
  <c r="R520" i="72"/>
  <c r="O327" i="72"/>
  <c r="O455" i="72"/>
  <c r="O395" i="72"/>
  <c r="Q405" i="72"/>
  <c r="O134" i="72"/>
  <c r="O1307" i="72"/>
  <c r="O381" i="72"/>
  <c r="O387" i="72"/>
  <c r="Q575" i="72"/>
  <c r="P638" i="72"/>
  <c r="Q459" i="72"/>
  <c r="O159" i="72"/>
  <c r="O350" i="72"/>
  <c r="P372" i="72"/>
  <c r="O377" i="72"/>
  <c r="O1083" i="72"/>
  <c r="O428" i="72"/>
  <c r="O684" i="72"/>
  <c r="O1331" i="72"/>
  <c r="O146" i="72"/>
  <c r="O340" i="72"/>
  <c r="P1148" i="72"/>
  <c r="O100" i="72"/>
  <c r="P100" i="72"/>
  <c r="P1240" i="72"/>
  <c r="Q1240" i="72"/>
  <c r="O244" i="72"/>
  <c r="P422" i="72"/>
  <c r="R1131" i="72"/>
  <c r="O236" i="72"/>
  <c r="O679" i="72"/>
  <c r="O1298" i="72"/>
  <c r="L5" i="72"/>
  <c r="K1345" i="72"/>
  <c r="S139" i="18"/>
  <c r="L54" i="18"/>
  <c r="M33" i="7"/>
  <c r="K38" i="18"/>
  <c r="Q97" i="18"/>
  <c r="Q98" i="18"/>
  <c r="Q99" i="18"/>
  <c r="M86" i="18"/>
  <c r="R85" i="18"/>
  <c r="R86" i="18"/>
  <c r="R87" i="18"/>
  <c r="G172" i="18"/>
  <c r="G176" i="18"/>
  <c r="G168" i="18"/>
  <c r="G171" i="18"/>
  <c r="G175" i="18"/>
  <c r="G169" i="18"/>
  <c r="G177" i="18"/>
  <c r="G170" i="18"/>
  <c r="G173" i="18"/>
  <c r="R1362" i="72"/>
  <c r="U69" i="14"/>
  <c r="L1345" i="72"/>
  <c r="L1353" i="72"/>
  <c r="K7" i="7"/>
  <c r="J78" i="14"/>
  <c r="G91" i="14"/>
  <c r="J67" i="14"/>
  <c r="K67" i="14"/>
  <c r="L67" i="14"/>
  <c r="M67" i="14"/>
  <c r="N67" i="14"/>
  <c r="S67" i="14"/>
  <c r="G68" i="14"/>
  <c r="P1218" i="72"/>
  <c r="Q1218" i="72"/>
  <c r="T1031" i="72"/>
  <c r="U1031" i="72"/>
  <c r="S1019" i="72"/>
  <c r="T1019" i="72"/>
  <c r="U1019" i="72"/>
  <c r="V1019" i="72"/>
  <c r="S1010" i="72"/>
  <c r="T1010" i="72"/>
  <c r="U1010" i="72"/>
  <c r="V1010" i="72"/>
  <c r="W1010" i="72"/>
  <c r="Y1010" i="72"/>
  <c r="S1011" i="72"/>
  <c r="T1011" i="72"/>
  <c r="Z5" i="72"/>
  <c r="Z6" i="72"/>
  <c r="Q1229" i="72"/>
  <c r="R1229" i="72"/>
  <c r="O102" i="72"/>
  <c r="P102" i="72"/>
  <c r="Q102" i="72"/>
  <c r="L98" i="18"/>
  <c r="L137" i="18"/>
  <c r="L145" i="18"/>
  <c r="L90" i="18"/>
  <c r="L36" i="18"/>
  <c r="M84" i="18"/>
  <c r="N1354" i="72"/>
  <c r="M30" i="6"/>
  <c r="O1359" i="72"/>
  <c r="O1382" i="72"/>
  <c r="K27" i="16"/>
  <c r="Q1337" i="72"/>
  <c r="R1337" i="72"/>
  <c r="S1337" i="72"/>
  <c r="P294" i="72"/>
  <c r="Q294" i="72"/>
  <c r="R294" i="72"/>
  <c r="S294" i="72"/>
  <c r="T1017" i="72"/>
  <c r="U1017" i="72"/>
  <c r="V1017" i="72"/>
  <c r="R456" i="72"/>
  <c r="S456" i="72"/>
  <c r="Q577" i="72"/>
  <c r="R577" i="72"/>
  <c r="S577" i="72"/>
  <c r="T577" i="72"/>
  <c r="S1066" i="72"/>
  <c r="T1066" i="72"/>
  <c r="U1066" i="72"/>
  <c r="Q86" i="72"/>
  <c r="R86" i="72"/>
  <c r="S86" i="72"/>
  <c r="S1079" i="72"/>
  <c r="T1079" i="72"/>
  <c r="U1079" i="72"/>
  <c r="R1333" i="72"/>
  <c r="S1333" i="72"/>
  <c r="T1333" i="72"/>
  <c r="R1045" i="72"/>
  <c r="S1045" i="72"/>
  <c r="T1045" i="72"/>
  <c r="U1045" i="72"/>
  <c r="V1045" i="72"/>
  <c r="R1151" i="72"/>
  <c r="S1151" i="72"/>
  <c r="T1151" i="72"/>
  <c r="U1151" i="72"/>
  <c r="V1151" i="72"/>
  <c r="R592" i="72"/>
  <c r="S592" i="72"/>
  <c r="R1332" i="72"/>
  <c r="S1332" i="72"/>
  <c r="S1054" i="72"/>
  <c r="T1054" i="72"/>
  <c r="Q1219" i="72"/>
  <c r="R1219" i="72"/>
  <c r="S1219" i="72"/>
  <c r="R1184" i="72"/>
  <c r="S1184" i="72"/>
  <c r="Q1325" i="72"/>
  <c r="R1325" i="72"/>
  <c r="S1325" i="72"/>
  <c r="Q1237" i="72"/>
  <c r="R1237" i="72"/>
  <c r="S1237" i="72"/>
  <c r="T1237" i="72"/>
  <c r="U1237" i="72"/>
  <c r="V1237" i="72"/>
  <c r="W1237" i="72"/>
  <c r="Q89" i="72"/>
  <c r="R89" i="72"/>
  <c r="S89" i="72"/>
  <c r="T89" i="72"/>
  <c r="Q1224" i="72"/>
  <c r="Q1234" i="72"/>
  <c r="P273" i="72"/>
  <c r="Q273" i="72"/>
  <c r="R273" i="72"/>
  <c r="U931" i="72"/>
  <c r="V931" i="72"/>
  <c r="W931" i="72"/>
  <c r="Q1324" i="72"/>
  <c r="R1324" i="72"/>
  <c r="S1324" i="72"/>
  <c r="P1223" i="72"/>
  <c r="Q1223" i="72"/>
  <c r="R621" i="72"/>
  <c r="S621" i="72"/>
  <c r="T621" i="72"/>
  <c r="P1238" i="72"/>
  <c r="Q1238" i="72"/>
  <c r="R1238" i="72"/>
  <c r="U984" i="72"/>
  <c r="V984" i="72"/>
  <c r="U786" i="72"/>
  <c r="V786" i="72"/>
  <c r="Q1191" i="72"/>
  <c r="R1191" i="72"/>
  <c r="P1321" i="72"/>
  <c r="Q1321" i="72"/>
  <c r="R1321" i="72"/>
  <c r="Q601" i="72"/>
  <c r="R601" i="72"/>
  <c r="S601" i="72"/>
  <c r="P1193" i="72"/>
  <c r="Q1193" i="72"/>
  <c r="R1193" i="72"/>
  <c r="P1201" i="72"/>
  <c r="Q1201" i="72"/>
  <c r="R1201" i="72"/>
  <c r="W763" i="72"/>
  <c r="Y763" i="72"/>
  <c r="U126" i="72"/>
  <c r="V126" i="72"/>
  <c r="W126" i="72"/>
  <c r="Y126" i="72"/>
  <c r="Q1212" i="72"/>
  <c r="R1212" i="72"/>
  <c r="S1212" i="72"/>
  <c r="Q1136" i="72"/>
  <c r="R1136" i="72"/>
  <c r="U982" i="72"/>
  <c r="V982" i="72"/>
  <c r="U1080" i="72"/>
  <c r="V1080" i="72"/>
  <c r="Q1106" i="72"/>
  <c r="R1106" i="72"/>
  <c r="V694" i="72"/>
  <c r="W694" i="72"/>
  <c r="Y694" i="72"/>
  <c r="W698" i="72"/>
  <c r="Y698" i="72"/>
  <c r="Q400" i="72"/>
  <c r="R400" i="72"/>
  <c r="S400" i="72"/>
  <c r="Q1158" i="72"/>
  <c r="R1158" i="72"/>
  <c r="T700" i="72"/>
  <c r="U700" i="72"/>
  <c r="R666" i="72"/>
  <c r="S666" i="72"/>
  <c r="Q1171" i="72"/>
  <c r="R1171" i="72"/>
  <c r="Q1301" i="72"/>
  <c r="R1301" i="72"/>
  <c r="S1301" i="72"/>
  <c r="T1301" i="72"/>
  <c r="Q168" i="72"/>
  <c r="R168" i="72"/>
  <c r="R55" i="72"/>
  <c r="S55" i="72"/>
  <c r="U905" i="72"/>
  <c r="V905" i="72"/>
  <c r="Q1199" i="72"/>
  <c r="R1199" i="72"/>
  <c r="S1199" i="72"/>
  <c r="R229" i="72"/>
  <c r="S229" i="72"/>
  <c r="T229" i="72"/>
  <c r="Q555" i="72"/>
  <c r="R555" i="72"/>
  <c r="Y1082" i="72"/>
  <c r="Q1174" i="72"/>
  <c r="R1174" i="72"/>
  <c r="S1174" i="72"/>
  <c r="Q188" i="72"/>
  <c r="R188" i="72"/>
  <c r="S188" i="72"/>
  <c r="T188" i="72"/>
  <c r="Q1172" i="72"/>
  <c r="R1172" i="72"/>
  <c r="U944" i="72"/>
  <c r="V944" i="72"/>
  <c r="R472" i="72"/>
  <c r="S472" i="72"/>
  <c r="V874" i="72"/>
  <c r="W874" i="72"/>
  <c r="U839" i="72"/>
  <c r="V839" i="72"/>
  <c r="T1081" i="72"/>
  <c r="T975" i="72"/>
  <c r="U975" i="72"/>
  <c r="V975" i="72"/>
  <c r="W975" i="72"/>
  <c r="Y975" i="72"/>
  <c r="T938" i="72"/>
  <c r="U938" i="72"/>
  <c r="U759" i="72"/>
  <c r="V759" i="72"/>
  <c r="S218" i="72"/>
  <c r="T218" i="72"/>
  <c r="W779" i="72"/>
  <c r="Y779" i="72"/>
  <c r="U819" i="72"/>
  <c r="V819" i="72"/>
  <c r="W819" i="72"/>
  <c r="Y819" i="72"/>
  <c r="S692" i="72"/>
  <c r="T692" i="72"/>
  <c r="Y1021" i="72"/>
  <c r="U1026" i="72"/>
  <c r="V1026" i="72"/>
  <c r="V807" i="72"/>
  <c r="W807" i="72"/>
  <c r="W758" i="72"/>
  <c r="Y758" i="72"/>
  <c r="Y1027" i="72"/>
  <c r="R624" i="72"/>
  <c r="S624" i="72"/>
  <c r="T624" i="72"/>
  <c r="Q1261" i="72"/>
  <c r="R1261" i="72"/>
  <c r="R1179" i="72"/>
  <c r="S1179" i="72"/>
  <c r="T1179" i="72"/>
  <c r="U1179" i="72"/>
  <c r="V1179" i="72"/>
  <c r="Q665" i="72"/>
  <c r="R665" i="72"/>
  <c r="S396" i="72"/>
  <c r="T396" i="72"/>
  <c r="U1002" i="72"/>
  <c r="V1002" i="72"/>
  <c r="Q452" i="72"/>
  <c r="R452" i="72"/>
  <c r="S452" i="72"/>
  <c r="Q355" i="72"/>
  <c r="R355" i="72"/>
  <c r="R92" i="72"/>
  <c r="S92" i="72"/>
  <c r="W846" i="72"/>
  <c r="Y846" i="72"/>
  <c r="U1046" i="72"/>
  <c r="V1046" i="72"/>
  <c r="W1046" i="72"/>
  <c r="Y1046" i="72"/>
  <c r="T873" i="72"/>
  <c r="U873" i="72"/>
  <c r="V873" i="72"/>
  <c r="R1274" i="72"/>
  <c r="S1274" i="72"/>
  <c r="Q1183" i="72"/>
  <c r="R1183" i="72"/>
  <c r="R497" i="72"/>
  <c r="S497" i="72"/>
  <c r="P1281" i="72"/>
  <c r="Q1281" i="72"/>
  <c r="R1281" i="72"/>
  <c r="R445" i="72"/>
  <c r="S445" i="72"/>
  <c r="T445" i="72"/>
  <c r="Q133" i="72"/>
  <c r="R133" i="72"/>
  <c r="U840" i="72"/>
  <c r="V840" i="72"/>
  <c r="W840" i="72"/>
  <c r="W930" i="72"/>
  <c r="Y930" i="72"/>
  <c r="S900" i="72"/>
  <c r="T900" i="72"/>
  <c r="U900" i="72"/>
  <c r="V900" i="72"/>
  <c r="T871" i="72"/>
  <c r="U871" i="72"/>
  <c r="U934" i="72"/>
  <c r="V934" i="72"/>
  <c r="U1038" i="72"/>
  <c r="V1038" i="72"/>
  <c r="T992" i="72"/>
  <c r="U877" i="72"/>
  <c r="V877" i="72"/>
  <c r="W1024" i="72"/>
  <c r="Y1024" i="72"/>
  <c r="Q331" i="72"/>
  <c r="U914" i="72"/>
  <c r="V914" i="72"/>
  <c r="T848" i="72"/>
  <c r="U848" i="72"/>
  <c r="Q552" i="72"/>
  <c r="R552" i="72"/>
  <c r="Q1101" i="72"/>
  <c r="R1101" i="72"/>
  <c r="P191" i="72"/>
  <c r="Q191" i="72"/>
  <c r="R191" i="72"/>
  <c r="P138" i="72"/>
  <c r="P635" i="72"/>
  <c r="Q635" i="72"/>
  <c r="S821" i="72"/>
  <c r="T821" i="72"/>
  <c r="V699" i="72"/>
  <c r="W699" i="72"/>
  <c r="Y699" i="72"/>
  <c r="V744" i="72"/>
  <c r="W744" i="72"/>
  <c r="Y744" i="72"/>
  <c r="T1055" i="72"/>
  <c r="U1055" i="72"/>
  <c r="V1055" i="72"/>
  <c r="U521" i="72"/>
  <c r="Y787" i="72"/>
  <c r="T1062" i="72"/>
  <c r="T926" i="72"/>
  <c r="T788" i="72"/>
  <c r="U788" i="72"/>
  <c r="U738" i="72"/>
  <c r="V738" i="72"/>
  <c r="W738" i="72"/>
  <c r="U919" i="72"/>
  <c r="V919" i="72"/>
  <c r="Q269" i="72"/>
  <c r="R269" i="72"/>
  <c r="T799" i="72"/>
  <c r="U799" i="72"/>
  <c r="V799" i="72"/>
  <c r="W799" i="72"/>
  <c r="Y799" i="72"/>
  <c r="R370" i="72"/>
  <c r="S370" i="72"/>
  <c r="T734" i="72"/>
  <c r="U734" i="72"/>
  <c r="Q1111" i="72"/>
  <c r="R1111" i="72"/>
  <c r="V732" i="72"/>
  <c r="W732" i="72"/>
  <c r="Y732" i="72"/>
  <c r="U945" i="72"/>
  <c r="V945" i="72"/>
  <c r="W945" i="72"/>
  <c r="Y945" i="72"/>
  <c r="V704" i="72"/>
  <c r="W994" i="72"/>
  <c r="Y994" i="72"/>
  <c r="S1036" i="72"/>
  <c r="T1036" i="72"/>
  <c r="T1104" i="72"/>
  <c r="U1104" i="72"/>
  <c r="T745" i="72"/>
  <c r="U745" i="72"/>
  <c r="V775" i="72"/>
  <c r="W775" i="72"/>
  <c r="Y796" i="72"/>
  <c r="U691" i="72"/>
  <c r="R1110" i="72"/>
  <c r="S1110" i="72"/>
  <c r="Q674" i="72"/>
  <c r="R674" i="72"/>
  <c r="Y855" i="72"/>
  <c r="T766" i="72"/>
  <c r="U1072" i="72"/>
  <c r="V1072" i="72"/>
  <c r="W1072" i="72"/>
  <c r="Y1072" i="72"/>
  <c r="T772" i="72"/>
  <c r="U772" i="72"/>
  <c r="U810" i="72"/>
  <c r="V810" i="72"/>
  <c r="W810" i="72"/>
  <c r="Q144" i="72"/>
  <c r="R144" i="72"/>
  <c r="R153" i="72"/>
  <c r="S153" i="72"/>
  <c r="T780" i="72"/>
  <c r="U726" i="72"/>
  <c r="V726" i="72"/>
  <c r="Q1095" i="72"/>
  <c r="R1095" i="72"/>
  <c r="S1095" i="72"/>
  <c r="P34" i="72"/>
  <c r="Q34" i="72"/>
  <c r="R34" i="72"/>
  <c r="Q1173" i="72"/>
  <c r="Q511" i="72"/>
  <c r="R511" i="72"/>
  <c r="W736" i="72"/>
  <c r="Y736" i="72"/>
  <c r="S764" i="72"/>
  <c r="T764" i="72"/>
  <c r="U774" i="72"/>
  <c r="V774" i="72"/>
  <c r="T886" i="72"/>
  <c r="V720" i="72"/>
  <c r="W720" i="72"/>
  <c r="U809" i="72"/>
  <c r="V809" i="72"/>
  <c r="W809" i="72"/>
  <c r="Y809" i="72"/>
  <c r="T852" i="72"/>
  <c r="U852" i="72"/>
  <c r="V852" i="72"/>
  <c r="O104" i="72"/>
  <c r="P104" i="72"/>
  <c r="Q104" i="72"/>
  <c r="P10" i="72"/>
  <c r="Q10" i="72"/>
  <c r="Q182" i="72"/>
  <c r="Q625" i="72"/>
  <c r="P1182" i="72"/>
  <c r="Q1182" i="72"/>
  <c r="R1182" i="72"/>
  <c r="P90" i="72"/>
  <c r="Q90" i="72"/>
  <c r="R753" i="72"/>
  <c r="S753" i="72"/>
  <c r="T753" i="72"/>
  <c r="U753" i="72"/>
  <c r="V753" i="72"/>
  <c r="O111" i="72"/>
  <c r="P111" i="72"/>
  <c r="P1252" i="72"/>
  <c r="S1051" i="72"/>
  <c r="T1051" i="72"/>
  <c r="U1035" i="72"/>
  <c r="V1035" i="72"/>
  <c r="W1035" i="72"/>
  <c r="Q214" i="72"/>
  <c r="R214" i="72"/>
  <c r="R1240" i="72"/>
  <c r="S1240" i="72"/>
  <c r="P1083" i="72"/>
  <c r="Q1083" i="72"/>
  <c r="P1307" i="72"/>
  <c r="Q1307" i="72"/>
  <c r="R1100" i="72"/>
  <c r="S1100" i="72"/>
  <c r="P91" i="72"/>
  <c r="Q91" i="72"/>
  <c r="Q1187" i="72"/>
  <c r="R1187" i="72"/>
  <c r="Q384" i="72"/>
  <c r="R223" i="72"/>
  <c r="S223" i="72"/>
  <c r="R283" i="72"/>
  <c r="S283" i="72"/>
  <c r="P314" i="72"/>
  <c r="Q314" i="72"/>
  <c r="S392" i="72"/>
  <c r="T392" i="72"/>
  <c r="P192" i="72"/>
  <c r="Q192" i="72"/>
  <c r="R192" i="72"/>
  <c r="Q1195" i="72"/>
  <c r="R1195" i="72"/>
  <c r="Q169" i="72"/>
  <c r="R169" i="72"/>
  <c r="Q444" i="72"/>
  <c r="R444" i="72"/>
  <c r="S1334" i="72"/>
  <c r="P571" i="72"/>
  <c r="Q571" i="72"/>
  <c r="R571" i="72"/>
  <c r="Q542" i="72"/>
  <c r="Q129" i="72"/>
  <c r="R129" i="72"/>
  <c r="S129" i="72"/>
  <c r="S1121" i="72"/>
  <c r="T1121" i="72"/>
  <c r="P375" i="72"/>
  <c r="Q375" i="72"/>
  <c r="R375" i="72"/>
  <c r="R145" i="72"/>
  <c r="S145" i="72"/>
  <c r="Q336" i="72"/>
  <c r="R336" i="72"/>
  <c r="P519" i="72"/>
  <c r="Q519" i="72"/>
  <c r="P548" i="72"/>
  <c r="Q548" i="72"/>
  <c r="R548" i="72"/>
  <c r="P128" i="72"/>
  <c r="Q128" i="72"/>
  <c r="P595" i="72"/>
  <c r="Q595" i="72"/>
  <c r="R595" i="72"/>
  <c r="Q394" i="72"/>
  <c r="R394" i="72"/>
  <c r="S394" i="72"/>
  <c r="P376" i="72"/>
  <c r="Q376" i="72"/>
  <c r="R161" i="72"/>
  <c r="S161" i="72"/>
  <c r="P457" i="72"/>
  <c r="Q457" i="72"/>
  <c r="Q50" i="72"/>
  <c r="R50" i="72"/>
  <c r="Q1343" i="72"/>
  <c r="R47" i="72"/>
  <c r="O64" i="72"/>
  <c r="P64" i="72"/>
  <c r="Q607" i="72"/>
  <c r="R607" i="72"/>
  <c r="Q20" i="72"/>
  <c r="R20" i="72"/>
  <c r="S20" i="72"/>
  <c r="P197" i="72"/>
  <c r="Q197" i="72"/>
  <c r="P262" i="72"/>
  <c r="Q262" i="72"/>
  <c r="R1065" i="72"/>
  <c r="Q425" i="72"/>
  <c r="R425" i="72"/>
  <c r="R348" i="72"/>
  <c r="S348" i="72"/>
  <c r="Q224" i="72"/>
  <c r="R224" i="72"/>
  <c r="O249" i="72"/>
  <c r="P249" i="72"/>
  <c r="R479" i="72"/>
  <c r="S479" i="72"/>
  <c r="P1270" i="72"/>
  <c r="Q1270" i="72"/>
  <c r="P251" i="72"/>
  <c r="Q251" i="72"/>
  <c r="P1294" i="72"/>
  <c r="Q1294" i="72"/>
  <c r="P1241" i="72"/>
  <c r="Q1241" i="72"/>
  <c r="R897" i="72"/>
  <c r="O67" i="72"/>
  <c r="P67" i="72"/>
  <c r="S912" i="72"/>
  <c r="P685" i="72"/>
  <c r="Q685" i="72"/>
  <c r="R685" i="72"/>
  <c r="S880" i="72"/>
  <c r="P39" i="72"/>
  <c r="Q39" i="72"/>
  <c r="R39" i="72"/>
  <c r="P147" i="72"/>
  <c r="Q147" i="72"/>
  <c r="R147" i="72"/>
  <c r="P1315" i="72"/>
  <c r="Q1315" i="72"/>
  <c r="R1315" i="72"/>
  <c r="Q1190" i="72"/>
  <c r="R1190" i="72"/>
  <c r="Q330" i="72"/>
  <c r="R330" i="72"/>
  <c r="Q464" i="72"/>
  <c r="R464" i="72"/>
  <c r="P307" i="72"/>
  <c r="Q307" i="72"/>
  <c r="R885" i="72"/>
  <c r="S303" i="72"/>
  <c r="T303" i="72"/>
  <c r="P608" i="72"/>
  <c r="Q608" i="72"/>
  <c r="R608" i="72"/>
  <c r="P437" i="72"/>
  <c r="Q437" i="72"/>
  <c r="R437" i="72"/>
  <c r="S844" i="72"/>
  <c r="P1144" i="72"/>
  <c r="Q1144" i="72"/>
  <c r="R1144" i="72"/>
  <c r="S1144" i="72"/>
  <c r="T1144" i="72"/>
  <c r="U1144" i="72"/>
  <c r="P1105" i="72"/>
  <c r="S184" i="72"/>
  <c r="T184" i="72"/>
  <c r="P651" i="72"/>
  <c r="S527" i="72"/>
  <c r="T527" i="72"/>
  <c r="U527" i="72"/>
  <c r="S804" i="72"/>
  <c r="T804" i="72"/>
  <c r="S872" i="72"/>
  <c r="U943" i="72"/>
  <c r="V943" i="72"/>
  <c r="T1022" i="72"/>
  <c r="U1022" i="72"/>
  <c r="V1022" i="72"/>
  <c r="S808" i="72"/>
  <c r="S705" i="72"/>
  <c r="R733" i="72"/>
  <c r="S733" i="72"/>
  <c r="T697" i="72"/>
  <c r="U697" i="72"/>
  <c r="V697" i="72"/>
  <c r="W697" i="72"/>
  <c r="T1073" i="72"/>
  <c r="U1073" i="72"/>
  <c r="S476" i="72"/>
  <c r="U727" i="72"/>
  <c r="P53" i="72"/>
  <c r="S864" i="72"/>
  <c r="T864" i="72"/>
  <c r="U864" i="72"/>
  <c r="T782" i="72"/>
  <c r="U782" i="72"/>
  <c r="S1040" i="72"/>
  <c r="P509" i="72"/>
  <c r="U1034" i="72"/>
  <c r="V866" i="72"/>
  <c r="W866" i="72"/>
  <c r="W706" i="72"/>
  <c r="Y706" i="72"/>
  <c r="S955" i="72"/>
  <c r="T955" i="72"/>
  <c r="P565" i="72"/>
  <c r="Q565" i="72"/>
  <c r="R565" i="72"/>
  <c r="T771" i="72"/>
  <c r="U771" i="72"/>
  <c r="V771" i="72"/>
  <c r="W771" i="72"/>
  <c r="V773" i="72"/>
  <c r="U805" i="72"/>
  <c r="V805" i="72"/>
  <c r="W805" i="72"/>
  <c r="Y805" i="72"/>
  <c r="P600" i="72"/>
  <c r="Q600" i="72"/>
  <c r="R600" i="72"/>
  <c r="S261" i="72"/>
  <c r="P419" i="72"/>
  <c r="Q419" i="72"/>
  <c r="R419" i="72"/>
  <c r="R450" i="72"/>
  <c r="S450" i="72"/>
  <c r="T450" i="72"/>
  <c r="P1275" i="72"/>
  <c r="P386" i="72"/>
  <c r="Q386" i="72"/>
  <c r="R386" i="72"/>
  <c r="R974" i="72"/>
  <c r="S974" i="72"/>
  <c r="T974" i="72"/>
  <c r="P1092" i="72"/>
  <c r="Q1092" i="72"/>
  <c r="O101" i="72"/>
  <c r="P101" i="72"/>
  <c r="S963" i="72"/>
  <c r="T963" i="72"/>
  <c r="R918" i="72"/>
  <c r="S918" i="72"/>
  <c r="P676" i="72"/>
  <c r="S1278" i="72"/>
  <c r="P1259" i="72"/>
  <c r="Q1259" i="72"/>
  <c r="R1259" i="72"/>
  <c r="S1259" i="72"/>
  <c r="U1008" i="72"/>
  <c r="V1008" i="72"/>
  <c r="Q22" i="72"/>
  <c r="R22" i="72"/>
  <c r="Q100" i="72"/>
  <c r="R459" i="72"/>
  <c r="Q279" i="72"/>
  <c r="R279" i="72"/>
  <c r="P311" i="72"/>
  <c r="Q311" i="72"/>
  <c r="R311" i="72"/>
  <c r="P363" i="72"/>
  <c r="P1208" i="72"/>
  <c r="Q1208" i="72"/>
  <c r="Q222" i="72"/>
  <c r="R222" i="72"/>
  <c r="P590" i="72"/>
  <c r="Q590" i="72"/>
  <c r="Q1157" i="72"/>
  <c r="R1157" i="72"/>
  <c r="S817" i="72"/>
  <c r="T817" i="72"/>
  <c r="P1221" i="72"/>
  <c r="Q1221" i="72"/>
  <c r="P1302" i="72"/>
  <c r="P626" i="72"/>
  <c r="P290" i="72"/>
  <c r="Q290" i="72"/>
  <c r="R290" i="72"/>
  <c r="P391" i="72"/>
  <c r="Q391" i="72"/>
  <c r="S123" i="72"/>
  <c r="T123" i="72"/>
  <c r="P211" i="72"/>
  <c r="R1118" i="72"/>
  <c r="S1118" i="72"/>
  <c r="Q500" i="72"/>
  <c r="R500" i="72"/>
  <c r="P549" i="72"/>
  <c r="Q549" i="72"/>
  <c r="R549" i="72"/>
  <c r="P573" i="72"/>
  <c r="Q573" i="72"/>
  <c r="P1138" i="72"/>
  <c r="Q1138" i="72"/>
  <c r="P515" i="72"/>
  <c r="Q515" i="72"/>
  <c r="R515" i="72"/>
  <c r="S530" i="72"/>
  <c r="P675" i="72"/>
  <c r="Q675" i="72"/>
  <c r="R675" i="72"/>
  <c r="R40" i="72"/>
  <c r="S40" i="72"/>
  <c r="P1163" i="72"/>
  <c r="Q1163" i="72"/>
  <c r="R1163" i="72"/>
  <c r="Q16" i="72"/>
  <c r="P1269" i="72"/>
  <c r="Q1269" i="72"/>
  <c r="R1269" i="72"/>
  <c r="R585" i="72"/>
  <c r="S585" i="72"/>
  <c r="T585" i="72"/>
  <c r="P482" i="72"/>
  <c r="Q482" i="72"/>
  <c r="R482" i="72"/>
  <c r="Q200" i="72"/>
  <c r="R200" i="72"/>
  <c r="Q572" i="72"/>
  <c r="P1226" i="72"/>
  <c r="P1284" i="72"/>
  <c r="P1220" i="72"/>
  <c r="P1108" i="72"/>
  <c r="P451" i="72"/>
  <c r="Q451" i="72"/>
  <c r="R281" i="72"/>
  <c r="P32" i="72"/>
  <c r="S990" i="72"/>
  <c r="T990" i="72"/>
  <c r="O66" i="72"/>
  <c r="S1006" i="72"/>
  <c r="T1006" i="72"/>
  <c r="P1310" i="72"/>
  <c r="Q1310" i="72"/>
  <c r="Q78" i="72"/>
  <c r="R78" i="72"/>
  <c r="P1141" i="72"/>
  <c r="Q1141" i="72"/>
  <c r="R1141" i="72"/>
  <c r="S1141" i="72"/>
  <c r="P1230" i="72"/>
  <c r="Q1230" i="72"/>
  <c r="T1067" i="72"/>
  <c r="P1177" i="72"/>
  <c r="S973" i="72"/>
  <c r="P199" i="72"/>
  <c r="Q199" i="72"/>
  <c r="R199" i="72"/>
  <c r="O28" i="72"/>
  <c r="P28" i="72"/>
  <c r="T1057" i="72"/>
  <c r="U1057" i="72"/>
  <c r="O1296" i="72"/>
  <c r="P1296" i="72"/>
  <c r="Q1296" i="72"/>
  <c r="R1296" i="72"/>
  <c r="P193" i="72"/>
  <c r="Q193" i="72"/>
  <c r="R193" i="72"/>
  <c r="Q688" i="72"/>
  <c r="P152" i="72"/>
  <c r="Q152" i="72"/>
  <c r="R152" i="72"/>
  <c r="R1147" i="72"/>
  <c r="S1147" i="72"/>
  <c r="R1328" i="72"/>
  <c r="S1328" i="72"/>
  <c r="P657" i="72"/>
  <c r="P1254" i="72"/>
  <c r="Q1254" i="72"/>
  <c r="R1254" i="72"/>
  <c r="P233" i="72"/>
  <c r="Q233" i="72"/>
  <c r="R233" i="72"/>
  <c r="P1288" i="72"/>
  <c r="P432" i="72"/>
  <c r="P540" i="72"/>
  <c r="Q15" i="72"/>
  <c r="R15" i="72"/>
  <c r="S648" i="72"/>
  <c r="T648" i="72"/>
  <c r="S383" i="72"/>
  <c r="S750" i="72"/>
  <c r="T750" i="72"/>
  <c r="S739" i="72"/>
  <c r="T739" i="72"/>
  <c r="W815" i="72"/>
  <c r="Y815" i="72"/>
  <c r="V792" i="72"/>
  <c r="W792" i="72"/>
  <c r="Y792" i="72"/>
  <c r="T825" i="72"/>
  <c r="T1068" i="72"/>
  <c r="T800" i="72"/>
  <c r="U800" i="72"/>
  <c r="V800" i="72"/>
  <c r="W800" i="72"/>
  <c r="Y800" i="72"/>
  <c r="T1074" i="72"/>
  <c r="S719" i="72"/>
  <c r="T719" i="72"/>
  <c r="U719" i="72"/>
  <c r="U987" i="72"/>
  <c r="U823" i="72"/>
  <c r="P538" i="72"/>
  <c r="Q538" i="72"/>
  <c r="R538" i="72"/>
  <c r="S1086" i="72"/>
  <c r="T1086" i="72"/>
  <c r="S313" i="72"/>
  <c r="T313" i="72"/>
  <c r="U313" i="72"/>
  <c r="P605" i="72"/>
  <c r="S660" i="72"/>
  <c r="S916" i="72"/>
  <c r="T916" i="72"/>
  <c r="U978" i="72"/>
  <c r="V978" i="72"/>
  <c r="W978" i="72"/>
  <c r="Y978" i="72"/>
  <c r="P1249" i="72"/>
  <c r="T985" i="72"/>
  <c r="U985" i="72"/>
  <c r="V985" i="72"/>
  <c r="T995" i="72"/>
  <c r="U995" i="72"/>
  <c r="P1286" i="72"/>
  <c r="Q1286" i="72"/>
  <c r="U906" i="72"/>
  <c r="V906" i="72"/>
  <c r="P159" i="72"/>
  <c r="Q159" i="72"/>
  <c r="P1279" i="72"/>
  <c r="P442" i="72"/>
  <c r="Q442" i="72"/>
  <c r="P687" i="72"/>
  <c r="Q687" i="72"/>
  <c r="R687" i="72"/>
  <c r="P335" i="72"/>
  <c r="Q335" i="72"/>
  <c r="R335" i="72"/>
  <c r="P683" i="72"/>
  <c r="S942" i="72"/>
  <c r="T942" i="72"/>
  <c r="Q591" i="72"/>
  <c r="R591" i="72"/>
  <c r="P1156" i="72"/>
  <c r="Q1156" i="72"/>
  <c r="P172" i="72"/>
  <c r="Q172" i="72"/>
  <c r="R172" i="72"/>
  <c r="P492" i="72"/>
  <c r="Q492" i="72"/>
  <c r="P254" i="72"/>
  <c r="Q17" i="72"/>
  <c r="R17" i="72"/>
  <c r="P156" i="72"/>
  <c r="Q156" i="72"/>
  <c r="P1123" i="72"/>
  <c r="P43" i="72"/>
  <c r="Q43" i="72"/>
  <c r="P615" i="72"/>
  <c r="Q615" i="72"/>
  <c r="R615" i="72"/>
  <c r="P1113" i="72"/>
  <c r="S329" i="72"/>
  <c r="T329" i="72"/>
  <c r="U329" i="72"/>
  <c r="S1135" i="72"/>
  <c r="Q1125" i="72"/>
  <c r="R1125" i="72"/>
  <c r="P1247" i="72"/>
  <c r="Q1247" i="72"/>
  <c r="R1247" i="72"/>
  <c r="S1247" i="72"/>
  <c r="P243" i="72"/>
  <c r="Q243" i="72"/>
  <c r="R510" i="72"/>
  <c r="S510" i="72"/>
  <c r="T510" i="72"/>
  <c r="P1255" i="72"/>
  <c r="Q1255" i="72"/>
  <c r="R1255" i="72"/>
  <c r="S1255" i="72"/>
  <c r="Q1198" i="72"/>
  <c r="R1198" i="72"/>
  <c r="P268" i="72"/>
  <c r="Q268" i="72"/>
  <c r="R268" i="72"/>
  <c r="S268" i="72"/>
  <c r="T268" i="72"/>
  <c r="P21" i="72"/>
  <c r="Q21" i="72"/>
  <c r="R21" i="72"/>
  <c r="R1280" i="72"/>
  <c r="P578" i="72"/>
  <c r="Q349" i="72"/>
  <c r="O1306" i="72"/>
  <c r="P1306" i="72"/>
  <c r="Q1306" i="72"/>
  <c r="R1306" i="72"/>
  <c r="R517" i="72"/>
  <c r="S517" i="72"/>
  <c r="Q433" i="72"/>
  <c r="Q574" i="72"/>
  <c r="R574" i="72"/>
  <c r="S574" i="72"/>
  <c r="S964" i="72"/>
  <c r="T964" i="72"/>
  <c r="U964" i="72"/>
  <c r="V964" i="72"/>
  <c r="S972" i="72"/>
  <c r="P1309" i="72"/>
  <c r="Q1309" i="72"/>
  <c r="R1309" i="72"/>
  <c r="P673" i="72"/>
  <c r="O275" i="72"/>
  <c r="P275" i="72"/>
  <c r="Q275" i="72"/>
  <c r="P1149" i="72"/>
  <c r="Q1149" i="72"/>
  <c r="R1149" i="72"/>
  <c r="S1149" i="72"/>
  <c r="O245" i="72"/>
  <c r="P245" i="72"/>
  <c r="Q245" i="72"/>
  <c r="S889" i="72"/>
  <c r="Q1194" i="72"/>
  <c r="R1194" i="72"/>
  <c r="S1194" i="72"/>
  <c r="Q1216" i="72"/>
  <c r="R1216" i="72"/>
  <c r="S902" i="72"/>
  <c r="T902" i="72"/>
  <c r="P579" i="72"/>
  <c r="Q286" i="72"/>
  <c r="S948" i="72"/>
  <c r="T948" i="72"/>
  <c r="R1093" i="72"/>
  <c r="P449" i="72"/>
  <c r="Q449" i="72"/>
  <c r="R449" i="72"/>
  <c r="S717" i="72"/>
  <c r="P18" i="72"/>
  <c r="Q469" i="72"/>
  <c r="R469" i="72"/>
  <c r="P1103" i="72"/>
  <c r="S667" i="72"/>
  <c r="O112" i="72"/>
  <c r="P1168" i="72"/>
  <c r="P9" i="72"/>
  <c r="S757" i="72"/>
  <c r="T757" i="72"/>
  <c r="U757" i="72"/>
  <c r="V757" i="72"/>
  <c r="W757" i="72"/>
  <c r="Q127" i="72"/>
  <c r="P524" i="72"/>
  <c r="Q524" i="72"/>
  <c r="R524" i="72"/>
  <c r="P308" i="72"/>
  <c r="Q308" i="72"/>
  <c r="R308" i="72"/>
  <c r="P408" i="72"/>
  <c r="Q408" i="72"/>
  <c r="O97" i="72"/>
  <c r="P149" i="72"/>
  <c r="P417" i="72"/>
  <c r="Q417" i="72"/>
  <c r="S604" i="72"/>
  <c r="S876" i="72"/>
  <c r="T876" i="72"/>
  <c r="U876" i="72"/>
  <c r="S176" i="72"/>
  <c r="T176" i="72"/>
  <c r="U176" i="72"/>
  <c r="U723" i="72"/>
  <c r="V723" i="72"/>
  <c r="T142" i="72"/>
  <c r="U142" i="72"/>
  <c r="T939" i="72"/>
  <c r="U939" i="72"/>
  <c r="T729" i="72"/>
  <c r="U729" i="72"/>
  <c r="V729" i="72"/>
  <c r="T1032" i="72"/>
  <c r="S44" i="72"/>
  <c r="T44" i="72"/>
  <c r="U44" i="72"/>
  <c r="S424" i="72"/>
  <c r="T424" i="72"/>
  <c r="V967" i="72"/>
  <c r="W967" i="72"/>
  <c r="U917" i="72"/>
  <c r="V917" i="72"/>
  <c r="W917" i="72"/>
  <c r="Y917" i="72"/>
  <c r="T869" i="72"/>
  <c r="U869" i="72"/>
  <c r="S258" i="72"/>
  <c r="T258" i="72"/>
  <c r="U258" i="72"/>
  <c r="T695" i="72"/>
  <c r="P567" i="72"/>
  <c r="Q369" i="72"/>
  <c r="R369" i="72"/>
  <c r="P647" i="72"/>
  <c r="Q647" i="72"/>
  <c r="R647" i="72"/>
  <c r="R828" i="72"/>
  <c r="S486" i="72"/>
  <c r="T486" i="72"/>
  <c r="P1312" i="72"/>
  <c r="Q1312" i="72"/>
  <c r="P75" i="72"/>
  <c r="Q75" i="72"/>
  <c r="R75" i="72"/>
  <c r="P460" i="72"/>
  <c r="Q460" i="72"/>
  <c r="R460" i="72"/>
  <c r="R560" i="72"/>
  <c r="S560" i="72"/>
  <c r="Q1189" i="72"/>
  <c r="S888" i="72"/>
  <c r="T888" i="72"/>
  <c r="Q345" i="72"/>
  <c r="S1131" i="72"/>
  <c r="R405" i="72"/>
  <c r="S405" i="72"/>
  <c r="T405" i="72"/>
  <c r="U405" i="72"/>
  <c r="P529" i="72"/>
  <c r="P225" i="72"/>
  <c r="Q225" i="72"/>
  <c r="R225" i="72"/>
  <c r="Q422" i="72"/>
  <c r="R422" i="72"/>
  <c r="P340" i="72"/>
  <c r="Q340" i="72"/>
  <c r="R340" i="72"/>
  <c r="Q372" i="72"/>
  <c r="R372" i="72"/>
  <c r="R575" i="72"/>
  <c r="Q533" i="72"/>
  <c r="R533" i="72"/>
  <c r="Q672" i="72"/>
  <c r="R672" i="72"/>
  <c r="S135" i="72"/>
  <c r="T135" i="72"/>
  <c r="U135" i="72"/>
  <c r="P6" i="72"/>
  <c r="Q6" i="72"/>
  <c r="Q379" i="72"/>
  <c r="R379" i="72"/>
  <c r="Q270" i="72"/>
  <c r="R270" i="72"/>
  <c r="S270" i="72"/>
  <c r="Q637" i="72"/>
  <c r="R637" i="72"/>
  <c r="R543" i="72"/>
  <c r="P535" i="72"/>
  <c r="Q535" i="72"/>
  <c r="S328" i="72"/>
  <c r="T328" i="72"/>
  <c r="R373" i="72"/>
  <c r="S373" i="72"/>
  <c r="Q564" i="72"/>
  <c r="R564" i="72"/>
  <c r="P52" i="72"/>
  <c r="Q52" i="72"/>
  <c r="P143" i="72"/>
  <c r="Q143" i="72"/>
  <c r="P12" i="72"/>
  <c r="Q12" i="72"/>
  <c r="R12" i="72"/>
  <c r="R190" i="72"/>
  <c r="P164" i="72"/>
  <c r="Q164" i="72"/>
  <c r="Q99" i="72"/>
  <c r="P118" i="72"/>
  <c r="Q118" i="72"/>
  <c r="P493" i="72"/>
  <c r="Q493" i="72"/>
  <c r="R493" i="72"/>
  <c r="P467" i="72"/>
  <c r="Q467" i="72"/>
  <c r="R467" i="72"/>
  <c r="Q485" i="72"/>
  <c r="R485" i="72"/>
  <c r="P205" i="72"/>
  <c r="Q205" i="72"/>
  <c r="R205" i="72"/>
  <c r="P1094" i="72"/>
  <c r="Q1094" i="72"/>
  <c r="R1094" i="72"/>
  <c r="S421" i="72"/>
  <c r="T421" i="72"/>
  <c r="U421" i="72"/>
  <c r="O246" i="72"/>
  <c r="P246" i="72"/>
  <c r="Q246" i="72"/>
  <c r="R246" i="72"/>
  <c r="T1020" i="72"/>
  <c r="Q8" i="72"/>
  <c r="R8" i="72"/>
  <c r="P339" i="72"/>
  <c r="Q339" i="72"/>
  <c r="P576" i="72"/>
  <c r="Q576" i="72"/>
  <c r="R411" i="72"/>
  <c r="S411" i="72"/>
  <c r="Q1087" i="72"/>
  <c r="R1087" i="72"/>
  <c r="P1245" i="72"/>
  <c r="Q1245" i="72"/>
  <c r="R1245" i="72"/>
  <c r="P121" i="72"/>
  <c r="Q121" i="72"/>
  <c r="R121" i="72"/>
  <c r="P582" i="72"/>
  <c r="Q582" i="72"/>
  <c r="Q593" i="72"/>
  <c r="R593" i="72"/>
  <c r="P266" i="72"/>
  <c r="R88" i="72"/>
  <c r="O113" i="72"/>
  <c r="P643" i="72"/>
  <c r="R1012" i="72"/>
  <c r="S1012" i="72"/>
  <c r="O71" i="72"/>
  <c r="P71" i="72"/>
  <c r="S892" i="72"/>
  <c r="R390" i="72"/>
  <c r="P256" i="72"/>
  <c r="Q256" i="72"/>
  <c r="R256" i="72"/>
  <c r="P293" i="72"/>
  <c r="P473" i="72"/>
  <c r="O277" i="72"/>
  <c r="P277" i="72"/>
  <c r="Q277" i="72"/>
  <c r="P120" i="72"/>
  <c r="O26" i="72"/>
  <c r="P26" i="72"/>
  <c r="O276" i="72"/>
  <c r="P276" i="72"/>
  <c r="P1169" i="72"/>
  <c r="Q1169" i="72"/>
  <c r="R13" i="72"/>
  <c r="S13" i="72"/>
  <c r="R130" i="72"/>
  <c r="P602" i="72"/>
  <c r="Q602" i="72"/>
  <c r="R602" i="72"/>
  <c r="T708" i="72"/>
  <c r="P155" i="72"/>
  <c r="Q1120" i="72"/>
  <c r="S639" i="72"/>
  <c r="P93" i="72"/>
  <c r="S1164" i="72"/>
  <c r="P611" i="72"/>
  <c r="Q611" i="72"/>
  <c r="R611" i="72"/>
  <c r="P655" i="72"/>
  <c r="Q655" i="72"/>
  <c r="P378" i="72"/>
  <c r="Q378" i="72"/>
  <c r="R378" i="72"/>
  <c r="P653" i="72"/>
  <c r="Q653" i="72"/>
  <c r="R653" i="72"/>
  <c r="S818" i="72"/>
  <c r="U1015" i="72"/>
  <c r="V1015" i="72"/>
  <c r="W1015" i="72"/>
  <c r="U781" i="72"/>
  <c r="V781" i="72"/>
  <c r="W781" i="72"/>
  <c r="S746" i="72"/>
  <c r="T746" i="72"/>
  <c r="W747" i="72"/>
  <c r="Y747" i="72"/>
  <c r="T1023" i="72"/>
  <c r="V937" i="72"/>
  <c r="V1058" i="72"/>
  <c r="U894" i="72"/>
  <c r="V894" i="72"/>
  <c r="W894" i="72"/>
  <c r="Y933" i="72"/>
  <c r="T890" i="72"/>
  <c r="U890" i="72"/>
  <c r="V890" i="72"/>
  <c r="T550" i="72"/>
  <c r="P291" i="72"/>
  <c r="T1077" i="72"/>
  <c r="U1077" i="72"/>
  <c r="P1097" i="72"/>
  <c r="Q1097" i="72"/>
  <c r="R1097" i="72"/>
  <c r="S1097" i="72"/>
  <c r="T1097" i="72"/>
  <c r="S650" i="72"/>
  <c r="T650" i="72"/>
  <c r="P1277" i="72"/>
  <c r="V703" i="72"/>
  <c r="W703" i="72"/>
  <c r="Y703" i="72"/>
  <c r="T777" i="72"/>
  <c r="T935" i="72"/>
  <c r="U935" i="72"/>
  <c r="S858" i="72"/>
  <c r="T858" i="72"/>
  <c r="U1089" i="72"/>
  <c r="V1089" i="72"/>
  <c r="W1089" i="72"/>
  <c r="P366" i="72"/>
  <c r="S412" i="72"/>
  <c r="T412" i="72"/>
  <c r="P1181" i="72"/>
  <c r="Q1181" i="72"/>
  <c r="R1181" i="72"/>
  <c r="P323" i="72"/>
  <c r="Q323" i="72"/>
  <c r="Q638" i="72"/>
  <c r="R638" i="72"/>
  <c r="P622" i="72"/>
  <c r="Q622" i="72"/>
  <c r="R622" i="72"/>
  <c r="Q360" i="72"/>
  <c r="R360" i="72"/>
  <c r="Q528" i="72"/>
  <c r="P1160" i="72"/>
  <c r="Q1160" i="72"/>
  <c r="P679" i="72"/>
  <c r="P146" i="72"/>
  <c r="Q146" i="72"/>
  <c r="R146" i="72"/>
  <c r="P387" i="72"/>
  <c r="Q387" i="72"/>
  <c r="R387" i="72"/>
  <c r="P227" i="72"/>
  <c r="P1326" i="72"/>
  <c r="Q318" i="72"/>
  <c r="T37" i="72"/>
  <c r="O1340" i="72"/>
  <c r="P1340" i="72"/>
  <c r="P1267" i="72"/>
  <c r="Q1267" i="72"/>
  <c r="Q397" i="72"/>
  <c r="Q617" i="72"/>
  <c r="R617" i="72"/>
  <c r="P385" i="72"/>
  <c r="Q385" i="72"/>
  <c r="P35" i="72"/>
  <c r="Q496" i="72"/>
  <c r="R496" i="72"/>
  <c r="O107" i="72"/>
  <c r="P107" i="72"/>
  <c r="Q107" i="72"/>
  <c r="Q171" i="72"/>
  <c r="R171" i="72"/>
  <c r="Q664" i="72"/>
  <c r="R664" i="72"/>
  <c r="P633" i="72"/>
  <c r="Q633" i="72"/>
  <c r="P623" i="72"/>
  <c r="Q623" i="72"/>
  <c r="P481" i="72"/>
  <c r="Q481" i="72"/>
  <c r="P420" i="72"/>
  <c r="P1231" i="72"/>
  <c r="Q1231" i="72"/>
  <c r="Q260" i="72"/>
  <c r="R260" i="72"/>
  <c r="P682" i="72"/>
  <c r="Q682" i="72"/>
  <c r="P1090" i="72"/>
  <c r="Q541" i="72"/>
  <c r="R541" i="72"/>
  <c r="P359" i="72"/>
  <c r="Q359" i="72"/>
  <c r="S393" i="72"/>
  <c r="P1336" i="72"/>
  <c r="Q1336" i="72"/>
  <c r="R1336" i="72"/>
  <c r="P46" i="72"/>
  <c r="Q46" i="72"/>
  <c r="R46" i="72"/>
  <c r="R215" i="72"/>
  <c r="S215" i="72"/>
  <c r="P1272" i="72"/>
  <c r="P162" i="72"/>
  <c r="Q162" i="72"/>
  <c r="R598" i="72"/>
  <c r="S598" i="72"/>
  <c r="P252" i="72"/>
  <c r="Q252" i="72"/>
  <c r="R252" i="72"/>
  <c r="P343" i="72"/>
  <c r="Q343" i="72"/>
  <c r="R343" i="72"/>
  <c r="Q429" i="72"/>
  <c r="R429" i="72"/>
  <c r="S429" i="72"/>
  <c r="Q1161" i="72"/>
  <c r="R1161" i="72"/>
  <c r="P581" i="72"/>
  <c r="Q581" i="72"/>
  <c r="R581" i="72"/>
  <c r="Q483" i="72"/>
  <c r="Q83" i="72"/>
  <c r="P435" i="72"/>
  <c r="Q435" i="72"/>
  <c r="R435" i="72"/>
  <c r="P117" i="72"/>
  <c r="Q117" i="72"/>
  <c r="P440" i="72"/>
  <c r="Q440" i="72"/>
  <c r="P324" i="72"/>
  <c r="P1295" i="72"/>
  <c r="P288" i="72"/>
  <c r="Q288" i="72"/>
  <c r="S895" i="72"/>
  <c r="T895" i="72"/>
  <c r="P85" i="72"/>
  <c r="Q85" i="72"/>
  <c r="O247" i="72"/>
  <c r="R1287" i="72"/>
  <c r="P616" i="72"/>
  <c r="P230" i="72"/>
  <c r="Q230" i="72"/>
  <c r="Q658" i="72"/>
  <c r="P1303" i="72"/>
  <c r="O109" i="72"/>
  <c r="P109" i="72"/>
  <c r="S961" i="72"/>
  <c r="T961" i="72"/>
  <c r="O27" i="72"/>
  <c r="P27" i="72"/>
  <c r="P1305" i="72"/>
  <c r="R1239" i="72"/>
  <c r="S925" i="72"/>
  <c r="T925" i="72"/>
  <c r="Q539" i="72"/>
  <c r="R539" i="72"/>
  <c r="R468" i="72"/>
  <c r="S468" i="72"/>
  <c r="R448" i="72"/>
  <c r="S448" i="72"/>
  <c r="P568" i="72"/>
  <c r="S1119" i="72"/>
  <c r="P640" i="72"/>
  <c r="P1084" i="72"/>
  <c r="Q1084" i="72"/>
  <c r="P474" i="72"/>
  <c r="Q280" i="72"/>
  <c r="S1102" i="72"/>
  <c r="S154" i="72"/>
  <c r="P661" i="72"/>
  <c r="Q661" i="72"/>
  <c r="R661" i="72"/>
  <c r="P407" i="72"/>
  <c r="P221" i="72"/>
  <c r="P409" i="72"/>
  <c r="S1139" i="72"/>
  <c r="P174" i="72"/>
  <c r="U741" i="72"/>
  <c r="W791" i="72"/>
  <c r="Y791" i="72"/>
  <c r="U993" i="72"/>
  <c r="T970" i="72"/>
  <c r="U968" i="72"/>
  <c r="V968" i="72"/>
  <c r="T981" i="72"/>
  <c r="U981" i="72"/>
  <c r="T1004" i="72"/>
  <c r="U743" i="72"/>
  <c r="V1075" i="72"/>
  <c r="W1075" i="72"/>
  <c r="Y1075" i="72"/>
  <c r="T1018" i="72"/>
  <c r="V959" i="72"/>
  <c r="W959" i="72"/>
  <c r="V30" i="72"/>
  <c r="S520" i="72"/>
  <c r="T520" i="72"/>
  <c r="U1063" i="72"/>
  <c r="P1308" i="72"/>
  <c r="S724" i="72"/>
  <c r="T724" i="72"/>
  <c r="U724" i="72"/>
  <c r="U798" i="72"/>
  <c r="V798" i="72"/>
  <c r="W798" i="72"/>
  <c r="P1344" i="72"/>
  <c r="V865" i="72"/>
  <c r="W865" i="72"/>
  <c r="Y865" i="72"/>
  <c r="S490" i="72"/>
  <c r="T490" i="72"/>
  <c r="U490" i="72"/>
  <c r="P87" i="72"/>
  <c r="Q87" i="72"/>
  <c r="T1050" i="72"/>
  <c r="U1050" i="72"/>
  <c r="U793" i="72"/>
  <c r="V793" i="72"/>
  <c r="W793" i="72"/>
  <c r="Y793" i="72"/>
  <c r="Q1251" i="72"/>
  <c r="R1251" i="72"/>
  <c r="Q597" i="72"/>
  <c r="P1258" i="72"/>
  <c r="R1030" i="72"/>
  <c r="P562" i="72"/>
  <c r="Q562" i="72"/>
  <c r="O98" i="72"/>
  <c r="O54" i="72"/>
  <c r="P54" i="72"/>
  <c r="S1053" i="72"/>
  <c r="T1053" i="72"/>
  <c r="R368" i="72"/>
  <c r="T811" i="72"/>
  <c r="U811" i="72"/>
  <c r="V811" i="72"/>
  <c r="W811" i="72"/>
  <c r="R802" i="72"/>
  <c r="S802" i="72"/>
  <c r="T802" i="72"/>
  <c r="U802" i="72"/>
  <c r="P150" i="72"/>
  <c r="Q150" i="72"/>
  <c r="Q669" i="72"/>
  <c r="T501" i="72"/>
  <c r="S125" i="72"/>
  <c r="T125" i="72"/>
  <c r="Q463" i="72"/>
  <c r="P285" i="72"/>
  <c r="P236" i="72"/>
  <c r="Q236" i="72"/>
  <c r="P1331" i="72"/>
  <c r="Q1331" i="72"/>
  <c r="P455" i="72"/>
  <c r="Q455" i="72"/>
  <c r="P228" i="72"/>
  <c r="Q228" i="72"/>
  <c r="P652" i="72"/>
  <c r="P596" i="72"/>
  <c r="R315" i="72"/>
  <c r="S315" i="72"/>
  <c r="P423" i="72"/>
  <c r="R612" i="72"/>
  <c r="P620" i="72"/>
  <c r="Q620" i="72"/>
  <c r="R620" i="72"/>
  <c r="P559" i="72"/>
  <c r="Q559" i="72"/>
  <c r="Q77" i="72"/>
  <c r="R77" i="72"/>
  <c r="S77" i="72"/>
  <c r="T77" i="72"/>
  <c r="U77" i="72"/>
  <c r="P1271" i="72"/>
  <c r="Q1271" i="72"/>
  <c r="R1271" i="72"/>
  <c r="O1314" i="72"/>
  <c r="P1248" i="72"/>
  <c r="P1299" i="72"/>
  <c r="Q1299" i="72"/>
  <c r="R1299" i="72"/>
  <c r="Q48" i="72"/>
  <c r="R48" i="72"/>
  <c r="S232" i="72"/>
  <c r="T232" i="72"/>
  <c r="Q195" i="72"/>
  <c r="P140" i="72"/>
  <c r="Q140" i="72"/>
  <c r="R140" i="72"/>
  <c r="R1178" i="72"/>
  <c r="S1178" i="72"/>
  <c r="T1178" i="72"/>
  <c r="R1133" i="72"/>
  <c r="Q518" i="72"/>
  <c r="R518" i="72"/>
  <c r="S518" i="72"/>
  <c r="R594" i="72"/>
  <c r="Q207" i="72"/>
  <c r="R413" i="72"/>
  <c r="P7" i="72"/>
  <c r="P234" i="72"/>
  <c r="Q234" i="72"/>
  <c r="T489" i="72"/>
  <c r="U489" i="72"/>
  <c r="V489" i="72"/>
  <c r="W489" i="72"/>
  <c r="Q29" i="72"/>
  <c r="P344" i="72"/>
  <c r="Q344" i="72"/>
  <c r="R344" i="72"/>
  <c r="P181" i="72"/>
  <c r="P1293" i="72"/>
  <c r="Q1293" i="72"/>
  <c r="R1293" i="72"/>
  <c r="Q305" i="72"/>
  <c r="Q522" i="72"/>
  <c r="R522" i="72"/>
  <c r="S921" i="72"/>
  <c r="T921" i="72"/>
  <c r="U921" i="72"/>
  <c r="V921" i="72"/>
  <c r="P1323" i="72"/>
  <c r="S1000" i="72"/>
  <c r="T1000" i="72"/>
  <c r="Q1140" i="72"/>
  <c r="P446" i="72"/>
  <c r="Q178" i="72"/>
  <c r="Q609" i="72"/>
  <c r="R609" i="72"/>
  <c r="S883" i="72"/>
  <c r="P333" i="72"/>
  <c r="Q333" i="72"/>
  <c r="Q389" i="72"/>
  <c r="R389" i="72"/>
  <c r="S1166" i="72"/>
  <c r="T1166" i="72"/>
  <c r="U1166" i="72"/>
  <c r="S465" i="72"/>
  <c r="T465" i="72"/>
  <c r="P1130" i="72"/>
  <c r="Q1130" i="72"/>
  <c r="R1130" i="72"/>
  <c r="S346" i="72"/>
  <c r="T346" i="72"/>
  <c r="U346" i="72"/>
  <c r="O106" i="72"/>
  <c r="T907" i="72"/>
  <c r="P431" i="72"/>
  <c r="Q431" i="72"/>
  <c r="R431" i="72"/>
  <c r="S1128" i="72"/>
  <c r="T1128" i="72"/>
  <c r="U1128" i="72"/>
  <c r="V1128" i="72"/>
  <c r="S502" i="72"/>
  <c r="T502" i="72"/>
  <c r="S654" i="72"/>
  <c r="P49" i="72"/>
  <c r="P57" i="72"/>
  <c r="P1085" i="72"/>
  <c r="P453" i="72"/>
  <c r="Q453" i="72"/>
  <c r="R453" i="72"/>
  <c r="S881" i="72"/>
  <c r="T881" i="72"/>
  <c r="S189" i="72"/>
  <c r="T189" i="72"/>
  <c r="U189" i="72"/>
  <c r="S868" i="72"/>
  <c r="T868" i="72"/>
  <c r="U868" i="72"/>
  <c r="P537" i="72"/>
  <c r="W887" i="72"/>
  <c r="Y887" i="72"/>
  <c r="T836" i="72"/>
  <c r="U836" i="72"/>
  <c r="V836" i="72"/>
  <c r="W836" i="72"/>
  <c r="T932" i="72"/>
  <c r="W1042" i="72"/>
  <c r="Y1042" i="72"/>
  <c r="V946" i="72"/>
  <c r="W946" i="72"/>
  <c r="Y946" i="72"/>
  <c r="W909" i="72"/>
  <c r="Y909" i="72"/>
  <c r="W862" i="72"/>
  <c r="Y862" i="72"/>
  <c r="W952" i="72"/>
  <c r="Y952" i="72"/>
  <c r="R853" i="72"/>
  <c r="V714" i="72"/>
  <c r="W714" i="72"/>
  <c r="Y714" i="72"/>
  <c r="U896" i="72"/>
  <c r="V896" i="72"/>
  <c r="W896" i="72"/>
  <c r="Y896" i="72"/>
  <c r="W762" i="72"/>
  <c r="Y762" i="72"/>
  <c r="W722" i="72"/>
  <c r="Y722" i="72"/>
  <c r="S1114" i="72"/>
  <c r="S588" i="72"/>
  <c r="S354" i="72"/>
  <c r="T354" i="72"/>
  <c r="S471" i="72"/>
  <c r="T471" i="72"/>
  <c r="P42" i="72"/>
  <c r="Q42" i="72"/>
  <c r="S158" i="72"/>
  <c r="T899" i="72"/>
  <c r="P217" i="72"/>
  <c r="S226" i="72"/>
  <c r="T226" i="72"/>
  <c r="P428" i="72"/>
  <c r="Q428" i="72"/>
  <c r="P364" i="72"/>
  <c r="Q364" i="72"/>
  <c r="R364" i="72"/>
  <c r="P532" i="72"/>
  <c r="Q532" i="72"/>
  <c r="Q1263" i="72"/>
  <c r="R1263" i="72"/>
  <c r="Q220" i="72"/>
  <c r="R220" i="72"/>
  <c r="S220" i="72"/>
  <c r="T220" i="72"/>
  <c r="Q139" i="72"/>
  <c r="R139" i="72"/>
  <c r="P684" i="72"/>
  <c r="Q684" i="72"/>
  <c r="R684" i="72"/>
  <c r="P327" i="72"/>
  <c r="Q19" i="72"/>
  <c r="R19" i="72"/>
  <c r="Q136" i="72"/>
  <c r="R136" i="72"/>
  <c r="R619" i="72"/>
  <c r="P212" i="72"/>
  <c r="Q212" i="72"/>
  <c r="R1150" i="72"/>
  <c r="S1150" i="72"/>
  <c r="T1150" i="72"/>
  <c r="U1150" i="72"/>
  <c r="P292" i="72"/>
  <c r="Q292" i="72"/>
  <c r="Q338" i="72"/>
  <c r="R338" i="72"/>
  <c r="S338" i="72"/>
  <c r="T338" i="72"/>
  <c r="R403" i="72"/>
  <c r="S403" i="72"/>
  <c r="Q213" i="72"/>
  <c r="Q507" i="72"/>
  <c r="R507" i="72"/>
  <c r="P274" i="72"/>
  <c r="P1227" i="72"/>
  <c r="P179" i="72"/>
  <c r="Q179" i="72"/>
  <c r="R179" i="72"/>
  <c r="O72" i="72"/>
  <c r="R122" i="72"/>
  <c r="S122" i="72"/>
  <c r="P95" i="72"/>
  <c r="Q95" i="72"/>
  <c r="R95" i="72"/>
  <c r="R966" i="72"/>
  <c r="S966" i="72"/>
  <c r="T966" i="72"/>
  <c r="P466" i="72"/>
  <c r="S913" i="72"/>
  <c r="T913" i="72"/>
  <c r="P556" i="72"/>
  <c r="Q556" i="72"/>
  <c r="P636" i="72"/>
  <c r="Q636" i="72"/>
  <c r="P631" i="72"/>
  <c r="Q494" i="72"/>
  <c r="S365" i="72"/>
  <c r="T365" i="72"/>
  <c r="U365" i="72"/>
  <c r="V365" i="72"/>
  <c r="P216" i="72"/>
  <c r="Q216" i="72"/>
  <c r="R216" i="72"/>
  <c r="R1137" i="72"/>
  <c r="R1276" i="72"/>
  <c r="S1276" i="72"/>
  <c r="P418" i="72"/>
  <c r="Q418" i="72"/>
  <c r="R418" i="72"/>
  <c r="P356" i="72"/>
  <c r="Q356" i="72"/>
  <c r="R356" i="72"/>
  <c r="P347" i="72"/>
  <c r="P416" i="72"/>
  <c r="Q416" i="72"/>
  <c r="R416" i="72"/>
  <c r="R306" i="72"/>
  <c r="Q341" i="72"/>
  <c r="R341" i="72"/>
  <c r="S341" i="72"/>
  <c r="Q265" i="72"/>
  <c r="R265" i="72"/>
  <c r="P434" i="72"/>
  <c r="Q434" i="72"/>
  <c r="R434" i="72"/>
  <c r="P531" i="72"/>
  <c r="Q531" i="72"/>
  <c r="S1009" i="72"/>
  <c r="T1009" i="72"/>
  <c r="U1043" i="72"/>
  <c r="V1043" i="72"/>
  <c r="W1043" i="72"/>
  <c r="Y1043" i="72"/>
  <c r="O1297" i="72"/>
  <c r="P1297" i="72"/>
  <c r="P287" i="72"/>
  <c r="Q287" i="72"/>
  <c r="R287" i="72"/>
  <c r="S287" i="72"/>
  <c r="P1300" i="72"/>
  <c r="Q1300" i="72"/>
  <c r="R1300" i="72"/>
  <c r="P84" i="72"/>
  <c r="Q84" i="72"/>
  <c r="P480" i="72"/>
  <c r="Q480" i="72"/>
  <c r="R628" i="72"/>
  <c r="S718" i="72"/>
  <c r="T718" i="72"/>
  <c r="U718" i="72"/>
  <c r="V718" i="72"/>
  <c r="Q1145" i="72"/>
  <c r="R1145" i="72"/>
  <c r="S124" i="72"/>
  <c r="T124" i="72"/>
  <c r="P406" i="72"/>
  <c r="P317" i="72"/>
  <c r="S693" i="72"/>
  <c r="T693" i="72"/>
  <c r="U693" i="72"/>
  <c r="P646" i="72"/>
  <c r="Q646" i="72"/>
  <c r="R646" i="72"/>
  <c r="P1246" i="72"/>
  <c r="Q1246" i="72"/>
  <c r="R1246" i="72"/>
  <c r="S512" i="72"/>
  <c r="T512" i="72"/>
  <c r="S514" i="72"/>
  <c r="T514" i="72"/>
  <c r="S194" i="72"/>
  <c r="S830" i="72"/>
  <c r="T830" i="72"/>
  <c r="P1341" i="72"/>
  <c r="Q1341" i="72"/>
  <c r="R1341" i="72"/>
  <c r="P177" i="72"/>
  <c r="T737" i="72"/>
  <c r="T845" i="72"/>
  <c r="U833" i="72"/>
  <c r="V833" i="72"/>
  <c r="W833" i="72"/>
  <c r="Y833" i="72"/>
  <c r="S1037" i="72"/>
  <c r="S936" i="72"/>
  <c r="T936" i="72"/>
  <c r="U936" i="72"/>
  <c r="V1060" i="72"/>
  <c r="W1060" i="72"/>
  <c r="T1049" i="72"/>
  <c r="U1049" i="72"/>
  <c r="V1049" i="72"/>
  <c r="U768" i="72"/>
  <c r="V768" i="72"/>
  <c r="S715" i="72"/>
  <c r="V1007" i="72"/>
  <c r="W1007" i="72"/>
  <c r="Y1007" i="72"/>
  <c r="T841" i="72"/>
  <c r="S166" i="72"/>
  <c r="P1127" i="72"/>
  <c r="T361" i="72"/>
  <c r="P65" i="72"/>
  <c r="W849" i="72"/>
  <c r="Y849" i="72"/>
  <c r="U996" i="72"/>
  <c r="V996" i="72"/>
  <c r="S977" i="72"/>
  <c r="T977" i="72"/>
  <c r="P644" i="72"/>
  <c r="S206" i="72"/>
  <c r="T206" i="72"/>
  <c r="U713" i="72"/>
  <c r="V713" i="72"/>
  <c r="W713" i="72"/>
  <c r="S730" i="72"/>
  <c r="S838" i="72"/>
  <c r="T875" i="72"/>
  <c r="U795" i="72"/>
  <c r="V795" i="72"/>
  <c r="W795" i="72"/>
  <c r="Y795" i="72"/>
  <c r="U584" i="72"/>
  <c r="V803" i="72"/>
  <c r="R783" i="72"/>
  <c r="S783" i="72"/>
  <c r="T783" i="72"/>
  <c r="P1282" i="72"/>
  <c r="T954" i="72"/>
  <c r="V813" i="72"/>
  <c r="W813" i="72"/>
  <c r="Y813" i="72"/>
  <c r="U1003" i="72"/>
  <c r="V878" i="72"/>
  <c r="W878" i="72"/>
  <c r="Y878" i="72"/>
  <c r="T976" i="72"/>
  <c r="U976" i="72"/>
  <c r="V976" i="72"/>
  <c r="U941" i="72"/>
  <c r="V997" i="72"/>
  <c r="W997" i="72"/>
  <c r="Y997" i="72"/>
  <c r="U696" i="72"/>
  <c r="Y710" i="72"/>
  <c r="V749" i="72"/>
  <c r="W749" i="72"/>
  <c r="S677" i="72"/>
  <c r="S1048" i="72"/>
  <c r="S554" i="72"/>
  <c r="T554" i="72"/>
  <c r="W860" i="72"/>
  <c r="Y860" i="72"/>
  <c r="T842" i="72"/>
  <c r="S908" i="72"/>
  <c r="T790" i="72"/>
  <c r="P662" i="72"/>
  <c r="V45" i="72"/>
  <c r="R904" i="72"/>
  <c r="S904" i="72"/>
  <c r="R969" i="72"/>
  <c r="P312" i="72"/>
  <c r="P1225" i="72"/>
  <c r="Q1225" i="72"/>
  <c r="W960" i="72"/>
  <c r="Y960" i="72"/>
  <c r="T721" i="72"/>
  <c r="U721" i="72"/>
  <c r="V721" i="72"/>
  <c r="P545" i="72"/>
  <c r="S965" i="72"/>
  <c r="T829" i="72"/>
  <c r="S1047" i="72"/>
  <c r="T1005" i="72"/>
  <c r="Y806" i="72"/>
  <c r="Y983" i="72"/>
  <c r="T752" i="72"/>
  <c r="U971" i="72"/>
  <c r="T1070" i="72"/>
  <c r="U1070" i="72"/>
  <c r="V1070" i="72"/>
  <c r="S832" i="72"/>
  <c r="P250" i="72"/>
  <c r="T1064" i="72"/>
  <c r="U1064" i="72"/>
  <c r="V1064" i="72"/>
  <c r="Y742" i="72"/>
  <c r="T863" i="72"/>
  <c r="U863" i="72"/>
  <c r="V863" i="72"/>
  <c r="V927" i="72"/>
  <c r="T709" i="72"/>
  <c r="U709" i="72"/>
  <c r="V709" i="72"/>
  <c r="W709" i="72"/>
  <c r="T1001" i="72"/>
  <c r="U1001" i="72"/>
  <c r="T835" i="72"/>
  <c r="U835" i="72"/>
  <c r="W769" i="72"/>
  <c r="Y769" i="72"/>
  <c r="T1071" i="72"/>
  <c r="U891" i="72"/>
  <c r="S870" i="72"/>
  <c r="T870" i="72"/>
  <c r="U870" i="72"/>
  <c r="V870" i="72"/>
  <c r="U940" i="72"/>
  <c r="V940" i="72"/>
  <c r="T949" i="72"/>
  <c r="U949" i="72"/>
  <c r="S767" i="72"/>
  <c r="W794" i="72"/>
  <c r="Y794" i="72"/>
  <c r="S681" i="72"/>
  <c r="U956" i="72"/>
  <c r="V956" i="72"/>
  <c r="W956" i="72"/>
  <c r="T1069" i="72"/>
  <c r="P634" i="72"/>
  <c r="Q634" i="72"/>
  <c r="P183" i="72"/>
  <c r="T911" i="72"/>
  <c r="U859" i="72"/>
  <c r="V859" i="72"/>
  <c r="W859" i="72"/>
  <c r="T980" i="72"/>
  <c r="U980" i="72"/>
  <c r="V980" i="72"/>
  <c r="W980" i="72"/>
  <c r="V760" i="72"/>
  <c r="W760" i="72"/>
  <c r="Y760" i="72"/>
  <c r="W827" i="72"/>
  <c r="Y827" i="72"/>
  <c r="T789" i="72"/>
  <c r="W958" i="72"/>
  <c r="Y958" i="72"/>
  <c r="T847" i="72"/>
  <c r="P668" i="72"/>
  <c r="T947" i="72"/>
  <c r="T861" i="72"/>
  <c r="U861" i="72"/>
  <c r="U867" i="72"/>
  <c r="V867" i="72"/>
  <c r="U801" i="72"/>
  <c r="V801" i="72"/>
  <c r="W801" i="72"/>
  <c r="Y801" i="72"/>
  <c r="T770" i="72"/>
  <c r="U770" i="72"/>
  <c r="V770" i="72"/>
  <c r="U986" i="72"/>
  <c r="U850" i="72"/>
  <c r="V850" i="72"/>
  <c r="W850" i="72"/>
  <c r="U884" i="72"/>
  <c r="S851" i="72"/>
  <c r="T851" i="72"/>
  <c r="P239" i="72"/>
  <c r="W915" i="72"/>
  <c r="Y915" i="72"/>
  <c r="T1044" i="72"/>
  <c r="W725" i="72"/>
  <c r="Y725" i="72"/>
  <c r="U998" i="72"/>
  <c r="V998" i="72"/>
  <c r="P187" i="72"/>
  <c r="P1176" i="72"/>
  <c r="S824" i="72"/>
  <c r="U754" i="72"/>
  <c r="V754" i="72"/>
  <c r="W754" i="72"/>
  <c r="Y754" i="72"/>
  <c r="S989" i="72"/>
  <c r="T989" i="72"/>
  <c r="U989" i="72"/>
  <c r="R1014" i="72"/>
  <c r="S1014" i="72"/>
  <c r="S822" i="72"/>
  <c r="S131" i="72"/>
  <c r="T716" i="72"/>
  <c r="U893" i="72"/>
  <c r="V893" i="72"/>
  <c r="W893" i="72"/>
  <c r="T751" i="72"/>
  <c r="U1039" i="72"/>
  <c r="T826" i="72"/>
  <c r="P458" i="72"/>
  <c r="Q458" i="72"/>
  <c r="R458" i="72"/>
  <c r="T903" i="72"/>
  <c r="U903" i="72"/>
  <c r="S436" i="72"/>
  <c r="T436" i="72"/>
  <c r="P557" i="72"/>
  <c r="W707" i="72"/>
  <c r="Y707" i="72"/>
  <c r="S51" i="72"/>
  <c r="T51" i="72"/>
  <c r="P1316" i="72"/>
  <c r="T701" i="72"/>
  <c r="U979" i="72"/>
  <c r="U778" i="72"/>
  <c r="V778" i="72"/>
  <c r="S814" i="72"/>
  <c r="S186" i="72"/>
  <c r="T186" i="72"/>
  <c r="S950" i="72"/>
  <c r="P326" i="72"/>
  <c r="S856" i="72"/>
  <c r="S920" i="72"/>
  <c r="T920" i="72"/>
  <c r="U920" i="72"/>
  <c r="V920" i="72"/>
  <c r="S755" i="72"/>
  <c r="T755" i="72"/>
  <c r="U755" i="72"/>
  <c r="V755" i="72"/>
  <c r="S740" i="72"/>
  <c r="P659" i="72"/>
  <c r="Q659" i="72"/>
  <c r="Y834" i="72"/>
  <c r="Y910" i="72"/>
  <c r="S820" i="72"/>
  <c r="Y816" i="72"/>
  <c r="P235" i="72"/>
  <c r="U748" i="72"/>
  <c r="U957" i="72"/>
  <c r="P475" i="72"/>
  <c r="T797" i="72"/>
  <c r="U797" i="72"/>
  <c r="S765" i="72"/>
  <c r="V854" i="72"/>
  <c r="W854" i="72"/>
  <c r="Y854" i="72"/>
  <c r="U776" i="72"/>
  <c r="V776" i="72"/>
  <c r="W776" i="72"/>
  <c r="W928" i="72"/>
  <c r="Y928" i="72"/>
  <c r="T901" i="72"/>
  <c r="T924" i="72"/>
  <c r="T812" i="72"/>
  <c r="T831" i="72"/>
  <c r="T988" i="72"/>
  <c r="U988" i="72"/>
  <c r="U953" i="72"/>
  <c r="T898" i="72"/>
  <c r="T785" i="72"/>
  <c r="U785" i="72"/>
  <c r="S999" i="72"/>
  <c r="T756" i="72"/>
  <c r="U843" i="72"/>
  <c r="V843" i="72"/>
  <c r="T837" i="72"/>
  <c r="T951" i="72"/>
  <c r="T1029" i="72"/>
  <c r="S702" i="72"/>
  <c r="U879" i="72"/>
  <c r="V879" i="72"/>
  <c r="W879" i="72"/>
  <c r="S761" i="72"/>
  <c r="T761" i="72"/>
  <c r="S462" i="72"/>
  <c r="T462" i="72"/>
  <c r="U882" i="72"/>
  <c r="V882" i="72"/>
  <c r="S563" i="72"/>
  <c r="T563" i="72"/>
  <c r="S1052" i="72"/>
  <c r="T1052" i="72"/>
  <c r="U1052" i="72"/>
  <c r="S929" i="72"/>
  <c r="T728" i="72"/>
  <c r="P362" i="72"/>
  <c r="Q402" i="72"/>
  <c r="R402" i="72"/>
  <c r="S402" i="72"/>
  <c r="T402" i="72"/>
  <c r="P506" i="72"/>
  <c r="Q506" i="72"/>
  <c r="R506" i="72"/>
  <c r="Q388" i="72"/>
  <c r="R388" i="72"/>
  <c r="P115" i="72"/>
  <c r="Q115" i="72"/>
  <c r="R115" i="72"/>
  <c r="P56" i="72"/>
  <c r="P525" i="72"/>
  <c r="P1264" i="72"/>
  <c r="Q1264" i="72"/>
  <c r="Q516" i="72"/>
  <c r="P209" i="72"/>
  <c r="Q209" i="72"/>
  <c r="R209" i="72"/>
  <c r="R116" i="72"/>
  <c r="S116" i="72"/>
  <c r="P508" i="72"/>
  <c r="Q508" i="72"/>
  <c r="R508" i="72"/>
  <c r="R614" i="72"/>
  <c r="S614" i="72"/>
  <c r="Q358" i="72"/>
  <c r="R358" i="72"/>
  <c r="O110" i="72"/>
  <c r="P110" i="72"/>
  <c r="Q1154" i="72"/>
  <c r="R1154" i="72"/>
  <c r="S1154" i="72"/>
  <c r="T1154" i="72"/>
  <c r="U1154" i="72"/>
  <c r="P1266" i="72"/>
  <c r="Q1115" i="72"/>
  <c r="P1134" i="72"/>
  <c r="Q1134" i="72"/>
  <c r="R1134" i="72"/>
  <c r="Q478" i="72"/>
  <c r="R478" i="72"/>
  <c r="S478" i="72"/>
  <c r="P322" i="72"/>
  <c r="Q322" i="72"/>
  <c r="R322" i="72"/>
  <c r="P1256" i="72"/>
  <c r="Q1256" i="72"/>
  <c r="R1256" i="72"/>
  <c r="Q523" i="72"/>
  <c r="R523" i="72"/>
  <c r="S523" i="72"/>
  <c r="O108" i="72"/>
  <c r="P498" i="72"/>
  <c r="Q470" i="72"/>
  <c r="R470" i="72"/>
  <c r="O60" i="72"/>
  <c r="P60" i="72"/>
  <c r="Q60" i="72"/>
  <c r="P1285" i="72"/>
  <c r="Q1285" i="72"/>
  <c r="R1285" i="72"/>
  <c r="P1162" i="72"/>
  <c r="Q1162" i="72"/>
  <c r="O63" i="72"/>
  <c r="Q351" i="72"/>
  <c r="R351" i="72"/>
  <c r="S351" i="72"/>
  <c r="R1112" i="72"/>
  <c r="P367" i="72"/>
  <c r="Q367" i="72"/>
  <c r="R678" i="72"/>
  <c r="S678" i="72"/>
  <c r="P414" i="72"/>
  <c r="Q414" i="72"/>
  <c r="R414" i="72"/>
  <c r="P321" i="72"/>
  <c r="P558" i="72"/>
  <c r="Q558" i="72"/>
  <c r="R558" i="72"/>
  <c r="Q160" i="72"/>
  <c r="R160" i="72"/>
  <c r="P253" i="72"/>
  <c r="Q253" i="72"/>
  <c r="R253" i="72"/>
  <c r="Q1109" i="72"/>
  <c r="R1109" i="72"/>
  <c r="P320" i="72"/>
  <c r="Q320" i="72"/>
  <c r="R320" i="72"/>
  <c r="P629" i="72"/>
  <c r="Q629" i="72"/>
  <c r="Q503" i="72"/>
  <c r="R503" i="72"/>
  <c r="S503" i="72"/>
  <c r="P357" i="72"/>
  <c r="Q357" i="72"/>
  <c r="R357" i="72"/>
  <c r="P438" i="72"/>
  <c r="P504" i="72"/>
  <c r="Q504" i="72"/>
  <c r="Q656" i="72"/>
  <c r="R656" i="72"/>
  <c r="R642" i="72"/>
  <c r="S642" i="72"/>
  <c r="R430" i="72"/>
  <c r="R632" i="72"/>
  <c r="R1170" i="72"/>
  <c r="R1253" i="72"/>
  <c r="R157" i="72"/>
  <c r="R165" i="72"/>
  <c r="Q137" i="72"/>
  <c r="R488" i="72"/>
  <c r="S488" i="72"/>
  <c r="P398" i="72"/>
  <c r="R296" i="72"/>
  <c r="P1329" i="72"/>
  <c r="Q1329" i="72"/>
  <c r="Q1211" i="72"/>
  <c r="R1211" i="72"/>
  <c r="Q1192" i="72"/>
  <c r="R1192" i="72"/>
  <c r="Q284" i="72"/>
  <c r="Q1338" i="72"/>
  <c r="R1338" i="72"/>
  <c r="Q1142" i="72"/>
  <c r="R1142" i="72"/>
  <c r="P1342" i="72"/>
  <c r="P297" i="72"/>
  <c r="Q297" i="72"/>
  <c r="R297" i="72"/>
  <c r="Q690" i="72"/>
  <c r="P670" i="72"/>
  <c r="Q1205" i="72"/>
  <c r="P1304" i="72"/>
  <c r="Q1304" i="72"/>
  <c r="Q76" i="72"/>
  <c r="R76" i="72"/>
  <c r="S76" i="72"/>
  <c r="Q1292" i="72"/>
  <c r="R1292" i="72"/>
  <c r="P1327" i="72"/>
  <c r="Q1327" i="72"/>
  <c r="P1298" i="72"/>
  <c r="Q1298" i="72"/>
  <c r="R1298" i="72"/>
  <c r="O96" i="72"/>
  <c r="P645" i="72"/>
  <c r="R1206" i="72"/>
  <c r="Q1268" i="72"/>
  <c r="R1268" i="72"/>
  <c r="S1268" i="72"/>
  <c r="P1313" i="72"/>
  <c r="Q1262" i="72"/>
  <c r="R1262" i="72"/>
  <c r="O69" i="72"/>
  <c r="P69" i="72"/>
  <c r="Q69" i="72"/>
  <c r="R69" i="72"/>
  <c r="N24" i="72"/>
  <c r="O24" i="72"/>
  <c r="Q1167" i="72"/>
  <c r="R1167" i="72"/>
  <c r="R551" i="72"/>
  <c r="N25" i="72"/>
  <c r="Q1202" i="72"/>
  <c r="R1202" i="72"/>
  <c r="R334" i="72"/>
  <c r="P1232" i="72"/>
  <c r="P242" i="72"/>
  <c r="Q242" i="72"/>
  <c r="R242" i="72"/>
  <c r="R1242" i="72"/>
  <c r="Q298" i="72"/>
  <c r="Q671" i="72"/>
  <c r="R74" i="72"/>
  <c r="S74" i="72"/>
  <c r="T74" i="72"/>
  <c r="R513" i="72"/>
  <c r="Q447" i="72"/>
  <c r="P238" i="72"/>
  <c r="Q238" i="72"/>
  <c r="R238" i="72"/>
  <c r="Q1320" i="72"/>
  <c r="Q1317" i="72"/>
  <c r="R1317" i="72"/>
  <c r="Q282" i="72"/>
  <c r="P680" i="72"/>
  <c r="P1222" i="72"/>
  <c r="P686" i="72"/>
  <c r="Q686" i="72"/>
  <c r="R686" i="72"/>
  <c r="Q1175" i="72"/>
  <c r="P1132" i="72"/>
  <c r="P237" i="72"/>
  <c r="P180" i="72"/>
  <c r="P134" i="72"/>
  <c r="Q134" i="72"/>
  <c r="Q203" i="72"/>
  <c r="P1265" i="72"/>
  <c r="Q1265" i="72"/>
  <c r="R1265" i="72"/>
  <c r="R342" i="72"/>
  <c r="P332" i="72"/>
  <c r="Q198" i="72"/>
  <c r="P231" i="72"/>
  <c r="Q231" i="72"/>
  <c r="R231" i="72"/>
  <c r="P663" i="72"/>
  <c r="Q663" i="72"/>
  <c r="R663" i="72"/>
  <c r="S663" i="72"/>
  <c r="P310" i="72"/>
  <c r="P264" i="72"/>
  <c r="P410" i="72"/>
  <c r="Q410" i="72"/>
  <c r="R410" i="72"/>
  <c r="P443" i="72"/>
  <c r="P381" i="72"/>
  <c r="P401" i="72"/>
  <c r="P547" i="72"/>
  <c r="Q1200" i="72"/>
  <c r="Q1257" i="72"/>
  <c r="R1257" i="72"/>
  <c r="R415" i="72"/>
  <c r="R353" i="72"/>
  <c r="S353" i="72"/>
  <c r="T353" i="72"/>
  <c r="P1289" i="72"/>
  <c r="R241" i="72"/>
  <c r="Q630" i="72"/>
  <c r="Q1244" i="72"/>
  <c r="P309" i="72"/>
  <c r="Q309" i="72"/>
  <c r="Q589" i="72"/>
  <c r="Q534" i="72"/>
  <c r="P1250" i="72"/>
  <c r="R580" i="72"/>
  <c r="R382" i="72"/>
  <c r="P1243" i="72"/>
  <c r="Q1243" i="72"/>
  <c r="P325" i="72"/>
  <c r="Q325" i="72"/>
  <c r="Q1318" i="72"/>
  <c r="R1318" i="72"/>
  <c r="R210" i="72"/>
  <c r="R1099" i="72"/>
  <c r="R73" i="72"/>
  <c r="P151" i="72"/>
  <c r="Q151" i="72"/>
  <c r="R173" i="72"/>
  <c r="S173" i="72"/>
  <c r="R544" i="72"/>
  <c r="S544" i="72"/>
  <c r="P132" i="72"/>
  <c r="P1088" i="72"/>
  <c r="Q1088" i="72"/>
  <c r="Q240" i="72"/>
  <c r="Q1129" i="72"/>
  <c r="Q304" i="72"/>
  <c r="P289" i="72"/>
  <c r="P255" i="72"/>
  <c r="R175" i="72"/>
  <c r="Q1209" i="72"/>
  <c r="R1209" i="72"/>
  <c r="S1209" i="72"/>
  <c r="Q62" i="72"/>
  <c r="Q1152" i="72"/>
  <c r="Q58" i="72"/>
  <c r="R58" i="72"/>
  <c r="P599" i="72"/>
  <c r="Q599" i="72"/>
  <c r="P271" i="72"/>
  <c r="Q649" i="72"/>
  <c r="P1165" i="72"/>
  <c r="P587" i="72"/>
  <c r="Q587" i="72"/>
  <c r="R587" i="72"/>
  <c r="P1155" i="72"/>
  <c r="Q1155" i="72"/>
  <c r="Q105" i="72"/>
  <c r="Q103" i="72"/>
  <c r="Q119" i="72"/>
  <c r="R119" i="72"/>
  <c r="P208" i="72"/>
  <c r="Q208" i="72"/>
  <c r="Q484" i="72"/>
  <c r="R484" i="72"/>
  <c r="S484" i="72"/>
  <c r="P377" i="72"/>
  <c r="Q377" i="72"/>
  <c r="Q610" i="72"/>
  <c r="R610" i="72"/>
  <c r="P1236" i="72"/>
  <c r="Q1236" i="72"/>
  <c r="O59" i="72"/>
  <c r="Q14" i="72"/>
  <c r="R14" i="72"/>
  <c r="Q553" i="72"/>
  <c r="P167" i="72"/>
  <c r="P1235" i="72"/>
  <c r="Q1235" i="72"/>
  <c r="P337" i="72"/>
  <c r="P586" i="72"/>
  <c r="Q586" i="72"/>
  <c r="R586" i="72"/>
  <c r="P1290" i="72"/>
  <c r="Q259" i="72"/>
  <c r="R259" i="72"/>
  <c r="S259" i="72"/>
  <c r="R1107" i="72"/>
  <c r="S1107" i="72"/>
  <c r="R141" i="72"/>
  <c r="P505" i="72"/>
  <c r="Q505" i="72"/>
  <c r="P33" i="72"/>
  <c r="Q33" i="72"/>
  <c r="Q1283" i="72"/>
  <c r="R185" i="72"/>
  <c r="P1122" i="72"/>
  <c r="P219" i="72"/>
  <c r="Q219" i="72"/>
  <c r="P613" i="72"/>
  <c r="Q1117" i="72"/>
  <c r="R1117" i="72"/>
  <c r="S1117" i="72"/>
  <c r="P371" i="72"/>
  <c r="R316" i="72"/>
  <c r="Q1210" i="72"/>
  <c r="Q163" i="72"/>
  <c r="P196" i="72"/>
  <c r="Q148" i="72"/>
  <c r="P1116" i="72"/>
  <c r="R41" i="72"/>
  <c r="O272" i="72"/>
  <c r="R526" i="72"/>
  <c r="Q1126" i="72"/>
  <c r="R1126" i="72"/>
  <c r="Q380" i="72"/>
  <c r="R380" i="72"/>
  <c r="P244" i="72"/>
  <c r="Q1148" i="72"/>
  <c r="R1148" i="72"/>
  <c r="P603" i="72"/>
  <c r="Q603" i="72"/>
  <c r="Q81" i="72"/>
  <c r="R495" i="72"/>
  <c r="R561" i="72"/>
  <c r="S561" i="72"/>
  <c r="T561" i="72"/>
  <c r="P499" i="72"/>
  <c r="Q499" i="72"/>
  <c r="Q11" i="72"/>
  <c r="R11" i="72"/>
  <c r="P546" i="72"/>
  <c r="P1091" i="72"/>
  <c r="Q352" i="72"/>
  <c r="R352" i="72"/>
  <c r="S352" i="72"/>
  <c r="P295" i="72"/>
  <c r="Q295" i="72"/>
  <c r="R295" i="72"/>
  <c r="P491" i="72"/>
  <c r="Q1214" i="72"/>
  <c r="O61" i="72"/>
  <c r="Q1213" i="72"/>
  <c r="P399" i="72"/>
  <c r="Q399" i="72"/>
  <c r="R399" i="72"/>
  <c r="S399" i="72"/>
  <c r="P487" i="72"/>
  <c r="Q487" i="72"/>
  <c r="Q170" i="72"/>
  <c r="R170" i="72"/>
  <c r="P1098" i="72"/>
  <c r="P426" i="72"/>
  <c r="P1143" i="72"/>
  <c r="P618" i="72"/>
  <c r="P1291" i="72"/>
  <c r="Q1291" i="72"/>
  <c r="R1291" i="72"/>
  <c r="Q1096" i="72"/>
  <c r="P641" i="72"/>
  <c r="Q641" i="72"/>
  <c r="R641" i="72"/>
  <c r="S641" i="72"/>
  <c r="P404" i="72"/>
  <c r="P454" i="72"/>
  <c r="Q583" i="72"/>
  <c r="P1228" i="72"/>
  <c r="Q1228" i="72"/>
  <c r="Q202" i="72"/>
  <c r="R202" i="72"/>
  <c r="P439" i="72"/>
  <c r="Q606" i="72"/>
  <c r="P569" i="72"/>
  <c r="Q569" i="72"/>
  <c r="O68" i="72"/>
  <c r="P395" i="72"/>
  <c r="Q1146" i="72"/>
  <c r="R1146" i="72"/>
  <c r="P204" i="72"/>
  <c r="P1335" i="72"/>
  <c r="Q1260" i="72"/>
  <c r="R1260" i="72"/>
  <c r="P257" i="72"/>
  <c r="P248" i="72"/>
  <c r="Q319" i="72"/>
  <c r="Q536" i="72"/>
  <c r="R536" i="72"/>
  <c r="P441" i="72"/>
  <c r="Q570" i="72"/>
  <c r="O1339" i="72"/>
  <c r="P1180" i="72"/>
  <c r="Q1180" i="72"/>
  <c r="Q70" i="72"/>
  <c r="Q627" i="72"/>
  <c r="R263" i="72"/>
  <c r="P374" i="72"/>
  <c r="Q374" i="72"/>
  <c r="R374" i="72"/>
  <c r="P566" i="72"/>
  <c r="Q566" i="72"/>
  <c r="P350" i="72"/>
  <c r="O114" i="72"/>
  <c r="P114" i="72"/>
  <c r="R36" i="72"/>
  <c r="R461" i="72"/>
  <c r="S461" i="72"/>
  <c r="M5" i="72"/>
  <c r="M1358" i="72"/>
  <c r="M1381" i="72"/>
  <c r="P477" i="72"/>
  <c r="P302" i="72"/>
  <c r="P23" i="72"/>
  <c r="Q1124" i="72"/>
  <c r="Q38" i="72"/>
  <c r="R38" i="72"/>
  <c r="S38" i="72"/>
  <c r="Q1215" i="72"/>
  <c r="R1215" i="72"/>
  <c r="Q1153" i="72"/>
  <c r="Q1159" i="72"/>
  <c r="P31" i="72"/>
  <c r="Q94" i="72"/>
  <c r="P201" i="72"/>
  <c r="Q427" i="72"/>
  <c r="N1377" i="72"/>
  <c r="J26" i="16"/>
  <c r="L7" i="7"/>
  <c r="L1355" i="72"/>
  <c r="L1356" i="72"/>
  <c r="L1376" i="72"/>
  <c r="L1378" i="72"/>
  <c r="M1383" i="72"/>
  <c r="I9" i="16"/>
  <c r="N33" i="7"/>
  <c r="M36" i="18"/>
  <c r="S85" i="18"/>
  <c r="S86" i="18"/>
  <c r="S87" i="18"/>
  <c r="T87" i="18"/>
  <c r="M90" i="18"/>
  <c r="R91" i="18"/>
  <c r="R92" i="18"/>
  <c r="R93" i="18"/>
  <c r="S1362" i="72"/>
  <c r="V1031" i="72"/>
  <c r="W1031" i="72"/>
  <c r="Y1031" i="72"/>
  <c r="N722" i="53"/>
  <c r="G69" i="14"/>
  <c r="J69" i="14"/>
  <c r="U1011" i="72"/>
  <c r="V1011" i="72"/>
  <c r="W1011" i="72"/>
  <c r="Y1011" i="72"/>
  <c r="S1030" i="72"/>
  <c r="T1030" i="72"/>
  <c r="U1030" i="72"/>
  <c r="V1030" i="72"/>
  <c r="L1346" i="72"/>
  <c r="L1347" i="72"/>
  <c r="L96" i="18"/>
  <c r="L37" i="18"/>
  <c r="O1354" i="72"/>
  <c r="N30" i="6"/>
  <c r="M1360" i="72"/>
  <c r="I22" i="16"/>
  <c r="L29" i="6"/>
  <c r="P1359" i="72"/>
  <c r="P1382" i="72"/>
  <c r="L27" i="16"/>
  <c r="M1353" i="72"/>
  <c r="M1376" i="72"/>
  <c r="U1054" i="72"/>
  <c r="V1054" i="72"/>
  <c r="T456" i="72"/>
  <c r="U456" i="72"/>
  <c r="T1184" i="72"/>
  <c r="U1184" i="72"/>
  <c r="S1065" i="72"/>
  <c r="T1065" i="72"/>
  <c r="U1065" i="72"/>
  <c r="V1065" i="72"/>
  <c r="W1065" i="72"/>
  <c r="R1241" i="72"/>
  <c r="S1241" i="72"/>
  <c r="Y922" i="72"/>
  <c r="T592" i="72"/>
  <c r="U592" i="72"/>
  <c r="V592" i="72"/>
  <c r="W984" i="72"/>
  <c r="Y984" i="72"/>
  <c r="R1312" i="72"/>
  <c r="S1312" i="72"/>
  <c r="R1234" i="72"/>
  <c r="S1234" i="72"/>
  <c r="R1223" i="72"/>
  <c r="S1223" i="72"/>
  <c r="Q1226" i="72"/>
  <c r="R1226" i="72"/>
  <c r="Q1232" i="72"/>
  <c r="R1232" i="72"/>
  <c r="S1232" i="72"/>
  <c r="T1232" i="72"/>
  <c r="U1232" i="72"/>
  <c r="Q1272" i="72"/>
  <c r="S1158" i="72"/>
  <c r="T1158" i="72"/>
  <c r="Q1220" i="72"/>
  <c r="R1220" i="72"/>
  <c r="S1220" i="72"/>
  <c r="T1220" i="72"/>
  <c r="U1220" i="72"/>
  <c r="V1220" i="72"/>
  <c r="W1220" i="72"/>
  <c r="S15" i="72"/>
  <c r="T15" i="72"/>
  <c r="U15" i="72"/>
  <c r="W1080" i="72"/>
  <c r="Y1080" i="72"/>
  <c r="W982" i="72"/>
  <c r="Y982" i="72"/>
  <c r="S1191" i="72"/>
  <c r="T1191" i="72"/>
  <c r="Q1227" i="72"/>
  <c r="R1227" i="72"/>
  <c r="Q1326" i="72"/>
  <c r="R1326" i="72"/>
  <c r="Q1222" i="72"/>
  <c r="R1222" i="72"/>
  <c r="S1222" i="72"/>
  <c r="T1222" i="72"/>
  <c r="U1222" i="72"/>
  <c r="Q274" i="72"/>
  <c r="R91" i="72"/>
  <c r="S91" i="72"/>
  <c r="Y931" i="72"/>
  <c r="Q276" i="72"/>
  <c r="R276" i="72"/>
  <c r="Q1323" i="72"/>
  <c r="R1323" i="72"/>
  <c r="S168" i="72"/>
  <c r="T168" i="72"/>
  <c r="U168" i="72"/>
  <c r="V168" i="72"/>
  <c r="W168" i="72"/>
  <c r="Y168" i="72"/>
  <c r="R234" i="72"/>
  <c r="S234" i="72"/>
  <c r="T234" i="72"/>
  <c r="U234" i="72"/>
  <c r="V234" i="72"/>
  <c r="W234" i="72"/>
  <c r="R43" i="72"/>
  <c r="S43" i="72"/>
  <c r="S1193" i="72"/>
  <c r="T1193" i="72"/>
  <c r="U1193" i="72"/>
  <c r="V1193" i="72"/>
  <c r="T1100" i="72"/>
  <c r="U1100" i="72"/>
  <c r="V1100" i="72"/>
  <c r="S1136" i="72"/>
  <c r="T1136" i="72"/>
  <c r="Q249" i="72"/>
  <c r="R249" i="72"/>
  <c r="S249" i="72"/>
  <c r="T249" i="72"/>
  <c r="R451" i="72"/>
  <c r="S451" i="72"/>
  <c r="Q1297" i="72"/>
  <c r="R1297" i="72"/>
  <c r="Q109" i="72"/>
  <c r="R109" i="72"/>
  <c r="S109" i="72"/>
  <c r="S1106" i="72"/>
  <c r="T1106" i="72"/>
  <c r="U692" i="72"/>
  <c r="V692" i="72"/>
  <c r="T55" i="72"/>
  <c r="U55" i="72"/>
  <c r="T92" i="72"/>
  <c r="U92" i="72"/>
  <c r="V92" i="72"/>
  <c r="W92" i="72"/>
  <c r="U739" i="72"/>
  <c r="V739" i="72"/>
  <c r="R314" i="72"/>
  <c r="S314" i="72"/>
  <c r="T314" i="72"/>
  <c r="U314" i="72"/>
  <c r="V314" i="72"/>
  <c r="R292" i="72"/>
  <c r="S292" i="72"/>
  <c r="T292" i="72"/>
  <c r="U292" i="72"/>
  <c r="S460" i="72"/>
  <c r="T460" i="72"/>
  <c r="U926" i="72"/>
  <c r="V926" i="72"/>
  <c r="W926" i="72"/>
  <c r="Q676" i="72"/>
  <c r="R676" i="72"/>
  <c r="W1038" i="72"/>
  <c r="Y1038" i="72"/>
  <c r="V700" i="72"/>
  <c r="W700" i="72"/>
  <c r="Y700" i="72"/>
  <c r="U218" i="72"/>
  <c r="V218" i="72"/>
  <c r="R1156" i="72"/>
  <c r="S1156" i="72"/>
  <c r="T1156" i="72"/>
  <c r="R457" i="72"/>
  <c r="S457" i="72"/>
  <c r="Y874" i="72"/>
  <c r="T472" i="72"/>
  <c r="U472" i="72"/>
  <c r="V472" i="72"/>
  <c r="S485" i="72"/>
  <c r="T485" i="72"/>
  <c r="W934" i="72"/>
  <c r="Y934" i="72"/>
  <c r="W726" i="72"/>
  <c r="Y726" i="72"/>
  <c r="S369" i="72"/>
  <c r="T369" i="72"/>
  <c r="U369" i="72"/>
  <c r="V369" i="72"/>
  <c r="W369" i="72"/>
  <c r="Y369" i="72"/>
  <c r="S434" i="72"/>
  <c r="T434" i="72"/>
  <c r="S88" i="72"/>
  <c r="T88" i="72"/>
  <c r="W905" i="72"/>
  <c r="Y905" i="72"/>
  <c r="S22" i="72"/>
  <c r="T22" i="72"/>
  <c r="R1208" i="72"/>
  <c r="S1208" i="72"/>
  <c r="T1208" i="72"/>
  <c r="W721" i="72"/>
  <c r="Y721" i="72"/>
  <c r="S511" i="72"/>
  <c r="T511" i="72"/>
  <c r="U1036" i="72"/>
  <c r="V1036" i="72"/>
  <c r="R1160" i="72"/>
  <c r="S1160" i="72"/>
  <c r="T1160" i="72"/>
  <c r="Q110" i="72"/>
  <c r="R110" i="72"/>
  <c r="U830" i="72"/>
  <c r="V830" i="72"/>
  <c r="S500" i="72"/>
  <c r="T500" i="72"/>
  <c r="Y879" i="72"/>
  <c r="Q101" i="72"/>
  <c r="R101" i="72"/>
  <c r="S638" i="72"/>
  <c r="T638" i="72"/>
  <c r="S39" i="72"/>
  <c r="T39" i="72"/>
  <c r="U39" i="72"/>
  <c r="S1125" i="72"/>
  <c r="T1125" i="72"/>
  <c r="U1125" i="72"/>
  <c r="V1125" i="72"/>
  <c r="S1306" i="72"/>
  <c r="T1306" i="72"/>
  <c r="W944" i="72"/>
  <c r="Y944" i="72"/>
  <c r="S260" i="72"/>
  <c r="T260" i="72"/>
  <c r="S1251" i="72"/>
  <c r="T1251" i="72"/>
  <c r="U1251" i="72"/>
  <c r="V1251" i="72"/>
  <c r="S1341" i="72"/>
  <c r="T1341" i="72"/>
  <c r="U1341" i="72"/>
  <c r="U514" i="72"/>
  <c r="V514" i="72"/>
  <c r="W514" i="72"/>
  <c r="V935" i="72"/>
  <c r="W935" i="72"/>
  <c r="Y935" i="72"/>
  <c r="S422" i="72"/>
  <c r="T422" i="72"/>
  <c r="V876" i="72"/>
  <c r="W876" i="72"/>
  <c r="V938" i="72"/>
  <c r="W938" i="72"/>
  <c r="Y938" i="72"/>
  <c r="R162" i="72"/>
  <c r="S162" i="72"/>
  <c r="T370" i="72"/>
  <c r="U370" i="72"/>
  <c r="S1263" i="72"/>
  <c r="T1263" i="72"/>
  <c r="S458" i="72"/>
  <c r="T458" i="72"/>
  <c r="U458" i="72"/>
  <c r="S34" i="72"/>
  <c r="T34" i="72"/>
  <c r="U34" i="72"/>
  <c r="V34" i="72"/>
  <c r="W34" i="72"/>
  <c r="Y34" i="72"/>
  <c r="U875" i="72"/>
  <c r="V875" i="72"/>
  <c r="U746" i="72"/>
  <c r="V746" i="72"/>
  <c r="S8" i="72"/>
  <c r="V772" i="72"/>
  <c r="W772" i="72"/>
  <c r="Y772" i="72"/>
  <c r="S1130" i="72"/>
  <c r="T1130" i="72"/>
  <c r="U1130" i="72"/>
  <c r="V1130" i="72"/>
  <c r="R636" i="72"/>
  <c r="S636" i="72"/>
  <c r="T636" i="72"/>
  <c r="R504" i="72"/>
  <c r="S504" i="72"/>
  <c r="T504" i="72"/>
  <c r="U504" i="72"/>
  <c r="P72" i="72"/>
  <c r="Q72" i="72"/>
  <c r="R72" i="72"/>
  <c r="U206" i="72"/>
  <c r="V206" i="72"/>
  <c r="S233" i="72"/>
  <c r="T233" i="72"/>
  <c r="U233" i="72"/>
  <c r="S200" i="72"/>
  <c r="T200" i="72"/>
  <c r="W919" i="72"/>
  <c r="Y919" i="72"/>
  <c r="W1002" i="72"/>
  <c r="Y1002" i="72"/>
  <c r="S1246" i="72"/>
  <c r="T1246" i="72"/>
  <c r="S389" i="72"/>
  <c r="T389" i="72"/>
  <c r="S224" i="72"/>
  <c r="T224" i="72"/>
  <c r="U224" i="72"/>
  <c r="W1019" i="72"/>
  <c r="Y1019" i="72"/>
  <c r="S256" i="72"/>
  <c r="T256" i="72"/>
  <c r="U256" i="72"/>
  <c r="V256" i="72"/>
  <c r="W256" i="72"/>
  <c r="Y256" i="72"/>
  <c r="Y720" i="72"/>
  <c r="U1067" i="72"/>
  <c r="V1067" i="72"/>
  <c r="W1067" i="72"/>
  <c r="Y840" i="72"/>
  <c r="R1162" i="72"/>
  <c r="R633" i="72"/>
  <c r="S633" i="72"/>
  <c r="R1286" i="72"/>
  <c r="S1286" i="72"/>
  <c r="T1286" i="72"/>
  <c r="R84" i="72"/>
  <c r="S84" i="72"/>
  <c r="W873" i="72"/>
  <c r="Y873" i="72"/>
  <c r="T518" i="72"/>
  <c r="U518" i="72"/>
  <c r="V518" i="72"/>
  <c r="W518" i="72"/>
  <c r="Y518" i="72"/>
  <c r="S139" i="72"/>
  <c r="T139" i="72"/>
  <c r="S252" i="72"/>
  <c r="T252" i="72"/>
  <c r="S425" i="72"/>
  <c r="T425" i="72"/>
  <c r="U425" i="72"/>
  <c r="V719" i="72"/>
  <c r="W719" i="72"/>
  <c r="R635" i="72"/>
  <c r="S635" i="72"/>
  <c r="Y807" i="72"/>
  <c r="R1264" i="72"/>
  <c r="S1264" i="72"/>
  <c r="R1169" i="72"/>
  <c r="S1169" i="72"/>
  <c r="T1169" i="72"/>
  <c r="V693" i="72"/>
  <c r="W693" i="72"/>
  <c r="S674" i="72"/>
  <c r="T674" i="72"/>
  <c r="T153" i="72"/>
  <c r="U153" i="72"/>
  <c r="S308" i="72"/>
  <c r="T308" i="72"/>
  <c r="P113" i="72"/>
  <c r="Q113" i="72"/>
  <c r="R113" i="72"/>
  <c r="S379" i="72"/>
  <c r="T379" i="72"/>
  <c r="U379" i="72"/>
  <c r="S617" i="72"/>
  <c r="T617" i="72"/>
  <c r="S607" i="72"/>
  <c r="U424" i="72"/>
  <c r="V424" i="72"/>
  <c r="W424" i="72"/>
  <c r="Y424" i="72"/>
  <c r="R556" i="72"/>
  <c r="S556" i="72"/>
  <c r="W778" i="72"/>
  <c r="Y778" i="72"/>
  <c r="R455" i="72"/>
  <c r="S455" i="72"/>
  <c r="T455" i="72"/>
  <c r="U455" i="72"/>
  <c r="V455" i="72"/>
  <c r="W455" i="72"/>
  <c r="R60" i="72"/>
  <c r="S60" i="72"/>
  <c r="T60" i="72"/>
  <c r="Q71" i="72"/>
  <c r="R71" i="72"/>
  <c r="S1239" i="72"/>
  <c r="W1026" i="72"/>
  <c r="Y1026" i="72"/>
  <c r="S581" i="72"/>
  <c r="T581" i="72"/>
  <c r="U412" i="72"/>
  <c r="V412" i="72"/>
  <c r="W412" i="72"/>
  <c r="Y412" i="72"/>
  <c r="T1012" i="72"/>
  <c r="U1012" i="72"/>
  <c r="V1012" i="72"/>
  <c r="U902" i="72"/>
  <c r="V902" i="72"/>
  <c r="W902" i="72"/>
  <c r="Y902" i="72"/>
  <c r="R90" i="72"/>
  <c r="S90" i="72"/>
  <c r="R428" i="72"/>
  <c r="S428" i="72"/>
  <c r="R532" i="72"/>
  <c r="S532" i="72"/>
  <c r="R1310" i="72"/>
  <c r="S1310" i="72"/>
  <c r="S1087" i="72"/>
  <c r="T1087" i="72"/>
  <c r="U1087" i="72"/>
  <c r="V1087" i="72"/>
  <c r="V988" i="72"/>
  <c r="W988" i="72"/>
  <c r="Y988" i="72"/>
  <c r="W759" i="72"/>
  <c r="Y759" i="72"/>
  <c r="T1110" i="72"/>
  <c r="U1110" i="72"/>
  <c r="S431" i="72"/>
  <c r="T431" i="72"/>
  <c r="U431" i="72"/>
  <c r="S12" i="72"/>
  <c r="T12" i="72"/>
  <c r="V782" i="72"/>
  <c r="W782" i="72"/>
  <c r="Y782" i="72"/>
  <c r="S1254" i="72"/>
  <c r="T1254" i="72"/>
  <c r="T1274" i="72"/>
  <c r="U1274" i="72"/>
  <c r="V1274" i="72"/>
  <c r="W1274" i="72"/>
  <c r="S192" i="72"/>
  <c r="T192" i="72"/>
  <c r="U192" i="72"/>
  <c r="V192" i="72"/>
  <c r="W192" i="72"/>
  <c r="Y192" i="72"/>
  <c r="S1281" i="72"/>
  <c r="S1299" i="72"/>
  <c r="T1299" i="72"/>
  <c r="R1267" i="72"/>
  <c r="S1267" i="72"/>
  <c r="Q67" i="72"/>
  <c r="R67" i="72"/>
  <c r="R570" i="72"/>
  <c r="S570" i="72"/>
  <c r="T570" i="72"/>
  <c r="S413" i="72"/>
  <c r="T413" i="72"/>
  <c r="R559" i="72"/>
  <c r="S559" i="72"/>
  <c r="T559" i="72"/>
  <c r="U559" i="72"/>
  <c r="R1210" i="72"/>
  <c r="S1210" i="72"/>
  <c r="T1210" i="72"/>
  <c r="R52" i="72"/>
  <c r="S52" i="72"/>
  <c r="T52" i="72"/>
  <c r="Q1207" i="72"/>
  <c r="R1207" i="72"/>
  <c r="Y489" i="72"/>
  <c r="R207" i="72"/>
  <c r="S207" i="72"/>
  <c r="T207" i="72"/>
  <c r="U207" i="72"/>
  <c r="W968" i="72"/>
  <c r="Y968" i="72"/>
  <c r="R483" i="72"/>
  <c r="S483" i="72"/>
  <c r="T639" i="72"/>
  <c r="S295" i="72"/>
  <c r="T295" i="72"/>
  <c r="V987" i="72"/>
  <c r="W987" i="72"/>
  <c r="Y987" i="72"/>
  <c r="R182" i="72"/>
  <c r="S182" i="72"/>
  <c r="T182" i="72"/>
  <c r="R331" i="72"/>
  <c r="V734" i="72"/>
  <c r="W734" i="72"/>
  <c r="Y734" i="72"/>
  <c r="Q79" i="72"/>
  <c r="R79" i="72"/>
  <c r="S78" i="72"/>
  <c r="T78" i="72"/>
  <c r="U78" i="72"/>
  <c r="V78" i="72"/>
  <c r="W78" i="72"/>
  <c r="Y78" i="72"/>
  <c r="R29" i="72"/>
  <c r="S29" i="72"/>
  <c r="Q293" i="72"/>
  <c r="R293" i="72"/>
  <c r="Q1116" i="72"/>
  <c r="R1116" i="72"/>
  <c r="R240" i="72"/>
  <c r="S240" i="72"/>
  <c r="T240" i="72"/>
  <c r="S1215" i="72"/>
  <c r="T1215" i="72"/>
  <c r="U1215" i="72"/>
  <c r="V971" i="72"/>
  <c r="S11" i="72"/>
  <c r="T11" i="72"/>
  <c r="U11" i="72"/>
  <c r="V1166" i="72"/>
  <c r="W1166" i="72"/>
  <c r="Y1166" i="72"/>
  <c r="Q1295" i="72"/>
  <c r="R1295" i="72"/>
  <c r="U37" i="72"/>
  <c r="V37" i="72"/>
  <c r="R1120" i="72"/>
  <c r="S1120" i="72"/>
  <c r="R127" i="72"/>
  <c r="T1278" i="72"/>
  <c r="U1278" i="72"/>
  <c r="V1278" i="72"/>
  <c r="W1278" i="72"/>
  <c r="S608" i="72"/>
  <c r="T608" i="72"/>
  <c r="U608" i="72"/>
  <c r="V608" i="72"/>
  <c r="W608" i="72"/>
  <c r="Y608" i="72"/>
  <c r="V691" i="72"/>
  <c r="W691" i="72"/>
  <c r="Y691" i="72"/>
  <c r="W704" i="72"/>
  <c r="Y704" i="72"/>
  <c r="R535" i="72"/>
  <c r="S535" i="72"/>
  <c r="T535" i="72"/>
  <c r="Q80" i="72"/>
  <c r="R80" i="72"/>
  <c r="R589" i="72"/>
  <c r="S589" i="72"/>
  <c r="R307" i="72"/>
  <c r="S307" i="72"/>
  <c r="R494" i="72"/>
  <c r="Q57" i="72"/>
  <c r="R57" i="72"/>
  <c r="P98" i="72"/>
  <c r="Q98" i="72"/>
  <c r="Q409" i="72"/>
  <c r="R409" i="72"/>
  <c r="Q616" i="72"/>
  <c r="R616" i="72"/>
  <c r="S459" i="72"/>
  <c r="V864" i="72"/>
  <c r="W864" i="72"/>
  <c r="U766" i="72"/>
  <c r="V766" i="72"/>
  <c r="Q138" i="72"/>
  <c r="R138" i="72"/>
  <c r="Q1122" i="72"/>
  <c r="R1122" i="72"/>
  <c r="R94" i="72"/>
  <c r="S94" i="72"/>
  <c r="Q23" i="72"/>
  <c r="R23" i="72"/>
  <c r="Q54" i="72"/>
  <c r="R54" i="72"/>
  <c r="S388" i="72"/>
  <c r="T388" i="72"/>
  <c r="W803" i="72"/>
  <c r="Y803" i="72"/>
  <c r="Q668" i="72"/>
  <c r="R668" i="72"/>
  <c r="Q644" i="72"/>
  <c r="Q406" i="72"/>
  <c r="R406" i="72"/>
  <c r="U226" i="72"/>
  <c r="V226" i="72"/>
  <c r="Q537" i="72"/>
  <c r="R537" i="72"/>
  <c r="P106" i="72"/>
  <c r="Q106" i="72"/>
  <c r="R106" i="72"/>
  <c r="S106" i="72"/>
  <c r="R178" i="72"/>
  <c r="S178" i="72"/>
  <c r="R305" i="72"/>
  <c r="S305" i="72"/>
  <c r="T305" i="72"/>
  <c r="U305" i="72"/>
  <c r="V305" i="72"/>
  <c r="T1013" i="72"/>
  <c r="U1013" i="72"/>
  <c r="V1013" i="72"/>
  <c r="W1013" i="72"/>
  <c r="Q221" i="72"/>
  <c r="R221" i="72"/>
  <c r="S1287" i="72"/>
  <c r="T1287" i="72"/>
  <c r="S1161" i="72"/>
  <c r="T1161" i="72"/>
  <c r="S622" i="72"/>
  <c r="S1181" i="72"/>
  <c r="T1181" i="72"/>
  <c r="U1181" i="72"/>
  <c r="V1181" i="72"/>
  <c r="W1181" i="72"/>
  <c r="Y1181" i="72"/>
  <c r="Q149" i="72"/>
  <c r="R149" i="72"/>
  <c r="T497" i="72"/>
  <c r="U497" i="72"/>
  <c r="Q1177" i="72"/>
  <c r="W773" i="72"/>
  <c r="Y773" i="72"/>
  <c r="S571" i="72"/>
  <c r="T571" i="72"/>
  <c r="U780" i="72"/>
  <c r="V780" i="72"/>
  <c r="Y810" i="72"/>
  <c r="U728" i="72"/>
  <c r="V728" i="72"/>
  <c r="W728" i="72"/>
  <c r="Y728" i="72"/>
  <c r="W774" i="72"/>
  <c r="Y774" i="72"/>
  <c r="T832" i="72"/>
  <c r="U832" i="72"/>
  <c r="V832" i="72"/>
  <c r="W832" i="72"/>
  <c r="Y832" i="72"/>
  <c r="Q1217" i="72"/>
  <c r="R1217" i="72"/>
  <c r="R463" i="72"/>
  <c r="S463" i="72"/>
  <c r="W937" i="72"/>
  <c r="Y937" i="72"/>
  <c r="R99" i="72"/>
  <c r="S99" i="72"/>
  <c r="R688" i="72"/>
  <c r="S688" i="72"/>
  <c r="Q1284" i="72"/>
  <c r="R1284" i="72"/>
  <c r="S885" i="72"/>
  <c r="T885" i="72"/>
  <c r="S595" i="72"/>
  <c r="T595" i="72"/>
  <c r="Q227" i="72"/>
  <c r="R227" i="72"/>
  <c r="T270" i="72"/>
  <c r="U270" i="72"/>
  <c r="P63" i="72"/>
  <c r="Q63" i="72"/>
  <c r="W1070" i="72"/>
  <c r="Y1070" i="72"/>
  <c r="S281" i="72"/>
  <c r="T281" i="72"/>
  <c r="T166" i="72"/>
  <c r="U916" i="72"/>
  <c r="V916" i="72"/>
  <c r="W916" i="72"/>
  <c r="Y916" i="72"/>
  <c r="R1140" i="72"/>
  <c r="S1140" i="72"/>
  <c r="S1133" i="72"/>
  <c r="T1133" i="72"/>
  <c r="S416" i="72"/>
  <c r="T416" i="72"/>
  <c r="U416" i="72"/>
  <c r="Q1344" i="72"/>
  <c r="R1344" i="72"/>
  <c r="S661" i="72"/>
  <c r="T661" i="72"/>
  <c r="U661" i="72"/>
  <c r="V661" i="72"/>
  <c r="R85" i="72"/>
  <c r="W1179" i="72"/>
  <c r="Y1179" i="72"/>
  <c r="R345" i="72"/>
  <c r="S345" i="72"/>
  <c r="U1032" i="72"/>
  <c r="V1032" i="72"/>
  <c r="Q673" i="72"/>
  <c r="S144" i="72"/>
  <c r="T144" i="72"/>
  <c r="U1081" i="72"/>
  <c r="U992" i="72"/>
  <c r="Q31" i="72"/>
  <c r="R31" i="72"/>
  <c r="R583" i="72"/>
  <c r="S583" i="72"/>
  <c r="S241" i="72"/>
  <c r="T241" i="72"/>
  <c r="R275" i="72"/>
  <c r="T814" i="72"/>
  <c r="U814" i="72"/>
  <c r="U737" i="72"/>
  <c r="V737" i="72"/>
  <c r="S620" i="72"/>
  <c r="T620" i="72"/>
  <c r="S664" i="72"/>
  <c r="T664" i="72"/>
  <c r="U664" i="72"/>
  <c r="V664" i="72"/>
  <c r="S1309" i="72"/>
  <c r="T1309" i="72"/>
  <c r="W839" i="72"/>
  <c r="Y839" i="72"/>
  <c r="R1173" i="72"/>
  <c r="S1173" i="72"/>
  <c r="T1173" i="72"/>
  <c r="U1173" i="72"/>
  <c r="V1173" i="72"/>
  <c r="V1104" i="72"/>
  <c r="W1104" i="72"/>
  <c r="Y1104" i="72"/>
  <c r="V848" i="72"/>
  <c r="W848" i="72"/>
  <c r="S1182" i="72"/>
  <c r="T1182" i="72"/>
  <c r="U1182" i="72"/>
  <c r="V1182" i="72"/>
  <c r="W1182" i="72"/>
  <c r="T122" i="72"/>
  <c r="U122" i="72"/>
  <c r="S684" i="72"/>
  <c r="T684" i="72"/>
  <c r="T452" i="72"/>
  <c r="S637" i="72"/>
  <c r="T637" i="72"/>
  <c r="U637" i="72"/>
  <c r="U648" i="72"/>
  <c r="V648" i="72"/>
  <c r="W648" i="72"/>
  <c r="T479" i="72"/>
  <c r="U479" i="72"/>
  <c r="V479" i="72"/>
  <c r="S119" i="72"/>
  <c r="T119" i="72"/>
  <c r="V521" i="72"/>
  <c r="W521" i="72"/>
  <c r="S418" i="72"/>
  <c r="T418" i="72"/>
  <c r="U418" i="72"/>
  <c r="W1017" i="72"/>
  <c r="Y1017" i="72"/>
  <c r="U502" i="72"/>
  <c r="V502" i="72"/>
  <c r="W502" i="72"/>
  <c r="Y502" i="72"/>
  <c r="T315" i="72"/>
  <c r="U315" i="72"/>
  <c r="U899" i="72"/>
  <c r="V899" i="72"/>
  <c r="T468" i="72"/>
  <c r="U468" i="72"/>
  <c r="V468" i="72"/>
  <c r="S611" i="72"/>
  <c r="T611" i="72"/>
  <c r="U611" i="72"/>
  <c r="V611" i="72"/>
  <c r="W611" i="72"/>
  <c r="Y611" i="72"/>
  <c r="S467" i="72"/>
  <c r="T467" i="72"/>
  <c r="T76" i="72"/>
  <c r="U76" i="72"/>
  <c r="W723" i="72"/>
  <c r="Y723" i="72"/>
  <c r="S193" i="72"/>
  <c r="T193" i="72"/>
  <c r="U193" i="72"/>
  <c r="V193" i="72"/>
  <c r="W193" i="72"/>
  <c r="T40" i="72"/>
  <c r="U40" i="72"/>
  <c r="V40" i="72"/>
  <c r="S279" i="72"/>
  <c r="T279" i="72"/>
  <c r="S565" i="72"/>
  <c r="T565" i="72"/>
  <c r="U184" i="72"/>
  <c r="V184" i="72"/>
  <c r="W184" i="72"/>
  <c r="U577" i="72"/>
  <c r="V577" i="72"/>
  <c r="W996" i="72"/>
  <c r="Y996" i="72"/>
  <c r="U886" i="72"/>
  <c r="V886" i="72"/>
  <c r="Y738" i="72"/>
  <c r="S1198" i="72"/>
  <c r="T1198" i="72"/>
  <c r="S1262" i="72"/>
  <c r="T1262" i="72"/>
  <c r="U1262" i="72"/>
  <c r="V1262" i="72"/>
  <c r="S179" i="72"/>
  <c r="T179" i="72"/>
  <c r="T517" i="72"/>
  <c r="U517" i="72"/>
  <c r="S470" i="72"/>
  <c r="T470" i="72"/>
  <c r="U470" i="72"/>
  <c r="V470" i="72"/>
  <c r="W470" i="72"/>
  <c r="V995" i="72"/>
  <c r="W995" i="72"/>
  <c r="Y995" i="72"/>
  <c r="S538" i="72"/>
  <c r="T538" i="72"/>
  <c r="U538" i="72"/>
  <c r="W1008" i="72"/>
  <c r="Y1008" i="72"/>
  <c r="S1157" i="72"/>
  <c r="T1157" i="72"/>
  <c r="T918" i="72"/>
  <c r="U918" i="72"/>
  <c r="U303" i="72"/>
  <c r="V303" i="72"/>
  <c r="W303" i="72"/>
  <c r="T400" i="72"/>
  <c r="U400" i="72"/>
  <c r="V400" i="72"/>
  <c r="W400" i="72"/>
  <c r="V745" i="72"/>
  <c r="V788" i="72"/>
  <c r="W788" i="72"/>
  <c r="Y788" i="72"/>
  <c r="W877" i="72"/>
  <c r="Y877" i="72"/>
  <c r="U1062" i="72"/>
  <c r="V1062" i="72"/>
  <c r="W914" i="72"/>
  <c r="Y914" i="72"/>
  <c r="S647" i="72"/>
  <c r="T647" i="72"/>
  <c r="U647" i="72"/>
  <c r="T1141" i="72"/>
  <c r="U1141" i="72"/>
  <c r="V1141" i="72"/>
  <c r="W1141" i="72"/>
  <c r="Y1141" i="72"/>
  <c r="S548" i="72"/>
  <c r="T548" i="72"/>
  <c r="Y697" i="72"/>
  <c r="Y991" i="72"/>
  <c r="S453" i="72"/>
  <c r="T453" i="72"/>
  <c r="S414" i="72"/>
  <c r="T414" i="72"/>
  <c r="Y1089" i="72"/>
  <c r="Y967" i="72"/>
  <c r="S410" i="72"/>
  <c r="T410" i="72"/>
  <c r="U963" i="72"/>
  <c r="S600" i="72"/>
  <c r="T600" i="72"/>
  <c r="W943" i="72"/>
  <c r="Y943" i="72"/>
  <c r="S330" i="72"/>
  <c r="T330" i="72"/>
  <c r="T1325" i="72"/>
  <c r="U1325" i="72"/>
  <c r="W753" i="72"/>
  <c r="Y753" i="72"/>
  <c r="S539" i="72"/>
  <c r="T539" i="72"/>
  <c r="U539" i="72"/>
  <c r="V539" i="72"/>
  <c r="W539" i="72"/>
  <c r="Y539" i="72"/>
  <c r="S191" i="72"/>
  <c r="S464" i="72"/>
  <c r="T464" i="72"/>
  <c r="U464" i="72"/>
  <c r="W1049" i="72"/>
  <c r="Y1049" i="72"/>
  <c r="Y749" i="72"/>
  <c r="S216" i="72"/>
  <c r="T216" i="72"/>
  <c r="T1139" i="72"/>
  <c r="U1139" i="72"/>
  <c r="S121" i="72"/>
  <c r="T121" i="72"/>
  <c r="U955" i="72"/>
  <c r="U764" i="72"/>
  <c r="Y775" i="72"/>
  <c r="V871" i="72"/>
  <c r="W871" i="72"/>
  <c r="Y871" i="72"/>
  <c r="U220" i="72"/>
  <c r="V220" i="72"/>
  <c r="V936" i="72"/>
  <c r="W936" i="72"/>
  <c r="Y936" i="72"/>
  <c r="U966" i="72"/>
  <c r="V966" i="72"/>
  <c r="P68" i="72"/>
  <c r="S564" i="72"/>
  <c r="T564" i="72"/>
  <c r="U564" i="72"/>
  <c r="V564" i="72"/>
  <c r="W564" i="72"/>
  <c r="R10" i="72"/>
  <c r="S10" i="72"/>
  <c r="T10" i="72"/>
  <c r="S1183" i="72"/>
  <c r="R690" i="72"/>
  <c r="S690" i="72"/>
  <c r="T690" i="72"/>
  <c r="U690" i="72"/>
  <c r="V690" i="72"/>
  <c r="U898" i="72"/>
  <c r="V898" i="72"/>
  <c r="W898" i="72"/>
  <c r="T1014" i="72"/>
  <c r="T681" i="72"/>
  <c r="U681" i="72"/>
  <c r="V681" i="72"/>
  <c r="V1073" i="72"/>
  <c r="W1073" i="72"/>
  <c r="R481" i="72"/>
  <c r="S481" i="72"/>
  <c r="Q1335" i="72"/>
  <c r="R228" i="72"/>
  <c r="S228" i="72"/>
  <c r="T228" i="72"/>
  <c r="U228" i="72"/>
  <c r="V228" i="72"/>
  <c r="W228" i="72"/>
  <c r="Y228" i="72"/>
  <c r="S496" i="72"/>
  <c r="T496" i="72"/>
  <c r="U496" i="72"/>
  <c r="Q547" i="72"/>
  <c r="R547" i="72"/>
  <c r="S547" i="72"/>
  <c r="R288" i="72"/>
  <c r="S288" i="72"/>
  <c r="T288" i="72"/>
  <c r="Q235" i="72"/>
  <c r="R235" i="72"/>
  <c r="S235" i="72"/>
  <c r="T235" i="72"/>
  <c r="U911" i="72"/>
  <c r="V911" i="72"/>
  <c r="W911" i="72"/>
  <c r="W927" i="72"/>
  <c r="Y927" i="72"/>
  <c r="S969" i="72"/>
  <c r="T969" i="72"/>
  <c r="Q662" i="72"/>
  <c r="R662" i="72"/>
  <c r="V989" i="72"/>
  <c r="W989" i="72"/>
  <c r="U89" i="72"/>
  <c r="V89" i="72"/>
  <c r="W89" i="72"/>
  <c r="U1009" i="72"/>
  <c r="V1009" i="72"/>
  <c r="Q347" i="72"/>
  <c r="R347" i="72"/>
  <c r="S347" i="72"/>
  <c r="T347" i="72"/>
  <c r="U347" i="72"/>
  <c r="V347" i="72"/>
  <c r="W347" i="72"/>
  <c r="V1150" i="72"/>
  <c r="W1150" i="72"/>
  <c r="R42" i="72"/>
  <c r="V346" i="72"/>
  <c r="Q446" i="72"/>
  <c r="R446" i="72"/>
  <c r="S446" i="72"/>
  <c r="T446" i="72"/>
  <c r="W921" i="72"/>
  <c r="Y921" i="72"/>
  <c r="U621" i="72"/>
  <c r="V621" i="72"/>
  <c r="W621" i="72"/>
  <c r="Y621" i="72"/>
  <c r="S594" i="72"/>
  <c r="T594" i="72"/>
  <c r="S140" i="72"/>
  <c r="T140" i="72"/>
  <c r="U140" i="72"/>
  <c r="Q596" i="72"/>
  <c r="V1050" i="72"/>
  <c r="W1050" i="72"/>
  <c r="U624" i="72"/>
  <c r="V624" i="72"/>
  <c r="W624" i="72"/>
  <c r="Y624" i="72"/>
  <c r="U1004" i="72"/>
  <c r="V1004" i="72"/>
  <c r="W1004" i="72"/>
  <c r="V741" i="72"/>
  <c r="W741" i="72"/>
  <c r="T173" i="72"/>
  <c r="U173" i="72"/>
  <c r="V173" i="72"/>
  <c r="W173" i="72"/>
  <c r="Y173" i="72"/>
  <c r="R323" i="72"/>
  <c r="S323" i="72"/>
  <c r="T323" i="72"/>
  <c r="U777" i="72"/>
  <c r="V777" i="72"/>
  <c r="W777" i="72"/>
  <c r="Q266" i="72"/>
  <c r="R266" i="72"/>
  <c r="S266" i="72"/>
  <c r="T1209" i="72"/>
  <c r="U1209" i="72"/>
  <c r="V1209" i="72"/>
  <c r="W1209" i="72"/>
  <c r="Y1209" i="72"/>
  <c r="S372" i="72"/>
  <c r="T372" i="72"/>
  <c r="U888" i="72"/>
  <c r="V888" i="72"/>
  <c r="W888" i="72"/>
  <c r="Y888" i="72"/>
  <c r="V258" i="72"/>
  <c r="W258" i="72"/>
  <c r="Y258" i="72"/>
  <c r="Y1237" i="72"/>
  <c r="P97" i="72"/>
  <c r="Q97" i="72"/>
  <c r="U948" i="72"/>
  <c r="V948" i="72"/>
  <c r="W906" i="72"/>
  <c r="Y906" i="72"/>
  <c r="V313" i="72"/>
  <c r="W313" i="72"/>
  <c r="U1074" i="72"/>
  <c r="V1074" i="72"/>
  <c r="W1074" i="72"/>
  <c r="Y1074" i="72"/>
  <c r="Q1288" i="72"/>
  <c r="U1006" i="72"/>
  <c r="V1006" i="72"/>
  <c r="R16" i="72"/>
  <c r="S16" i="72"/>
  <c r="T16" i="72"/>
  <c r="S549" i="72"/>
  <c r="T549" i="72"/>
  <c r="T1118" i="72"/>
  <c r="U1118" i="72"/>
  <c r="V1118" i="72"/>
  <c r="W1118" i="72"/>
  <c r="R1214" i="72"/>
  <c r="S1214" i="72"/>
  <c r="T1214" i="72"/>
  <c r="U1214" i="72"/>
  <c r="S342" i="72"/>
  <c r="T342" i="72"/>
  <c r="U342" i="72"/>
  <c r="S357" i="72"/>
  <c r="T357" i="72"/>
  <c r="U357" i="72"/>
  <c r="R634" i="72"/>
  <c r="S634" i="72"/>
  <c r="Q177" i="72"/>
  <c r="R177" i="72"/>
  <c r="S177" i="72"/>
  <c r="T177" i="72"/>
  <c r="U177" i="72"/>
  <c r="V177" i="72"/>
  <c r="S1137" i="72"/>
  <c r="T1137" i="72"/>
  <c r="U1137" i="72"/>
  <c r="V1137" i="72"/>
  <c r="W1137" i="72"/>
  <c r="Y1137" i="72"/>
  <c r="T1078" i="72"/>
  <c r="U1078" i="72"/>
  <c r="Q491" i="72"/>
  <c r="R491" i="72"/>
  <c r="S491" i="72"/>
  <c r="T491" i="72"/>
  <c r="S1206" i="72"/>
  <c r="Y893" i="72"/>
  <c r="Q423" i="72"/>
  <c r="R423" i="72"/>
  <c r="S423" i="72"/>
  <c r="T892" i="72"/>
  <c r="U892" i="72"/>
  <c r="V892" i="72"/>
  <c r="W892" i="72"/>
  <c r="Q18" i="72"/>
  <c r="R18" i="72"/>
  <c r="S18" i="72"/>
  <c r="T18" i="72"/>
  <c r="T733" i="72"/>
  <c r="U733" i="72"/>
  <c r="V733" i="72"/>
  <c r="W733" i="72"/>
  <c r="T912" i="72"/>
  <c r="U912" i="72"/>
  <c r="V912" i="72"/>
  <c r="W912" i="72"/>
  <c r="Y912" i="72"/>
  <c r="S444" i="72"/>
  <c r="T444" i="72"/>
  <c r="T283" i="72"/>
  <c r="U283" i="72"/>
  <c r="T278" i="72"/>
  <c r="U278" i="72"/>
  <c r="V278" i="72"/>
  <c r="W278" i="72"/>
  <c r="S1201" i="72"/>
  <c r="Q477" i="72"/>
  <c r="R477" i="72"/>
  <c r="S477" i="72"/>
  <c r="T477" i="72"/>
  <c r="U477" i="72"/>
  <c r="V477" i="72"/>
  <c r="W477" i="72"/>
  <c r="S36" i="72"/>
  <c r="R627" i="72"/>
  <c r="S627" i="72"/>
  <c r="T627" i="72"/>
  <c r="U627" i="72"/>
  <c r="R576" i="72"/>
  <c r="S576" i="72"/>
  <c r="T576" i="72"/>
  <c r="U576" i="72"/>
  <c r="V576" i="72"/>
  <c r="W576" i="72"/>
  <c r="Y576" i="72"/>
  <c r="R243" i="72"/>
  <c r="S243" i="72"/>
  <c r="T243" i="72"/>
  <c r="R630" i="72"/>
  <c r="S630" i="72"/>
  <c r="T630" i="72"/>
  <c r="U630" i="72"/>
  <c r="V630" i="72"/>
  <c r="W630" i="72"/>
  <c r="Y630" i="72"/>
  <c r="S415" i="72"/>
  <c r="T415" i="72"/>
  <c r="R197" i="72"/>
  <c r="S197" i="72"/>
  <c r="T197" i="72"/>
  <c r="U197" i="72"/>
  <c r="V197" i="72"/>
  <c r="W197" i="72"/>
  <c r="R128" i="72"/>
  <c r="S128" i="72"/>
  <c r="Q27" i="72"/>
  <c r="R27" i="72"/>
  <c r="S1145" i="72"/>
  <c r="T1145" i="72"/>
  <c r="U1145" i="72"/>
  <c r="V1145" i="72"/>
  <c r="W1145" i="72"/>
  <c r="Y1145" i="72"/>
  <c r="U1333" i="72"/>
  <c r="V1333" i="72"/>
  <c r="W882" i="72"/>
  <c r="Y882" i="72"/>
  <c r="T1324" i="72"/>
  <c r="U1324" i="72"/>
  <c r="V1324" i="72"/>
  <c r="T765" i="72"/>
  <c r="U765" i="72"/>
  <c r="V765" i="72"/>
  <c r="U826" i="72"/>
  <c r="W998" i="72"/>
  <c r="Y998" i="72"/>
  <c r="U847" i="72"/>
  <c r="T838" i="72"/>
  <c r="Q1127" i="72"/>
  <c r="R1127" i="72"/>
  <c r="T715" i="72"/>
  <c r="U715" i="72"/>
  <c r="V715" i="72"/>
  <c r="T287" i="72"/>
  <c r="U287" i="72"/>
  <c r="R531" i="72"/>
  <c r="S531" i="72"/>
  <c r="T531" i="72"/>
  <c r="U531" i="72"/>
  <c r="W365" i="72"/>
  <c r="Y365" i="72"/>
  <c r="R213" i="72"/>
  <c r="S213" i="72"/>
  <c r="T213" i="72"/>
  <c r="U213" i="72"/>
  <c r="V213" i="72"/>
  <c r="W213" i="72"/>
  <c r="Y959" i="72"/>
  <c r="Q1303" i="72"/>
  <c r="T429" i="72"/>
  <c r="U429" i="72"/>
  <c r="S541" i="72"/>
  <c r="T541" i="72"/>
  <c r="U541" i="72"/>
  <c r="V541" i="72"/>
  <c r="W541" i="72"/>
  <c r="Y541" i="72"/>
  <c r="S387" i="72"/>
  <c r="T387" i="72"/>
  <c r="S1111" i="72"/>
  <c r="T1111" i="72"/>
  <c r="U1111" i="72"/>
  <c r="V1111" i="72"/>
  <c r="S1245" i="72"/>
  <c r="V939" i="72"/>
  <c r="W939" i="72"/>
  <c r="Y757" i="72"/>
  <c r="R286" i="72"/>
  <c r="S286" i="72"/>
  <c r="T286" i="72"/>
  <c r="T1247" i="72"/>
  <c r="T383" i="72"/>
  <c r="U383" i="72"/>
  <c r="V383" i="72"/>
  <c r="W383" i="72"/>
  <c r="Y383" i="72"/>
  <c r="Q657" i="72"/>
  <c r="R657" i="72"/>
  <c r="S657" i="72"/>
  <c r="P66" i="72"/>
  <c r="Q66" i="72"/>
  <c r="S290" i="72"/>
  <c r="Q1302" i="72"/>
  <c r="Q651" i="72"/>
  <c r="R651" i="72"/>
  <c r="S651" i="72"/>
  <c r="T651" i="72"/>
  <c r="U651" i="72"/>
  <c r="V651" i="72"/>
  <c r="S1315" i="72"/>
  <c r="T1315" i="72"/>
  <c r="T20" i="72"/>
  <c r="U20" i="72"/>
  <c r="S375" i="72"/>
  <c r="W852" i="72"/>
  <c r="Y852" i="72"/>
  <c r="R117" i="72"/>
  <c r="S117" i="72"/>
  <c r="T117" i="72"/>
  <c r="S1253" i="72"/>
  <c r="T1253" i="72"/>
  <c r="U1253" i="72"/>
  <c r="V1253" i="72"/>
  <c r="W1253" i="72"/>
  <c r="U951" i="72"/>
  <c r="U947" i="72"/>
  <c r="U465" i="72"/>
  <c r="V465" i="72"/>
  <c r="R359" i="72"/>
  <c r="S359" i="72"/>
  <c r="T359" i="72"/>
  <c r="U359" i="72"/>
  <c r="V359" i="72"/>
  <c r="S495" i="72"/>
  <c r="T495" i="72"/>
  <c r="U495" i="72"/>
  <c r="T1107" i="72"/>
  <c r="U1107" i="72"/>
  <c r="V1107" i="72"/>
  <c r="W1107" i="72"/>
  <c r="Y1107" i="72"/>
  <c r="R103" i="72"/>
  <c r="S103" i="72"/>
  <c r="R236" i="72"/>
  <c r="S236" i="72"/>
  <c r="T236" i="72"/>
  <c r="U236" i="72"/>
  <c r="Q1204" i="72"/>
  <c r="R1204" i="72"/>
  <c r="S1204" i="72"/>
  <c r="T1204" i="72"/>
  <c r="U1204" i="72"/>
  <c r="V1204" i="72"/>
  <c r="W1204" i="72"/>
  <c r="Y1204" i="72"/>
  <c r="S334" i="72"/>
  <c r="S1261" i="72"/>
  <c r="T1261" i="72"/>
  <c r="U1261" i="72"/>
  <c r="V1261" i="72"/>
  <c r="W1261" i="72"/>
  <c r="R1329" i="72"/>
  <c r="S1329" i="72"/>
  <c r="T1329" i="72"/>
  <c r="S508" i="72"/>
  <c r="T508" i="72"/>
  <c r="U508" i="72"/>
  <c r="Q56" i="72"/>
  <c r="R56" i="72"/>
  <c r="S56" i="72"/>
  <c r="T56" i="72"/>
  <c r="V884" i="72"/>
  <c r="W884" i="72"/>
  <c r="U1005" i="72"/>
  <c r="V1005" i="72"/>
  <c r="W768" i="72"/>
  <c r="Y768" i="72"/>
  <c r="U402" i="72"/>
  <c r="V402" i="72"/>
  <c r="W402" i="72"/>
  <c r="Y402" i="72"/>
  <c r="V868" i="72"/>
  <c r="W868" i="72"/>
  <c r="T654" i="72"/>
  <c r="U654" i="72"/>
  <c r="V654" i="72"/>
  <c r="W654" i="72"/>
  <c r="Y654" i="72"/>
  <c r="Q181" i="72"/>
  <c r="Y850" i="72"/>
  <c r="Q474" i="72"/>
  <c r="R474" i="72"/>
  <c r="S474" i="72"/>
  <c r="T474" i="72"/>
  <c r="U474" i="72"/>
  <c r="V474" i="72"/>
  <c r="W474" i="72"/>
  <c r="Y474" i="72"/>
  <c r="U961" i="72"/>
  <c r="V961" i="72"/>
  <c r="W961" i="72"/>
  <c r="Y961" i="72"/>
  <c r="R658" i="72"/>
  <c r="T1056" i="72"/>
  <c r="U1056" i="72"/>
  <c r="Q155" i="72"/>
  <c r="R155" i="72"/>
  <c r="S155" i="72"/>
  <c r="T155" i="72"/>
  <c r="U155" i="72"/>
  <c r="S130" i="72"/>
  <c r="T130" i="72"/>
  <c r="Q643" i="72"/>
  <c r="R643" i="72"/>
  <c r="S643" i="72"/>
  <c r="T643" i="72"/>
  <c r="U643" i="72"/>
  <c r="V643" i="72"/>
  <c r="W643" i="72"/>
  <c r="Y643" i="72"/>
  <c r="V405" i="72"/>
  <c r="W405" i="72"/>
  <c r="R1189" i="72"/>
  <c r="S1189" i="72"/>
  <c r="U695" i="72"/>
  <c r="V695" i="72"/>
  <c r="T667" i="72"/>
  <c r="U667" i="72"/>
  <c r="Q579" i="72"/>
  <c r="R579" i="72"/>
  <c r="S579" i="72"/>
  <c r="T579" i="72"/>
  <c r="U579" i="72"/>
  <c r="V579" i="72"/>
  <c r="W579" i="72"/>
  <c r="Y579" i="72"/>
  <c r="T889" i="72"/>
  <c r="U889" i="72"/>
  <c r="V889" i="72"/>
  <c r="W889" i="72"/>
  <c r="Q683" i="72"/>
  <c r="R683" i="72"/>
  <c r="Q1279" i="72"/>
  <c r="R1279" i="72"/>
  <c r="S1279" i="72"/>
  <c r="U990" i="72"/>
  <c r="V990" i="72"/>
  <c r="Q626" i="72"/>
  <c r="R626" i="72"/>
  <c r="S626" i="72"/>
  <c r="T626" i="72"/>
  <c r="U626" i="72"/>
  <c r="V626" i="72"/>
  <c r="W626" i="72"/>
  <c r="Y626" i="72"/>
  <c r="T1259" i="72"/>
  <c r="S386" i="72"/>
  <c r="T386" i="72"/>
  <c r="T1076" i="72"/>
  <c r="U1076" i="72"/>
  <c r="V1076" i="72"/>
  <c r="T1040" i="72"/>
  <c r="T872" i="72"/>
  <c r="U872" i="72"/>
  <c r="R1343" i="72"/>
  <c r="S1343" i="72"/>
  <c r="R542" i="72"/>
  <c r="S542" i="72"/>
  <c r="T542" i="72"/>
  <c r="R625" i="72"/>
  <c r="S625" i="72"/>
  <c r="T625" i="72"/>
  <c r="U1020" i="72"/>
  <c r="V1020" i="72"/>
  <c r="W1020" i="72"/>
  <c r="S1271" i="72"/>
  <c r="T1271" i="72"/>
  <c r="U761" i="72"/>
  <c r="V761" i="72"/>
  <c r="W761" i="72"/>
  <c r="T950" i="72"/>
  <c r="S1041" i="72"/>
  <c r="T1041" i="72"/>
  <c r="T1114" i="72"/>
  <c r="U1114" i="72"/>
  <c r="R150" i="72"/>
  <c r="S150" i="72"/>
  <c r="T150" i="72"/>
  <c r="U150" i="72"/>
  <c r="V150" i="72"/>
  <c r="W150" i="72"/>
  <c r="Y150" i="72"/>
  <c r="R83" i="72"/>
  <c r="S46" i="72"/>
  <c r="T46" i="72"/>
  <c r="Q1203" i="72"/>
  <c r="R1203" i="72"/>
  <c r="U550" i="72"/>
  <c r="V550" i="72"/>
  <c r="W550" i="72"/>
  <c r="Y550" i="72"/>
  <c r="S524" i="72"/>
  <c r="T524" i="72"/>
  <c r="U524" i="72"/>
  <c r="V524" i="72"/>
  <c r="W524" i="72"/>
  <c r="Y524" i="72"/>
  <c r="V823" i="72"/>
  <c r="W823" i="72"/>
  <c r="Y823" i="72"/>
  <c r="T261" i="72"/>
  <c r="U261" i="72"/>
  <c r="Q1197" i="72"/>
  <c r="R1197" i="72"/>
  <c r="R1244" i="72"/>
  <c r="S1244" i="72"/>
  <c r="T1244" i="72"/>
  <c r="U1244" i="72"/>
  <c r="R137" i="72"/>
  <c r="S137" i="72"/>
  <c r="T137" i="72"/>
  <c r="U137" i="72"/>
  <c r="V137" i="72"/>
  <c r="W137" i="72"/>
  <c r="Y137" i="72"/>
  <c r="T677" i="72"/>
  <c r="S555" i="72"/>
  <c r="T555" i="72"/>
  <c r="U555" i="72"/>
  <c r="V555" i="72"/>
  <c r="Q652" i="72"/>
  <c r="R652" i="72"/>
  <c r="S652" i="72"/>
  <c r="T652" i="72"/>
  <c r="U652" i="72"/>
  <c r="V652" i="72"/>
  <c r="W652" i="72"/>
  <c r="V981" i="72"/>
  <c r="W981" i="72"/>
  <c r="Y981" i="72"/>
  <c r="T604" i="72"/>
  <c r="U604" i="72"/>
  <c r="V604" i="72"/>
  <c r="W604" i="72"/>
  <c r="Y604" i="72"/>
  <c r="Q1108" i="72"/>
  <c r="R1108" i="72"/>
  <c r="S1108" i="72"/>
  <c r="T1108" i="72"/>
  <c r="U1108" i="72"/>
  <c r="Q267" i="72"/>
  <c r="R267" i="72"/>
  <c r="R1153" i="72"/>
  <c r="S1153" i="72"/>
  <c r="T1153" i="72"/>
  <c r="U1153" i="72"/>
  <c r="V1153" i="72"/>
  <c r="W1153" i="72"/>
  <c r="T399" i="72"/>
  <c r="Q546" i="72"/>
  <c r="R546" i="72"/>
  <c r="S546" i="72"/>
  <c r="T546" i="72"/>
  <c r="U546" i="72"/>
  <c r="V546" i="72"/>
  <c r="W546" i="72"/>
  <c r="R81" i="72"/>
  <c r="S81" i="72"/>
  <c r="Q196" i="72"/>
  <c r="R196" i="72"/>
  <c r="S196" i="72"/>
  <c r="T196" i="72"/>
  <c r="U196" i="72"/>
  <c r="V196" i="72"/>
  <c r="Q371" i="72"/>
  <c r="R371" i="72"/>
  <c r="S371" i="72"/>
  <c r="T371" i="72"/>
  <c r="U371" i="72"/>
  <c r="V371" i="72"/>
  <c r="W371" i="72"/>
  <c r="Y371" i="72"/>
  <c r="R1283" i="72"/>
  <c r="S1283" i="72"/>
  <c r="Q111" i="72"/>
  <c r="R111" i="72"/>
  <c r="R562" i="72"/>
  <c r="S562" i="72"/>
  <c r="T562" i="72"/>
  <c r="U562" i="72"/>
  <c r="V562" i="72"/>
  <c r="W562" i="72"/>
  <c r="Y562" i="72"/>
  <c r="Q132" i="72"/>
  <c r="R385" i="72"/>
  <c r="S385" i="72"/>
  <c r="R534" i="72"/>
  <c r="S534" i="72"/>
  <c r="T534" i="72"/>
  <c r="U534" i="72"/>
  <c r="V534" i="72"/>
  <c r="W534" i="72"/>
  <c r="Y534" i="72"/>
  <c r="V77" i="72"/>
  <c r="W77" i="72"/>
  <c r="R282" i="72"/>
  <c r="S282" i="72"/>
  <c r="T282" i="72"/>
  <c r="U282" i="72"/>
  <c r="R447" i="72"/>
  <c r="S447" i="72"/>
  <c r="R298" i="72"/>
  <c r="S298" i="72"/>
  <c r="R230" i="72"/>
  <c r="R480" i="72"/>
  <c r="S480" i="72"/>
  <c r="R1115" i="72"/>
  <c r="S1115" i="72"/>
  <c r="T1115" i="72"/>
  <c r="U1115" i="72"/>
  <c r="T116" i="72"/>
  <c r="U116" i="72"/>
  <c r="V785" i="72"/>
  <c r="W785" i="72"/>
  <c r="Y785" i="72"/>
  <c r="W755" i="72"/>
  <c r="Y755" i="72"/>
  <c r="T131" i="72"/>
  <c r="U821" i="72"/>
  <c r="V821" i="72"/>
  <c r="W821" i="72"/>
  <c r="Y821" i="72"/>
  <c r="W867" i="72"/>
  <c r="Y867" i="72"/>
  <c r="Y980" i="72"/>
  <c r="T767" i="72"/>
  <c r="W870" i="72"/>
  <c r="Y870" i="72"/>
  <c r="V1079" i="72"/>
  <c r="U124" i="72"/>
  <c r="T341" i="72"/>
  <c r="U341" i="72"/>
  <c r="V341" i="72"/>
  <c r="S273" i="72"/>
  <c r="T273" i="72"/>
  <c r="U273" i="72"/>
  <c r="S619" i="72"/>
  <c r="T619" i="72"/>
  <c r="U619" i="72"/>
  <c r="V619" i="72"/>
  <c r="Q327" i="72"/>
  <c r="U932" i="72"/>
  <c r="V932" i="72"/>
  <c r="W932" i="72"/>
  <c r="U907" i="72"/>
  <c r="V907" i="72"/>
  <c r="U1000" i="72"/>
  <c r="V1000" i="72"/>
  <c r="W1000" i="72"/>
  <c r="Y1000" i="72"/>
  <c r="S344" i="72"/>
  <c r="Q7" i="72"/>
  <c r="R7" i="72"/>
  <c r="S355" i="72"/>
  <c r="T355" i="72"/>
  <c r="U355" i="72"/>
  <c r="V355" i="72"/>
  <c r="U1178" i="72"/>
  <c r="P1311" i="72"/>
  <c r="Q1311" i="72"/>
  <c r="R597" i="72"/>
  <c r="T1102" i="72"/>
  <c r="U1102" i="72"/>
  <c r="V1102" i="72"/>
  <c r="Q1090" i="72"/>
  <c r="R1090" i="72"/>
  <c r="S1090" i="72"/>
  <c r="T1090" i="72"/>
  <c r="U1090" i="72"/>
  <c r="V1090" i="72"/>
  <c r="W1090" i="72"/>
  <c r="S580" i="72"/>
  <c r="T580" i="72"/>
  <c r="V1077" i="72"/>
  <c r="W1077" i="72"/>
  <c r="Y1077" i="72"/>
  <c r="T1164" i="72"/>
  <c r="U1164" i="72"/>
  <c r="V1164" i="72"/>
  <c r="Q120" i="72"/>
  <c r="R120" i="72"/>
  <c r="S1094" i="72"/>
  <c r="T1094" i="72"/>
  <c r="T373" i="72"/>
  <c r="U373" i="72"/>
  <c r="V373" i="72"/>
  <c r="S543" i="72"/>
  <c r="U486" i="72"/>
  <c r="V486" i="72"/>
  <c r="W486" i="72"/>
  <c r="S449" i="72"/>
  <c r="T449" i="72"/>
  <c r="Q578" i="72"/>
  <c r="T1255" i="72"/>
  <c r="U1255" i="72"/>
  <c r="V1255" i="72"/>
  <c r="U510" i="72"/>
  <c r="V510" i="72"/>
  <c r="W510" i="72"/>
  <c r="Y510" i="72"/>
  <c r="T740" i="72"/>
  <c r="U740" i="72"/>
  <c r="V1057" i="72"/>
  <c r="W1057" i="72"/>
  <c r="Y1057" i="72"/>
  <c r="U585" i="72"/>
  <c r="V585" i="72"/>
  <c r="W585" i="72"/>
  <c r="Y585" i="72"/>
  <c r="V1034" i="72"/>
  <c r="R1224" i="72"/>
  <c r="S115" i="72"/>
  <c r="T161" i="72"/>
  <c r="U161" i="72"/>
  <c r="S169" i="72"/>
  <c r="T169" i="72"/>
  <c r="U169" i="72"/>
  <c r="V169" i="72"/>
  <c r="W169" i="72"/>
  <c r="Y169" i="72"/>
  <c r="T223" i="72"/>
  <c r="U223" i="72"/>
  <c r="V223" i="72"/>
  <c r="W223" i="72"/>
  <c r="Y223" i="72"/>
  <c r="Q28" i="72"/>
  <c r="Y859" i="72"/>
  <c r="U445" i="72"/>
  <c r="V445" i="72"/>
  <c r="W445" i="72"/>
  <c r="Q631" i="72"/>
  <c r="R631" i="72"/>
  <c r="S631" i="72"/>
  <c r="T631" i="72"/>
  <c r="U631" i="72"/>
  <c r="Q285" i="72"/>
  <c r="R285" i="72"/>
  <c r="T393" i="72"/>
  <c r="U393" i="72"/>
  <c r="Q473" i="72"/>
  <c r="S1093" i="72"/>
  <c r="T1093" i="72"/>
  <c r="U1093" i="72"/>
  <c r="V1093" i="72"/>
  <c r="W1093" i="72"/>
  <c r="Y1093" i="72"/>
  <c r="Q1113" i="72"/>
  <c r="U942" i="72"/>
  <c r="V942" i="72"/>
  <c r="Q1249" i="72"/>
  <c r="R1249" i="72"/>
  <c r="S1249" i="72"/>
  <c r="T1249" i="72"/>
  <c r="U1249" i="72"/>
  <c r="V1249" i="72"/>
  <c r="W1249" i="72"/>
  <c r="S316" i="72"/>
  <c r="R649" i="72"/>
  <c r="S649" i="72"/>
  <c r="T649" i="72"/>
  <c r="U649" i="72"/>
  <c r="V649" i="72"/>
  <c r="W649" i="72"/>
  <c r="S222" i="72"/>
  <c r="T222" i="72"/>
  <c r="Q443" i="72"/>
  <c r="R443" i="72"/>
  <c r="S443" i="72"/>
  <c r="T443" i="72"/>
  <c r="S665" i="72"/>
  <c r="T665" i="72"/>
  <c r="U665" i="72"/>
  <c r="V665" i="72"/>
  <c r="W665" i="72"/>
  <c r="Y665" i="72"/>
  <c r="R195" i="72"/>
  <c r="S195" i="72"/>
  <c r="T195" i="72"/>
  <c r="U195" i="72"/>
  <c r="V195" i="72"/>
  <c r="Q1258" i="72"/>
  <c r="R1258" i="72"/>
  <c r="S1258" i="72"/>
  <c r="T1258" i="72"/>
  <c r="U1258" i="72"/>
  <c r="V1258" i="72"/>
  <c r="Q1305" i="72"/>
  <c r="R1305" i="72"/>
  <c r="S1305" i="72"/>
  <c r="T1305" i="72"/>
  <c r="T598" i="72"/>
  <c r="U598" i="72"/>
  <c r="Q211" i="72"/>
  <c r="R211" i="72"/>
  <c r="U450" i="72"/>
  <c r="V450" i="72"/>
  <c r="R1159" i="72"/>
  <c r="S1159" i="72"/>
  <c r="T1159" i="72"/>
  <c r="U1159" i="72"/>
  <c r="Q679" i="72"/>
  <c r="R679" i="72"/>
  <c r="S679" i="72"/>
  <c r="T679" i="72"/>
  <c r="U679" i="72"/>
  <c r="Q350" i="72"/>
  <c r="R350" i="72"/>
  <c r="S350" i="72"/>
  <c r="R606" i="72"/>
  <c r="S606" i="72"/>
  <c r="T606" i="72"/>
  <c r="U606" i="72"/>
  <c r="V606" i="72"/>
  <c r="W606" i="72"/>
  <c r="Q618" i="72"/>
  <c r="R618" i="72"/>
  <c r="S618" i="72"/>
  <c r="T618" i="72"/>
  <c r="U618" i="72"/>
  <c r="V618" i="72"/>
  <c r="W618" i="72"/>
  <c r="Y618" i="72"/>
  <c r="R1213" i="72"/>
  <c r="S1213" i="72"/>
  <c r="T1213" i="72"/>
  <c r="T1219" i="72"/>
  <c r="U1219" i="72"/>
  <c r="R1307" i="72"/>
  <c r="S1307" i="72"/>
  <c r="P59" i="72"/>
  <c r="R1152" i="72"/>
  <c r="S1152" i="72"/>
  <c r="T1152" i="72"/>
  <c r="U1152" i="72"/>
  <c r="V1152" i="72"/>
  <c r="W1152" i="72"/>
  <c r="R304" i="72"/>
  <c r="Q310" i="72"/>
  <c r="R310" i="72"/>
  <c r="R1330" i="72"/>
  <c r="S1112" i="72"/>
  <c r="T1112" i="72"/>
  <c r="Q498" i="72"/>
  <c r="R498" i="72"/>
  <c r="Q1266" i="72"/>
  <c r="U462" i="72"/>
  <c r="T999" i="72"/>
  <c r="U999" i="72"/>
  <c r="U831" i="72"/>
  <c r="V831" i="72"/>
  <c r="U901" i="72"/>
  <c r="V901" i="72"/>
  <c r="S165" i="72"/>
  <c r="T165" i="72"/>
  <c r="U165" i="72"/>
  <c r="V165" i="72"/>
  <c r="W165" i="72"/>
  <c r="Y165" i="72"/>
  <c r="V1039" i="72"/>
  <c r="W1039" i="72"/>
  <c r="Y1039" i="72"/>
  <c r="Q250" i="72"/>
  <c r="R250" i="72"/>
  <c r="Q545" i="72"/>
  <c r="R545" i="72"/>
  <c r="T1048" i="72"/>
  <c r="U1048" i="72"/>
  <c r="V1048" i="72"/>
  <c r="W1048" i="72"/>
  <c r="Y1048" i="72"/>
  <c r="Q466" i="72"/>
  <c r="V189" i="72"/>
  <c r="W189" i="72"/>
  <c r="Q1085" i="72"/>
  <c r="R1218" i="72"/>
  <c r="S1218" i="72"/>
  <c r="U501" i="72"/>
  <c r="V501" i="72"/>
  <c r="W501" i="72"/>
  <c r="W786" i="72"/>
  <c r="Y786" i="72"/>
  <c r="U925" i="72"/>
  <c r="Q420" i="72"/>
  <c r="R420" i="72"/>
  <c r="S420" i="72"/>
  <c r="Q35" i="72"/>
  <c r="R35" i="72"/>
  <c r="R528" i="72"/>
  <c r="S528" i="72"/>
  <c r="Q366" i="72"/>
  <c r="T560" i="72"/>
  <c r="U560" i="72"/>
  <c r="S828" i="72"/>
  <c r="T828" i="72"/>
  <c r="U828" i="72"/>
  <c r="V941" i="72"/>
  <c r="W941" i="72"/>
  <c r="T660" i="72"/>
  <c r="V176" i="72"/>
  <c r="W176" i="72"/>
  <c r="Y176" i="72"/>
  <c r="V329" i="72"/>
  <c r="W985" i="72"/>
  <c r="Y985" i="72"/>
  <c r="S1033" i="72"/>
  <c r="T530" i="72"/>
  <c r="U530" i="72"/>
  <c r="V530" i="72"/>
  <c r="W530" i="72"/>
  <c r="Y530" i="72"/>
  <c r="U123" i="72"/>
  <c r="S1171" i="72"/>
  <c r="T1171" i="72"/>
  <c r="U1171" i="72"/>
  <c r="V1171" i="72"/>
  <c r="Q363" i="72"/>
  <c r="R363" i="72"/>
  <c r="S363" i="72"/>
  <c r="T363" i="72"/>
  <c r="U363" i="72"/>
  <c r="S897" i="72"/>
  <c r="T897" i="72"/>
  <c r="T348" i="72"/>
  <c r="T129" i="72"/>
  <c r="U129" i="72"/>
  <c r="V129" i="72"/>
  <c r="W129" i="72"/>
  <c r="Y129" i="72"/>
  <c r="R319" i="72"/>
  <c r="S319" i="72"/>
  <c r="T319" i="72"/>
  <c r="U319" i="72"/>
  <c r="R164" i="72"/>
  <c r="S164" i="72"/>
  <c r="T164" i="72"/>
  <c r="U164" i="72"/>
  <c r="V164" i="72"/>
  <c r="R1200" i="72"/>
  <c r="S1200" i="72"/>
  <c r="T1200" i="72"/>
  <c r="U1200" i="72"/>
  <c r="Q321" i="72"/>
  <c r="R321" i="72"/>
  <c r="V949" i="72"/>
  <c r="W949" i="72"/>
  <c r="Y949" i="72"/>
  <c r="Q317" i="72"/>
  <c r="R317" i="72"/>
  <c r="S317" i="72"/>
  <c r="U471" i="72"/>
  <c r="Q1248" i="72"/>
  <c r="R1248" i="72"/>
  <c r="S1248" i="72"/>
  <c r="R669" i="72"/>
  <c r="U817" i="72"/>
  <c r="V817" i="72"/>
  <c r="W817" i="72"/>
  <c r="Y817" i="72"/>
  <c r="T145" i="72"/>
  <c r="U145" i="72"/>
  <c r="S263" i="72"/>
  <c r="Q1098" i="72"/>
  <c r="R1098" i="72"/>
  <c r="S1098" i="72"/>
  <c r="T1098" i="72"/>
  <c r="U1098" i="72"/>
  <c r="V1098" i="72"/>
  <c r="R148" i="72"/>
  <c r="S148" i="72"/>
  <c r="S73" i="72"/>
  <c r="T73" i="72"/>
  <c r="U73" i="72"/>
  <c r="V73" i="72"/>
  <c r="S1190" i="72"/>
  <c r="T1190" i="72"/>
  <c r="U1190" i="72"/>
  <c r="S1170" i="72"/>
  <c r="T1170" i="72"/>
  <c r="U1170" i="72"/>
  <c r="V1170" i="72"/>
  <c r="W1170" i="72"/>
  <c r="Y1170" i="72"/>
  <c r="U977" i="72"/>
  <c r="V977" i="72"/>
  <c r="S368" i="72"/>
  <c r="T368" i="72"/>
  <c r="U368" i="72"/>
  <c r="V368" i="72"/>
  <c r="W368" i="72"/>
  <c r="Y368" i="72"/>
  <c r="Q640" i="72"/>
  <c r="R640" i="72"/>
  <c r="S640" i="72"/>
  <c r="T640" i="72"/>
  <c r="U640" i="72"/>
  <c r="V640" i="72"/>
  <c r="W640" i="72"/>
  <c r="Y640" i="72"/>
  <c r="Q529" i="72"/>
  <c r="R529" i="72"/>
  <c r="S529" i="72"/>
  <c r="T529" i="72"/>
  <c r="U529" i="72"/>
  <c r="V529" i="72"/>
  <c r="P112" i="72"/>
  <c r="Q112" i="72"/>
  <c r="R112" i="72"/>
  <c r="Q254" i="72"/>
  <c r="R254" i="72"/>
  <c r="S254" i="72"/>
  <c r="Q540" i="72"/>
  <c r="U974" i="72"/>
  <c r="V974" i="72"/>
  <c r="V44" i="72"/>
  <c r="W44" i="72"/>
  <c r="Y44" i="72"/>
  <c r="R427" i="72"/>
  <c r="S427" i="72"/>
  <c r="T427" i="72"/>
  <c r="R118" i="72"/>
  <c r="S118" i="72"/>
  <c r="T118" i="72"/>
  <c r="R442" i="72"/>
  <c r="S442" i="72"/>
  <c r="T442" i="72"/>
  <c r="S19" i="72"/>
  <c r="P61" i="72"/>
  <c r="Q61" i="72"/>
  <c r="R519" i="72"/>
  <c r="S533" i="72"/>
  <c r="T533" i="72"/>
  <c r="R1083" i="72"/>
  <c r="S41" i="72"/>
  <c r="T41" i="72"/>
  <c r="U41" i="72"/>
  <c r="V41" i="72"/>
  <c r="W41" i="72"/>
  <c r="Y41" i="72"/>
  <c r="Q337" i="72"/>
  <c r="Q167" i="72"/>
  <c r="T544" i="72"/>
  <c r="U544" i="72"/>
  <c r="V544" i="72"/>
  <c r="S50" i="72"/>
  <c r="T50" i="72"/>
  <c r="R397" i="72"/>
  <c r="S397" i="72"/>
  <c r="Q332" i="72"/>
  <c r="R332" i="72"/>
  <c r="S332" i="72"/>
  <c r="T332" i="72"/>
  <c r="U332" i="72"/>
  <c r="V332" i="72"/>
  <c r="Q180" i="72"/>
  <c r="T642" i="72"/>
  <c r="U642" i="72"/>
  <c r="V642" i="72"/>
  <c r="W642" i="72"/>
  <c r="Y642" i="72"/>
  <c r="Q438" i="72"/>
  <c r="S558" i="72"/>
  <c r="P108" i="72"/>
  <c r="Q108" i="72"/>
  <c r="R108" i="72"/>
  <c r="T929" i="72"/>
  <c r="U929" i="72"/>
  <c r="V929" i="72"/>
  <c r="U1029" i="72"/>
  <c r="V1029" i="72"/>
  <c r="W1029" i="72"/>
  <c r="Y1029" i="72"/>
  <c r="V957" i="72"/>
  <c r="W957" i="72"/>
  <c r="Y957" i="72"/>
  <c r="S141" i="72"/>
  <c r="T141" i="72"/>
  <c r="U141" i="72"/>
  <c r="V141" i="72"/>
  <c r="U1301" i="72"/>
  <c r="V1301" i="72"/>
  <c r="S1101" i="72"/>
  <c r="U1071" i="72"/>
  <c r="V1071" i="72"/>
  <c r="W1071" i="72"/>
  <c r="Y1071" i="72"/>
  <c r="U752" i="72"/>
  <c r="V752" i="72"/>
  <c r="U842" i="72"/>
  <c r="V842" i="72"/>
  <c r="V584" i="72"/>
  <c r="U361" i="72"/>
  <c r="V361" i="72"/>
  <c r="S306" i="72"/>
  <c r="T1276" i="72"/>
  <c r="W1128" i="72"/>
  <c r="Y1128" i="72"/>
  <c r="R1322" i="72"/>
  <c r="V802" i="72"/>
  <c r="V1063" i="72"/>
  <c r="W1063" i="72"/>
  <c r="Y1063" i="72"/>
  <c r="V743" i="72"/>
  <c r="W743" i="72"/>
  <c r="Y743" i="72"/>
  <c r="T215" i="72"/>
  <c r="U215" i="72"/>
  <c r="Y1015" i="72"/>
  <c r="S653" i="72"/>
  <c r="T653" i="72"/>
  <c r="U653" i="72"/>
  <c r="V653" i="72"/>
  <c r="W653" i="72"/>
  <c r="Y653" i="72"/>
  <c r="T411" i="72"/>
  <c r="S190" i="72"/>
  <c r="T190" i="72"/>
  <c r="U190" i="72"/>
  <c r="U328" i="72"/>
  <c r="V328" i="72"/>
  <c r="S575" i="72"/>
  <c r="T575" i="72"/>
  <c r="T1131" i="72"/>
  <c r="Q567" i="72"/>
  <c r="R567" i="72"/>
  <c r="Y781" i="72"/>
  <c r="S1280" i="72"/>
  <c r="Q1123" i="72"/>
  <c r="S172" i="72"/>
  <c r="T172" i="72"/>
  <c r="U172" i="72"/>
  <c r="V172" i="72"/>
  <c r="Q605" i="72"/>
  <c r="R605" i="72"/>
  <c r="S605" i="72"/>
  <c r="T1212" i="72"/>
  <c r="U1212" i="72"/>
  <c r="V1212" i="72"/>
  <c r="Q1275" i="72"/>
  <c r="R1275" i="72"/>
  <c r="S1275" i="72"/>
  <c r="Q509" i="72"/>
  <c r="R509" i="72"/>
  <c r="S509" i="72"/>
  <c r="T509" i="72"/>
  <c r="U509" i="72"/>
  <c r="V509" i="72"/>
  <c r="W509" i="72"/>
  <c r="Y509" i="72"/>
  <c r="T844" i="72"/>
  <c r="U844" i="72"/>
  <c r="T880" i="72"/>
  <c r="U880" i="72"/>
  <c r="V880" i="72"/>
  <c r="W880" i="72"/>
  <c r="Y880" i="72"/>
  <c r="U392" i="72"/>
  <c r="V392" i="72"/>
  <c r="W392" i="72"/>
  <c r="Y1035" i="72"/>
  <c r="U708" i="72"/>
  <c r="V708" i="72"/>
  <c r="W708" i="72"/>
  <c r="Y708" i="72"/>
  <c r="R367" i="72"/>
  <c r="R1233" i="72"/>
  <c r="S1233" i="72"/>
  <c r="W1045" i="72"/>
  <c r="Y1045" i="72"/>
  <c r="U563" i="72"/>
  <c r="V563" i="72"/>
  <c r="T702" i="72"/>
  <c r="U74" i="72"/>
  <c r="V74" i="72"/>
  <c r="W74" i="72"/>
  <c r="Y74" i="72"/>
  <c r="V797" i="72"/>
  <c r="W797" i="72"/>
  <c r="W843" i="72"/>
  <c r="Y843" i="72"/>
  <c r="Q1196" i="72"/>
  <c r="T1061" i="72"/>
  <c r="U1061" i="72"/>
  <c r="V1061" i="72"/>
  <c r="W1061" i="72"/>
  <c r="Y1061" i="72"/>
  <c r="S610" i="72"/>
  <c r="S1172" i="72"/>
  <c r="R1225" i="72"/>
  <c r="U790" i="72"/>
  <c r="V790" i="72"/>
  <c r="T294" i="72"/>
  <c r="U294" i="72"/>
  <c r="U783" i="72"/>
  <c r="V783" i="72"/>
  <c r="W783" i="72"/>
  <c r="T730" i="72"/>
  <c r="U730" i="72"/>
  <c r="T601" i="72"/>
  <c r="U601" i="72"/>
  <c r="V601" i="72"/>
  <c r="W601" i="72"/>
  <c r="Y601" i="72"/>
  <c r="S632" i="72"/>
  <c r="T632" i="72"/>
  <c r="U632" i="72"/>
  <c r="V632" i="72"/>
  <c r="W632" i="72"/>
  <c r="S551" i="72"/>
  <c r="W718" i="72"/>
  <c r="Y718" i="72"/>
  <c r="S628" i="72"/>
  <c r="T628" i="72"/>
  <c r="U628" i="72"/>
  <c r="S356" i="72"/>
  <c r="T356" i="72"/>
  <c r="S1126" i="72"/>
  <c r="S507" i="72"/>
  <c r="T403" i="72"/>
  <c r="U403" i="72"/>
  <c r="S136" i="72"/>
  <c r="T136" i="72"/>
  <c r="S152" i="72"/>
  <c r="T1149" i="72"/>
  <c r="U1149" i="72"/>
  <c r="S336" i="72"/>
  <c r="T478" i="72"/>
  <c r="U478" i="72"/>
  <c r="S170" i="72"/>
  <c r="T170" i="72"/>
  <c r="U170" i="72"/>
  <c r="V170" i="72"/>
  <c r="U1053" i="72"/>
  <c r="S1211" i="72"/>
  <c r="T1211" i="72"/>
  <c r="U1211" i="72"/>
  <c r="V1211" i="72"/>
  <c r="W1211" i="72"/>
  <c r="V490" i="72"/>
  <c r="W490" i="72"/>
  <c r="Q568" i="72"/>
  <c r="S552" i="72"/>
  <c r="S1260" i="72"/>
  <c r="T1260" i="72"/>
  <c r="U1097" i="72"/>
  <c r="V1097" i="72"/>
  <c r="S1202" i="72"/>
  <c r="W890" i="72"/>
  <c r="Y890" i="72"/>
  <c r="Y894" i="72"/>
  <c r="U1023" i="72"/>
  <c r="T818" i="72"/>
  <c r="U353" i="72"/>
  <c r="V353" i="72"/>
  <c r="S602" i="72"/>
  <c r="T13" i="72"/>
  <c r="U13" i="72"/>
  <c r="V13" i="72"/>
  <c r="W13" i="72"/>
  <c r="Y13" i="72"/>
  <c r="S493" i="72"/>
  <c r="T493" i="72"/>
  <c r="S238" i="72"/>
  <c r="S1146" i="72"/>
  <c r="T1146" i="72"/>
  <c r="U1146" i="72"/>
  <c r="V135" i="72"/>
  <c r="W135" i="72"/>
  <c r="V869" i="72"/>
  <c r="W869" i="72"/>
  <c r="Y869" i="72"/>
  <c r="T574" i="72"/>
  <c r="U574" i="72"/>
  <c r="V574" i="72"/>
  <c r="W574" i="72"/>
  <c r="Y574" i="72"/>
  <c r="R433" i="72"/>
  <c r="S433" i="72"/>
  <c r="S171" i="72"/>
  <c r="U268" i="72"/>
  <c r="S1291" i="72"/>
  <c r="T1291" i="72"/>
  <c r="S1321" i="72"/>
  <c r="S1317" i="72"/>
  <c r="S591" i="72"/>
  <c r="S335" i="72"/>
  <c r="T335" i="72"/>
  <c r="U335" i="72"/>
  <c r="U1068" i="72"/>
  <c r="U750" i="72"/>
  <c r="V750" i="72"/>
  <c r="W750" i="72"/>
  <c r="Y750" i="72"/>
  <c r="S382" i="72"/>
  <c r="T382" i="72"/>
  <c r="U382" i="72"/>
  <c r="S199" i="72"/>
  <c r="Q32" i="72"/>
  <c r="S515" i="72"/>
  <c r="S311" i="72"/>
  <c r="U804" i="72"/>
  <c r="S209" i="72"/>
  <c r="T209" i="72"/>
  <c r="S587" i="72"/>
  <c r="T587" i="72"/>
  <c r="U587" i="72"/>
  <c r="S47" i="72"/>
  <c r="T394" i="72"/>
  <c r="S1134" i="72"/>
  <c r="U1121" i="72"/>
  <c r="T1334" i="72"/>
  <c r="S1195" i="72"/>
  <c r="T1195" i="72"/>
  <c r="U1195" i="72"/>
  <c r="U1051" i="72"/>
  <c r="V1051" i="72"/>
  <c r="W1051" i="72"/>
  <c r="Y1051" i="72"/>
  <c r="S296" i="72"/>
  <c r="T296" i="72"/>
  <c r="R1175" i="72"/>
  <c r="S1257" i="72"/>
  <c r="R659" i="72"/>
  <c r="S659" i="72"/>
  <c r="Q1316" i="72"/>
  <c r="R1316" i="72"/>
  <c r="S1316" i="72"/>
  <c r="T822" i="72"/>
  <c r="U822" i="72"/>
  <c r="Q1176" i="72"/>
  <c r="U229" i="72"/>
  <c r="V229" i="72"/>
  <c r="W229" i="72"/>
  <c r="Y229" i="72"/>
  <c r="Y956" i="72"/>
  <c r="T1047" i="72"/>
  <c r="V1003" i="72"/>
  <c r="W1003" i="72"/>
  <c r="Y1003" i="72"/>
  <c r="S297" i="72"/>
  <c r="T297" i="72"/>
  <c r="U297" i="72"/>
  <c r="S48" i="72"/>
  <c r="U188" i="72"/>
  <c r="V188" i="72"/>
  <c r="W188" i="72"/>
  <c r="Y188" i="72"/>
  <c r="S1167" i="72"/>
  <c r="T1167" i="72"/>
  <c r="U1167" i="72"/>
  <c r="V1167" i="72"/>
  <c r="S1256" i="72"/>
  <c r="S160" i="72"/>
  <c r="T160" i="72"/>
  <c r="U160" i="72"/>
  <c r="V160" i="72"/>
  <c r="W160" i="72"/>
  <c r="V1066" i="72"/>
  <c r="W1066" i="72"/>
  <c r="Y1066" i="72"/>
  <c r="V979" i="72"/>
  <c r="W979" i="72"/>
  <c r="Y979" i="72"/>
  <c r="T588" i="72"/>
  <c r="U588" i="72"/>
  <c r="V588" i="72"/>
  <c r="W1058" i="72"/>
  <c r="Y1058" i="72"/>
  <c r="S1192" i="72"/>
  <c r="T1192" i="72"/>
  <c r="U1192" i="72"/>
  <c r="V1192" i="72"/>
  <c r="S593" i="72"/>
  <c r="T593" i="72"/>
  <c r="S1238" i="72"/>
  <c r="T523" i="72"/>
  <c r="U523" i="72"/>
  <c r="V523" i="72"/>
  <c r="W523" i="72"/>
  <c r="Y523" i="72"/>
  <c r="S1298" i="72"/>
  <c r="S225" i="72"/>
  <c r="T225" i="72"/>
  <c r="U225" i="72"/>
  <c r="V225" i="72"/>
  <c r="W225" i="72"/>
  <c r="Y225" i="72"/>
  <c r="S75" i="72"/>
  <c r="T75" i="72"/>
  <c r="W1055" i="72"/>
  <c r="Y1055" i="72"/>
  <c r="S513" i="72"/>
  <c r="T717" i="72"/>
  <c r="U717" i="72"/>
  <c r="V717" i="72"/>
  <c r="W717" i="72"/>
  <c r="Y717" i="72"/>
  <c r="S1216" i="72"/>
  <c r="S615" i="72"/>
  <c r="T615" i="72"/>
  <c r="U615" i="72"/>
  <c r="S1148" i="72"/>
  <c r="T1148" i="72"/>
  <c r="U1148" i="72"/>
  <c r="V1148" i="72"/>
  <c r="T488" i="72"/>
  <c r="Q432" i="72"/>
  <c r="R432" i="72"/>
  <c r="S432" i="72"/>
  <c r="T461" i="72"/>
  <c r="U461" i="72"/>
  <c r="S1296" i="72"/>
  <c r="T1296" i="72"/>
  <c r="U1296" i="72"/>
  <c r="Y866" i="72"/>
  <c r="Q53" i="72"/>
  <c r="R53" i="72"/>
  <c r="Y836" i="72"/>
  <c r="W1022" i="72"/>
  <c r="Y1022" i="72"/>
  <c r="V1144" i="72"/>
  <c r="W1144" i="72"/>
  <c r="U650" i="72"/>
  <c r="V650" i="72"/>
  <c r="W650" i="72"/>
  <c r="S1338" i="72"/>
  <c r="T1338" i="72"/>
  <c r="U1338" i="72"/>
  <c r="W30" i="72"/>
  <c r="Y30" i="72"/>
  <c r="R284" i="72"/>
  <c r="S284" i="72"/>
  <c r="U338" i="72"/>
  <c r="V338" i="72"/>
  <c r="W338" i="72"/>
  <c r="T820" i="72"/>
  <c r="U820" i="72"/>
  <c r="Q326" i="72"/>
  <c r="R326" i="72"/>
  <c r="Q557" i="72"/>
  <c r="R557" i="72"/>
  <c r="V986" i="72"/>
  <c r="W986" i="72"/>
  <c r="Y986" i="72"/>
  <c r="W863" i="72"/>
  <c r="Y863" i="72"/>
  <c r="T86" i="72"/>
  <c r="V835" i="72"/>
  <c r="W835" i="72"/>
  <c r="Y835" i="72"/>
  <c r="U756" i="72"/>
  <c r="V756" i="72"/>
  <c r="Q312" i="72"/>
  <c r="R312" i="72"/>
  <c r="U51" i="72"/>
  <c r="V51" i="72"/>
  <c r="Q65" i="72"/>
  <c r="U841" i="72"/>
  <c r="V841" i="72"/>
  <c r="W841" i="72"/>
  <c r="U913" i="72"/>
  <c r="S364" i="72"/>
  <c r="T364" i="72"/>
  <c r="U364" i="72"/>
  <c r="V364" i="72"/>
  <c r="Q217" i="72"/>
  <c r="R217" i="72"/>
  <c r="S217" i="72"/>
  <c r="T614" i="72"/>
  <c r="U614" i="72"/>
  <c r="V614" i="72"/>
  <c r="W614" i="72"/>
  <c r="S1099" i="72"/>
  <c r="T1099" i="72"/>
  <c r="U1099" i="72"/>
  <c r="V1099" i="72"/>
  <c r="W1099" i="72"/>
  <c r="Y1099" i="72"/>
  <c r="V993" i="72"/>
  <c r="W993" i="72"/>
  <c r="Y993" i="72"/>
  <c r="T448" i="72"/>
  <c r="P247" i="72"/>
  <c r="S435" i="72"/>
  <c r="T435" i="72"/>
  <c r="T641" i="72"/>
  <c r="U641" i="72"/>
  <c r="V641" i="72"/>
  <c r="S146" i="72"/>
  <c r="U970" i="72"/>
  <c r="V970" i="72"/>
  <c r="S1292" i="72"/>
  <c r="T1292" i="72"/>
  <c r="S58" i="72"/>
  <c r="T58" i="72"/>
  <c r="U58" i="72"/>
  <c r="S202" i="72"/>
  <c r="T202" i="72"/>
  <c r="U202" i="72"/>
  <c r="V202" i="72"/>
  <c r="V421" i="72"/>
  <c r="W421" i="72"/>
  <c r="Y421" i="72"/>
  <c r="S1229" i="72"/>
  <c r="T1229" i="72"/>
  <c r="S1300" i="72"/>
  <c r="T1300" i="72"/>
  <c r="U1300" i="72"/>
  <c r="Q1168" i="72"/>
  <c r="R1168" i="72"/>
  <c r="S1168" i="72"/>
  <c r="T1328" i="72"/>
  <c r="U1328" i="72"/>
  <c r="R572" i="72"/>
  <c r="S1265" i="72"/>
  <c r="S419" i="72"/>
  <c r="T419" i="72"/>
  <c r="U419" i="72"/>
  <c r="S157" i="72"/>
  <c r="T157" i="72"/>
  <c r="S685" i="72"/>
  <c r="T685" i="72"/>
  <c r="U685" i="72"/>
  <c r="V685" i="72"/>
  <c r="W685" i="72"/>
  <c r="Y685" i="72"/>
  <c r="S214" i="72"/>
  <c r="R629" i="72"/>
  <c r="S629" i="72"/>
  <c r="R516" i="72"/>
  <c r="S516" i="72"/>
  <c r="Q525" i="72"/>
  <c r="R525" i="72"/>
  <c r="R203" i="72"/>
  <c r="S203" i="72"/>
  <c r="Q1319" i="72"/>
  <c r="Q1188" i="72"/>
  <c r="Q362" i="72"/>
  <c r="T1095" i="72"/>
  <c r="S1142" i="72"/>
  <c r="W920" i="72"/>
  <c r="Y920" i="72"/>
  <c r="U186" i="72"/>
  <c r="V186" i="72"/>
  <c r="W186" i="72"/>
  <c r="Y186" i="72"/>
  <c r="U751" i="72"/>
  <c r="Q187" i="72"/>
  <c r="R187" i="72"/>
  <c r="W770" i="72"/>
  <c r="Y770" i="72"/>
  <c r="V861" i="72"/>
  <c r="Q183" i="72"/>
  <c r="U1069" i="72"/>
  <c r="V1069" i="72"/>
  <c r="U837" i="72"/>
  <c r="V837" i="72"/>
  <c r="W837" i="72"/>
  <c r="Y837" i="72"/>
  <c r="V1001" i="72"/>
  <c r="W1001" i="72"/>
  <c r="T1199" i="72"/>
  <c r="U1199" i="72"/>
  <c r="V1199" i="72"/>
  <c r="W1199" i="72"/>
  <c r="Y1199" i="72"/>
  <c r="W976" i="72"/>
  <c r="Y976" i="72"/>
  <c r="T908" i="72"/>
  <c r="U908" i="72"/>
  <c r="V908" i="72"/>
  <c r="W908" i="72"/>
  <c r="Y908" i="72"/>
  <c r="Q1282" i="72"/>
  <c r="R1282" i="72"/>
  <c r="T1059" i="72"/>
  <c r="V696" i="72"/>
  <c r="W696" i="72"/>
  <c r="Y696" i="72"/>
  <c r="T1037" i="72"/>
  <c r="U1037" i="72"/>
  <c r="V1037" i="72"/>
  <c r="T194" i="72"/>
  <c r="U194" i="72"/>
  <c r="V194" i="72"/>
  <c r="U512" i="72"/>
  <c r="S95" i="72"/>
  <c r="T95" i="72"/>
  <c r="U95" i="72"/>
  <c r="V95" i="72"/>
  <c r="T484" i="72"/>
  <c r="S1318" i="72"/>
  <c r="T259" i="72"/>
  <c r="S322" i="72"/>
  <c r="T322" i="72"/>
  <c r="S656" i="72"/>
  <c r="T656" i="72"/>
  <c r="U656" i="72"/>
  <c r="V656" i="72"/>
  <c r="W656" i="72"/>
  <c r="S853" i="72"/>
  <c r="T853" i="72"/>
  <c r="U853" i="72"/>
  <c r="Q49" i="72"/>
  <c r="S185" i="72"/>
  <c r="T185" i="72"/>
  <c r="U185" i="72"/>
  <c r="V185" i="72"/>
  <c r="S253" i="72"/>
  <c r="T253" i="72"/>
  <c r="U253" i="72"/>
  <c r="V253" i="72"/>
  <c r="W253" i="72"/>
  <c r="T883" i="72"/>
  <c r="U883" i="72"/>
  <c r="V883" i="72"/>
  <c r="S1293" i="72"/>
  <c r="T1293" i="72"/>
  <c r="W1151" i="72"/>
  <c r="Y1151" i="72"/>
  <c r="Y798" i="72"/>
  <c r="U1018" i="72"/>
  <c r="V1018" i="72"/>
  <c r="W1018" i="72"/>
  <c r="Y1018" i="72"/>
  <c r="S175" i="72"/>
  <c r="T175" i="72"/>
  <c r="Q174" i="72"/>
  <c r="R174" i="72"/>
  <c r="T351" i="72"/>
  <c r="U351" i="72"/>
  <c r="V351" i="72"/>
  <c r="U895" i="72"/>
  <c r="V895" i="72"/>
  <c r="T678" i="72"/>
  <c r="U678" i="72"/>
  <c r="S360" i="72"/>
  <c r="T360" i="72"/>
  <c r="U360" i="72"/>
  <c r="V360" i="72"/>
  <c r="W360" i="72"/>
  <c r="Y360" i="72"/>
  <c r="U829" i="72"/>
  <c r="V829" i="72"/>
  <c r="W829" i="72"/>
  <c r="Q291" i="72"/>
  <c r="R291" i="72"/>
  <c r="S526" i="72"/>
  <c r="T526" i="72"/>
  <c r="S269" i="72"/>
  <c r="S506" i="72"/>
  <c r="T506" i="72"/>
  <c r="T352" i="72"/>
  <c r="U352" i="72"/>
  <c r="S340" i="72"/>
  <c r="T340" i="72"/>
  <c r="Y1060" i="72"/>
  <c r="T158" i="72"/>
  <c r="W729" i="72"/>
  <c r="Y729" i="72"/>
  <c r="S536" i="72"/>
  <c r="T536" i="72"/>
  <c r="U536" i="72"/>
  <c r="V536" i="72"/>
  <c r="S1242" i="72"/>
  <c r="T1337" i="72"/>
  <c r="T1135" i="72"/>
  <c r="U1135" i="72"/>
  <c r="V1135" i="72"/>
  <c r="W1135" i="72"/>
  <c r="U789" i="72"/>
  <c r="V789" i="72"/>
  <c r="W789" i="72"/>
  <c r="Y789" i="72"/>
  <c r="S265" i="72"/>
  <c r="T38" i="72"/>
  <c r="U38" i="72"/>
  <c r="T973" i="72"/>
  <c r="T705" i="72"/>
  <c r="T808" i="72"/>
  <c r="V527" i="72"/>
  <c r="W527" i="72"/>
  <c r="Y527" i="72"/>
  <c r="Q1105" i="72"/>
  <c r="R1105" i="72"/>
  <c r="S437" i="72"/>
  <c r="S147" i="72"/>
  <c r="T1268" i="72"/>
  <c r="Q1252" i="72"/>
  <c r="R1252" i="72"/>
  <c r="T1174" i="72"/>
  <c r="U1174" i="72"/>
  <c r="V1174" i="72"/>
  <c r="V727" i="72"/>
  <c r="W727" i="72"/>
  <c r="Y727" i="72"/>
  <c r="V953" i="72"/>
  <c r="S1109" i="72"/>
  <c r="Y776" i="72"/>
  <c r="U701" i="72"/>
  <c r="V701" i="72"/>
  <c r="V903" i="72"/>
  <c r="W903" i="72"/>
  <c r="U716" i="72"/>
  <c r="U1044" i="72"/>
  <c r="V1044" i="72"/>
  <c r="Q239" i="72"/>
  <c r="V891" i="72"/>
  <c r="U954" i="72"/>
  <c r="V954" i="72"/>
  <c r="T904" i="72"/>
  <c r="U904" i="72"/>
  <c r="V904" i="72"/>
  <c r="U554" i="72"/>
  <c r="V554" i="72"/>
  <c r="W554" i="72"/>
  <c r="Y554" i="72"/>
  <c r="Y713" i="72"/>
  <c r="S430" i="72"/>
  <c r="T430" i="72"/>
  <c r="U430" i="72"/>
  <c r="S246" i="72"/>
  <c r="T246" i="72"/>
  <c r="S374" i="72"/>
  <c r="T666" i="72"/>
  <c r="U881" i="72"/>
  <c r="V881" i="72"/>
  <c r="W881" i="72"/>
  <c r="S609" i="72"/>
  <c r="T609" i="72"/>
  <c r="U609" i="72"/>
  <c r="S522" i="72"/>
  <c r="U232" i="72"/>
  <c r="V232" i="72"/>
  <c r="P1314" i="72"/>
  <c r="U125" i="72"/>
  <c r="V125" i="72"/>
  <c r="T503" i="72"/>
  <c r="Q1308" i="72"/>
  <c r="R1308" i="72"/>
  <c r="U354" i="72"/>
  <c r="V354" i="72"/>
  <c r="Q407" i="72"/>
  <c r="T154" i="72"/>
  <c r="U154" i="72"/>
  <c r="R280" i="72"/>
  <c r="R318" i="72"/>
  <c r="Q1277" i="72"/>
  <c r="S1269" i="72"/>
  <c r="S242" i="72"/>
  <c r="T242" i="72"/>
  <c r="U242" i="72"/>
  <c r="V242" i="72"/>
  <c r="W242" i="72"/>
  <c r="Y242" i="72"/>
  <c r="S390" i="72"/>
  <c r="S205" i="72"/>
  <c r="S672" i="72"/>
  <c r="T672" i="72"/>
  <c r="V142" i="72"/>
  <c r="W142" i="72"/>
  <c r="Y142" i="72"/>
  <c r="R408" i="72"/>
  <c r="S408" i="72"/>
  <c r="T408" i="72"/>
  <c r="Q1103" i="72"/>
  <c r="T1194" i="72"/>
  <c r="U1194" i="72"/>
  <c r="V1194" i="72"/>
  <c r="W1194" i="72"/>
  <c r="Y1194" i="72"/>
  <c r="T972" i="72"/>
  <c r="U972" i="72"/>
  <c r="V972" i="72"/>
  <c r="W972" i="72"/>
  <c r="Y972" i="72"/>
  <c r="W964" i="72"/>
  <c r="Y964" i="72"/>
  <c r="S586" i="72"/>
  <c r="U520" i="72"/>
  <c r="V520" i="72"/>
  <c r="W520" i="72"/>
  <c r="Y520" i="72"/>
  <c r="S687" i="72"/>
  <c r="T687" i="72"/>
  <c r="U687" i="72"/>
  <c r="U924" i="72"/>
  <c r="V924" i="72"/>
  <c r="W924" i="72"/>
  <c r="Y924" i="72"/>
  <c r="U396" i="72"/>
  <c r="U1086" i="72"/>
  <c r="U825" i="72"/>
  <c r="V825" i="72"/>
  <c r="W825" i="72"/>
  <c r="Y825" i="72"/>
  <c r="T1147" i="72"/>
  <c r="U1147" i="72"/>
  <c r="S686" i="72"/>
  <c r="T686" i="72"/>
  <c r="U686" i="72"/>
  <c r="S1163" i="72"/>
  <c r="T1163" i="72"/>
  <c r="U1163" i="72"/>
  <c r="V1163" i="72"/>
  <c r="W1163" i="72"/>
  <c r="Y1163" i="72"/>
  <c r="S675" i="72"/>
  <c r="T675" i="72"/>
  <c r="T1332" i="72"/>
  <c r="U1332" i="72"/>
  <c r="S1285" i="72"/>
  <c r="S380" i="72"/>
  <c r="T380" i="72"/>
  <c r="U380" i="72"/>
  <c r="T1240" i="72"/>
  <c r="U1240" i="72"/>
  <c r="V1240" i="72"/>
  <c r="S612" i="72"/>
  <c r="T1119" i="72"/>
  <c r="V724" i="72"/>
  <c r="W724" i="72"/>
  <c r="W900" i="72"/>
  <c r="Y900" i="72"/>
  <c r="V1052" i="72"/>
  <c r="W1052" i="72"/>
  <c r="Y1052" i="72"/>
  <c r="U812" i="72"/>
  <c r="V812" i="72"/>
  <c r="V1154" i="72"/>
  <c r="Q475" i="72"/>
  <c r="R475" i="72"/>
  <c r="U436" i="72"/>
  <c r="T856" i="72"/>
  <c r="U856" i="72"/>
  <c r="V856" i="72"/>
  <c r="W856" i="72"/>
  <c r="U561" i="72"/>
  <c r="V561" i="72"/>
  <c r="T824" i="72"/>
  <c r="U851" i="72"/>
  <c r="W940" i="72"/>
  <c r="Y940" i="72"/>
  <c r="W1064" i="72"/>
  <c r="Y1064" i="72"/>
  <c r="T965" i="72"/>
  <c r="U965" i="72"/>
  <c r="Y709" i="72"/>
  <c r="S231" i="72"/>
  <c r="T231" i="72"/>
  <c r="U231" i="72"/>
  <c r="V231" i="72"/>
  <c r="W231" i="72"/>
  <c r="S646" i="72"/>
  <c r="T663" i="72"/>
  <c r="U663" i="72"/>
  <c r="S320" i="72"/>
  <c r="T1117" i="72"/>
  <c r="Q324" i="72"/>
  <c r="S14" i="72"/>
  <c r="S343" i="72"/>
  <c r="V748" i="72"/>
  <c r="W748" i="72"/>
  <c r="U858" i="72"/>
  <c r="S21" i="72"/>
  <c r="T21" i="72"/>
  <c r="U21" i="72"/>
  <c r="S378" i="72"/>
  <c r="Q93" i="72"/>
  <c r="S358" i="72"/>
  <c r="S133" i="72"/>
  <c r="S210" i="72"/>
  <c r="T210" i="72"/>
  <c r="U210" i="72"/>
  <c r="V210" i="72"/>
  <c r="W210" i="72"/>
  <c r="Y210" i="72"/>
  <c r="Y811" i="72"/>
  <c r="Q9" i="72"/>
  <c r="S469" i="72"/>
  <c r="R349" i="72"/>
  <c r="S17" i="72"/>
  <c r="T17" i="72"/>
  <c r="U17" i="72"/>
  <c r="V17" i="72"/>
  <c r="W17" i="72"/>
  <c r="Y17" i="72"/>
  <c r="Y771" i="72"/>
  <c r="U845" i="72"/>
  <c r="V845" i="72"/>
  <c r="W845" i="72"/>
  <c r="Y845" i="72"/>
  <c r="T476" i="72"/>
  <c r="R384" i="72"/>
  <c r="S1187" i="72"/>
  <c r="S482" i="72"/>
  <c r="S69" i="72"/>
  <c r="T69" i="72"/>
  <c r="W45" i="72"/>
  <c r="Y45" i="72"/>
  <c r="Q64" i="72"/>
  <c r="Q401" i="72"/>
  <c r="R143" i="72"/>
  <c r="Q398" i="72"/>
  <c r="R333" i="72"/>
  <c r="Q395" i="72"/>
  <c r="R395" i="72"/>
  <c r="S395" i="72"/>
  <c r="T395" i="72"/>
  <c r="R163" i="72"/>
  <c r="S163" i="72"/>
  <c r="T163" i="72"/>
  <c r="R590" i="72"/>
  <c r="S590" i="72"/>
  <c r="T590" i="72"/>
  <c r="R582" i="72"/>
  <c r="S582" i="72"/>
  <c r="T582" i="72"/>
  <c r="U582" i="72"/>
  <c r="V582" i="72"/>
  <c r="R1092" i="72"/>
  <c r="S1092" i="72"/>
  <c r="T1092" i="72"/>
  <c r="R440" i="72"/>
  <c r="R1084" i="72"/>
  <c r="S1084" i="72"/>
  <c r="R391" i="72"/>
  <c r="S391" i="72"/>
  <c r="Q670" i="72"/>
  <c r="R573" i="72"/>
  <c r="S573" i="72"/>
  <c r="R339" i="72"/>
  <c r="R417" i="72"/>
  <c r="R62" i="72"/>
  <c r="S62" i="72"/>
  <c r="T62" i="72"/>
  <c r="Q439" i="72"/>
  <c r="R439" i="72"/>
  <c r="S439" i="72"/>
  <c r="R1138" i="72"/>
  <c r="S1138" i="72"/>
  <c r="T1138" i="72"/>
  <c r="U1138" i="72"/>
  <c r="V1138" i="72"/>
  <c r="W1138" i="72"/>
  <c r="R655" i="72"/>
  <c r="S655" i="72"/>
  <c r="T655" i="72"/>
  <c r="U655" i="72"/>
  <c r="R6" i="72"/>
  <c r="S6" i="72"/>
  <c r="T6" i="72"/>
  <c r="Q201" i="72"/>
  <c r="M1345" i="72"/>
  <c r="M1346" i="72"/>
  <c r="Q248" i="72"/>
  <c r="R376" i="72"/>
  <c r="S376" i="72"/>
  <c r="T376" i="72"/>
  <c r="Q381" i="72"/>
  <c r="R381" i="72"/>
  <c r="S381" i="72"/>
  <c r="T381" i="72"/>
  <c r="U381" i="72"/>
  <c r="R1124" i="72"/>
  <c r="S1124" i="72"/>
  <c r="T1124" i="72"/>
  <c r="U1124" i="72"/>
  <c r="V1124" i="72"/>
  <c r="R159" i="72"/>
  <c r="R553" i="72"/>
  <c r="S553" i="72"/>
  <c r="T553" i="72"/>
  <c r="U553" i="72"/>
  <c r="R623" i="72"/>
  <c r="R1129" i="72"/>
  <c r="Q1250" i="72"/>
  <c r="R1250" i="72"/>
  <c r="S1250" i="72"/>
  <c r="T1250" i="72"/>
  <c r="U1250" i="72"/>
  <c r="R156" i="72"/>
  <c r="S156" i="72"/>
  <c r="T156" i="72"/>
  <c r="U156" i="72"/>
  <c r="V156" i="72"/>
  <c r="R105" i="72"/>
  <c r="R492" i="72"/>
  <c r="S492" i="72"/>
  <c r="R212" i="72"/>
  <c r="R1096" i="72"/>
  <c r="S1096" i="72"/>
  <c r="T1096" i="72"/>
  <c r="R251" i="72"/>
  <c r="S251" i="72"/>
  <c r="T251" i="72"/>
  <c r="U251" i="72"/>
  <c r="R198" i="72"/>
  <c r="Q237" i="72"/>
  <c r="R107" i="72"/>
  <c r="R1327" i="72"/>
  <c r="R245" i="72"/>
  <c r="S245" i="72"/>
  <c r="R1320" i="72"/>
  <c r="Q1313" i="72"/>
  <c r="R1304" i="72"/>
  <c r="Q1132" i="72"/>
  <c r="R1231" i="72"/>
  <c r="R671" i="72"/>
  <c r="S671" i="72"/>
  <c r="T671" i="72"/>
  <c r="U671" i="72"/>
  <c r="Q257" i="72"/>
  <c r="R257" i="72"/>
  <c r="S257" i="72"/>
  <c r="T257" i="72"/>
  <c r="U257" i="72"/>
  <c r="V257" i="72"/>
  <c r="W257" i="72"/>
  <c r="R1221" i="72"/>
  <c r="Q255" i="72"/>
  <c r="Q289" i="72"/>
  <c r="Q264" i="72"/>
  <c r="Q645" i="72"/>
  <c r="R1270" i="72"/>
  <c r="S1270" i="72"/>
  <c r="T1270" i="72"/>
  <c r="U1270" i="72"/>
  <c r="V1270" i="72"/>
  <c r="W1270" i="72"/>
  <c r="Y1270" i="72"/>
  <c r="P24" i="72"/>
  <c r="R100" i="72"/>
  <c r="S100" i="72"/>
  <c r="R262" i="72"/>
  <c r="S262" i="72"/>
  <c r="T262" i="72"/>
  <c r="R1294" i="72"/>
  <c r="R70" i="72"/>
  <c r="S70" i="72"/>
  <c r="T70" i="72"/>
  <c r="P272" i="72"/>
  <c r="R682" i="72"/>
  <c r="Q680" i="72"/>
  <c r="O25" i="72"/>
  <c r="P25" i="72"/>
  <c r="R1331" i="72"/>
  <c r="R1088" i="72"/>
  <c r="P96" i="72"/>
  <c r="R1205" i="72"/>
  <c r="Q1342" i="72"/>
  <c r="R134" i="72"/>
  <c r="S134" i="72"/>
  <c r="T134" i="72"/>
  <c r="R1243" i="72"/>
  <c r="S1243" i="72"/>
  <c r="T1243" i="72"/>
  <c r="U1243" i="72"/>
  <c r="Q1289" i="72"/>
  <c r="R219" i="72"/>
  <c r="R325" i="72"/>
  <c r="R599" i="72"/>
  <c r="S599" i="72"/>
  <c r="T599" i="72"/>
  <c r="Q454" i="72"/>
  <c r="R1235" i="72"/>
  <c r="Q271" i="72"/>
  <c r="Q1165" i="72"/>
  <c r="R1165" i="72"/>
  <c r="S1165" i="72"/>
  <c r="R151" i="72"/>
  <c r="S151" i="72"/>
  <c r="T151" i="72"/>
  <c r="U151" i="72"/>
  <c r="R309" i="72"/>
  <c r="Q1340" i="72"/>
  <c r="R102" i="72"/>
  <c r="R1155" i="72"/>
  <c r="S1155" i="72"/>
  <c r="T1155" i="72"/>
  <c r="U1155" i="72"/>
  <c r="N5" i="72"/>
  <c r="N1358" i="72"/>
  <c r="N1381" i="72"/>
  <c r="Q114" i="72"/>
  <c r="R114" i="72"/>
  <c r="Q82" i="72"/>
  <c r="R82" i="72"/>
  <c r="S82" i="72"/>
  <c r="T82" i="72"/>
  <c r="P1339" i="72"/>
  <c r="R104" i="72"/>
  <c r="Q302" i="72"/>
  <c r="R302" i="72"/>
  <c r="S302" i="72"/>
  <c r="Q613" i="72"/>
  <c r="Q441" i="72"/>
  <c r="R566" i="72"/>
  <c r="S566" i="72"/>
  <c r="R569" i="72"/>
  <c r="R33" i="72"/>
  <c r="S33" i="72"/>
  <c r="T33" i="72"/>
  <c r="U33" i="72"/>
  <c r="V33" i="72"/>
  <c r="Q404" i="72"/>
  <c r="R404" i="72"/>
  <c r="S404" i="72"/>
  <c r="T404" i="72"/>
  <c r="R377" i="72"/>
  <c r="S377" i="72"/>
  <c r="Q1091" i="72"/>
  <c r="R277" i="72"/>
  <c r="S277" i="72"/>
  <c r="R1180" i="72"/>
  <c r="Q1290" i="72"/>
  <c r="Q204" i="72"/>
  <c r="R603" i="72"/>
  <c r="R208" i="72"/>
  <c r="S208" i="72"/>
  <c r="T208" i="72"/>
  <c r="U208" i="72"/>
  <c r="V208" i="72"/>
  <c r="W208" i="72"/>
  <c r="Y208" i="72"/>
  <c r="Q244" i="72"/>
  <c r="R487" i="72"/>
  <c r="R499" i="72"/>
  <c r="S499" i="72"/>
  <c r="T499" i="72"/>
  <c r="R505" i="72"/>
  <c r="Q426" i="72"/>
  <c r="Q1143" i="72"/>
  <c r="J9" i="16"/>
  <c r="N1383" i="72"/>
  <c r="I8" i="16"/>
  <c r="M1378" i="72"/>
  <c r="O1377" i="72"/>
  <c r="K26" i="16"/>
  <c r="M7" i="7"/>
  <c r="M37" i="18"/>
  <c r="S91" i="18"/>
  <c r="S92" i="18"/>
  <c r="S93" i="18"/>
  <c r="T93" i="18"/>
  <c r="L38" i="18"/>
  <c r="R97" i="18"/>
  <c r="R98" i="18"/>
  <c r="R99" i="18"/>
  <c r="T1362" i="72"/>
  <c r="G70" i="14"/>
  <c r="V297" i="72"/>
  <c r="W297" i="72"/>
  <c r="Y297" i="72"/>
  <c r="I21" i="16"/>
  <c r="K8" i="7"/>
  <c r="M98" i="18"/>
  <c r="M137" i="18"/>
  <c r="M145" i="18"/>
  <c r="N1360" i="72"/>
  <c r="P1354" i="72"/>
  <c r="O30" i="6"/>
  <c r="V15" i="72"/>
  <c r="W15" i="72"/>
  <c r="T457" i="72"/>
  <c r="U457" i="72"/>
  <c r="U1306" i="72"/>
  <c r="V1306" i="72"/>
  <c r="W1306" i="72"/>
  <c r="Q1359" i="72"/>
  <c r="Q1382" i="72"/>
  <c r="M27" i="16"/>
  <c r="S110" i="72"/>
  <c r="T110" i="72"/>
  <c r="N1353" i="72"/>
  <c r="N1376" i="72"/>
  <c r="M1355" i="72"/>
  <c r="M1356" i="72"/>
  <c r="M1361" i="72"/>
  <c r="S127" i="72"/>
  <c r="V1184" i="72"/>
  <c r="W1184" i="72"/>
  <c r="U288" i="72"/>
  <c r="V288" i="72"/>
  <c r="W288" i="72"/>
  <c r="Y288" i="72"/>
  <c r="U581" i="72"/>
  <c r="V581" i="72"/>
  <c r="W581" i="72"/>
  <c r="Y581" i="72"/>
  <c r="U286" i="72"/>
  <c r="V286" i="72"/>
  <c r="U279" i="72"/>
  <c r="W1036" i="72"/>
  <c r="Y1036" i="72"/>
  <c r="W739" i="72"/>
  <c r="Y739" i="72"/>
  <c r="T1140" i="72"/>
  <c r="U1140" i="72"/>
  <c r="V1140" i="72"/>
  <c r="W1140" i="72"/>
  <c r="Y1140" i="72"/>
  <c r="U1198" i="72"/>
  <c r="V1198" i="72"/>
  <c r="T1223" i="72"/>
  <c r="U1223" i="72"/>
  <c r="U1191" i="72"/>
  <c r="V1191" i="72"/>
  <c r="W1191" i="72"/>
  <c r="W1087" i="72"/>
  <c r="Y1087" i="72"/>
  <c r="R1335" i="72"/>
  <c r="S1335" i="72"/>
  <c r="T1234" i="72"/>
  <c r="U1234" i="72"/>
  <c r="W746" i="72"/>
  <c r="Y746" i="72"/>
  <c r="U636" i="72"/>
  <c r="V636" i="72"/>
  <c r="W636" i="72"/>
  <c r="U1210" i="72"/>
  <c r="V1210" i="72"/>
  <c r="W1210" i="72"/>
  <c r="V270" i="72"/>
  <c r="W270" i="72"/>
  <c r="U1158" i="72"/>
  <c r="V1158" i="72"/>
  <c r="W1158" i="72"/>
  <c r="Y1158" i="72"/>
  <c r="S1297" i="72"/>
  <c r="T1297" i="72"/>
  <c r="U241" i="72"/>
  <c r="V241" i="72"/>
  <c r="W241" i="72"/>
  <c r="Y241" i="72"/>
  <c r="S1227" i="72"/>
  <c r="T1227" i="72"/>
  <c r="S1323" i="72"/>
  <c r="T1323" i="72"/>
  <c r="U1323" i="72"/>
  <c r="S1326" i="72"/>
  <c r="T1326" i="72"/>
  <c r="U1326" i="72"/>
  <c r="V1326" i="72"/>
  <c r="S1226" i="72"/>
  <c r="T1226" i="72"/>
  <c r="R1272" i="72"/>
  <c r="S1272" i="72"/>
  <c r="T1272" i="72"/>
  <c r="U1272" i="72"/>
  <c r="V1272" i="72"/>
  <c r="W1272" i="72"/>
  <c r="Y1272" i="72"/>
  <c r="R274" i="72"/>
  <c r="S274" i="72"/>
  <c r="Y1065" i="72"/>
  <c r="Y926" i="72"/>
  <c r="W472" i="72"/>
  <c r="Y472" i="72"/>
  <c r="Q272" i="72"/>
  <c r="R272" i="72"/>
  <c r="S272" i="72"/>
  <c r="V153" i="72"/>
  <c r="W153" i="72"/>
  <c r="Y153" i="72"/>
  <c r="U422" i="72"/>
  <c r="V422" i="72"/>
  <c r="W422" i="72"/>
  <c r="Y422" i="72"/>
  <c r="S276" i="72"/>
  <c r="T276" i="72"/>
  <c r="U276" i="72"/>
  <c r="V276" i="72"/>
  <c r="W276" i="72"/>
  <c r="Y276" i="72"/>
  <c r="Y1220" i="72"/>
  <c r="U1286" i="72"/>
  <c r="V1286" i="72"/>
  <c r="W1286" i="72"/>
  <c r="W218" i="72"/>
  <c r="Y218" i="72"/>
  <c r="T451" i="72"/>
  <c r="U451" i="72"/>
  <c r="V451" i="72"/>
  <c r="W451" i="72"/>
  <c r="Y451" i="72"/>
  <c r="U460" i="72"/>
  <c r="V460" i="72"/>
  <c r="W460" i="72"/>
  <c r="Y460" i="72"/>
  <c r="W206" i="72"/>
  <c r="Y206" i="72"/>
  <c r="W314" i="72"/>
  <c r="Y314" i="72"/>
  <c r="Y876" i="72"/>
  <c r="U52" i="72"/>
  <c r="V52" i="72"/>
  <c r="W52" i="72"/>
  <c r="W875" i="72"/>
  <c r="Y875" i="72"/>
  <c r="U389" i="72"/>
  <c r="V389" i="72"/>
  <c r="W389" i="72"/>
  <c r="Y389" i="72"/>
  <c r="T463" i="72"/>
  <c r="U463" i="72"/>
  <c r="V207" i="72"/>
  <c r="W207" i="72"/>
  <c r="Y207" i="72"/>
  <c r="V55" i="72"/>
  <c r="W55" i="72"/>
  <c r="Y55" i="72"/>
  <c r="W692" i="72"/>
  <c r="Y692" i="72"/>
  <c r="T547" i="72"/>
  <c r="U547" i="72"/>
  <c r="V547" i="72"/>
  <c r="W547" i="72"/>
  <c r="V458" i="72"/>
  <c r="W458" i="72"/>
  <c r="Y458" i="72"/>
  <c r="V122" i="72"/>
  <c r="W122" i="72"/>
  <c r="S1207" i="72"/>
  <c r="T1207" i="72"/>
  <c r="V918" i="72"/>
  <c r="W918" i="72"/>
  <c r="Y918" i="72"/>
  <c r="S676" i="72"/>
  <c r="T676" i="72"/>
  <c r="U467" i="72"/>
  <c r="V467" i="72"/>
  <c r="W467" i="72"/>
  <c r="Y1182" i="72"/>
  <c r="Y864" i="72"/>
  <c r="W479" i="72"/>
  <c r="Y479" i="72"/>
  <c r="W468" i="72"/>
  <c r="Y468" i="72"/>
  <c r="Y693" i="72"/>
  <c r="U119" i="72"/>
  <c r="V119" i="72"/>
  <c r="W119" i="72"/>
  <c r="V538" i="72"/>
  <c r="W538" i="72"/>
  <c r="Y538" i="72"/>
  <c r="U414" i="72"/>
  <c r="V414" i="72"/>
  <c r="U638" i="72"/>
  <c r="V638" i="72"/>
  <c r="W638" i="72"/>
  <c r="U511" i="72"/>
  <c r="V511" i="72"/>
  <c r="W511" i="72"/>
  <c r="Y1118" i="72"/>
  <c r="S367" i="72"/>
  <c r="T367" i="72"/>
  <c r="T607" i="72"/>
  <c r="U607" i="72"/>
  <c r="U139" i="72"/>
  <c r="V139" i="72"/>
  <c r="W139" i="72"/>
  <c r="T532" i="72"/>
  <c r="U532" i="72"/>
  <c r="V532" i="72"/>
  <c r="W532" i="72"/>
  <c r="S1344" i="72"/>
  <c r="S1127" i="72"/>
  <c r="T1127" i="72"/>
  <c r="U1127" i="72"/>
  <c r="V1127" i="72"/>
  <c r="W1127" i="72"/>
  <c r="S71" i="72"/>
  <c r="T71" i="72"/>
  <c r="U71" i="72"/>
  <c r="V71" i="72"/>
  <c r="W71" i="72"/>
  <c r="Y71" i="72"/>
  <c r="Y1067" i="72"/>
  <c r="V478" i="72"/>
  <c r="W478" i="72"/>
  <c r="Y478" i="72"/>
  <c r="R63" i="72"/>
  <c r="S63" i="72"/>
  <c r="T63" i="72"/>
  <c r="T148" i="72"/>
  <c r="U148" i="72"/>
  <c r="V148" i="72"/>
  <c r="W148" i="72"/>
  <c r="Y148" i="72"/>
  <c r="Y1150" i="72"/>
  <c r="U885" i="72"/>
  <c r="V885" i="72"/>
  <c r="W885" i="72"/>
  <c r="Y885" i="72"/>
  <c r="V370" i="72"/>
  <c r="W370" i="72"/>
  <c r="Y370" i="72"/>
  <c r="W745" i="72"/>
  <c r="Y745" i="72"/>
  <c r="V233" i="72"/>
  <c r="W233" i="72"/>
  <c r="Y233" i="72"/>
  <c r="S537" i="72"/>
  <c r="T537" i="72"/>
  <c r="T8" i="72"/>
  <c r="W373" i="72"/>
  <c r="Y373" i="72"/>
  <c r="U200" i="72"/>
  <c r="V200" i="72"/>
  <c r="W200" i="72"/>
  <c r="Y200" i="72"/>
  <c r="T162" i="72"/>
  <c r="U162" i="72"/>
  <c r="V162" i="72"/>
  <c r="W162" i="72"/>
  <c r="Y162" i="72"/>
  <c r="V1023" i="72"/>
  <c r="S1162" i="72"/>
  <c r="S326" i="72"/>
  <c r="T326" i="72"/>
  <c r="U674" i="72"/>
  <c r="V674" i="72"/>
  <c r="W674" i="72"/>
  <c r="Y674" i="72"/>
  <c r="U295" i="72"/>
  <c r="V295" i="72"/>
  <c r="W295" i="72"/>
  <c r="Y295" i="72"/>
  <c r="Y848" i="72"/>
  <c r="S72" i="72"/>
  <c r="T72" i="72"/>
  <c r="U72" i="72"/>
  <c r="V72" i="72"/>
  <c r="U897" i="72"/>
  <c r="V897" i="72"/>
  <c r="W897" i="72"/>
  <c r="Y897" i="72"/>
  <c r="V814" i="72"/>
  <c r="W814" i="72"/>
  <c r="T307" i="72"/>
  <c r="U307" i="72"/>
  <c r="V307" i="72"/>
  <c r="W307" i="72"/>
  <c r="Y307" i="72"/>
  <c r="W1262" i="72"/>
  <c r="Y1262" i="72"/>
  <c r="W361" i="72"/>
  <c r="Y361" i="72"/>
  <c r="S662" i="72"/>
  <c r="T662" i="72"/>
  <c r="U662" i="72"/>
  <c r="V662" i="72"/>
  <c r="W662" i="72"/>
  <c r="Y662" i="72"/>
  <c r="T1310" i="72"/>
  <c r="U1310" i="72"/>
  <c r="V1310" i="72"/>
  <c r="W1310" i="72"/>
  <c r="S291" i="72"/>
  <c r="T291" i="72"/>
  <c r="U291" i="72"/>
  <c r="Y719" i="72"/>
  <c r="S57" i="72"/>
  <c r="T57" i="72"/>
  <c r="U57" i="72"/>
  <c r="V57" i="72"/>
  <c r="W57" i="72"/>
  <c r="Y57" i="72"/>
  <c r="T106" i="72"/>
  <c r="U106" i="72"/>
  <c r="T90" i="72"/>
  <c r="U90" i="72"/>
  <c r="V90" i="72"/>
  <c r="W90" i="72"/>
  <c r="Y90" i="72"/>
  <c r="U684" i="72"/>
  <c r="V684" i="72"/>
  <c r="W684" i="72"/>
  <c r="Y684" i="72"/>
  <c r="U1254" i="72"/>
  <c r="V1254" i="72"/>
  <c r="W1254" i="72"/>
  <c r="Y1254" i="72"/>
  <c r="Y184" i="72"/>
  <c r="U296" i="72"/>
  <c r="V296" i="72"/>
  <c r="W296" i="72"/>
  <c r="T84" i="72"/>
  <c r="U84" i="72"/>
  <c r="V39" i="72"/>
  <c r="W39" i="72"/>
  <c r="Y39" i="72"/>
  <c r="W977" i="72"/>
  <c r="Y977" i="72"/>
  <c r="T385" i="72"/>
  <c r="U385" i="72"/>
  <c r="U166" i="72"/>
  <c r="V166" i="72"/>
  <c r="W166" i="72"/>
  <c r="Y166" i="72"/>
  <c r="S616" i="72"/>
  <c r="T616" i="72"/>
  <c r="U616" i="72"/>
  <c r="S494" i="72"/>
  <c r="T494" i="72"/>
  <c r="W37" i="72"/>
  <c r="Y37" i="72"/>
  <c r="S1116" i="72"/>
  <c r="T1116" i="72"/>
  <c r="U1094" i="72"/>
  <c r="V1094" i="72"/>
  <c r="W1094" i="72"/>
  <c r="T178" i="72"/>
  <c r="U178" i="72"/>
  <c r="V178" i="72"/>
  <c r="W178" i="72"/>
  <c r="R66" i="72"/>
  <c r="S66" i="72"/>
  <c r="U240" i="72"/>
  <c r="V240" i="72"/>
  <c r="V822" i="72"/>
  <c r="W822" i="72"/>
  <c r="Y822" i="72"/>
  <c r="U535" i="72"/>
  <c r="V535" i="72"/>
  <c r="W535" i="72"/>
  <c r="W354" i="72"/>
  <c r="Y354" i="72"/>
  <c r="U593" i="72"/>
  <c r="V593" i="72"/>
  <c r="W593" i="72"/>
  <c r="Y593" i="72"/>
  <c r="W1030" i="72"/>
  <c r="Y1030" i="72"/>
  <c r="T543" i="72"/>
  <c r="U543" i="72"/>
  <c r="Y761" i="72"/>
  <c r="T622" i="72"/>
  <c r="V1081" i="72"/>
  <c r="W1081" i="72"/>
  <c r="U639" i="72"/>
  <c r="V639" i="72"/>
  <c r="W664" i="72"/>
  <c r="Y664" i="72"/>
  <c r="U322" i="72"/>
  <c r="V322" i="72"/>
  <c r="Y797" i="72"/>
  <c r="S525" i="72"/>
  <c r="T525" i="72"/>
  <c r="U525" i="72"/>
  <c r="V525" i="72"/>
  <c r="W525" i="72"/>
  <c r="Y525" i="72"/>
  <c r="U453" i="72"/>
  <c r="V453" i="72"/>
  <c r="W453" i="72"/>
  <c r="W1009" i="72"/>
  <c r="Y1009" i="72"/>
  <c r="W1100" i="72"/>
  <c r="Y1100" i="72"/>
  <c r="W220" i="72"/>
  <c r="Y220" i="72"/>
  <c r="U330" i="72"/>
  <c r="V330" i="72"/>
  <c r="W330" i="72"/>
  <c r="U308" i="72"/>
  <c r="V308" i="72"/>
  <c r="T633" i="72"/>
  <c r="U633" i="72"/>
  <c r="V633" i="72"/>
  <c r="W633" i="72"/>
  <c r="Y633" i="72"/>
  <c r="U452" i="72"/>
  <c r="V452" i="72"/>
  <c r="W452" i="72"/>
  <c r="Y452" i="72"/>
  <c r="U594" i="72"/>
  <c r="V594" i="72"/>
  <c r="Y1073" i="72"/>
  <c r="S138" i="72"/>
  <c r="T1281" i="72"/>
  <c r="U620" i="72"/>
  <c r="V620" i="72"/>
  <c r="W620" i="72"/>
  <c r="U595" i="72"/>
  <c r="V595" i="72"/>
  <c r="W595" i="72"/>
  <c r="V190" i="72"/>
  <c r="W190" i="72"/>
  <c r="T635" i="72"/>
  <c r="U635" i="72"/>
  <c r="W592" i="72"/>
  <c r="Y592" i="72"/>
  <c r="T589" i="72"/>
  <c r="U589" i="72"/>
  <c r="V589" i="72"/>
  <c r="T1239" i="72"/>
  <c r="U1239" i="72"/>
  <c r="U484" i="72"/>
  <c r="V484" i="72"/>
  <c r="W484" i="72"/>
  <c r="Y484" i="72"/>
  <c r="U1157" i="72"/>
  <c r="V1157" i="72"/>
  <c r="W1157" i="72"/>
  <c r="Y1157" i="72"/>
  <c r="V292" i="72"/>
  <c r="W292" i="72"/>
  <c r="Y292" i="72"/>
  <c r="S567" i="72"/>
  <c r="T567" i="72"/>
  <c r="U567" i="72"/>
  <c r="S285" i="72"/>
  <c r="T285" i="72"/>
  <c r="S545" i="72"/>
  <c r="T545" i="72"/>
  <c r="T1283" i="72"/>
  <c r="U1283" i="72"/>
  <c r="V1283" i="72"/>
  <c r="W226" i="72"/>
  <c r="Y226" i="72"/>
  <c r="S54" i="72"/>
  <c r="T54" i="72"/>
  <c r="S79" i="72"/>
  <c r="T79" i="72"/>
  <c r="U79" i="72"/>
  <c r="S113" i="72"/>
  <c r="V1300" i="72"/>
  <c r="W1300" i="72"/>
  <c r="Y1300" i="72"/>
  <c r="V925" i="72"/>
  <c r="W925" i="72"/>
  <c r="R1085" i="72"/>
  <c r="S1085" i="72"/>
  <c r="T94" i="72"/>
  <c r="U94" i="72"/>
  <c r="R426" i="72"/>
  <c r="S426" i="72"/>
  <c r="V851" i="72"/>
  <c r="W851" i="72"/>
  <c r="T1269" i="72"/>
  <c r="U1269" i="72"/>
  <c r="V1269" i="72"/>
  <c r="W1269" i="72"/>
  <c r="Y1269" i="72"/>
  <c r="T269" i="72"/>
  <c r="U269" i="72"/>
  <c r="V269" i="72"/>
  <c r="W269" i="72"/>
  <c r="Y269" i="72"/>
  <c r="R1319" i="72"/>
  <c r="R1123" i="72"/>
  <c r="S1123" i="72"/>
  <c r="T1123" i="72"/>
  <c r="U1123" i="72"/>
  <c r="V1123" i="72"/>
  <c r="W1123" i="72"/>
  <c r="Y1123" i="72"/>
  <c r="V1110" i="72"/>
  <c r="W1110" i="72"/>
  <c r="Y1110" i="72"/>
  <c r="V123" i="72"/>
  <c r="W123" i="72"/>
  <c r="Y123" i="72"/>
  <c r="R1113" i="72"/>
  <c r="S1113" i="72"/>
  <c r="T1113" i="72"/>
  <c r="U1113" i="72"/>
  <c r="V1113" i="72"/>
  <c r="W1113" i="72"/>
  <c r="Y1113" i="72"/>
  <c r="U580" i="72"/>
  <c r="V580" i="72"/>
  <c r="W580" i="72"/>
  <c r="Y580" i="72"/>
  <c r="U281" i="72"/>
  <c r="V281" i="72"/>
  <c r="U1161" i="72"/>
  <c r="V1161" i="72"/>
  <c r="Y881" i="72"/>
  <c r="R180" i="72"/>
  <c r="S180" i="72"/>
  <c r="T180" i="72"/>
  <c r="U180" i="72"/>
  <c r="V180" i="72"/>
  <c r="W180" i="72"/>
  <c r="Y180" i="72"/>
  <c r="V471" i="72"/>
  <c r="W471" i="72"/>
  <c r="Y471" i="72"/>
  <c r="U1136" i="72"/>
  <c r="V1136" i="72"/>
  <c r="Y868" i="72"/>
  <c r="W899" i="72"/>
  <c r="Y899" i="72"/>
  <c r="U1287" i="72"/>
  <c r="T29" i="72"/>
  <c r="U29" i="72"/>
  <c r="R670" i="72"/>
  <c r="S670" i="72"/>
  <c r="T670" i="72"/>
  <c r="U1291" i="72"/>
  <c r="V1291" i="72"/>
  <c r="W1291" i="72"/>
  <c r="Y1291" i="72"/>
  <c r="V1068" i="72"/>
  <c r="W1068" i="72"/>
  <c r="Y1068" i="72"/>
  <c r="S487" i="72"/>
  <c r="T487" i="72"/>
  <c r="S159" i="72"/>
  <c r="T159" i="72"/>
  <c r="U159" i="72"/>
  <c r="V159" i="72"/>
  <c r="U506" i="72"/>
  <c r="V506" i="72"/>
  <c r="W506" i="72"/>
  <c r="Y506" i="72"/>
  <c r="U1260" i="72"/>
  <c r="V1260" i="72"/>
  <c r="W1260" i="72"/>
  <c r="U1276" i="72"/>
  <c r="V1276" i="72"/>
  <c r="R1230" i="72"/>
  <c r="S1230" i="72"/>
  <c r="V315" i="72"/>
  <c r="W315" i="72"/>
  <c r="T1264" i="72"/>
  <c r="U1264" i="72"/>
  <c r="R61" i="72"/>
  <c r="S61" i="72"/>
  <c r="T61" i="72"/>
  <c r="U61" i="72"/>
  <c r="V61" i="72"/>
  <c r="W61" i="72"/>
  <c r="Y61" i="72"/>
  <c r="T1126" i="72"/>
  <c r="U1126" i="72"/>
  <c r="V11" i="72"/>
  <c r="W11" i="72"/>
  <c r="Y11" i="72"/>
  <c r="U1133" i="72"/>
  <c r="V1133" i="72"/>
  <c r="W766" i="72"/>
  <c r="Y766" i="72"/>
  <c r="R98" i="72"/>
  <c r="S98" i="72"/>
  <c r="T98" i="72"/>
  <c r="V1149" i="72"/>
  <c r="W1149" i="72"/>
  <c r="Y1149" i="72"/>
  <c r="V294" i="72"/>
  <c r="W294" i="72"/>
  <c r="U702" i="72"/>
  <c r="V702" i="72"/>
  <c r="W702" i="72"/>
  <c r="Y702" i="72"/>
  <c r="S1083" i="72"/>
  <c r="T1083" i="72"/>
  <c r="S120" i="72"/>
  <c r="T120" i="72"/>
  <c r="U121" i="72"/>
  <c r="V121" i="72"/>
  <c r="W121" i="72"/>
  <c r="Y121" i="72"/>
  <c r="V1215" i="72"/>
  <c r="W1215" i="72"/>
  <c r="Y1215" i="72"/>
  <c r="U413" i="72"/>
  <c r="V413" i="72"/>
  <c r="W413" i="72"/>
  <c r="Y413" i="72"/>
  <c r="V716" i="72"/>
  <c r="W716" i="72"/>
  <c r="Y716" i="72"/>
  <c r="V512" i="72"/>
  <c r="W512" i="72"/>
  <c r="Y512" i="72"/>
  <c r="V913" i="72"/>
  <c r="W913" i="72"/>
  <c r="U1334" i="72"/>
  <c r="V1334" i="72"/>
  <c r="W1334" i="72"/>
  <c r="S1175" i="72"/>
  <c r="T1175" i="72"/>
  <c r="W790" i="72"/>
  <c r="Y790" i="72"/>
  <c r="T1101" i="72"/>
  <c r="W544" i="72"/>
  <c r="Y544" i="72"/>
  <c r="W1054" i="72"/>
  <c r="Y1054" i="72"/>
  <c r="Q59" i="72"/>
  <c r="R59" i="72"/>
  <c r="S59" i="72"/>
  <c r="W465" i="72"/>
  <c r="Y465" i="72"/>
  <c r="T1245" i="72"/>
  <c r="U1245" i="72"/>
  <c r="V1245" i="72"/>
  <c r="W1245" i="72"/>
  <c r="V76" i="72"/>
  <c r="W76" i="72"/>
  <c r="T99" i="72"/>
  <c r="U99" i="72"/>
  <c r="T1120" i="72"/>
  <c r="U1120" i="72"/>
  <c r="V1120" i="72"/>
  <c r="W1120" i="72"/>
  <c r="U1131" i="72"/>
  <c r="V1131" i="72"/>
  <c r="W1131" i="72"/>
  <c r="W1333" i="72"/>
  <c r="Y1333" i="72"/>
  <c r="W737" i="72"/>
  <c r="Y737" i="72"/>
  <c r="T191" i="72"/>
  <c r="T284" i="72"/>
  <c r="U284" i="72"/>
  <c r="W970" i="72"/>
  <c r="Y970" i="72"/>
  <c r="Y783" i="72"/>
  <c r="W974" i="72"/>
  <c r="Y974" i="72"/>
  <c r="S669" i="72"/>
  <c r="T669" i="72"/>
  <c r="U669" i="72"/>
  <c r="V669" i="72"/>
  <c r="W669" i="72"/>
  <c r="Y669" i="72"/>
  <c r="W1102" i="72"/>
  <c r="Y1102" i="72"/>
  <c r="U677" i="72"/>
  <c r="V677" i="72"/>
  <c r="W677" i="72"/>
  <c r="V261" i="72"/>
  <c r="W261" i="72"/>
  <c r="Y261" i="72"/>
  <c r="U386" i="72"/>
  <c r="V386" i="72"/>
  <c r="W386" i="72"/>
  <c r="Y386" i="72"/>
  <c r="Y939" i="72"/>
  <c r="V955" i="72"/>
  <c r="W955" i="72"/>
  <c r="Y955" i="72"/>
  <c r="W830" i="72"/>
  <c r="Y830" i="72"/>
  <c r="S293" i="72"/>
  <c r="T293" i="72"/>
  <c r="U293" i="72"/>
  <c r="Y1144" i="72"/>
  <c r="S111" i="72"/>
  <c r="T111" i="72"/>
  <c r="U111" i="72"/>
  <c r="V111" i="72"/>
  <c r="U323" i="72"/>
  <c r="V323" i="72"/>
  <c r="Y911" i="72"/>
  <c r="W681" i="72"/>
  <c r="Y681" i="72"/>
  <c r="V963" i="72"/>
  <c r="W963" i="72"/>
  <c r="Y963" i="72"/>
  <c r="R673" i="72"/>
  <c r="W1012" i="72"/>
  <c r="Y1012" i="72"/>
  <c r="T688" i="72"/>
  <c r="S1217" i="72"/>
  <c r="R1177" i="72"/>
  <c r="S1177" i="72"/>
  <c r="R644" i="72"/>
  <c r="S23" i="72"/>
  <c r="T23" i="72"/>
  <c r="T459" i="72"/>
  <c r="U459" i="72"/>
  <c r="S331" i="72"/>
  <c r="T331" i="72"/>
  <c r="T81" i="72"/>
  <c r="U81" i="72"/>
  <c r="V81" i="72"/>
  <c r="W81" i="72"/>
  <c r="Y81" i="72"/>
  <c r="U144" i="72"/>
  <c r="V144" i="72"/>
  <c r="W144" i="72"/>
  <c r="Y144" i="72"/>
  <c r="V992" i="72"/>
  <c r="S85" i="72"/>
  <c r="T85" i="72"/>
  <c r="V497" i="72"/>
  <c r="W497" i="72"/>
  <c r="T483" i="72"/>
  <c r="U1292" i="72"/>
  <c r="V1292" i="72"/>
  <c r="W1301" i="72"/>
  <c r="Y1301" i="72"/>
  <c r="Y1025" i="72"/>
  <c r="Y89" i="72"/>
  <c r="Y1253" i="72"/>
  <c r="W948" i="72"/>
  <c r="Y948" i="72"/>
  <c r="Y564" i="72"/>
  <c r="V1325" i="72"/>
  <c r="W1325" i="72"/>
  <c r="Y1325" i="72"/>
  <c r="T583" i="72"/>
  <c r="U583" i="72"/>
  <c r="V583" i="72"/>
  <c r="W1032" i="72"/>
  <c r="Y1032" i="72"/>
  <c r="W780" i="72"/>
  <c r="Y780" i="72"/>
  <c r="S668" i="72"/>
  <c r="Y521" i="72"/>
  <c r="S80" i="72"/>
  <c r="T80" i="72"/>
  <c r="S83" i="72"/>
  <c r="T83" i="72"/>
  <c r="U83" i="72"/>
  <c r="V83" i="72"/>
  <c r="S683" i="72"/>
  <c r="T683" i="72"/>
  <c r="U683" i="72"/>
  <c r="V683" i="72"/>
  <c r="T334" i="72"/>
  <c r="U334" i="72"/>
  <c r="V334" i="72"/>
  <c r="V1078" i="72"/>
  <c r="W1078" i="72"/>
  <c r="Y1078" i="72"/>
  <c r="Y1013" i="72"/>
  <c r="V1139" i="72"/>
  <c r="W1139" i="72"/>
  <c r="Y1139" i="72"/>
  <c r="W1062" i="72"/>
  <c r="Y1062" i="72"/>
  <c r="W886" i="72"/>
  <c r="Y886" i="72"/>
  <c r="W661" i="72"/>
  <c r="Y661" i="72"/>
  <c r="S409" i="72"/>
  <c r="W971" i="72"/>
  <c r="Y971" i="72"/>
  <c r="Y636" i="72"/>
  <c r="W1167" i="72"/>
  <c r="Y1167" i="72"/>
  <c r="V637" i="72"/>
  <c r="W637" i="72"/>
  <c r="S267" i="72"/>
  <c r="T267" i="72"/>
  <c r="U267" i="72"/>
  <c r="V267" i="72"/>
  <c r="W267" i="72"/>
  <c r="V1244" i="72"/>
  <c r="W1244" i="72"/>
  <c r="Y1244" i="72"/>
  <c r="W359" i="72"/>
  <c r="Y359" i="72"/>
  <c r="S27" i="72"/>
  <c r="T27" i="72"/>
  <c r="V764" i="72"/>
  <c r="W764" i="72"/>
  <c r="Y764" i="72"/>
  <c r="V517" i="72"/>
  <c r="W517" i="72"/>
  <c r="Y517" i="72"/>
  <c r="S221" i="72"/>
  <c r="S1122" i="72"/>
  <c r="T1316" i="72"/>
  <c r="U1316" i="72"/>
  <c r="V1316" i="72"/>
  <c r="W1316" i="72"/>
  <c r="Y1316" i="72"/>
  <c r="Y405" i="72"/>
  <c r="V730" i="72"/>
  <c r="W730" i="72"/>
  <c r="Y730" i="72"/>
  <c r="S108" i="72"/>
  <c r="T108" i="72"/>
  <c r="T397" i="72"/>
  <c r="U397" i="72"/>
  <c r="S321" i="72"/>
  <c r="T321" i="72"/>
  <c r="U321" i="72"/>
  <c r="V321" i="72"/>
  <c r="W321" i="72"/>
  <c r="T528" i="72"/>
  <c r="U528" i="72"/>
  <c r="V528" i="72"/>
  <c r="V1219" i="72"/>
  <c r="W1219" i="72"/>
  <c r="Y1219" i="72"/>
  <c r="T345" i="72"/>
  <c r="U345" i="72"/>
  <c r="S658" i="72"/>
  <c r="T658" i="72"/>
  <c r="Y303" i="72"/>
  <c r="S275" i="72"/>
  <c r="S31" i="72"/>
  <c r="S1284" i="72"/>
  <c r="T1284" i="72"/>
  <c r="U1284" i="72"/>
  <c r="S227" i="72"/>
  <c r="S149" i="72"/>
  <c r="T149" i="72"/>
  <c r="U149" i="72"/>
  <c r="V149" i="72"/>
  <c r="W149" i="72"/>
  <c r="Y149" i="72"/>
  <c r="S406" i="72"/>
  <c r="T406" i="72"/>
  <c r="V224" i="72"/>
  <c r="W224" i="72"/>
  <c r="Y224" i="72"/>
  <c r="S1295" i="72"/>
  <c r="T1295" i="72"/>
  <c r="U182" i="72"/>
  <c r="V182" i="72"/>
  <c r="W182" i="72"/>
  <c r="Y182" i="72"/>
  <c r="W929" i="72"/>
  <c r="Y929" i="72"/>
  <c r="U427" i="72"/>
  <c r="V427" i="72"/>
  <c r="W427" i="72"/>
  <c r="Y427" i="72"/>
  <c r="T317" i="72"/>
  <c r="U317" i="72"/>
  <c r="V317" i="72"/>
  <c r="W317" i="72"/>
  <c r="V828" i="72"/>
  <c r="W828" i="72"/>
  <c r="Y828" i="72"/>
  <c r="V598" i="72"/>
  <c r="W598" i="72"/>
  <c r="Y598" i="72"/>
  <c r="T1279" i="72"/>
  <c r="U404" i="72"/>
  <c r="V404" i="72"/>
  <c r="W404" i="72"/>
  <c r="Y404" i="72"/>
  <c r="T266" i="72"/>
  <c r="U266" i="72"/>
  <c r="V266" i="72"/>
  <c r="W266" i="72"/>
  <c r="V1232" i="72"/>
  <c r="W1232" i="72"/>
  <c r="Y1232" i="72"/>
  <c r="W353" i="72"/>
  <c r="Y353" i="72"/>
  <c r="V215" i="72"/>
  <c r="W1164" i="72"/>
  <c r="Y1164" i="72"/>
  <c r="U1271" i="72"/>
  <c r="V1271" i="72"/>
  <c r="U1315" i="72"/>
  <c r="V1315" i="72"/>
  <c r="T302" i="72"/>
  <c r="W40" i="72"/>
  <c r="Y40" i="72"/>
  <c r="U222" i="72"/>
  <c r="V222" i="72"/>
  <c r="W222" i="72"/>
  <c r="Y222" i="72"/>
  <c r="U56" i="72"/>
  <c r="V56" i="72"/>
  <c r="W56" i="72"/>
  <c r="Y56" i="72"/>
  <c r="U499" i="72"/>
  <c r="V499" i="72"/>
  <c r="W499" i="72"/>
  <c r="Y499" i="72"/>
  <c r="U443" i="72"/>
  <c r="V443" i="72"/>
  <c r="W443" i="72"/>
  <c r="Y443" i="72"/>
  <c r="V671" i="72"/>
  <c r="W671" i="72"/>
  <c r="Y671" i="72"/>
  <c r="T245" i="72"/>
  <c r="U245" i="72"/>
  <c r="U408" i="72"/>
  <c r="V408" i="72"/>
  <c r="W185" i="72"/>
  <c r="Y185" i="72"/>
  <c r="V559" i="72"/>
  <c r="W559" i="72"/>
  <c r="Y559" i="72"/>
  <c r="U157" i="72"/>
  <c r="V157" i="72"/>
  <c r="V1328" i="72"/>
  <c r="W1328" i="72"/>
  <c r="Y1328" i="72"/>
  <c r="Y614" i="72"/>
  <c r="W588" i="72"/>
  <c r="Y588" i="72"/>
  <c r="V679" i="72"/>
  <c r="W679" i="72"/>
  <c r="Y679" i="72"/>
  <c r="T298" i="72"/>
  <c r="U298" i="72"/>
  <c r="V1114" i="72"/>
  <c r="W1114" i="72"/>
  <c r="V236" i="72"/>
  <c r="W236" i="72"/>
  <c r="Y236" i="72"/>
  <c r="T128" i="72"/>
  <c r="U175" i="72"/>
  <c r="V175" i="72"/>
  <c r="T629" i="72"/>
  <c r="U629" i="72"/>
  <c r="V629" i="72"/>
  <c r="W164" i="72"/>
  <c r="Y164" i="72"/>
  <c r="U1305" i="72"/>
  <c r="V1305" i="72"/>
  <c r="U387" i="72"/>
  <c r="V387" i="72"/>
  <c r="R97" i="72"/>
  <c r="S97" i="72"/>
  <c r="T97" i="72"/>
  <c r="U82" i="72"/>
  <c r="V82" i="72"/>
  <c r="W82" i="72"/>
  <c r="Y82" i="72"/>
  <c r="T1165" i="72"/>
  <c r="U1165" i="72"/>
  <c r="V1165" i="72"/>
  <c r="U6" i="72"/>
  <c r="V6" i="72"/>
  <c r="W6" i="72"/>
  <c r="Y6" i="72"/>
  <c r="V965" i="72"/>
  <c r="W965" i="72"/>
  <c r="W641" i="72"/>
  <c r="Y641" i="72"/>
  <c r="W1212" i="72"/>
  <c r="Y1212" i="72"/>
  <c r="S310" i="72"/>
  <c r="T310" i="72"/>
  <c r="U310" i="72"/>
  <c r="V310" i="72"/>
  <c r="U449" i="72"/>
  <c r="V449" i="72"/>
  <c r="W449" i="72"/>
  <c r="Y449" i="72"/>
  <c r="T447" i="72"/>
  <c r="U1041" i="72"/>
  <c r="V508" i="72"/>
  <c r="W508" i="72"/>
  <c r="W1324" i="72"/>
  <c r="Y1324" i="72"/>
  <c r="Y197" i="72"/>
  <c r="W690" i="72"/>
  <c r="Y690" i="72"/>
  <c r="W95" i="72"/>
  <c r="Y95" i="72"/>
  <c r="U1160" i="72"/>
  <c r="V1160" i="72"/>
  <c r="W1160" i="72"/>
  <c r="Y1160" i="72"/>
  <c r="V145" i="72"/>
  <c r="W145" i="72"/>
  <c r="W172" i="72"/>
  <c r="Y172" i="72"/>
  <c r="W1124" i="72"/>
  <c r="Y1124" i="72"/>
  <c r="V655" i="72"/>
  <c r="W655" i="72"/>
  <c r="Y655" i="72"/>
  <c r="T573" i="72"/>
  <c r="U573" i="72"/>
  <c r="U575" i="72"/>
  <c r="V575" i="72"/>
  <c r="U442" i="72"/>
  <c r="V442" i="72"/>
  <c r="W442" i="72"/>
  <c r="W901" i="72"/>
  <c r="Y901" i="72"/>
  <c r="U1213" i="72"/>
  <c r="V1213" i="72"/>
  <c r="S7" i="72"/>
  <c r="T7" i="72"/>
  <c r="U7" i="72"/>
  <c r="V7" i="72"/>
  <c r="W7" i="72"/>
  <c r="Y7" i="72"/>
  <c r="U1329" i="72"/>
  <c r="V1329" i="72"/>
  <c r="U415" i="72"/>
  <c r="V415" i="72"/>
  <c r="Y278" i="72"/>
  <c r="U446" i="72"/>
  <c r="V446" i="72"/>
  <c r="V352" i="72"/>
  <c r="W352" i="72"/>
  <c r="U1293" i="72"/>
  <c r="V1293" i="72"/>
  <c r="V615" i="72"/>
  <c r="W615" i="72"/>
  <c r="Y615" i="72"/>
  <c r="U533" i="72"/>
  <c r="V533" i="72"/>
  <c r="W533" i="72"/>
  <c r="T1275" i="72"/>
  <c r="T1189" i="72"/>
  <c r="U1189" i="72"/>
  <c r="V1189" i="72"/>
  <c r="T420" i="72"/>
  <c r="V1332" i="72"/>
  <c r="W1332" i="72"/>
  <c r="Y1332" i="72"/>
  <c r="W1044" i="72"/>
  <c r="Y1044" i="72"/>
  <c r="V504" i="72"/>
  <c r="W504" i="72"/>
  <c r="Y504" i="72"/>
  <c r="U62" i="72"/>
  <c r="V62" i="72"/>
  <c r="W62" i="72"/>
  <c r="Y62" i="72"/>
  <c r="W328" i="72"/>
  <c r="Y328" i="72"/>
  <c r="T1248" i="72"/>
  <c r="U1248" i="72"/>
  <c r="V1248" i="72"/>
  <c r="W1248" i="72"/>
  <c r="Y1248" i="72"/>
  <c r="V319" i="72"/>
  <c r="W319" i="72"/>
  <c r="Y319" i="72"/>
  <c r="W450" i="72"/>
  <c r="Y450" i="72"/>
  <c r="V631" i="72"/>
  <c r="W631" i="72"/>
  <c r="Y631" i="72"/>
  <c r="V161" i="72"/>
  <c r="W161" i="72"/>
  <c r="Y161" i="72"/>
  <c r="V531" i="72"/>
  <c r="W531" i="72"/>
  <c r="U18" i="72"/>
  <c r="V18" i="72"/>
  <c r="W18" i="72"/>
  <c r="Y18" i="72"/>
  <c r="U491" i="72"/>
  <c r="V491" i="72"/>
  <c r="W491" i="72"/>
  <c r="Y491" i="72"/>
  <c r="U376" i="72"/>
  <c r="V376" i="72"/>
  <c r="W376" i="72"/>
  <c r="Y376" i="72"/>
  <c r="V844" i="72"/>
  <c r="W844" i="72"/>
  <c r="S475" i="72"/>
  <c r="T475" i="72"/>
  <c r="U243" i="72"/>
  <c r="V243" i="72"/>
  <c r="W243" i="72"/>
  <c r="T1307" i="72"/>
  <c r="V1056" i="72"/>
  <c r="W1056" i="72"/>
  <c r="Y1056" i="72"/>
  <c r="W1258" i="72"/>
  <c r="Y1258" i="72"/>
  <c r="T350" i="72"/>
  <c r="U350" i="72"/>
  <c r="V350" i="72"/>
  <c r="W350" i="72"/>
  <c r="Y350" i="72"/>
  <c r="T377" i="72"/>
  <c r="U377" i="72"/>
  <c r="V377" i="72"/>
  <c r="W196" i="72"/>
  <c r="Y196" i="72"/>
  <c r="T391" i="72"/>
  <c r="U391" i="72"/>
  <c r="U395" i="72"/>
  <c r="V395" i="72"/>
  <c r="W395" i="72"/>
  <c r="Y395" i="72"/>
  <c r="W1192" i="72"/>
  <c r="Y1192" i="72"/>
  <c r="W1174" i="72"/>
  <c r="Y1174" i="72"/>
  <c r="S1282" i="72"/>
  <c r="T1282" i="72"/>
  <c r="U1282" i="72"/>
  <c r="V1282" i="72"/>
  <c r="W1282" i="72"/>
  <c r="U1156" i="72"/>
  <c r="V1156" i="72"/>
  <c r="W1156" i="72"/>
  <c r="U1169" i="72"/>
  <c r="V1169" i="72"/>
  <c r="V627" i="72"/>
  <c r="W627" i="72"/>
  <c r="Y627" i="72"/>
  <c r="U118" i="72"/>
  <c r="V118" i="72"/>
  <c r="W118" i="72"/>
  <c r="Y118" i="72"/>
  <c r="T254" i="72"/>
  <c r="U254" i="72"/>
  <c r="V254" i="72"/>
  <c r="W254" i="72"/>
  <c r="Y254" i="72"/>
  <c r="Y1152" i="72"/>
  <c r="S211" i="72"/>
  <c r="T211" i="72"/>
  <c r="U211" i="72"/>
  <c r="V211" i="72"/>
  <c r="U1208" i="72"/>
  <c r="V1208" i="72"/>
  <c r="V740" i="72"/>
  <c r="W740" i="72"/>
  <c r="Y740" i="72"/>
  <c r="V495" i="72"/>
  <c r="W495" i="72"/>
  <c r="Y495" i="72"/>
  <c r="V342" i="72"/>
  <c r="W342" i="72"/>
  <c r="U16" i="72"/>
  <c r="V16" i="72"/>
  <c r="U372" i="72"/>
  <c r="V372" i="72"/>
  <c r="W372" i="72"/>
  <c r="Y372" i="72"/>
  <c r="T481" i="72"/>
  <c r="U481" i="72"/>
  <c r="V481" i="72"/>
  <c r="S198" i="72"/>
  <c r="T198" i="72"/>
  <c r="U198" i="72"/>
  <c r="V198" i="72"/>
  <c r="W198" i="72"/>
  <c r="Y198" i="72"/>
  <c r="W351" i="72"/>
  <c r="Y351" i="72"/>
  <c r="T1216" i="72"/>
  <c r="U1216" i="72"/>
  <c r="V1216" i="72"/>
  <c r="V151" i="72"/>
  <c r="W151" i="72"/>
  <c r="V58" i="72"/>
  <c r="W58" i="72"/>
  <c r="Y58" i="72"/>
  <c r="W1125" i="72"/>
  <c r="Y1125" i="72"/>
  <c r="R181" i="72"/>
  <c r="S181" i="72"/>
  <c r="T181" i="72"/>
  <c r="U181" i="72"/>
  <c r="V181" i="72"/>
  <c r="S1129" i="72"/>
  <c r="T1129" i="72"/>
  <c r="U1129" i="72"/>
  <c r="V1129" i="72"/>
  <c r="W1129" i="72"/>
  <c r="T586" i="72"/>
  <c r="U586" i="72"/>
  <c r="V586" i="72"/>
  <c r="R93" i="72"/>
  <c r="S93" i="72"/>
  <c r="T93" i="72"/>
  <c r="T214" i="72"/>
  <c r="U214" i="72"/>
  <c r="T1241" i="72"/>
  <c r="U1241" i="72"/>
  <c r="V1241" i="72"/>
  <c r="W1241" i="72"/>
  <c r="T1172" i="72"/>
  <c r="U1172" i="72"/>
  <c r="V1172" i="72"/>
  <c r="W1172" i="72"/>
  <c r="Y445" i="72"/>
  <c r="V251" i="72"/>
  <c r="U117" i="72"/>
  <c r="V117" i="72"/>
  <c r="W117" i="72"/>
  <c r="V429" i="72"/>
  <c r="W429" i="72"/>
  <c r="Y429" i="72"/>
  <c r="W1240" i="72"/>
  <c r="Y1240" i="72"/>
  <c r="R1143" i="72"/>
  <c r="S1143" i="72"/>
  <c r="T1143" i="72"/>
  <c r="U1143" i="72"/>
  <c r="V1143" i="72"/>
  <c r="W1143" i="72"/>
  <c r="Y1143" i="72"/>
  <c r="R441" i="72"/>
  <c r="S441" i="72"/>
  <c r="T441" i="72"/>
  <c r="U441" i="72"/>
  <c r="N1345" i="72"/>
  <c r="N1346" i="72"/>
  <c r="R271" i="72"/>
  <c r="S271" i="72"/>
  <c r="U1096" i="72"/>
  <c r="V1096" i="72"/>
  <c r="W1096" i="72"/>
  <c r="S623" i="72"/>
  <c r="T623" i="72"/>
  <c r="U623" i="72"/>
  <c r="R248" i="72"/>
  <c r="S248" i="72"/>
  <c r="T248" i="72"/>
  <c r="U248" i="72"/>
  <c r="V248" i="72"/>
  <c r="W248" i="72"/>
  <c r="S440" i="72"/>
  <c r="T440" i="72"/>
  <c r="R398" i="72"/>
  <c r="S398" i="72"/>
  <c r="T398" i="72"/>
  <c r="U1106" i="72"/>
  <c r="V1106" i="72"/>
  <c r="W1106" i="72"/>
  <c r="Y1106" i="72"/>
  <c r="S101" i="72"/>
  <c r="T101" i="72"/>
  <c r="U101" i="72"/>
  <c r="V101" i="72"/>
  <c r="W101" i="72"/>
  <c r="Y101" i="72"/>
  <c r="Y748" i="72"/>
  <c r="U434" i="72"/>
  <c r="V434" i="72"/>
  <c r="W434" i="72"/>
  <c r="Y434" i="72"/>
  <c r="Y1028" i="72"/>
  <c r="U1119" i="72"/>
  <c r="V1119" i="72"/>
  <c r="W1119" i="72"/>
  <c r="V1086" i="72"/>
  <c r="W1086" i="72"/>
  <c r="T205" i="72"/>
  <c r="U205" i="72"/>
  <c r="V205" i="72"/>
  <c r="W205" i="72"/>
  <c r="Y205" i="72"/>
  <c r="Y160" i="72"/>
  <c r="S318" i="72"/>
  <c r="T318" i="72"/>
  <c r="U318" i="72"/>
  <c r="S603" i="72"/>
  <c r="T603" i="72"/>
  <c r="U603" i="72"/>
  <c r="T147" i="72"/>
  <c r="U147" i="72"/>
  <c r="V147" i="72"/>
  <c r="W147" i="72"/>
  <c r="U22" i="72"/>
  <c r="V22" i="72"/>
  <c r="W22" i="72"/>
  <c r="Y22" i="72"/>
  <c r="S505" i="72"/>
  <c r="T505" i="72"/>
  <c r="U505" i="72"/>
  <c r="W1069" i="72"/>
  <c r="Y1069" i="72"/>
  <c r="W861" i="72"/>
  <c r="Y861" i="72"/>
  <c r="U1268" i="72"/>
  <c r="V1268" i="72"/>
  <c r="W1268" i="72"/>
  <c r="Y1268" i="72"/>
  <c r="Y650" i="72"/>
  <c r="V1222" i="72"/>
  <c r="W1222" i="72"/>
  <c r="Y1222" i="72"/>
  <c r="T1168" i="72"/>
  <c r="U1168" i="72"/>
  <c r="V1168" i="72"/>
  <c r="W1168" i="72"/>
  <c r="V1341" i="72"/>
  <c r="W1341" i="72"/>
  <c r="Y1341" i="72"/>
  <c r="T1134" i="72"/>
  <c r="T515" i="72"/>
  <c r="U515" i="72"/>
  <c r="V515" i="72"/>
  <c r="V268" i="72"/>
  <c r="W268" i="72"/>
  <c r="U75" i="72"/>
  <c r="V75" i="72"/>
  <c r="W75" i="72"/>
  <c r="Y75" i="72"/>
  <c r="R1176" i="72"/>
  <c r="T171" i="72"/>
  <c r="U493" i="72"/>
  <c r="V493" i="72"/>
  <c r="W493" i="72"/>
  <c r="Y493" i="72"/>
  <c r="V628" i="72"/>
  <c r="W628" i="72"/>
  <c r="Y632" i="72"/>
  <c r="Y989" i="72"/>
  <c r="Y392" i="72"/>
  <c r="T1280" i="72"/>
  <c r="Y135" i="72"/>
  <c r="T558" i="72"/>
  <c r="U558" i="72"/>
  <c r="V558" i="72"/>
  <c r="W558" i="72"/>
  <c r="Y558" i="72"/>
  <c r="R87" i="72"/>
  <c r="S87" i="72"/>
  <c r="W73" i="72"/>
  <c r="Y73" i="72"/>
  <c r="V363" i="72"/>
  <c r="R366" i="72"/>
  <c r="Y501" i="72"/>
  <c r="V462" i="72"/>
  <c r="W462" i="72"/>
  <c r="Y462" i="72"/>
  <c r="V379" i="72"/>
  <c r="W379" i="72"/>
  <c r="Y379" i="72"/>
  <c r="T316" i="72"/>
  <c r="R473" i="72"/>
  <c r="S473" i="72"/>
  <c r="T473" i="72"/>
  <c r="U473" i="72"/>
  <c r="V473" i="72"/>
  <c r="W473" i="72"/>
  <c r="Y473" i="72"/>
  <c r="V847" i="72"/>
  <c r="W847" i="72"/>
  <c r="V116" i="72"/>
  <c r="W116" i="72"/>
  <c r="V1108" i="72"/>
  <c r="W1108" i="72"/>
  <c r="Y1108" i="72"/>
  <c r="W555" i="72"/>
  <c r="Y555" i="72"/>
  <c r="S1197" i="72"/>
  <c r="T1197" i="72"/>
  <c r="U1197" i="72"/>
  <c r="S1203" i="72"/>
  <c r="T1203" i="72"/>
  <c r="U1203" i="72"/>
  <c r="V1203" i="72"/>
  <c r="W1203" i="72"/>
  <c r="Y1203" i="72"/>
  <c r="W695" i="72"/>
  <c r="Y695" i="72"/>
  <c r="S417" i="72"/>
  <c r="T417" i="72"/>
  <c r="Y1261" i="72"/>
  <c r="T103" i="72"/>
  <c r="U103" i="72"/>
  <c r="V103" i="72"/>
  <c r="V951" i="72"/>
  <c r="T439" i="72"/>
  <c r="T375" i="72"/>
  <c r="U375" i="72"/>
  <c r="V375" i="72"/>
  <c r="W375" i="72"/>
  <c r="V872" i="72"/>
  <c r="W872" i="72"/>
  <c r="Y872" i="72"/>
  <c r="R1303" i="72"/>
  <c r="S1303" i="72"/>
  <c r="T1303" i="72"/>
  <c r="T1285" i="72"/>
  <c r="W561" i="72"/>
  <c r="Y561" i="72"/>
  <c r="Y477" i="72"/>
  <c r="Y400" i="72"/>
  <c r="T1256" i="72"/>
  <c r="U1256" i="72"/>
  <c r="U548" i="72"/>
  <c r="V548" i="72"/>
  <c r="W548" i="72"/>
  <c r="Y548" i="72"/>
  <c r="T263" i="72"/>
  <c r="T1257" i="72"/>
  <c r="U1257" i="72"/>
  <c r="V1257" i="72"/>
  <c r="W1257" i="72"/>
  <c r="Y1257" i="72"/>
  <c r="U1246" i="72"/>
  <c r="V1246" i="72"/>
  <c r="W1246" i="72"/>
  <c r="Y231" i="72"/>
  <c r="W195" i="72"/>
  <c r="Y195" i="72"/>
  <c r="W355" i="72"/>
  <c r="Y355" i="72"/>
  <c r="W990" i="72"/>
  <c r="Y990" i="72"/>
  <c r="V124" i="72"/>
  <c r="W124" i="72"/>
  <c r="T1206" i="72"/>
  <c r="U1206" i="72"/>
  <c r="Y1004" i="72"/>
  <c r="V496" i="72"/>
  <c r="W496" i="72"/>
  <c r="Y496" i="72"/>
  <c r="R645" i="72"/>
  <c r="U1092" i="72"/>
  <c r="V1092" i="72"/>
  <c r="S143" i="72"/>
  <c r="T143" i="72"/>
  <c r="U143" i="72"/>
  <c r="V143" i="72"/>
  <c r="W143" i="72"/>
  <c r="U476" i="72"/>
  <c r="V476" i="72"/>
  <c r="W476" i="72"/>
  <c r="R324" i="72"/>
  <c r="S324" i="72"/>
  <c r="T324" i="72"/>
  <c r="U324" i="72"/>
  <c r="U570" i="72"/>
  <c r="V570" i="72"/>
  <c r="W570" i="72"/>
  <c r="Y570" i="72"/>
  <c r="Y856" i="72"/>
  <c r="U549" i="72"/>
  <c r="V549" i="72"/>
  <c r="W549" i="72"/>
  <c r="T1242" i="72"/>
  <c r="U1242" i="72"/>
  <c r="V1242" i="72"/>
  <c r="W1242" i="72"/>
  <c r="Y1242" i="72"/>
  <c r="R239" i="72"/>
  <c r="S239" i="72"/>
  <c r="T239" i="72"/>
  <c r="U239" i="72"/>
  <c r="T1109" i="72"/>
  <c r="U1109" i="72"/>
  <c r="V1109" i="72"/>
  <c r="W1109" i="72"/>
  <c r="Y1109" i="72"/>
  <c r="U134" i="72"/>
  <c r="V134" i="72"/>
  <c r="W134" i="72"/>
  <c r="Y134" i="72"/>
  <c r="V38" i="72"/>
  <c r="W38" i="72"/>
  <c r="Y38" i="72"/>
  <c r="U12" i="72"/>
  <c r="V12" i="72"/>
  <c r="W12" i="72"/>
  <c r="V678" i="72"/>
  <c r="W678" i="72"/>
  <c r="Y678" i="72"/>
  <c r="W883" i="72"/>
  <c r="Y883" i="72"/>
  <c r="T1318" i="72"/>
  <c r="W194" i="72"/>
  <c r="Y194" i="72"/>
  <c r="S102" i="72"/>
  <c r="T634" i="72"/>
  <c r="U634" i="72"/>
  <c r="V634" i="72"/>
  <c r="W634" i="72"/>
  <c r="Y634" i="72"/>
  <c r="T203" i="72"/>
  <c r="U203" i="72"/>
  <c r="V203" i="72"/>
  <c r="W203" i="72"/>
  <c r="Y203" i="72"/>
  <c r="W1251" i="72"/>
  <c r="Y1251" i="72"/>
  <c r="T217" i="72"/>
  <c r="U217" i="72"/>
  <c r="Y841" i="72"/>
  <c r="W51" i="72"/>
  <c r="Y51" i="72"/>
  <c r="S312" i="72"/>
  <c r="T312" i="72"/>
  <c r="U312" i="72"/>
  <c r="V312" i="72"/>
  <c r="W312" i="72"/>
  <c r="V1296" i="72"/>
  <c r="W1296" i="72"/>
  <c r="U488" i="72"/>
  <c r="T513" i="72"/>
  <c r="U513" i="72"/>
  <c r="V1121" i="72"/>
  <c r="W1121" i="72"/>
  <c r="Y1121" i="72"/>
  <c r="V587" i="72"/>
  <c r="W587" i="72"/>
  <c r="Y587" i="72"/>
  <c r="T602" i="72"/>
  <c r="U602" i="72"/>
  <c r="V602" i="72"/>
  <c r="W602" i="72"/>
  <c r="T1202" i="72"/>
  <c r="U1202" i="72"/>
  <c r="T1233" i="72"/>
  <c r="U1233" i="72"/>
  <c r="V1233" i="72"/>
  <c r="S682" i="72"/>
  <c r="T682" i="72"/>
  <c r="U682" i="72"/>
  <c r="V682" i="72"/>
  <c r="R540" i="72"/>
  <c r="S540" i="72"/>
  <c r="T540" i="72"/>
  <c r="U540" i="72"/>
  <c r="V540" i="72"/>
  <c r="W540" i="72"/>
  <c r="Y540" i="72"/>
  <c r="W1171" i="72"/>
  <c r="Y1171" i="72"/>
  <c r="T1218" i="72"/>
  <c r="U1218" i="72"/>
  <c r="V1218" i="72"/>
  <c r="W1218" i="72"/>
  <c r="Y1218" i="72"/>
  <c r="Y514" i="72"/>
  <c r="S498" i="72"/>
  <c r="T498" i="72"/>
  <c r="U498" i="72"/>
  <c r="S1330" i="72"/>
  <c r="T1330" i="72"/>
  <c r="U1330" i="72"/>
  <c r="V1330" i="72"/>
  <c r="W1330" i="72"/>
  <c r="Y1330" i="72"/>
  <c r="W341" i="72"/>
  <c r="Y341" i="72"/>
  <c r="T1312" i="72"/>
  <c r="Y649" i="72"/>
  <c r="W1193" i="72"/>
  <c r="Y1193" i="72"/>
  <c r="V393" i="72"/>
  <c r="W393" i="72"/>
  <c r="Y393" i="72"/>
  <c r="S597" i="72"/>
  <c r="T344" i="72"/>
  <c r="R327" i="72"/>
  <c r="S327" i="72"/>
  <c r="T327" i="72"/>
  <c r="U327" i="72"/>
  <c r="W1079" i="72"/>
  <c r="Y1079" i="72"/>
  <c r="U767" i="72"/>
  <c r="V767" i="72"/>
  <c r="W767" i="72"/>
  <c r="Y767" i="72"/>
  <c r="V282" i="72"/>
  <c r="W282" i="72"/>
  <c r="Y338" i="72"/>
  <c r="V273" i="72"/>
  <c r="U542" i="72"/>
  <c r="V542" i="72"/>
  <c r="W542" i="72"/>
  <c r="Y542" i="72"/>
  <c r="Y648" i="72"/>
  <c r="W1097" i="72"/>
  <c r="Y1097" i="72"/>
  <c r="V1178" i="72"/>
  <c r="W1178" i="72"/>
  <c r="Y1178" i="72"/>
  <c r="W907" i="72"/>
  <c r="Y907" i="72"/>
  <c r="T100" i="72"/>
  <c r="U100" i="72"/>
  <c r="T290" i="72"/>
  <c r="U290" i="72"/>
  <c r="T657" i="72"/>
  <c r="U657" i="72"/>
  <c r="V657" i="72"/>
  <c r="W1173" i="72"/>
  <c r="Y1173" i="72"/>
  <c r="V283" i="72"/>
  <c r="W283" i="72"/>
  <c r="Y283" i="72"/>
  <c r="Y455" i="72"/>
  <c r="W177" i="72"/>
  <c r="Y177" i="72"/>
  <c r="R1288" i="72"/>
  <c r="U448" i="72"/>
  <c r="V448" i="72"/>
  <c r="W448" i="72"/>
  <c r="Y448" i="72"/>
  <c r="S42" i="72"/>
  <c r="T42" i="72"/>
  <c r="Y898" i="72"/>
  <c r="U348" i="72"/>
  <c r="V348" i="72"/>
  <c r="W348" i="72"/>
  <c r="Y348" i="72"/>
  <c r="W584" i="72"/>
  <c r="Y584" i="72"/>
  <c r="Y490" i="72"/>
  <c r="Y1278" i="72"/>
  <c r="U1117" i="72"/>
  <c r="V1117" i="72"/>
  <c r="W1117" i="72"/>
  <c r="Y1117" i="72"/>
  <c r="U252" i="72"/>
  <c r="V252" i="72"/>
  <c r="V419" i="72"/>
  <c r="W419" i="72"/>
  <c r="Y419" i="72"/>
  <c r="U179" i="72"/>
  <c r="V179" i="72"/>
  <c r="W179" i="72"/>
  <c r="T610" i="72"/>
  <c r="U610" i="72"/>
  <c r="V610" i="72"/>
  <c r="R1091" i="72"/>
  <c r="S1091" i="72"/>
  <c r="T1091" i="72"/>
  <c r="U1091" i="72"/>
  <c r="V1091" i="72"/>
  <c r="W1091" i="72"/>
  <c r="Y1091" i="72"/>
  <c r="T390" i="72"/>
  <c r="T374" i="72"/>
  <c r="U1059" i="72"/>
  <c r="V1059" i="72"/>
  <c r="W1059" i="72"/>
  <c r="T432" i="72"/>
  <c r="U432" i="72"/>
  <c r="R568" i="72"/>
  <c r="S568" i="72"/>
  <c r="T568" i="72"/>
  <c r="U568" i="72"/>
  <c r="V568" i="72"/>
  <c r="W568" i="72"/>
  <c r="T336" i="72"/>
  <c r="U336" i="72"/>
  <c r="V336" i="72"/>
  <c r="W336" i="72"/>
  <c r="Y336" i="72"/>
  <c r="U503" i="72"/>
  <c r="V503" i="72"/>
  <c r="W503" i="72"/>
  <c r="Y503" i="72"/>
  <c r="V287" i="72"/>
  <c r="W287" i="72"/>
  <c r="Y287" i="72"/>
  <c r="T36" i="72"/>
  <c r="V1155" i="72"/>
  <c r="W1155" i="72"/>
  <c r="Y1155" i="72"/>
  <c r="R132" i="72"/>
  <c r="S132" i="72"/>
  <c r="T132" i="72"/>
  <c r="R264" i="72"/>
  <c r="S264" i="72"/>
  <c r="T264" i="72"/>
  <c r="U264" i="72"/>
  <c r="V264" i="72"/>
  <c r="W264" i="72"/>
  <c r="Y264" i="72"/>
  <c r="R1228" i="72"/>
  <c r="S1228" i="72"/>
  <c r="T1228" i="72"/>
  <c r="U1228" i="72"/>
  <c r="S1327" i="72"/>
  <c r="T492" i="72"/>
  <c r="U492" i="72"/>
  <c r="V492" i="72"/>
  <c r="W492" i="72"/>
  <c r="Y492" i="72"/>
  <c r="R1266" i="72"/>
  <c r="S1266" i="72"/>
  <c r="T1266" i="72"/>
  <c r="U1266" i="72"/>
  <c r="V1266" i="72"/>
  <c r="W1266" i="72"/>
  <c r="Y1266" i="72"/>
  <c r="R201" i="72"/>
  <c r="S201" i="72"/>
  <c r="T201" i="72"/>
  <c r="U201" i="72"/>
  <c r="V201" i="72"/>
  <c r="W201" i="72"/>
  <c r="Y201" i="72"/>
  <c r="W582" i="72"/>
  <c r="Y582" i="72"/>
  <c r="R401" i="72"/>
  <c r="S401" i="72"/>
  <c r="T91" i="72"/>
  <c r="U91" i="72"/>
  <c r="S349" i="72"/>
  <c r="T349" i="72"/>
  <c r="S325" i="72"/>
  <c r="T325" i="72"/>
  <c r="U325" i="72"/>
  <c r="T378" i="72"/>
  <c r="U378" i="72"/>
  <c r="T343" i="72"/>
  <c r="U343" i="72"/>
  <c r="V343" i="72"/>
  <c r="T14" i="72"/>
  <c r="U14" i="72"/>
  <c r="U259" i="72"/>
  <c r="V259" i="72"/>
  <c r="W259" i="72"/>
  <c r="Y259" i="72"/>
  <c r="T612" i="72"/>
  <c r="U612" i="72"/>
  <c r="V612" i="72"/>
  <c r="W612" i="72"/>
  <c r="Y612" i="72"/>
  <c r="U410" i="72"/>
  <c r="V410" i="72"/>
  <c r="W410" i="72"/>
  <c r="U675" i="72"/>
  <c r="V675" i="72"/>
  <c r="W675" i="72"/>
  <c r="Y675" i="72"/>
  <c r="V1147" i="72"/>
  <c r="W1147" i="72"/>
  <c r="Y1147" i="72"/>
  <c r="U158" i="72"/>
  <c r="V158" i="72"/>
  <c r="U705" i="72"/>
  <c r="V705" i="72"/>
  <c r="T265" i="72"/>
  <c r="W1148" i="72"/>
  <c r="Y1148" i="72"/>
  <c r="Y829" i="72"/>
  <c r="T1267" i="72"/>
  <c r="S174" i="72"/>
  <c r="T174" i="72"/>
  <c r="Y253" i="72"/>
  <c r="V853" i="72"/>
  <c r="W853" i="72"/>
  <c r="Y853" i="72"/>
  <c r="R183" i="72"/>
  <c r="T1142" i="72"/>
  <c r="U1142" i="72"/>
  <c r="V1142" i="72"/>
  <c r="V425" i="72"/>
  <c r="W425" i="72"/>
  <c r="Y425" i="72"/>
  <c r="Y193" i="72"/>
  <c r="W954" i="72"/>
  <c r="Y954" i="72"/>
  <c r="U394" i="72"/>
  <c r="V394" i="72"/>
  <c r="W394" i="72"/>
  <c r="Y394" i="72"/>
  <c r="T311" i="72"/>
  <c r="U311" i="72"/>
  <c r="V311" i="72"/>
  <c r="W311" i="72"/>
  <c r="Y311" i="72"/>
  <c r="S1088" i="72"/>
  <c r="T1088" i="72"/>
  <c r="U1088" i="72"/>
  <c r="T556" i="72"/>
  <c r="U556" i="72"/>
  <c r="V556" i="72"/>
  <c r="W556" i="72"/>
  <c r="V1338" i="72"/>
  <c r="W1338" i="72"/>
  <c r="Y1338" i="72"/>
  <c r="S114" i="72"/>
  <c r="T114" i="72"/>
  <c r="U114" i="72"/>
  <c r="U260" i="72"/>
  <c r="V260" i="72"/>
  <c r="W260" i="72"/>
  <c r="Y260" i="72"/>
  <c r="W1130" i="72"/>
  <c r="Y1130" i="72"/>
  <c r="T152" i="72"/>
  <c r="U152" i="72"/>
  <c r="V152" i="72"/>
  <c r="W152" i="72"/>
  <c r="V418" i="72"/>
  <c r="W418" i="72"/>
  <c r="W1154" i="72"/>
  <c r="Y1154" i="72"/>
  <c r="T48" i="72"/>
  <c r="R337" i="72"/>
  <c r="S337" i="72"/>
  <c r="T337" i="72"/>
  <c r="U337" i="72"/>
  <c r="V337" i="72"/>
  <c r="W337" i="72"/>
  <c r="Y337" i="72"/>
  <c r="Y313" i="72"/>
  <c r="U808" i="72"/>
  <c r="V808" i="72"/>
  <c r="W808" i="72"/>
  <c r="W831" i="72"/>
  <c r="Y831" i="72"/>
  <c r="Y606" i="72"/>
  <c r="V1159" i="72"/>
  <c r="W1159" i="72"/>
  <c r="Y1159" i="72"/>
  <c r="R28" i="72"/>
  <c r="S28" i="72"/>
  <c r="W1255" i="72"/>
  <c r="Y1255" i="72"/>
  <c r="Y889" i="72"/>
  <c r="U131" i="72"/>
  <c r="V131" i="72"/>
  <c r="T115" i="72"/>
  <c r="U115" i="72"/>
  <c r="T480" i="72"/>
  <c r="U480" i="72"/>
  <c r="V480" i="72"/>
  <c r="W480" i="72"/>
  <c r="Y480" i="72"/>
  <c r="W141" i="72"/>
  <c r="Y141" i="72"/>
  <c r="U625" i="72"/>
  <c r="V625" i="72"/>
  <c r="W625" i="72"/>
  <c r="Y625" i="72"/>
  <c r="S519" i="72"/>
  <c r="T519" i="72"/>
  <c r="U519" i="72"/>
  <c r="U1259" i="72"/>
  <c r="Y884" i="72"/>
  <c r="U136" i="72"/>
  <c r="V136" i="72"/>
  <c r="W136" i="72"/>
  <c r="Y136" i="72"/>
  <c r="W651" i="72"/>
  <c r="Y651" i="72"/>
  <c r="U1247" i="72"/>
  <c r="V1247" i="72"/>
  <c r="V826" i="72"/>
  <c r="V464" i="72"/>
  <c r="W464" i="72"/>
  <c r="Y464" i="72"/>
  <c r="V357" i="72"/>
  <c r="W357" i="72"/>
  <c r="Y357" i="72"/>
  <c r="Y777" i="72"/>
  <c r="Y1050" i="72"/>
  <c r="U235" i="72"/>
  <c r="W305" i="72"/>
  <c r="Y305" i="72"/>
  <c r="T1183" i="72"/>
  <c r="U1183" i="72"/>
  <c r="V1183" i="72"/>
  <c r="W1183" i="72"/>
  <c r="Y1183" i="72"/>
  <c r="W232" i="72"/>
  <c r="Y232" i="72"/>
  <c r="T566" i="72"/>
  <c r="U566" i="72"/>
  <c r="V566" i="72"/>
  <c r="W566" i="72"/>
  <c r="Y566" i="72"/>
  <c r="T358" i="72"/>
  <c r="U358" i="72"/>
  <c r="V358" i="72"/>
  <c r="W358" i="72"/>
  <c r="Y358" i="72"/>
  <c r="S557" i="72"/>
  <c r="T557" i="72"/>
  <c r="W577" i="72"/>
  <c r="Y577" i="72"/>
  <c r="W170" i="72"/>
  <c r="Y170" i="72"/>
  <c r="T507" i="72"/>
  <c r="U507" i="72"/>
  <c r="V507" i="72"/>
  <c r="W507" i="72"/>
  <c r="R167" i="72"/>
  <c r="S167" i="72"/>
  <c r="U46" i="72"/>
  <c r="V46" i="72"/>
  <c r="W46" i="72"/>
  <c r="Y46" i="72"/>
  <c r="W1076" i="72"/>
  <c r="Y1076" i="72"/>
  <c r="V667" i="72"/>
  <c r="W667" i="72"/>
  <c r="Y667" i="72"/>
  <c r="Q96" i="72"/>
  <c r="T1084" i="72"/>
  <c r="U1084" i="72"/>
  <c r="V1084" i="72"/>
  <c r="W1084" i="72"/>
  <c r="Y1084" i="72"/>
  <c r="V858" i="72"/>
  <c r="W858" i="72"/>
  <c r="U672" i="72"/>
  <c r="V672" i="72"/>
  <c r="W672" i="72"/>
  <c r="Y672" i="72"/>
  <c r="W536" i="72"/>
  <c r="Y536" i="72"/>
  <c r="V804" i="72"/>
  <c r="W804" i="72"/>
  <c r="Y804" i="72"/>
  <c r="W1005" i="72"/>
  <c r="Y1005" i="72"/>
  <c r="R613" i="72"/>
  <c r="S613" i="72"/>
  <c r="T613" i="72"/>
  <c r="U613" i="72"/>
  <c r="V1243" i="72"/>
  <c r="W1243" i="72"/>
  <c r="S212" i="72"/>
  <c r="T212" i="72"/>
  <c r="U212" i="72"/>
  <c r="V212" i="72"/>
  <c r="R454" i="72"/>
  <c r="S454" i="72"/>
  <c r="T454" i="72"/>
  <c r="R1236" i="72"/>
  <c r="S1294" i="72"/>
  <c r="T1294" i="72"/>
  <c r="U1294" i="72"/>
  <c r="R289" i="72"/>
  <c r="S289" i="72"/>
  <c r="T289" i="72"/>
  <c r="U289" i="72"/>
  <c r="R1132" i="72"/>
  <c r="S1132" i="72"/>
  <c r="T1132" i="72"/>
  <c r="S107" i="72"/>
  <c r="S339" i="72"/>
  <c r="T339" i="72"/>
  <c r="U339" i="72"/>
  <c r="V339" i="72"/>
  <c r="W339" i="72"/>
  <c r="Y339" i="72"/>
  <c r="U590" i="72"/>
  <c r="V590" i="72"/>
  <c r="W590" i="72"/>
  <c r="Y590" i="72"/>
  <c r="R64" i="72"/>
  <c r="S64" i="72"/>
  <c r="W33" i="72"/>
  <c r="Y33" i="72"/>
  <c r="T238" i="72"/>
  <c r="U238" i="72"/>
  <c r="V238" i="72"/>
  <c r="W238" i="72"/>
  <c r="Y238" i="72"/>
  <c r="V436" i="72"/>
  <c r="W436" i="72"/>
  <c r="Y436" i="72"/>
  <c r="V687" i="72"/>
  <c r="U617" i="72"/>
  <c r="V617" i="72"/>
  <c r="S280" i="72"/>
  <c r="T280" i="72"/>
  <c r="U280" i="72"/>
  <c r="V280" i="72"/>
  <c r="W280" i="72"/>
  <c r="V416" i="72"/>
  <c r="T522" i="72"/>
  <c r="U522" i="72"/>
  <c r="V522" i="72"/>
  <c r="W522" i="72"/>
  <c r="V396" i="72"/>
  <c r="W396" i="72"/>
  <c r="W891" i="72"/>
  <c r="Y891" i="72"/>
  <c r="T482" i="72"/>
  <c r="U482" i="72"/>
  <c r="V482" i="72"/>
  <c r="W482" i="72"/>
  <c r="Y482" i="72"/>
  <c r="T437" i="72"/>
  <c r="U340" i="72"/>
  <c r="V340" i="72"/>
  <c r="W340" i="72"/>
  <c r="U526" i="72"/>
  <c r="V526" i="72"/>
  <c r="W526" i="72"/>
  <c r="Y526" i="72"/>
  <c r="W1037" i="72"/>
  <c r="Y1037" i="72"/>
  <c r="U1309" i="72"/>
  <c r="V1309" i="72"/>
  <c r="W202" i="72"/>
  <c r="Y202" i="72"/>
  <c r="W953" i="72"/>
  <c r="Y953" i="72"/>
  <c r="S53" i="72"/>
  <c r="T53" i="72"/>
  <c r="U53" i="72"/>
  <c r="V53" i="72"/>
  <c r="W53" i="72"/>
  <c r="V382" i="72"/>
  <c r="W382" i="72"/>
  <c r="T1321" i="72"/>
  <c r="T1298" i="72"/>
  <c r="U1047" i="72"/>
  <c r="T659" i="72"/>
  <c r="U659" i="72"/>
  <c r="Y470" i="72"/>
  <c r="T1317" i="72"/>
  <c r="U1317" i="72"/>
  <c r="V1317" i="72"/>
  <c r="U818" i="72"/>
  <c r="V818" i="72"/>
  <c r="W818" i="72"/>
  <c r="V403" i="72"/>
  <c r="W403" i="72"/>
  <c r="Y403" i="72"/>
  <c r="U356" i="72"/>
  <c r="V356" i="72"/>
  <c r="W356" i="72"/>
  <c r="R1196" i="72"/>
  <c r="S1196" i="72"/>
  <c r="V456" i="72"/>
  <c r="W456" i="72"/>
  <c r="Y456" i="72"/>
  <c r="W563" i="72"/>
  <c r="Y563" i="72"/>
  <c r="U411" i="72"/>
  <c r="V411" i="72"/>
  <c r="W411" i="72"/>
  <c r="Y411" i="72"/>
  <c r="S1322" i="72"/>
  <c r="T1322" i="72"/>
  <c r="U1322" i="72"/>
  <c r="V1322" i="72"/>
  <c r="W1322" i="72"/>
  <c r="T306" i="72"/>
  <c r="W842" i="72"/>
  <c r="Y842" i="72"/>
  <c r="W332" i="72"/>
  <c r="Y332" i="72"/>
  <c r="V381" i="72"/>
  <c r="T19" i="72"/>
  <c r="U19" i="72"/>
  <c r="T43" i="72"/>
  <c r="U43" i="72"/>
  <c r="V43" i="72"/>
  <c r="W43" i="72"/>
  <c r="Y43" i="72"/>
  <c r="W1098" i="72"/>
  <c r="Y1098" i="72"/>
  <c r="V1200" i="72"/>
  <c r="W1200" i="72"/>
  <c r="T1033" i="72"/>
  <c r="S250" i="72"/>
  <c r="T250" i="72"/>
  <c r="U250" i="72"/>
  <c r="V250" i="72"/>
  <c r="W250" i="72"/>
  <c r="V999" i="72"/>
  <c r="W999" i="72"/>
  <c r="Y999" i="72"/>
  <c r="Y1249" i="72"/>
  <c r="W942" i="72"/>
  <c r="Y942" i="72"/>
  <c r="Y1274" i="72"/>
  <c r="T1201" i="72"/>
  <c r="Y189" i="72"/>
  <c r="V1115" i="72"/>
  <c r="W1115" i="72"/>
  <c r="Y1115" i="72"/>
  <c r="Y1153" i="72"/>
  <c r="Y652" i="72"/>
  <c r="T1238" i="72"/>
  <c r="U1238" i="72"/>
  <c r="V1238" i="72"/>
  <c r="Y1020" i="72"/>
  <c r="U1112" i="72"/>
  <c r="V1112" i="72"/>
  <c r="W1112" i="72"/>
  <c r="V155" i="72"/>
  <c r="W155" i="72"/>
  <c r="Y155" i="72"/>
  <c r="V1250" i="72"/>
  <c r="W1250" i="72"/>
  <c r="Y257" i="72"/>
  <c r="V947" i="72"/>
  <c r="W947" i="72"/>
  <c r="Y947" i="72"/>
  <c r="V20" i="72"/>
  <c r="U600" i="72"/>
  <c r="V600" i="72"/>
  <c r="W600" i="72"/>
  <c r="Y600" i="72"/>
  <c r="W1111" i="72"/>
  <c r="Y1111" i="72"/>
  <c r="V1053" i="72"/>
  <c r="W1053" i="72"/>
  <c r="Y1053" i="72"/>
  <c r="Y213" i="72"/>
  <c r="W715" i="72"/>
  <c r="Y715" i="72"/>
  <c r="U838" i="72"/>
  <c r="V838" i="72"/>
  <c r="W838" i="72"/>
  <c r="Y838" i="72"/>
  <c r="W904" i="72"/>
  <c r="Y904" i="72"/>
  <c r="U249" i="72"/>
  <c r="Y733" i="72"/>
  <c r="V1214" i="72"/>
  <c r="W1214" i="72"/>
  <c r="Y1214" i="72"/>
  <c r="R596" i="72"/>
  <c r="Y1138" i="72"/>
  <c r="U216" i="72"/>
  <c r="V216" i="72"/>
  <c r="W216" i="72"/>
  <c r="Y216" i="72"/>
  <c r="S67" i="72"/>
  <c r="S304" i="72"/>
  <c r="T304" i="72"/>
  <c r="U950" i="72"/>
  <c r="V950" i="72"/>
  <c r="R1313" i="72"/>
  <c r="S1313" i="72"/>
  <c r="S384" i="72"/>
  <c r="T384" i="72"/>
  <c r="Q1314" i="72"/>
  <c r="R1314" i="72"/>
  <c r="S1314" i="72"/>
  <c r="U500" i="72"/>
  <c r="R49" i="72"/>
  <c r="S49" i="72"/>
  <c r="T49" i="72"/>
  <c r="U49" i="72"/>
  <c r="V49" i="72"/>
  <c r="W49" i="72"/>
  <c r="Y49" i="72"/>
  <c r="V430" i="72"/>
  <c r="W430" i="72"/>
  <c r="Y430" i="72"/>
  <c r="R466" i="72"/>
  <c r="S466" i="72"/>
  <c r="T466" i="72"/>
  <c r="U466" i="72"/>
  <c r="V466" i="72"/>
  <c r="W466" i="72"/>
  <c r="Y466" i="72"/>
  <c r="R578" i="72"/>
  <c r="S578" i="72"/>
  <c r="T578" i="72"/>
  <c r="U578" i="72"/>
  <c r="V578" i="72"/>
  <c r="W578" i="72"/>
  <c r="Y578" i="72"/>
  <c r="V380" i="72"/>
  <c r="W380" i="72"/>
  <c r="Y380" i="72"/>
  <c r="Y724" i="72"/>
  <c r="U1299" i="72"/>
  <c r="V1299" i="72"/>
  <c r="Y92" i="72"/>
  <c r="Q247" i="72"/>
  <c r="T199" i="72"/>
  <c r="U199" i="72"/>
  <c r="V199" i="72"/>
  <c r="W199" i="72"/>
  <c r="V21" i="72"/>
  <c r="W21" i="72"/>
  <c r="Y21" i="72"/>
  <c r="U86" i="72"/>
  <c r="V86" i="72"/>
  <c r="W86" i="72"/>
  <c r="Y86" i="72"/>
  <c r="W765" i="72"/>
  <c r="Y765" i="72"/>
  <c r="W346" i="72"/>
  <c r="Y346" i="72"/>
  <c r="W966" i="72"/>
  <c r="Y966" i="72"/>
  <c r="V553" i="72"/>
  <c r="W553" i="72"/>
  <c r="Y553" i="72"/>
  <c r="R204" i="72"/>
  <c r="S204" i="72"/>
  <c r="T204" i="72"/>
  <c r="R1290" i="72"/>
  <c r="S1290" i="72"/>
  <c r="T1290" i="72"/>
  <c r="U1290" i="72"/>
  <c r="V1290" i="72"/>
  <c r="W1290" i="72"/>
  <c r="Y1290" i="72"/>
  <c r="S569" i="72"/>
  <c r="T569" i="72"/>
  <c r="U569" i="72"/>
  <c r="V569" i="72"/>
  <c r="R1340" i="72"/>
  <c r="U599" i="72"/>
  <c r="R680" i="72"/>
  <c r="S680" i="72"/>
  <c r="T680" i="72"/>
  <c r="U680" i="72"/>
  <c r="V680" i="72"/>
  <c r="W680" i="72"/>
  <c r="Y680" i="72"/>
  <c r="U262" i="72"/>
  <c r="V262" i="72"/>
  <c r="R1188" i="72"/>
  <c r="W156" i="72"/>
  <c r="Y156" i="72"/>
  <c r="U163" i="72"/>
  <c r="V163" i="72"/>
  <c r="W163" i="72"/>
  <c r="Y163" i="72"/>
  <c r="T1187" i="72"/>
  <c r="U1187" i="72"/>
  <c r="T469" i="72"/>
  <c r="U469" i="72"/>
  <c r="V469" i="72"/>
  <c r="T133" i="72"/>
  <c r="U133" i="72"/>
  <c r="V133" i="72"/>
  <c r="W133" i="72"/>
  <c r="U824" i="72"/>
  <c r="V824" i="72"/>
  <c r="V686" i="72"/>
  <c r="W686" i="72"/>
  <c r="Y686" i="72"/>
  <c r="T320" i="72"/>
  <c r="S219" i="72"/>
  <c r="T219" i="72"/>
  <c r="U219" i="72"/>
  <c r="V219" i="72"/>
  <c r="W219" i="72"/>
  <c r="Y219" i="72"/>
  <c r="R1277" i="72"/>
  <c r="S1235" i="72"/>
  <c r="T1235" i="72"/>
  <c r="V154" i="72"/>
  <c r="W154" i="72"/>
  <c r="Y154" i="72"/>
  <c r="U246" i="72"/>
  <c r="V246" i="72"/>
  <c r="W246" i="72"/>
  <c r="Y246" i="72"/>
  <c r="W701" i="72"/>
  <c r="Y701" i="72"/>
  <c r="U1337" i="72"/>
  <c r="V1337" i="72"/>
  <c r="Y234" i="72"/>
  <c r="V431" i="72"/>
  <c r="W431" i="72"/>
  <c r="Y1001" i="72"/>
  <c r="S187" i="72"/>
  <c r="T187" i="72"/>
  <c r="U187" i="72"/>
  <c r="R362" i="72"/>
  <c r="T516" i="72"/>
  <c r="U516" i="72"/>
  <c r="V516" i="72"/>
  <c r="W516" i="72"/>
  <c r="Y516" i="72"/>
  <c r="S572" i="72"/>
  <c r="T572" i="72"/>
  <c r="U572" i="72"/>
  <c r="V572" i="72"/>
  <c r="W572" i="72"/>
  <c r="V647" i="72"/>
  <c r="W647" i="72"/>
  <c r="Y647" i="72"/>
  <c r="W364" i="72"/>
  <c r="Y364" i="72"/>
  <c r="R65" i="72"/>
  <c r="S65" i="72"/>
  <c r="T65" i="72"/>
  <c r="U65" i="72"/>
  <c r="V65" i="72"/>
  <c r="W756" i="72"/>
  <c r="Y756" i="72"/>
  <c r="V751" i="72"/>
  <c r="W751" i="72"/>
  <c r="Y751" i="72"/>
  <c r="U399" i="72"/>
  <c r="V399" i="72"/>
  <c r="T146" i="72"/>
  <c r="T591" i="72"/>
  <c r="U591" i="72"/>
  <c r="V591" i="72"/>
  <c r="W591" i="72"/>
  <c r="Y591" i="72"/>
  <c r="V1195" i="72"/>
  <c r="W1195" i="72"/>
  <c r="Y1195" i="72"/>
  <c r="T47" i="72"/>
  <c r="U209" i="72"/>
  <c r="V209" i="72"/>
  <c r="W209" i="72"/>
  <c r="R32" i="72"/>
  <c r="S32" i="72"/>
  <c r="T32" i="72"/>
  <c r="T433" i="72"/>
  <c r="T277" i="72"/>
  <c r="U277" i="72"/>
  <c r="V277" i="72"/>
  <c r="W277" i="72"/>
  <c r="Y277" i="72"/>
  <c r="T552" i="72"/>
  <c r="U552" i="72"/>
  <c r="V552" i="72"/>
  <c r="W552" i="72"/>
  <c r="Y552" i="72"/>
  <c r="T109" i="72"/>
  <c r="U109" i="72"/>
  <c r="V109" i="72"/>
  <c r="W109" i="72"/>
  <c r="Y109" i="72"/>
  <c r="S1225" i="72"/>
  <c r="T1225" i="72"/>
  <c r="U1225" i="72"/>
  <c r="V1225" i="72"/>
  <c r="W1225" i="72"/>
  <c r="U88" i="72"/>
  <c r="V88" i="72"/>
  <c r="W88" i="72"/>
  <c r="Y88" i="72"/>
  <c r="W802" i="72"/>
  <c r="Y802" i="72"/>
  <c r="R438" i="72"/>
  <c r="S112" i="72"/>
  <c r="W529" i="72"/>
  <c r="Y529" i="72"/>
  <c r="U660" i="72"/>
  <c r="V660" i="72"/>
  <c r="V560" i="72"/>
  <c r="W895" i="72"/>
  <c r="Y895" i="72"/>
  <c r="S1331" i="72"/>
  <c r="T1331" i="72"/>
  <c r="U50" i="72"/>
  <c r="V50" i="72"/>
  <c r="W50" i="72"/>
  <c r="Y50" i="72"/>
  <c r="U1040" i="72"/>
  <c r="S1231" i="72"/>
  <c r="T1231" i="72"/>
  <c r="U1231" i="72"/>
  <c r="W619" i="72"/>
  <c r="Y619" i="72"/>
  <c r="Y941" i="72"/>
  <c r="S230" i="72"/>
  <c r="T230" i="72"/>
  <c r="U230" i="72"/>
  <c r="V230" i="72"/>
  <c r="W230" i="72"/>
  <c r="Y230" i="72"/>
  <c r="U1095" i="72"/>
  <c r="V1095" i="72"/>
  <c r="W1095" i="72"/>
  <c r="Y1095" i="72"/>
  <c r="U130" i="72"/>
  <c r="V130" i="72"/>
  <c r="W130" i="72"/>
  <c r="Y130" i="72"/>
  <c r="U70" i="72"/>
  <c r="V70" i="72"/>
  <c r="W70" i="72"/>
  <c r="Y70" i="72"/>
  <c r="R1302" i="72"/>
  <c r="U60" i="72"/>
  <c r="V60" i="72"/>
  <c r="Y903" i="72"/>
  <c r="Y892" i="72"/>
  <c r="T423" i="72"/>
  <c r="W1006" i="72"/>
  <c r="Y1006" i="72"/>
  <c r="Y741" i="72"/>
  <c r="Y347" i="72"/>
  <c r="U1014" i="72"/>
  <c r="V1014" i="72"/>
  <c r="S1221" i="72"/>
  <c r="T1221" i="72"/>
  <c r="Y1135" i="72"/>
  <c r="V820" i="72"/>
  <c r="W820" i="72"/>
  <c r="S1180" i="72"/>
  <c r="T1180" i="72"/>
  <c r="U1180" i="72"/>
  <c r="V1180" i="72"/>
  <c r="W1180" i="72"/>
  <c r="Q68" i="72"/>
  <c r="R68" i="72"/>
  <c r="S309" i="72"/>
  <c r="T309" i="72"/>
  <c r="U309" i="72"/>
  <c r="V309" i="72"/>
  <c r="R1342" i="72"/>
  <c r="S1342" i="72"/>
  <c r="R255" i="72"/>
  <c r="S255" i="72"/>
  <c r="T255" i="72"/>
  <c r="U255" i="72"/>
  <c r="V255" i="72"/>
  <c r="W255" i="72"/>
  <c r="Y255" i="72"/>
  <c r="R237" i="72"/>
  <c r="S237" i="72"/>
  <c r="R9" i="72"/>
  <c r="W125" i="72"/>
  <c r="Y125" i="72"/>
  <c r="T428" i="72"/>
  <c r="U428" i="72"/>
  <c r="R1103" i="72"/>
  <c r="S1103" i="72"/>
  <c r="S1304" i="72"/>
  <c r="T1304" i="72"/>
  <c r="U1304" i="72"/>
  <c r="V1304" i="72"/>
  <c r="W1304" i="72"/>
  <c r="Y1304" i="72"/>
  <c r="R407" i="72"/>
  <c r="S407" i="72"/>
  <c r="S1308" i="72"/>
  <c r="T1308" i="72"/>
  <c r="U1308" i="72"/>
  <c r="V1308" i="72"/>
  <c r="W1308" i="72"/>
  <c r="Y1308" i="72"/>
  <c r="V609" i="72"/>
  <c r="W609" i="72"/>
  <c r="Y609" i="72"/>
  <c r="S1252" i="72"/>
  <c r="T1252" i="72"/>
  <c r="U1252" i="72"/>
  <c r="S1105" i="72"/>
  <c r="U565" i="72"/>
  <c r="V565" i="72"/>
  <c r="T1265" i="72"/>
  <c r="Y656" i="72"/>
  <c r="V663" i="72"/>
  <c r="W663" i="72"/>
  <c r="Y663" i="72"/>
  <c r="T646" i="72"/>
  <c r="U646" i="72"/>
  <c r="V646" i="72"/>
  <c r="W646" i="72"/>
  <c r="Y646" i="72"/>
  <c r="U388" i="72"/>
  <c r="V388" i="72"/>
  <c r="W388" i="72"/>
  <c r="Y388" i="72"/>
  <c r="U571" i="72"/>
  <c r="S1205" i="72"/>
  <c r="T1205" i="72"/>
  <c r="U1205" i="72"/>
  <c r="V1205" i="72"/>
  <c r="W1205" i="72"/>
  <c r="Y1205" i="72"/>
  <c r="U1229" i="72"/>
  <c r="V1229" i="72"/>
  <c r="U69" i="72"/>
  <c r="V69" i="72"/>
  <c r="V461" i="72"/>
  <c r="W461" i="72"/>
  <c r="Y461" i="72"/>
  <c r="V335" i="72"/>
  <c r="W335" i="72"/>
  <c r="Y335" i="72"/>
  <c r="U435" i="72"/>
  <c r="V435" i="72"/>
  <c r="W435" i="72"/>
  <c r="Y435" i="72"/>
  <c r="V1146" i="72"/>
  <c r="W1146" i="72"/>
  <c r="Y1146" i="72"/>
  <c r="U485" i="72"/>
  <c r="V485" i="72"/>
  <c r="Q26" i="72"/>
  <c r="Y1211" i="72"/>
  <c r="S1320" i="72"/>
  <c r="U1263" i="72"/>
  <c r="V1263" i="72"/>
  <c r="T551" i="72"/>
  <c r="U551" i="72"/>
  <c r="T605" i="72"/>
  <c r="U605" i="72"/>
  <c r="V605" i="72"/>
  <c r="W605" i="72"/>
  <c r="Y605" i="72"/>
  <c r="W752" i="72"/>
  <c r="Y752" i="72"/>
  <c r="V1190" i="72"/>
  <c r="W1190" i="72"/>
  <c r="Y1190" i="72"/>
  <c r="S104" i="72"/>
  <c r="T104" i="72"/>
  <c r="S35" i="72"/>
  <c r="T35" i="72"/>
  <c r="U35" i="72"/>
  <c r="V35" i="72"/>
  <c r="W35" i="72"/>
  <c r="S105" i="72"/>
  <c r="S1224" i="72"/>
  <c r="T1224" i="72"/>
  <c r="U1224" i="72"/>
  <c r="V1224" i="72"/>
  <c r="W1034" i="72"/>
  <c r="Y1034" i="72"/>
  <c r="Y486" i="72"/>
  <c r="Y1090" i="72"/>
  <c r="Y932" i="72"/>
  <c r="Y77" i="72"/>
  <c r="Y546" i="72"/>
  <c r="U10" i="72"/>
  <c r="V10" i="72"/>
  <c r="W10" i="72"/>
  <c r="Y10" i="72"/>
  <c r="U444" i="72"/>
  <c r="V444" i="72"/>
  <c r="W444" i="72"/>
  <c r="Y444" i="72"/>
  <c r="U973" i="72"/>
  <c r="V973" i="72"/>
  <c r="W973" i="72"/>
  <c r="Y973" i="72"/>
  <c r="U666" i="72"/>
  <c r="V666" i="72"/>
  <c r="W666" i="72"/>
  <c r="Y666" i="72"/>
  <c r="S333" i="72"/>
  <c r="T333" i="72"/>
  <c r="U333" i="72"/>
  <c r="V333" i="72"/>
  <c r="V140" i="72"/>
  <c r="W140" i="72"/>
  <c r="Y140" i="72"/>
  <c r="U969" i="72"/>
  <c r="V969" i="72"/>
  <c r="W812" i="72"/>
  <c r="Y812" i="72"/>
  <c r="W329" i="72"/>
  <c r="Y329" i="72"/>
  <c r="S1336" i="72"/>
  <c r="T1336" i="72"/>
  <c r="U1336" i="72"/>
  <c r="V1336" i="72"/>
  <c r="W1336" i="72"/>
  <c r="R1289" i="72"/>
  <c r="S1289" i="72"/>
  <c r="T1289" i="72"/>
  <c r="R244" i="72"/>
  <c r="S244" i="72"/>
  <c r="T244" i="72"/>
  <c r="U244" i="72"/>
  <c r="V244" i="72"/>
  <c r="Q24" i="72"/>
  <c r="R24" i="72"/>
  <c r="R1311" i="72"/>
  <c r="S1311" i="72"/>
  <c r="T1311" i="72"/>
  <c r="Q1339" i="72"/>
  <c r="O5" i="72"/>
  <c r="O1358" i="72"/>
  <c r="O1381" i="72"/>
  <c r="P1377" i="72"/>
  <c r="L26" i="16"/>
  <c r="N7" i="7"/>
  <c r="O1383" i="72"/>
  <c r="K9" i="16"/>
  <c r="J8" i="16"/>
  <c r="N1378" i="72"/>
  <c r="U1362" i="72"/>
  <c r="O722" i="53"/>
  <c r="G71" i="14"/>
  <c r="J70" i="14"/>
  <c r="K70" i="14"/>
  <c r="L70" i="14"/>
  <c r="M70" i="14"/>
  <c r="N70" i="14"/>
  <c r="S70" i="14"/>
  <c r="Y15" i="72"/>
  <c r="U110" i="72"/>
  <c r="V110" i="72"/>
  <c r="W110" i="72"/>
  <c r="Y110" i="72"/>
  <c r="V298" i="72"/>
  <c r="W298" i="72"/>
  <c r="Y298" i="72"/>
  <c r="M96" i="18"/>
  <c r="Q1354" i="72"/>
  <c r="P30" i="6"/>
  <c r="O1360" i="72"/>
  <c r="Y1306" i="72"/>
  <c r="V457" i="72"/>
  <c r="W457" i="72"/>
  <c r="Y457" i="72"/>
  <c r="Y1184" i="72"/>
  <c r="R1359" i="72"/>
  <c r="R1382" i="72"/>
  <c r="T127" i="72"/>
  <c r="N1361" i="72"/>
  <c r="O1353" i="72"/>
  <c r="O1376" i="72"/>
  <c r="N1355" i="72"/>
  <c r="N1356" i="72"/>
  <c r="V1223" i="72"/>
  <c r="W1223" i="72"/>
  <c r="W286" i="72"/>
  <c r="Y286" i="72"/>
  <c r="V279" i="72"/>
  <c r="W279" i="72"/>
  <c r="Y279" i="72"/>
  <c r="U285" i="72"/>
  <c r="V285" i="72"/>
  <c r="W285" i="72"/>
  <c r="Y285" i="72"/>
  <c r="Y1191" i="72"/>
  <c r="U1342" i="72"/>
  <c r="V1342" i="72"/>
  <c r="Y467" i="72"/>
  <c r="Y511" i="72"/>
  <c r="Y547" i="72"/>
  <c r="W1292" i="72"/>
  <c r="Y1292" i="72"/>
  <c r="Y1127" i="72"/>
  <c r="T28" i="72"/>
  <c r="U28" i="72"/>
  <c r="V28" i="72"/>
  <c r="S1340" i="72"/>
  <c r="U1227" i="72"/>
  <c r="V1227" i="72"/>
  <c r="W1227" i="72"/>
  <c r="T1335" i="72"/>
  <c r="U1335" i="72"/>
  <c r="Y270" i="72"/>
  <c r="W1326" i="72"/>
  <c r="Y1326" i="72"/>
  <c r="V1234" i="72"/>
  <c r="T274" i="72"/>
  <c r="U274" i="72"/>
  <c r="V274" i="72"/>
  <c r="U1226" i="72"/>
  <c r="V1226" i="72"/>
  <c r="W1226" i="72"/>
  <c r="Y1226" i="72"/>
  <c r="V1323" i="72"/>
  <c r="W1323" i="72"/>
  <c r="Y1323" i="72"/>
  <c r="Y1096" i="72"/>
  <c r="Y1286" i="72"/>
  <c r="Y294" i="72"/>
  <c r="W322" i="72"/>
  <c r="Y322" i="72"/>
  <c r="V385" i="72"/>
  <c r="W385" i="72"/>
  <c r="Y385" i="72"/>
  <c r="Y119" i="72"/>
  <c r="Y122" i="72"/>
  <c r="U1207" i="72"/>
  <c r="V1207" i="72"/>
  <c r="W1207" i="72"/>
  <c r="Y1207" i="72"/>
  <c r="U676" i="72"/>
  <c r="W323" i="72"/>
  <c r="Y323" i="72"/>
  <c r="U80" i="72"/>
  <c r="V80" i="72"/>
  <c r="W80" i="72"/>
  <c r="Y638" i="72"/>
  <c r="Y1260" i="72"/>
  <c r="W414" i="72"/>
  <c r="Y414" i="72"/>
  <c r="V505" i="72"/>
  <c r="W505" i="72"/>
  <c r="Y505" i="72"/>
  <c r="W589" i="72"/>
  <c r="Y589" i="72"/>
  <c r="T1196" i="72"/>
  <c r="U1196" i="72"/>
  <c r="V1196" i="72"/>
  <c r="W1196" i="72"/>
  <c r="Y1250" i="72"/>
  <c r="U63" i="72"/>
  <c r="V63" i="72"/>
  <c r="W63" i="72"/>
  <c r="Y63" i="72"/>
  <c r="U367" i="72"/>
  <c r="V367" i="72"/>
  <c r="Y814" i="72"/>
  <c r="U85" i="72"/>
  <c r="V85" i="72"/>
  <c r="W85" i="72"/>
  <c r="Y85" i="72"/>
  <c r="U1344" i="72"/>
  <c r="V1344" i="72"/>
  <c r="W1344" i="72"/>
  <c r="W1023" i="72"/>
  <c r="Y1023" i="72"/>
  <c r="W240" i="72"/>
  <c r="Y240" i="72"/>
  <c r="Y532" i="72"/>
  <c r="Y321" i="72"/>
  <c r="U326" i="72"/>
  <c r="V326" i="72"/>
  <c r="W326" i="72"/>
  <c r="Y326" i="72"/>
  <c r="W308" i="72"/>
  <c r="Y308" i="72"/>
  <c r="U8" i="72"/>
  <c r="V8" i="72"/>
  <c r="W8" i="72"/>
  <c r="Y8" i="72"/>
  <c r="V573" i="72"/>
  <c r="W573" i="72"/>
  <c r="Y573" i="72"/>
  <c r="W657" i="72"/>
  <c r="Y657" i="72"/>
  <c r="V616" i="72"/>
  <c r="W616" i="72"/>
  <c r="V607" i="72"/>
  <c r="Y1243" i="72"/>
  <c r="Y858" i="72"/>
  <c r="W1165" i="72"/>
  <c r="Y1165" i="72"/>
  <c r="Y190" i="72"/>
  <c r="T138" i="72"/>
  <c r="U138" i="72"/>
  <c r="V138" i="72"/>
  <c r="W138" i="72"/>
  <c r="Y138" i="72"/>
  <c r="V567" i="72"/>
  <c r="W567" i="72"/>
  <c r="Y567" i="72"/>
  <c r="Y535" i="72"/>
  <c r="V84" i="72"/>
  <c r="W84" i="72"/>
  <c r="Y84" i="72"/>
  <c r="V635" i="72"/>
  <c r="W635" i="72"/>
  <c r="Y635" i="72"/>
  <c r="W1283" i="72"/>
  <c r="Y1283" i="72"/>
  <c r="U27" i="72"/>
  <c r="V27" i="72"/>
  <c r="W27" i="72"/>
  <c r="Y27" i="72"/>
  <c r="W1315" i="72"/>
  <c r="Y1315" i="72"/>
  <c r="W72" i="72"/>
  <c r="Y72" i="72"/>
  <c r="V106" i="72"/>
  <c r="W106" i="72"/>
  <c r="Y106" i="72"/>
  <c r="T426" i="72"/>
  <c r="U426" i="72"/>
  <c r="V426" i="72"/>
  <c r="W426" i="72"/>
  <c r="Y426" i="72"/>
  <c r="Y152" i="72"/>
  <c r="Y628" i="72"/>
  <c r="Y1245" i="72"/>
  <c r="Y267" i="72"/>
  <c r="Y522" i="72"/>
  <c r="Y442" i="72"/>
  <c r="W1208" i="72"/>
  <c r="Y1208" i="72"/>
  <c r="Y1273" i="72"/>
  <c r="U487" i="72"/>
  <c r="V487" i="72"/>
  <c r="V1197" i="72"/>
  <c r="W1197" i="72"/>
  <c r="V99" i="72"/>
  <c r="W99" i="72"/>
  <c r="Y99" i="72"/>
  <c r="U670" i="72"/>
  <c r="V670" i="72"/>
  <c r="W670" i="72"/>
  <c r="Y670" i="72"/>
  <c r="W1216" i="72"/>
  <c r="Y1216" i="72"/>
  <c r="W211" i="72"/>
  <c r="Y211" i="72"/>
  <c r="Y352" i="72"/>
  <c r="W334" i="72"/>
  <c r="Y334" i="72"/>
  <c r="Y296" i="72"/>
  <c r="V79" i="72"/>
  <c r="W79" i="72"/>
  <c r="W157" i="72"/>
  <c r="Y157" i="72"/>
  <c r="T1162" i="72"/>
  <c r="U1083" i="72"/>
  <c r="V1083" i="72"/>
  <c r="U494" i="72"/>
  <c r="V494" i="72"/>
  <c r="W569" i="72"/>
  <c r="Y569" i="72"/>
  <c r="V284" i="72"/>
  <c r="W284" i="72"/>
  <c r="Y556" i="72"/>
  <c r="W610" i="72"/>
  <c r="Y610" i="72"/>
  <c r="W1169" i="72"/>
  <c r="Y1169" i="72"/>
  <c r="W1213" i="72"/>
  <c r="Y1213" i="72"/>
  <c r="V245" i="72"/>
  <c r="W245" i="72"/>
  <c r="U1116" i="72"/>
  <c r="W639" i="72"/>
  <c r="Y639" i="72"/>
  <c r="U204" i="72"/>
  <c r="V204" i="72"/>
  <c r="W204" i="72"/>
  <c r="Y204" i="72"/>
  <c r="Y818" i="72"/>
  <c r="W181" i="72"/>
  <c r="Y181" i="72"/>
  <c r="Y533" i="72"/>
  <c r="Y1094" i="72"/>
  <c r="U1295" i="72"/>
  <c r="V1295" i="72"/>
  <c r="W1295" i="72"/>
  <c r="Y1295" i="72"/>
  <c r="Y1120" i="72"/>
  <c r="W594" i="72"/>
  <c r="Y594" i="72"/>
  <c r="U622" i="72"/>
  <c r="V622" i="72"/>
  <c r="W622" i="72"/>
  <c r="U23" i="72"/>
  <c r="V23" i="72"/>
  <c r="W23" i="72"/>
  <c r="Y23" i="72"/>
  <c r="V115" i="72"/>
  <c r="W115" i="72"/>
  <c r="Y115" i="72"/>
  <c r="W159" i="72"/>
  <c r="Y159" i="72"/>
  <c r="V1202" i="72"/>
  <c r="U545" i="72"/>
  <c r="V545" i="72"/>
  <c r="W545" i="72"/>
  <c r="Y545" i="72"/>
  <c r="T113" i="72"/>
  <c r="U113" i="72"/>
  <c r="V113" i="72"/>
  <c r="W113" i="72"/>
  <c r="U1281" i="72"/>
  <c r="V1281" i="72"/>
  <c r="V1239" i="72"/>
  <c r="W1239" i="72"/>
  <c r="Y1239" i="72"/>
  <c r="Y637" i="72"/>
  <c r="V397" i="72"/>
  <c r="W397" i="72"/>
  <c r="Y397" i="72"/>
  <c r="Y620" i="72"/>
  <c r="Y1241" i="72"/>
  <c r="W175" i="72"/>
  <c r="Y175" i="72"/>
  <c r="W1271" i="72"/>
  <c r="Y1271" i="72"/>
  <c r="U658" i="72"/>
  <c r="V658" i="72"/>
  <c r="W658" i="72"/>
  <c r="V543" i="72"/>
  <c r="W543" i="72"/>
  <c r="Y543" i="72"/>
  <c r="V249" i="72"/>
  <c r="W249" i="72"/>
  <c r="Y249" i="72"/>
  <c r="T401" i="72"/>
  <c r="U401" i="72"/>
  <c r="V401" i="72"/>
  <c r="W401" i="72"/>
  <c r="Y401" i="72"/>
  <c r="W1293" i="72"/>
  <c r="Y1293" i="72"/>
  <c r="U483" i="72"/>
  <c r="V483" i="72"/>
  <c r="W1136" i="72"/>
  <c r="Y1136" i="72"/>
  <c r="S1319" i="72"/>
  <c r="T1319" i="72"/>
  <c r="Y330" i="72"/>
  <c r="U54" i="72"/>
  <c r="V54" i="72"/>
  <c r="W54" i="72"/>
  <c r="Y54" i="72"/>
  <c r="Y1081" i="72"/>
  <c r="V1264" i="72"/>
  <c r="W1264" i="72"/>
  <c r="Y1264" i="72"/>
  <c r="Y913" i="72"/>
  <c r="Y925" i="72"/>
  <c r="U98" i="72"/>
  <c r="V98" i="72"/>
  <c r="W98" i="72"/>
  <c r="Y98" i="72"/>
  <c r="W1276" i="72"/>
  <c r="Y1276" i="72"/>
  <c r="W408" i="72"/>
  <c r="Y408" i="72"/>
  <c r="W281" i="72"/>
  <c r="Y281" i="72"/>
  <c r="W446" i="72"/>
  <c r="Y446" i="72"/>
  <c r="W387" i="72"/>
  <c r="Y387" i="72"/>
  <c r="T237" i="72"/>
  <c r="U237" i="72"/>
  <c r="V94" i="72"/>
  <c r="W94" i="72"/>
  <c r="Y94" i="72"/>
  <c r="V345" i="72"/>
  <c r="W345" i="72"/>
  <c r="T1085" i="72"/>
  <c r="U1085" i="72"/>
  <c r="V1085" i="72"/>
  <c r="W1085" i="72"/>
  <c r="W16" i="72"/>
  <c r="Y16" i="72"/>
  <c r="V1126" i="72"/>
  <c r="W60" i="72"/>
  <c r="Y60" i="72"/>
  <c r="T1230" i="72"/>
  <c r="U1230" i="72"/>
  <c r="S24" i="72"/>
  <c r="T24" i="72"/>
  <c r="Y35" i="72"/>
  <c r="W617" i="72"/>
  <c r="Y617" i="72"/>
  <c r="U174" i="72"/>
  <c r="V174" i="72"/>
  <c r="W683" i="72"/>
  <c r="Y683" i="72"/>
  <c r="U1221" i="72"/>
  <c r="V1221" i="72"/>
  <c r="W1221" i="72"/>
  <c r="T31" i="72"/>
  <c r="U31" i="72"/>
  <c r="T1122" i="72"/>
  <c r="T668" i="72"/>
  <c r="U668" i="72"/>
  <c r="W992" i="72"/>
  <c r="Y992" i="72"/>
  <c r="U191" i="72"/>
  <c r="V191" i="72"/>
  <c r="W191" i="72"/>
  <c r="Y191" i="72"/>
  <c r="Y1334" i="72"/>
  <c r="T1103" i="72"/>
  <c r="U1103" i="72"/>
  <c r="V1103" i="72"/>
  <c r="V1187" i="72"/>
  <c r="W1187" i="72"/>
  <c r="Y1187" i="72"/>
  <c r="Y139" i="72"/>
  <c r="V19" i="72"/>
  <c r="W19" i="72"/>
  <c r="Y19" i="72"/>
  <c r="T271" i="72"/>
  <c r="U271" i="72"/>
  <c r="V271" i="72"/>
  <c r="V214" i="72"/>
  <c r="W528" i="72"/>
  <c r="Y528" i="72"/>
  <c r="Y266" i="72"/>
  <c r="T221" i="72"/>
  <c r="T275" i="72"/>
  <c r="U275" i="72"/>
  <c r="Y677" i="72"/>
  <c r="Y1131" i="72"/>
  <c r="U1101" i="72"/>
  <c r="V1101" i="72"/>
  <c r="W1101" i="72"/>
  <c r="W1161" i="72"/>
  <c r="Y1161" i="72"/>
  <c r="W1247" i="72"/>
  <c r="Y1247" i="72"/>
  <c r="Y602" i="72"/>
  <c r="Y431" i="72"/>
  <c r="V1284" i="72"/>
  <c r="W1284" i="72"/>
  <c r="Y1284" i="72"/>
  <c r="T409" i="72"/>
  <c r="U409" i="72"/>
  <c r="V409" i="72"/>
  <c r="Y453" i="72"/>
  <c r="T1177" i="72"/>
  <c r="V29" i="72"/>
  <c r="W29" i="72"/>
  <c r="Y29" i="72"/>
  <c r="V187" i="72"/>
  <c r="W187" i="72"/>
  <c r="W131" i="72"/>
  <c r="Y131" i="72"/>
  <c r="Y1156" i="72"/>
  <c r="U120" i="72"/>
  <c r="V120" i="72"/>
  <c r="W120" i="72"/>
  <c r="Y120" i="72"/>
  <c r="Y1112" i="72"/>
  <c r="W629" i="72"/>
  <c r="Y629" i="72"/>
  <c r="Y317" i="72"/>
  <c r="W83" i="72"/>
  <c r="Y83" i="72"/>
  <c r="U331" i="72"/>
  <c r="V331" i="72"/>
  <c r="T1217" i="72"/>
  <c r="U1217" i="72"/>
  <c r="V1217" i="72"/>
  <c r="W583" i="72"/>
  <c r="Y583" i="72"/>
  <c r="Y178" i="72"/>
  <c r="W252" i="72"/>
  <c r="Y252" i="72"/>
  <c r="V1206" i="72"/>
  <c r="W1206" i="72"/>
  <c r="W377" i="72"/>
  <c r="Y377" i="72"/>
  <c r="W687" i="72"/>
  <c r="Y687" i="72"/>
  <c r="W575" i="72"/>
  <c r="Y575" i="72"/>
  <c r="V498" i="72"/>
  <c r="W498" i="72"/>
  <c r="U537" i="72"/>
  <c r="V459" i="72"/>
  <c r="W459" i="72"/>
  <c r="U688" i="72"/>
  <c r="V688" i="72"/>
  <c r="W688" i="72"/>
  <c r="Y688" i="72"/>
  <c r="Y76" i="72"/>
  <c r="T59" i="72"/>
  <c r="U59" i="72"/>
  <c r="V59" i="72"/>
  <c r="W59" i="72"/>
  <c r="Y59" i="72"/>
  <c r="V1287" i="72"/>
  <c r="W1287" i="72"/>
  <c r="Y1287" i="72"/>
  <c r="V91" i="72"/>
  <c r="W91" i="72"/>
  <c r="Y91" i="72"/>
  <c r="Y382" i="72"/>
  <c r="Y1129" i="72"/>
  <c r="Y268" i="72"/>
  <c r="Y497" i="72"/>
  <c r="U1175" i="72"/>
  <c r="V1175" i="72"/>
  <c r="W969" i="72"/>
  <c r="Y969" i="72"/>
  <c r="W1309" i="72"/>
  <c r="Y1309" i="72"/>
  <c r="V1294" i="72"/>
  <c r="W1294" i="72"/>
  <c r="Y1294" i="72"/>
  <c r="T167" i="72"/>
  <c r="U167" i="72"/>
  <c r="V167" i="72"/>
  <c r="W167" i="72"/>
  <c r="Y167" i="72"/>
  <c r="W705" i="72"/>
  <c r="Y705" i="72"/>
  <c r="V325" i="72"/>
  <c r="W325" i="72"/>
  <c r="Y325" i="72"/>
  <c r="Y1210" i="72"/>
  <c r="Y1296" i="72"/>
  <c r="Y1172" i="72"/>
  <c r="Y508" i="72"/>
  <c r="Y117" i="72"/>
  <c r="V293" i="72"/>
  <c r="W293" i="72"/>
  <c r="T227" i="72"/>
  <c r="U227" i="72"/>
  <c r="V227" i="72"/>
  <c r="W227" i="72"/>
  <c r="Y227" i="72"/>
  <c r="U406" i="72"/>
  <c r="S673" i="72"/>
  <c r="T673" i="72"/>
  <c r="Y1310" i="72"/>
  <c r="W1133" i="72"/>
  <c r="Y1133" i="72"/>
  <c r="Y315" i="72"/>
  <c r="S644" i="72"/>
  <c r="Y851" i="72"/>
  <c r="U349" i="72"/>
  <c r="V349" i="72"/>
  <c r="W415" i="72"/>
  <c r="Y415" i="72"/>
  <c r="W244" i="72"/>
  <c r="Y244" i="72"/>
  <c r="V551" i="72"/>
  <c r="W551" i="72"/>
  <c r="Y551" i="72"/>
  <c r="W69" i="72"/>
  <c r="Y69" i="72"/>
  <c r="U454" i="72"/>
  <c r="V454" i="72"/>
  <c r="W454" i="72"/>
  <c r="Y454" i="72"/>
  <c r="W515" i="72"/>
  <c r="Y515" i="72"/>
  <c r="W309" i="72"/>
  <c r="Y309" i="72"/>
  <c r="W333" i="72"/>
  <c r="Y333" i="72"/>
  <c r="U384" i="72"/>
  <c r="V384" i="72"/>
  <c r="W384" i="72"/>
  <c r="Y384" i="72"/>
  <c r="U1132" i="72"/>
  <c r="V1132" i="72"/>
  <c r="U557" i="72"/>
  <c r="V557" i="72"/>
  <c r="W557" i="72"/>
  <c r="W1224" i="72"/>
  <c r="Y1224" i="72"/>
  <c r="W212" i="72"/>
  <c r="Y212" i="72"/>
  <c r="T1313" i="72"/>
  <c r="U132" i="72"/>
  <c r="U93" i="72"/>
  <c r="V93" i="72"/>
  <c r="W93" i="72"/>
  <c r="U475" i="72"/>
  <c r="V475" i="72"/>
  <c r="W481" i="72"/>
  <c r="Y481" i="72"/>
  <c r="U1235" i="72"/>
  <c r="V1235" i="72"/>
  <c r="W1235" i="72"/>
  <c r="Y1235" i="72"/>
  <c r="Y250" i="72"/>
  <c r="W1233" i="72"/>
  <c r="Y1233" i="72"/>
  <c r="W586" i="72"/>
  <c r="Y586" i="72"/>
  <c r="T1314" i="72"/>
  <c r="U1314" i="72"/>
  <c r="V1314" i="72"/>
  <c r="U104" i="72"/>
  <c r="V104" i="72"/>
  <c r="W104" i="72"/>
  <c r="Y104" i="72"/>
  <c r="W399" i="72"/>
  <c r="Y399" i="72"/>
  <c r="W262" i="72"/>
  <c r="Y262" i="72"/>
  <c r="U42" i="72"/>
  <c r="V42" i="72"/>
  <c r="W42" i="72"/>
  <c r="Y42" i="72"/>
  <c r="V1256" i="72"/>
  <c r="W1256" i="72"/>
  <c r="Y1256" i="72"/>
  <c r="W103" i="72"/>
  <c r="Y103" i="72"/>
  <c r="U398" i="72"/>
  <c r="V398" i="72"/>
  <c r="W398" i="72"/>
  <c r="Y398" i="72"/>
  <c r="U265" i="72"/>
  <c r="V265" i="72"/>
  <c r="W265" i="72"/>
  <c r="Y265" i="72"/>
  <c r="W381" i="72"/>
  <c r="Y381" i="72"/>
  <c r="T272" i="72"/>
  <c r="U272" i="72"/>
  <c r="V272" i="72"/>
  <c r="W272" i="72"/>
  <c r="W1229" i="72"/>
  <c r="Y1229" i="72"/>
  <c r="U1265" i="72"/>
  <c r="V1265" i="72"/>
  <c r="W1265" i="72"/>
  <c r="S1302" i="72"/>
  <c r="T1302" i="72"/>
  <c r="U1302" i="72"/>
  <c r="V1302" i="72"/>
  <c r="W1302" i="72"/>
  <c r="W660" i="72"/>
  <c r="Y660" i="72"/>
  <c r="Y1225" i="72"/>
  <c r="W824" i="72"/>
  <c r="Y824" i="72"/>
  <c r="V599" i="72"/>
  <c r="W599" i="72"/>
  <c r="Y599" i="72"/>
  <c r="U1201" i="72"/>
  <c r="V1201" i="72"/>
  <c r="W1201" i="72"/>
  <c r="Y1201" i="72"/>
  <c r="U437" i="72"/>
  <c r="V437" i="72"/>
  <c r="W437" i="72"/>
  <c r="Y437" i="72"/>
  <c r="R96" i="72"/>
  <c r="S96" i="72"/>
  <c r="T96" i="72"/>
  <c r="W1142" i="72"/>
  <c r="Y1142" i="72"/>
  <c r="U36" i="72"/>
  <c r="W1092" i="72"/>
  <c r="Y1092" i="72"/>
  <c r="R26" i="72"/>
  <c r="U439" i="72"/>
  <c r="V439" i="72"/>
  <c r="W439" i="72"/>
  <c r="Y1114" i="72"/>
  <c r="S1176" i="72"/>
  <c r="Y248" i="72"/>
  <c r="T67" i="72"/>
  <c r="U67" i="72"/>
  <c r="V67" i="72"/>
  <c r="W67" i="72"/>
  <c r="Y342" i="72"/>
  <c r="Y844" i="72"/>
  <c r="W1189" i="72"/>
  <c r="Y1189" i="72"/>
  <c r="V1041" i="72"/>
  <c r="W310" i="72"/>
  <c r="Y310" i="72"/>
  <c r="W1305" i="72"/>
  <c r="Y1305" i="72"/>
  <c r="Y312" i="72"/>
  <c r="U302" i="72"/>
  <c r="W560" i="72"/>
  <c r="Y560" i="72"/>
  <c r="R247" i="72"/>
  <c r="S247" i="72"/>
  <c r="T247" i="72"/>
  <c r="U1298" i="72"/>
  <c r="V1298" i="72"/>
  <c r="W1298" i="72"/>
  <c r="V603" i="72"/>
  <c r="W603" i="72"/>
  <c r="Y603" i="72"/>
  <c r="S362" i="72"/>
  <c r="T362" i="72"/>
  <c r="U362" i="72"/>
  <c r="V362" i="72"/>
  <c r="W362" i="72"/>
  <c r="V1259" i="72"/>
  <c r="W1259" i="72"/>
  <c r="Y1259" i="72"/>
  <c r="Y820" i="72"/>
  <c r="V659" i="72"/>
  <c r="W659" i="72"/>
  <c r="Y659" i="72"/>
  <c r="T105" i="72"/>
  <c r="U105" i="72"/>
  <c r="V105" i="72"/>
  <c r="W105" i="72"/>
  <c r="Y105" i="72"/>
  <c r="W1263" i="72"/>
  <c r="Y1263" i="72"/>
  <c r="U1331" i="72"/>
  <c r="V1331" i="72"/>
  <c r="S438" i="72"/>
  <c r="T438" i="72"/>
  <c r="W469" i="72"/>
  <c r="Y469" i="72"/>
  <c r="Y199" i="72"/>
  <c r="V235" i="72"/>
  <c r="W235" i="72"/>
  <c r="Y235" i="72"/>
  <c r="W416" i="72"/>
  <c r="Y416" i="72"/>
  <c r="U146" i="72"/>
  <c r="V146" i="72"/>
  <c r="W146" i="72"/>
  <c r="Y146" i="72"/>
  <c r="W343" i="72"/>
  <c r="Y343" i="72"/>
  <c r="V513" i="72"/>
  <c r="W513" i="72"/>
  <c r="Y513" i="72"/>
  <c r="U1318" i="72"/>
  <c r="U1297" i="72"/>
  <c r="U1280" i="72"/>
  <c r="V1280" i="72"/>
  <c r="W1280" i="72"/>
  <c r="V623" i="72"/>
  <c r="W623" i="72"/>
  <c r="Y623" i="72"/>
  <c r="S9" i="72"/>
  <c r="T9" i="72"/>
  <c r="U9" i="72"/>
  <c r="V9" i="72"/>
  <c r="W951" i="72"/>
  <c r="Y951" i="72"/>
  <c r="U1307" i="72"/>
  <c r="V1307" i="72"/>
  <c r="Y531" i="72"/>
  <c r="U447" i="72"/>
  <c r="V447" i="72"/>
  <c r="V1047" i="72"/>
  <c r="W1047" i="72"/>
  <c r="Y1047" i="72"/>
  <c r="V1040" i="72"/>
  <c r="W1040" i="72"/>
  <c r="Y1040" i="72"/>
  <c r="Y124" i="72"/>
  <c r="S366" i="72"/>
  <c r="T366" i="72"/>
  <c r="U366" i="72"/>
  <c r="V366" i="72"/>
  <c r="W366" i="72"/>
  <c r="U32" i="72"/>
  <c r="V32" i="72"/>
  <c r="W32" i="72"/>
  <c r="Y32" i="72"/>
  <c r="V239" i="72"/>
  <c r="W239" i="72"/>
  <c r="Y239" i="72"/>
  <c r="Y151" i="72"/>
  <c r="U1289" i="72"/>
  <c r="V1289" i="72"/>
  <c r="T1320" i="72"/>
  <c r="U1320" i="72"/>
  <c r="W565" i="72"/>
  <c r="Y565" i="72"/>
  <c r="Y209" i="72"/>
  <c r="W65" i="72"/>
  <c r="Y65" i="72"/>
  <c r="Y572" i="72"/>
  <c r="Y133" i="72"/>
  <c r="T64" i="72"/>
  <c r="V613" i="72"/>
  <c r="W613" i="72"/>
  <c r="Y613" i="72"/>
  <c r="Y507" i="72"/>
  <c r="S1188" i="72"/>
  <c r="T1188" i="72"/>
  <c r="U1188" i="72"/>
  <c r="V519" i="72"/>
  <c r="W519" i="72"/>
  <c r="S183" i="72"/>
  <c r="T183" i="72"/>
  <c r="U183" i="72"/>
  <c r="V183" i="72"/>
  <c r="W183" i="72"/>
  <c r="U1267" i="72"/>
  <c r="V1267" i="72"/>
  <c r="V378" i="72"/>
  <c r="W378" i="72"/>
  <c r="T1327" i="72"/>
  <c r="Y1059" i="72"/>
  <c r="Y179" i="72"/>
  <c r="W111" i="72"/>
  <c r="Y111" i="72"/>
  <c r="V327" i="72"/>
  <c r="W327" i="72"/>
  <c r="Y327" i="72"/>
  <c r="W682" i="72"/>
  <c r="Y682" i="72"/>
  <c r="Y808" i="72"/>
  <c r="Y396" i="72"/>
  <c r="Y476" i="72"/>
  <c r="V1231" i="72"/>
  <c r="W1231" i="72"/>
  <c r="W158" i="72"/>
  <c r="Y158" i="72"/>
  <c r="Y847" i="72"/>
  <c r="U171" i="72"/>
  <c r="V171" i="72"/>
  <c r="W171" i="72"/>
  <c r="Y171" i="72"/>
  <c r="Y147" i="72"/>
  <c r="V318" i="72"/>
  <c r="Y1086" i="72"/>
  <c r="Y243" i="72"/>
  <c r="U1275" i="72"/>
  <c r="V1275" i="72"/>
  <c r="W1329" i="72"/>
  <c r="Y1329" i="72"/>
  <c r="Y145" i="72"/>
  <c r="Y965" i="72"/>
  <c r="U97" i="72"/>
  <c r="V97" i="72"/>
  <c r="W97" i="72"/>
  <c r="Y97" i="72"/>
  <c r="W215" i="72"/>
  <c r="Y215" i="72"/>
  <c r="W826" i="72"/>
  <c r="Y826" i="72"/>
  <c r="S1288" i="72"/>
  <c r="T1288" i="72"/>
  <c r="U1288" i="72"/>
  <c r="V1288" i="72"/>
  <c r="W1288" i="72"/>
  <c r="W273" i="72"/>
  <c r="Y273" i="72"/>
  <c r="U316" i="72"/>
  <c r="V316" i="72"/>
  <c r="U423" i="72"/>
  <c r="V423" i="72"/>
  <c r="W423" i="72"/>
  <c r="U1303" i="72"/>
  <c r="V1303" i="72"/>
  <c r="U1134" i="72"/>
  <c r="V1134" i="72"/>
  <c r="W1134" i="72"/>
  <c r="Y1134" i="72"/>
  <c r="V441" i="72"/>
  <c r="W441" i="72"/>
  <c r="Y441" i="72"/>
  <c r="Y375" i="72"/>
  <c r="R1339" i="72"/>
  <c r="S1339" i="72"/>
  <c r="V571" i="72"/>
  <c r="W571" i="72"/>
  <c r="Y571" i="72"/>
  <c r="T1105" i="72"/>
  <c r="U1105" i="72"/>
  <c r="V1105" i="72"/>
  <c r="V1252" i="72"/>
  <c r="W1252" i="72"/>
  <c r="Y1252" i="72"/>
  <c r="W1299" i="72"/>
  <c r="Y1299" i="72"/>
  <c r="T407" i="72"/>
  <c r="W20" i="72"/>
  <c r="Y20" i="72"/>
  <c r="U306" i="72"/>
  <c r="V306" i="72"/>
  <c r="W306" i="72"/>
  <c r="Y306" i="72"/>
  <c r="T107" i="72"/>
  <c r="U107" i="72"/>
  <c r="V107" i="72"/>
  <c r="W107" i="72"/>
  <c r="Y107" i="72"/>
  <c r="S1236" i="72"/>
  <c r="T1236" i="72"/>
  <c r="U1236" i="72"/>
  <c r="V1236" i="72"/>
  <c r="W1236" i="72"/>
  <c r="Y1236" i="72"/>
  <c r="Y549" i="72"/>
  <c r="Y418" i="72"/>
  <c r="Y1282" i="72"/>
  <c r="U320" i="72"/>
  <c r="V1228" i="72"/>
  <c r="W1228" i="72"/>
  <c r="Y1228" i="72"/>
  <c r="Y568" i="72"/>
  <c r="U374" i="72"/>
  <c r="V374" i="72"/>
  <c r="W374" i="72"/>
  <c r="Y374" i="72"/>
  <c r="V290" i="72"/>
  <c r="W290" i="72"/>
  <c r="U344" i="72"/>
  <c r="V344" i="72"/>
  <c r="U1312" i="72"/>
  <c r="V1312" i="72"/>
  <c r="W1312" i="72"/>
  <c r="V488" i="72"/>
  <c r="W488" i="72"/>
  <c r="V217" i="72"/>
  <c r="W217" i="72"/>
  <c r="Y217" i="72"/>
  <c r="Y1336" i="72"/>
  <c r="Y1246" i="72"/>
  <c r="Y1200" i="72"/>
  <c r="V1088" i="72"/>
  <c r="W1088" i="72"/>
  <c r="Y1088" i="72"/>
  <c r="Y1119" i="72"/>
  <c r="W251" i="72"/>
  <c r="Y251" i="72"/>
  <c r="U1279" i="72"/>
  <c r="V1279" i="72"/>
  <c r="W485" i="72"/>
  <c r="Y485" i="72"/>
  <c r="U1033" i="72"/>
  <c r="V1033" i="72"/>
  <c r="V14" i="72"/>
  <c r="W14" i="72"/>
  <c r="Y14" i="72"/>
  <c r="Y595" i="72"/>
  <c r="U1321" i="72"/>
  <c r="V1321" i="72"/>
  <c r="W363" i="72"/>
  <c r="Y363" i="72"/>
  <c r="Y1168" i="72"/>
  <c r="U128" i="72"/>
  <c r="V128" i="72"/>
  <c r="W128" i="72"/>
  <c r="Y128" i="72"/>
  <c r="S68" i="72"/>
  <c r="U433" i="72"/>
  <c r="V433" i="72"/>
  <c r="W433" i="72"/>
  <c r="Y433" i="72"/>
  <c r="U47" i="72"/>
  <c r="V47" i="72"/>
  <c r="W47" i="72"/>
  <c r="W1337" i="72"/>
  <c r="Y1337" i="72"/>
  <c r="S1277" i="72"/>
  <c r="T1277" i="72"/>
  <c r="U1277" i="72"/>
  <c r="W1014" i="72"/>
  <c r="Y1014" i="72"/>
  <c r="V500" i="72"/>
  <c r="W500" i="72"/>
  <c r="Y500" i="72"/>
  <c r="Y1322" i="72"/>
  <c r="W1317" i="72"/>
  <c r="Y1317" i="72"/>
  <c r="W1238" i="72"/>
  <c r="Y1238" i="72"/>
  <c r="Y53" i="72"/>
  <c r="Y280" i="72"/>
  <c r="W950" i="72"/>
  <c r="Y950" i="72"/>
  <c r="Y52" i="72"/>
  <c r="Y410" i="72"/>
  <c r="V432" i="72"/>
  <c r="W432" i="72"/>
  <c r="Y432" i="72"/>
  <c r="U390" i="72"/>
  <c r="V390" i="72"/>
  <c r="W390" i="72"/>
  <c r="V100" i="72"/>
  <c r="W100" i="72"/>
  <c r="Y282" i="72"/>
  <c r="U1311" i="72"/>
  <c r="V1311" i="72"/>
  <c r="S645" i="72"/>
  <c r="T645" i="72"/>
  <c r="U645" i="72"/>
  <c r="V645" i="72"/>
  <c r="W645" i="72"/>
  <c r="Y645" i="72"/>
  <c r="T66" i="72"/>
  <c r="U417" i="72"/>
  <c r="V417" i="72"/>
  <c r="W417" i="72"/>
  <c r="Y417" i="72"/>
  <c r="T87" i="72"/>
  <c r="U87" i="72"/>
  <c r="V291" i="72"/>
  <c r="U440" i="72"/>
  <c r="V440" i="72"/>
  <c r="W440" i="72"/>
  <c r="Y440" i="72"/>
  <c r="U1343" i="72"/>
  <c r="V1343" i="72"/>
  <c r="U420" i="72"/>
  <c r="V420" i="72"/>
  <c r="W420" i="72"/>
  <c r="Y420" i="72"/>
  <c r="W1198" i="72"/>
  <c r="Y1198" i="72"/>
  <c r="Y356" i="72"/>
  <c r="U108" i="72"/>
  <c r="V108" i="72"/>
  <c r="Y12" i="72"/>
  <c r="V114" i="72"/>
  <c r="W114" i="72"/>
  <c r="Y114" i="72"/>
  <c r="V428" i="72"/>
  <c r="W428" i="72"/>
  <c r="Y428" i="72"/>
  <c r="Y1180" i="72"/>
  <c r="T112" i="72"/>
  <c r="U112" i="72"/>
  <c r="U304" i="72"/>
  <c r="V304" i="72"/>
  <c r="W304" i="72"/>
  <c r="Y304" i="72"/>
  <c r="S596" i="72"/>
  <c r="T596" i="72"/>
  <c r="U596" i="72"/>
  <c r="V596" i="72"/>
  <c r="W596" i="72"/>
  <c r="Y596" i="72"/>
  <c r="Y340" i="72"/>
  <c r="U48" i="72"/>
  <c r="V48" i="72"/>
  <c r="W48" i="72"/>
  <c r="Y48" i="72"/>
  <c r="T597" i="72"/>
  <c r="U597" i="72"/>
  <c r="V597" i="72"/>
  <c r="W597" i="72"/>
  <c r="Y597" i="72"/>
  <c r="V463" i="72"/>
  <c r="W463" i="72"/>
  <c r="T102" i="72"/>
  <c r="U102" i="72"/>
  <c r="V324" i="72"/>
  <c r="W324" i="72"/>
  <c r="Y324" i="72"/>
  <c r="Y143" i="72"/>
  <c r="U263" i="72"/>
  <c r="V263" i="72"/>
  <c r="W263" i="72"/>
  <c r="Y263" i="72"/>
  <c r="U1285" i="72"/>
  <c r="V1285" i="72"/>
  <c r="V391" i="72"/>
  <c r="Y116" i="72"/>
  <c r="O1345" i="72"/>
  <c r="O1346" i="72"/>
  <c r="P5" i="72"/>
  <c r="Q1377" i="72"/>
  <c r="M26" i="16"/>
  <c r="O7" i="7"/>
  <c r="K8" i="16"/>
  <c r="O1378" i="72"/>
  <c r="M38" i="18"/>
  <c r="S97" i="18"/>
  <c r="S98" i="18"/>
  <c r="S99" i="18"/>
  <c r="T99" i="18"/>
  <c r="V1362" i="72"/>
  <c r="G72" i="14"/>
  <c r="U72" i="14"/>
  <c r="R1354" i="72"/>
  <c r="R1377" i="72"/>
  <c r="V302" i="72"/>
  <c r="W302" i="72"/>
  <c r="Y302" i="72"/>
  <c r="Y1223" i="72"/>
  <c r="P1358" i="72"/>
  <c r="P1381" i="72"/>
  <c r="O1355" i="72"/>
  <c r="O1356" i="72"/>
  <c r="S1359" i="72"/>
  <c r="S1382" i="72"/>
  <c r="U127" i="72"/>
  <c r="V127" i="72"/>
  <c r="T1359" i="72"/>
  <c r="T1382" i="72"/>
  <c r="O1361" i="72"/>
  <c r="Y80" i="72"/>
  <c r="T1340" i="72"/>
  <c r="U1340" i="72"/>
  <c r="V1340" i="72"/>
  <c r="Y1227" i="72"/>
  <c r="V1335" i="72"/>
  <c r="W1335" i="72"/>
  <c r="Y1335" i="72"/>
  <c r="W271" i="72"/>
  <c r="Y271" i="72"/>
  <c r="W274" i="72"/>
  <c r="Y274" i="72"/>
  <c r="W1234" i="72"/>
  <c r="Y1234" i="72"/>
  <c r="Y658" i="72"/>
  <c r="Y616" i="72"/>
  <c r="V676" i="72"/>
  <c r="W676" i="72"/>
  <c r="W367" i="72"/>
  <c r="Y367" i="72"/>
  <c r="Y1085" i="72"/>
  <c r="W487" i="72"/>
  <c r="Y487" i="72"/>
  <c r="Y1196" i="72"/>
  <c r="Y284" i="72"/>
  <c r="Y1197" i="72"/>
  <c r="W607" i="72"/>
  <c r="Y607" i="72"/>
  <c r="Y79" i="72"/>
  <c r="Y1221" i="72"/>
  <c r="Y1344" i="72"/>
  <c r="W483" i="72"/>
  <c r="Y483" i="72"/>
  <c r="Y245" i="72"/>
  <c r="Y1206" i="72"/>
  <c r="W1321" i="72"/>
  <c r="Y1321" i="72"/>
  <c r="U1319" i="72"/>
  <c r="V1319" i="72"/>
  <c r="W1319" i="72"/>
  <c r="Y1319" i="72"/>
  <c r="Y187" i="72"/>
  <c r="Y345" i="72"/>
  <c r="U1162" i="72"/>
  <c r="V1162" i="72"/>
  <c r="W1162" i="72"/>
  <c r="V1116" i="72"/>
  <c r="W1116" i="72"/>
  <c r="Y1116" i="72"/>
  <c r="Y366" i="72"/>
  <c r="W494" i="72"/>
  <c r="Y494" i="72"/>
  <c r="Y1101" i="72"/>
  <c r="Y1231" i="72"/>
  <c r="T1339" i="72"/>
  <c r="U1339" i="72"/>
  <c r="V1339" i="72"/>
  <c r="W1281" i="72"/>
  <c r="Y1281" i="72"/>
  <c r="Y622" i="72"/>
  <c r="V668" i="72"/>
  <c r="W668" i="72"/>
  <c r="Y113" i="72"/>
  <c r="W1083" i="72"/>
  <c r="Y1083" i="72"/>
  <c r="Y1288" i="72"/>
  <c r="Y1302" i="72"/>
  <c r="W1105" i="72"/>
  <c r="Y1105" i="72"/>
  <c r="W1132" i="72"/>
  <c r="Y1132" i="72"/>
  <c r="Y293" i="72"/>
  <c r="W1202" i="72"/>
  <c r="Y1202" i="72"/>
  <c r="Y1265" i="72"/>
  <c r="U96" i="72"/>
  <c r="V96" i="72"/>
  <c r="W96" i="72"/>
  <c r="Y96" i="72"/>
  <c r="W28" i="72"/>
  <c r="Y28" i="72"/>
  <c r="V537" i="72"/>
  <c r="W537" i="72"/>
  <c r="W108" i="72"/>
  <c r="Y108" i="72"/>
  <c r="W1343" i="72"/>
  <c r="Y1343" i="72"/>
  <c r="W316" i="72"/>
  <c r="Y316" i="72"/>
  <c r="Y378" i="72"/>
  <c r="W1331" i="72"/>
  <c r="Y1331" i="72"/>
  <c r="V1297" i="72"/>
  <c r="W1297" i="72"/>
  <c r="Y1297" i="72"/>
  <c r="Y67" i="72"/>
  <c r="V1188" i="72"/>
  <c r="W1188" i="72"/>
  <c r="Y1188" i="72"/>
  <c r="Y557" i="72"/>
  <c r="V31" i="72"/>
  <c r="V1230" i="72"/>
  <c r="W1230" i="72"/>
  <c r="Y1230" i="72"/>
  <c r="U1177" i="72"/>
  <c r="V1177" i="72"/>
  <c r="W1177" i="72"/>
  <c r="Y1177" i="72"/>
  <c r="W1175" i="72"/>
  <c r="Y1175" i="72"/>
  <c r="V237" i="72"/>
  <c r="W237" i="72"/>
  <c r="Y237" i="72"/>
  <c r="U221" i="72"/>
  <c r="V221" i="72"/>
  <c r="W221" i="72"/>
  <c r="V1277" i="72"/>
  <c r="W1277" i="72"/>
  <c r="Y1277" i="72"/>
  <c r="W174" i="72"/>
  <c r="Y174" i="72"/>
  <c r="U673" i="72"/>
  <c r="V673" i="72"/>
  <c r="W673" i="72"/>
  <c r="Y673" i="72"/>
  <c r="W331" i="72"/>
  <c r="Y331" i="72"/>
  <c r="Y423" i="72"/>
  <c r="Y47" i="72"/>
  <c r="W1217" i="72"/>
  <c r="Y1217" i="72"/>
  <c r="W409" i="72"/>
  <c r="Y409" i="72"/>
  <c r="W1103" i="72"/>
  <c r="Y1103" i="72"/>
  <c r="Y183" i="72"/>
  <c r="Y498" i="72"/>
  <c r="V406" i="72"/>
  <c r="W406" i="72"/>
  <c r="V275" i="72"/>
  <c r="W275" i="72"/>
  <c r="Y275" i="72"/>
  <c r="W214" i="72"/>
  <c r="Y214" i="72"/>
  <c r="W1126" i="72"/>
  <c r="Y1126" i="72"/>
  <c r="W1285" i="72"/>
  <c r="Y1285" i="72"/>
  <c r="V87" i="72"/>
  <c r="W87" i="72"/>
  <c r="Y87" i="72"/>
  <c r="W1275" i="72"/>
  <c r="Y1275" i="72"/>
  <c r="W9" i="72"/>
  <c r="Y9" i="72"/>
  <c r="Y459" i="72"/>
  <c r="U1122" i="72"/>
  <c r="V1122" i="72"/>
  <c r="T644" i="72"/>
  <c r="W447" i="72"/>
  <c r="Y447" i="72"/>
  <c r="W1033" i="72"/>
  <c r="Y1033" i="72"/>
  <c r="W291" i="72"/>
  <c r="Y291" i="72"/>
  <c r="T68" i="72"/>
  <c r="W1307" i="72"/>
  <c r="Y1307" i="72"/>
  <c r="V112" i="72"/>
  <c r="W112" i="72"/>
  <c r="Y112" i="72"/>
  <c r="W1289" i="72"/>
  <c r="Y1289" i="72"/>
  <c r="W1342" i="72"/>
  <c r="Y1342" i="72"/>
  <c r="Y390" i="72"/>
  <c r="V36" i="72"/>
  <c r="W36" i="72"/>
  <c r="W475" i="72"/>
  <c r="Y475" i="72"/>
  <c r="Y463" i="72"/>
  <c r="W1303" i="72"/>
  <c r="Y1303" i="72"/>
  <c r="Y1298" i="72"/>
  <c r="S26" i="72"/>
  <c r="T26" i="72"/>
  <c r="U66" i="72"/>
  <c r="V66" i="72"/>
  <c r="W66" i="72"/>
  <c r="Y66" i="72"/>
  <c r="W344" i="72"/>
  <c r="Y344" i="72"/>
  <c r="U1327" i="72"/>
  <c r="V1327" i="72"/>
  <c r="Y519" i="72"/>
  <c r="U24" i="72"/>
  <c r="U1313" i="72"/>
  <c r="V1313" i="72"/>
  <c r="W1311" i="72"/>
  <c r="Y1311" i="72"/>
  <c r="W1267" i="72"/>
  <c r="Y1267" i="72"/>
  <c r="Y1312" i="72"/>
  <c r="W391" i="72"/>
  <c r="Y391" i="72"/>
  <c r="U407" i="72"/>
  <c r="V407" i="72"/>
  <c r="W407" i="72"/>
  <c r="U438" i="72"/>
  <c r="V438" i="72"/>
  <c r="W438" i="72"/>
  <c r="Y438" i="72"/>
  <c r="U247" i="72"/>
  <c r="V247" i="72"/>
  <c r="W247" i="72"/>
  <c r="Y247" i="72"/>
  <c r="W1314" i="72"/>
  <c r="Y1314" i="72"/>
  <c r="Y93" i="72"/>
  <c r="W1279" i="72"/>
  <c r="Y1279" i="72"/>
  <c r="U64" i="72"/>
  <c r="V64" i="72"/>
  <c r="W64" i="72"/>
  <c r="Y64" i="72"/>
  <c r="V132" i="72"/>
  <c r="W132" i="72"/>
  <c r="V289" i="72"/>
  <c r="W289" i="72"/>
  <c r="Y289" i="72"/>
  <c r="Y439" i="72"/>
  <c r="V102" i="72"/>
  <c r="W102" i="72"/>
  <c r="Y102" i="72"/>
  <c r="Y488" i="72"/>
  <c r="W318" i="72"/>
  <c r="Y318" i="72"/>
  <c r="Y290" i="72"/>
  <c r="V320" i="72"/>
  <c r="W320" i="72"/>
  <c r="Y320" i="72"/>
  <c r="V1320" i="72"/>
  <c r="W1320" i="72"/>
  <c r="Y1320" i="72"/>
  <c r="Y1280" i="72"/>
  <c r="Y362" i="72"/>
  <c r="W1041" i="72"/>
  <c r="Y1041" i="72"/>
  <c r="T1176" i="72"/>
  <c r="U1176" i="72"/>
  <c r="V1176" i="72"/>
  <c r="W1176" i="72"/>
  <c r="Y1176" i="72"/>
  <c r="V1318" i="72"/>
  <c r="Y272" i="72"/>
  <c r="Y100" i="72"/>
  <c r="W349" i="72"/>
  <c r="Y349" i="72"/>
  <c r="Q5" i="72"/>
  <c r="L9" i="16"/>
  <c r="P1383" i="72"/>
  <c r="W1362" i="72"/>
  <c r="S72" i="14"/>
  <c r="S1354" i="72"/>
  <c r="V1359" i="72"/>
  <c r="V1382" i="72"/>
  <c r="P1353" i="72"/>
  <c r="P1376" i="72"/>
  <c r="P1360" i="72"/>
  <c r="U1359" i="72"/>
  <c r="U1382" i="72"/>
  <c r="W127" i="72"/>
  <c r="W1340" i="72"/>
  <c r="Y1340" i="72"/>
  <c r="Y676" i="72"/>
  <c r="Y1162" i="72"/>
  <c r="Y668" i="72"/>
  <c r="Y537" i="72"/>
  <c r="W1122" i="72"/>
  <c r="Y1122" i="72"/>
  <c r="R5" i="72"/>
  <c r="Y36" i="72"/>
  <c r="W31" i="72"/>
  <c r="Y31" i="72"/>
  <c r="Y406" i="72"/>
  <c r="Y221" i="72"/>
  <c r="U644" i="72"/>
  <c r="Y132" i="72"/>
  <c r="W1318" i="72"/>
  <c r="Y1318" i="72"/>
  <c r="U68" i="72"/>
  <c r="V68" i="72"/>
  <c r="W68" i="72"/>
  <c r="Y407" i="72"/>
  <c r="W1339" i="72"/>
  <c r="Y1339" i="72"/>
  <c r="V24" i="72"/>
  <c r="W24" i="72"/>
  <c r="W1313" i="72"/>
  <c r="Y1313" i="72"/>
  <c r="U26" i="72"/>
  <c r="V26" i="72"/>
  <c r="W26" i="72"/>
  <c r="Y26" i="72"/>
  <c r="W1327" i="72"/>
  <c r="Y1327" i="72"/>
  <c r="T1354" i="72"/>
  <c r="T1377" i="72"/>
  <c r="S1377" i="72"/>
  <c r="L8" i="16"/>
  <c r="P1378" i="72"/>
  <c r="J64" i="14"/>
  <c r="K64" i="14"/>
  <c r="L64" i="14"/>
  <c r="P1355" i="72"/>
  <c r="U1354" i="72"/>
  <c r="S5" i="72"/>
  <c r="Y127" i="72"/>
  <c r="W1359" i="72"/>
  <c r="W1382" i="72"/>
  <c r="V644" i="72"/>
  <c r="W644" i="72"/>
  <c r="Y24" i="72"/>
  <c r="Y68" i="72"/>
  <c r="V1354" i="72"/>
  <c r="V1377" i="72"/>
  <c r="U1377" i="72"/>
  <c r="J65" i="14"/>
  <c r="J92" i="14"/>
  <c r="J91" i="14"/>
  <c r="W1354" i="72"/>
  <c r="W1377" i="72"/>
  <c r="T5" i="72"/>
  <c r="Y644" i="72"/>
  <c r="K65" i="14"/>
  <c r="K92" i="14"/>
  <c r="K91" i="14"/>
  <c r="U5" i="72"/>
  <c r="V5" i="72"/>
  <c r="M64" i="14"/>
  <c r="L65" i="14"/>
  <c r="L92" i="14"/>
  <c r="L91" i="14"/>
  <c r="W5" i="72"/>
  <c r="N64" i="14"/>
  <c r="M91" i="14"/>
  <c r="M65" i="14"/>
  <c r="M92" i="14"/>
  <c r="Y5" i="72"/>
  <c r="N65" i="14"/>
  <c r="N92" i="14"/>
  <c r="N91" i="14"/>
  <c r="C18" i="17"/>
  <c r="D4" i="17"/>
  <c r="E4" i="17"/>
  <c r="F4" i="17"/>
  <c r="G4" i="17"/>
  <c r="I4" i="17"/>
  <c r="J4" i="17"/>
  <c r="K4" i="17"/>
  <c r="L4" i="17"/>
  <c r="M4" i="17"/>
  <c r="M18" i="17"/>
  <c r="F18" i="17"/>
  <c r="G18" i="17"/>
  <c r="I18" i="17"/>
  <c r="J18" i="17"/>
  <c r="L18" i="17"/>
  <c r="D18" i="17"/>
  <c r="K18" i="17"/>
  <c r="E18" i="17"/>
  <c r="F37" i="54"/>
  <c r="E37" i="54"/>
  <c r="H18" i="54"/>
  <c r="F18" i="54"/>
  <c r="E18" i="54"/>
  <c r="E19" i="54"/>
  <c r="D18" i="54"/>
  <c r="D19" i="54"/>
  <c r="C18" i="54"/>
  <c r="H16" i="54"/>
  <c r="H17" i="54"/>
  <c r="F16" i="54"/>
  <c r="E16" i="54"/>
  <c r="D16" i="54"/>
  <c r="C16" i="54"/>
  <c r="C17" i="54"/>
  <c r="H14" i="54"/>
  <c r="F14" i="54"/>
  <c r="G14" i="54"/>
  <c r="E14" i="54"/>
  <c r="D14" i="54"/>
  <c r="C14" i="54"/>
  <c r="H13" i="54"/>
  <c r="F13" i="54"/>
  <c r="G13" i="54"/>
  <c r="E13" i="54"/>
  <c r="D13" i="54"/>
  <c r="C13" i="54"/>
  <c r="H11" i="54"/>
  <c r="F11" i="54"/>
  <c r="G11" i="54"/>
  <c r="E11" i="54"/>
  <c r="D11" i="54"/>
  <c r="C11" i="54"/>
  <c r="H10" i="54"/>
  <c r="F10" i="54"/>
  <c r="G10" i="54"/>
  <c r="E10" i="54"/>
  <c r="D10" i="54"/>
  <c r="C10" i="54"/>
  <c r="H9" i="54"/>
  <c r="F9" i="54"/>
  <c r="G9" i="54"/>
  <c r="E9" i="54"/>
  <c r="D9" i="54"/>
  <c r="C9" i="54"/>
  <c r="H8" i="54"/>
  <c r="F8" i="54"/>
  <c r="E8" i="54"/>
  <c r="D8" i="54"/>
  <c r="C8" i="54"/>
  <c r="H6" i="54"/>
  <c r="F6" i="54"/>
  <c r="G6" i="54"/>
  <c r="E6" i="54"/>
  <c r="D6" i="54"/>
  <c r="C6" i="54"/>
  <c r="H5" i="54"/>
  <c r="F5" i="54"/>
  <c r="E5" i="54"/>
  <c r="D5" i="54"/>
  <c r="D35" i="54"/>
  <c r="C5" i="54"/>
  <c r="V4" i="54"/>
  <c r="W4" i="54"/>
  <c r="X4" i="54"/>
  <c r="Y4" i="54"/>
  <c r="D4" i="54"/>
  <c r="E4" i="54"/>
  <c r="F4" i="54"/>
  <c r="H4" i="54"/>
  <c r="J4" i="54"/>
  <c r="K4" i="54"/>
  <c r="L4" i="54"/>
  <c r="M4" i="54"/>
  <c r="N4" i="54"/>
  <c r="D166" i="15"/>
  <c r="O36" i="7"/>
  <c r="N36" i="7"/>
  <c r="M36" i="7"/>
  <c r="L36" i="7"/>
  <c r="O35" i="7"/>
  <c r="N35" i="7"/>
  <c r="M35" i="7"/>
  <c r="L35" i="7"/>
  <c r="L279" i="53"/>
  <c r="M279" i="53"/>
  <c r="K276" i="53"/>
  <c r="L276" i="53"/>
  <c r="M276" i="53"/>
  <c r="N276" i="53"/>
  <c r="K274" i="53"/>
  <c r="K272" i="53"/>
  <c r="K270" i="53"/>
  <c r="L270" i="53"/>
  <c r="O697" i="53"/>
  <c r="N697" i="53"/>
  <c r="M697" i="53"/>
  <c r="L697" i="53"/>
  <c r="K697" i="53"/>
  <c r="O696" i="53"/>
  <c r="N696" i="53"/>
  <c r="M696" i="53"/>
  <c r="L696" i="53"/>
  <c r="K696" i="53"/>
  <c r="U696" i="53"/>
  <c r="O695" i="53"/>
  <c r="N695" i="53"/>
  <c r="M695" i="53"/>
  <c r="L695" i="53"/>
  <c r="K695" i="53"/>
  <c r="O694" i="53"/>
  <c r="N694" i="53"/>
  <c r="M694" i="53"/>
  <c r="L694" i="53"/>
  <c r="K694" i="53"/>
  <c r="O693" i="53"/>
  <c r="N693" i="53"/>
  <c r="M693" i="53"/>
  <c r="L693" i="53"/>
  <c r="K693" i="53"/>
  <c r="U693" i="53"/>
  <c r="O692" i="53"/>
  <c r="N692" i="53"/>
  <c r="M692" i="53"/>
  <c r="L692" i="53"/>
  <c r="K692" i="53"/>
  <c r="U692" i="53"/>
  <c r="O691" i="53"/>
  <c r="N691" i="53"/>
  <c r="M691" i="53"/>
  <c r="L691" i="53"/>
  <c r="K691" i="53"/>
  <c r="U691" i="53"/>
  <c r="O690" i="53"/>
  <c r="N690" i="53"/>
  <c r="M690" i="53"/>
  <c r="L690" i="53"/>
  <c r="K690" i="53"/>
  <c r="O689" i="53"/>
  <c r="N689" i="53"/>
  <c r="M689" i="53"/>
  <c r="L689" i="53"/>
  <c r="K689" i="53"/>
  <c r="O688" i="53"/>
  <c r="N688" i="53"/>
  <c r="M688" i="53"/>
  <c r="L688" i="53"/>
  <c r="K688" i="53"/>
  <c r="U688" i="53"/>
  <c r="O685" i="53"/>
  <c r="N685" i="53"/>
  <c r="M685" i="53"/>
  <c r="L685" i="53"/>
  <c r="K685" i="53"/>
  <c r="O683" i="53"/>
  <c r="N683" i="53"/>
  <c r="M683" i="53"/>
  <c r="L683" i="53"/>
  <c r="K683" i="53"/>
  <c r="U683" i="53"/>
  <c r="O679" i="53"/>
  <c r="N679" i="53"/>
  <c r="M679" i="53"/>
  <c r="L679" i="53"/>
  <c r="K679" i="53"/>
  <c r="O678" i="53"/>
  <c r="N678" i="53"/>
  <c r="M678" i="53"/>
  <c r="L678" i="53"/>
  <c r="K678" i="53"/>
  <c r="O677" i="53"/>
  <c r="N677" i="53"/>
  <c r="M677" i="53"/>
  <c r="L677" i="53"/>
  <c r="K677" i="53"/>
  <c r="O672" i="53"/>
  <c r="N672" i="53"/>
  <c r="M672" i="53"/>
  <c r="L672" i="53"/>
  <c r="V672" i="53"/>
  <c r="K672" i="53"/>
  <c r="U672" i="53"/>
  <c r="O671" i="53"/>
  <c r="N671" i="53"/>
  <c r="M671" i="53"/>
  <c r="L671" i="53"/>
  <c r="K671" i="53"/>
  <c r="U671" i="53"/>
  <c r="O670" i="53"/>
  <c r="N670" i="53"/>
  <c r="M670" i="53"/>
  <c r="L670" i="53"/>
  <c r="K670" i="53"/>
  <c r="U670" i="53"/>
  <c r="O668" i="53"/>
  <c r="N668" i="53"/>
  <c r="M668" i="53"/>
  <c r="L668" i="53"/>
  <c r="K668" i="53"/>
  <c r="U668" i="53"/>
  <c r="O667" i="53"/>
  <c r="N667" i="53"/>
  <c r="M667" i="53"/>
  <c r="L667" i="53"/>
  <c r="K667" i="53"/>
  <c r="U667" i="53"/>
  <c r="O664" i="53"/>
  <c r="N664" i="53"/>
  <c r="M664" i="53"/>
  <c r="L664" i="53"/>
  <c r="K664" i="53"/>
  <c r="U664" i="53"/>
  <c r="O660" i="53"/>
  <c r="N660" i="53"/>
  <c r="M660" i="53"/>
  <c r="L660" i="53"/>
  <c r="K660" i="53"/>
  <c r="U660" i="53"/>
  <c r="O659" i="53"/>
  <c r="Y659" i="53"/>
  <c r="N659" i="53"/>
  <c r="M659" i="53"/>
  <c r="L659" i="53"/>
  <c r="K659" i="53"/>
  <c r="U659" i="53"/>
  <c r="G168" i="15"/>
  <c r="R168" i="15"/>
  <c r="F168" i="15"/>
  <c r="E168" i="15"/>
  <c r="D168" i="15"/>
  <c r="C168" i="15"/>
  <c r="G167" i="15"/>
  <c r="F167" i="15"/>
  <c r="E167" i="15"/>
  <c r="D167" i="15"/>
  <c r="C167" i="15"/>
  <c r="G166" i="15"/>
  <c r="F166" i="15"/>
  <c r="E166" i="15"/>
  <c r="C166" i="15"/>
  <c r="G165" i="15"/>
  <c r="F165" i="15"/>
  <c r="E165" i="15"/>
  <c r="D165" i="15"/>
  <c r="C165" i="15"/>
  <c r="G164" i="15"/>
  <c r="R164" i="15"/>
  <c r="F164" i="15"/>
  <c r="E164" i="15"/>
  <c r="D164" i="15"/>
  <c r="C164" i="15"/>
  <c r="G163" i="15"/>
  <c r="R163" i="15"/>
  <c r="F163" i="15"/>
  <c r="E163" i="15"/>
  <c r="D163" i="15"/>
  <c r="C163" i="15"/>
  <c r="G162" i="15"/>
  <c r="F162" i="15"/>
  <c r="E162" i="15"/>
  <c r="D162" i="15"/>
  <c r="C162" i="15"/>
  <c r="G161" i="15"/>
  <c r="R161" i="15"/>
  <c r="F161" i="15"/>
  <c r="E161" i="15"/>
  <c r="D161" i="15"/>
  <c r="C161" i="15"/>
  <c r="G160" i="15"/>
  <c r="F160" i="15"/>
  <c r="E160" i="15"/>
  <c r="D160" i="15"/>
  <c r="C160" i="15"/>
  <c r="G159" i="15"/>
  <c r="R159" i="15"/>
  <c r="F159" i="15"/>
  <c r="E159" i="15"/>
  <c r="D159" i="15"/>
  <c r="C159" i="15"/>
  <c r="G158" i="15"/>
  <c r="G194" i="15"/>
  <c r="F158" i="15"/>
  <c r="F194" i="15"/>
  <c r="E158" i="15"/>
  <c r="E194" i="15"/>
  <c r="D158" i="15"/>
  <c r="D194" i="15"/>
  <c r="C158" i="15"/>
  <c r="C194" i="15"/>
  <c r="G157" i="15"/>
  <c r="G189" i="15"/>
  <c r="F157" i="15"/>
  <c r="F189" i="15"/>
  <c r="E157" i="15"/>
  <c r="E189" i="15"/>
  <c r="D157" i="15"/>
  <c r="D189" i="15"/>
  <c r="C157" i="15"/>
  <c r="C189" i="15"/>
  <c r="G156" i="15"/>
  <c r="R156" i="15"/>
  <c r="F156" i="15"/>
  <c r="E156" i="15"/>
  <c r="D156" i="15"/>
  <c r="C156" i="15"/>
  <c r="G155" i="15"/>
  <c r="F155" i="15"/>
  <c r="E155" i="15"/>
  <c r="D155" i="15"/>
  <c r="C155" i="15"/>
  <c r="G154" i="15"/>
  <c r="F154" i="15"/>
  <c r="E154" i="15"/>
  <c r="D154" i="15"/>
  <c r="C154" i="15"/>
  <c r="G153" i="15"/>
  <c r="I153" i="15"/>
  <c r="F153" i="15"/>
  <c r="E153" i="15"/>
  <c r="D153" i="15"/>
  <c r="C153" i="15"/>
  <c r="G152" i="15"/>
  <c r="F152" i="15"/>
  <c r="E152" i="15"/>
  <c r="D152" i="15"/>
  <c r="C152" i="15"/>
  <c r="G151" i="15"/>
  <c r="I151" i="15"/>
  <c r="F151" i="15"/>
  <c r="E151" i="15"/>
  <c r="D151" i="15"/>
  <c r="C151" i="15"/>
  <c r="G150" i="15"/>
  <c r="R150" i="15"/>
  <c r="F150" i="15"/>
  <c r="E150" i="15"/>
  <c r="D150" i="15"/>
  <c r="C150" i="15"/>
  <c r="G149" i="15"/>
  <c r="F149" i="15"/>
  <c r="E149" i="15"/>
  <c r="D149" i="15"/>
  <c r="C149" i="15"/>
  <c r="G148" i="15"/>
  <c r="R148" i="15"/>
  <c r="F148" i="15"/>
  <c r="E148" i="15"/>
  <c r="D148" i="15"/>
  <c r="C148" i="15"/>
  <c r="G147" i="15"/>
  <c r="F147" i="15"/>
  <c r="E147" i="15"/>
  <c r="D147" i="15"/>
  <c r="C147" i="15"/>
  <c r="G146" i="15"/>
  <c r="F146" i="15"/>
  <c r="E146" i="15"/>
  <c r="D146" i="15"/>
  <c r="C146" i="15"/>
  <c r="G145" i="15"/>
  <c r="F145" i="15"/>
  <c r="E145" i="15"/>
  <c r="D145" i="15"/>
  <c r="C145" i="15"/>
  <c r="G144" i="15"/>
  <c r="F144" i="15"/>
  <c r="E144" i="15"/>
  <c r="D144" i="15"/>
  <c r="C144" i="15"/>
  <c r="G143" i="15"/>
  <c r="R143" i="15"/>
  <c r="F143" i="15"/>
  <c r="E143" i="15"/>
  <c r="D143" i="15"/>
  <c r="C143" i="15"/>
  <c r="G142" i="15"/>
  <c r="F142" i="15"/>
  <c r="E142" i="15"/>
  <c r="D142" i="15"/>
  <c r="C142" i="15"/>
  <c r="G141" i="15"/>
  <c r="F141" i="15"/>
  <c r="E141" i="15"/>
  <c r="D141" i="15"/>
  <c r="C141" i="15"/>
  <c r="G140" i="15"/>
  <c r="K669" i="53"/>
  <c r="F140" i="15"/>
  <c r="E140" i="15"/>
  <c r="D140" i="15"/>
  <c r="C140" i="15"/>
  <c r="G139" i="15"/>
  <c r="F139" i="15"/>
  <c r="E139" i="15"/>
  <c r="D139" i="15"/>
  <c r="C139" i="15"/>
  <c r="G138" i="15"/>
  <c r="F138" i="15"/>
  <c r="E138" i="15"/>
  <c r="D138" i="15"/>
  <c r="C138" i="15"/>
  <c r="G137" i="15"/>
  <c r="I137" i="15"/>
  <c r="F137" i="15"/>
  <c r="E137" i="15"/>
  <c r="D137" i="15"/>
  <c r="C137" i="15"/>
  <c r="G136" i="15"/>
  <c r="F136" i="15"/>
  <c r="E136" i="15"/>
  <c r="D136" i="15"/>
  <c r="C136" i="15"/>
  <c r="G135" i="15"/>
  <c r="R135" i="15"/>
  <c r="F135" i="15"/>
  <c r="E135" i="15"/>
  <c r="D135" i="15"/>
  <c r="C135" i="15"/>
  <c r="G134" i="15"/>
  <c r="F134" i="15"/>
  <c r="E134" i="15"/>
  <c r="D134" i="15"/>
  <c r="C134" i="15"/>
  <c r="G133" i="15"/>
  <c r="F133" i="15"/>
  <c r="E133" i="15"/>
  <c r="D133" i="15"/>
  <c r="C133" i="15"/>
  <c r="G132" i="15"/>
  <c r="I132" i="15"/>
  <c r="F132" i="15"/>
  <c r="E132" i="15"/>
  <c r="D132" i="15"/>
  <c r="C132" i="15"/>
  <c r="G131" i="15"/>
  <c r="F131" i="15"/>
  <c r="E131" i="15"/>
  <c r="D131" i="15"/>
  <c r="C131" i="15"/>
  <c r="G130" i="15"/>
  <c r="F130" i="15"/>
  <c r="E130" i="15"/>
  <c r="D130" i="15"/>
  <c r="C130" i="15"/>
  <c r="R166" i="15"/>
  <c r="K656" i="53"/>
  <c r="U656" i="53"/>
  <c r="J126" i="15"/>
  <c r="J125" i="15"/>
  <c r="J128" i="15"/>
  <c r="L4" i="29"/>
  <c r="M111" i="15"/>
  <c r="L111" i="15"/>
  <c r="N606" i="53"/>
  <c r="K111" i="15"/>
  <c r="M606" i="53"/>
  <c r="J111" i="15"/>
  <c r="L606" i="53"/>
  <c r="K5" i="30"/>
  <c r="J62" i="29"/>
  <c r="O615" i="53"/>
  <c r="N615" i="53"/>
  <c r="M615" i="53"/>
  <c r="L615" i="53"/>
  <c r="K615" i="53"/>
  <c r="O614" i="53"/>
  <c r="N614" i="53"/>
  <c r="M614" i="53"/>
  <c r="L614" i="53"/>
  <c r="K614" i="53"/>
  <c r="O613" i="53"/>
  <c r="N613" i="53"/>
  <c r="M613" i="53"/>
  <c r="L613" i="53"/>
  <c r="K613" i="53"/>
  <c r="U613" i="53"/>
  <c r="O612" i="53"/>
  <c r="N612" i="53"/>
  <c r="M612" i="53"/>
  <c r="L612" i="53"/>
  <c r="K612" i="53"/>
  <c r="O611" i="53"/>
  <c r="N611" i="53"/>
  <c r="M611" i="53"/>
  <c r="L611" i="53"/>
  <c r="K611" i="53"/>
  <c r="U611" i="53"/>
  <c r="O610" i="53"/>
  <c r="N610" i="53"/>
  <c r="M610" i="53"/>
  <c r="L610" i="53"/>
  <c r="K610" i="53"/>
  <c r="U610" i="53"/>
  <c r="O607" i="53"/>
  <c r="N607" i="53"/>
  <c r="M607" i="53"/>
  <c r="L607" i="53"/>
  <c r="K607" i="53"/>
  <c r="O605" i="53"/>
  <c r="N605" i="53"/>
  <c r="M605" i="53"/>
  <c r="L605" i="53"/>
  <c r="K605" i="53"/>
  <c r="U605" i="53"/>
  <c r="O595" i="53"/>
  <c r="N595" i="53"/>
  <c r="M595" i="53"/>
  <c r="L595" i="53"/>
  <c r="K595" i="53"/>
  <c r="U595" i="53"/>
  <c r="O594" i="53"/>
  <c r="N594" i="53"/>
  <c r="M594" i="53"/>
  <c r="L594" i="53"/>
  <c r="K594" i="53"/>
  <c r="U594" i="53"/>
  <c r="O593" i="53"/>
  <c r="N593" i="53"/>
  <c r="M593" i="53"/>
  <c r="L593" i="53"/>
  <c r="K593" i="53"/>
  <c r="O592" i="53"/>
  <c r="N592" i="53"/>
  <c r="M592" i="53"/>
  <c r="L592" i="53"/>
  <c r="K592" i="53"/>
  <c r="U592" i="53"/>
  <c r="O591" i="53"/>
  <c r="N591" i="53"/>
  <c r="M591" i="53"/>
  <c r="L591" i="53"/>
  <c r="K591" i="53"/>
  <c r="O590" i="53"/>
  <c r="N590" i="53"/>
  <c r="M590" i="53"/>
  <c r="L590" i="53"/>
  <c r="K590" i="53"/>
  <c r="O583" i="53"/>
  <c r="N583" i="53"/>
  <c r="M583" i="53"/>
  <c r="L583" i="53"/>
  <c r="K583" i="53"/>
  <c r="U583" i="53"/>
  <c r="O581" i="53"/>
  <c r="N581" i="53"/>
  <c r="M581" i="53"/>
  <c r="L581" i="53"/>
  <c r="K581" i="53"/>
  <c r="K580" i="53"/>
  <c r="U580" i="53"/>
  <c r="O579" i="53"/>
  <c r="N579" i="53"/>
  <c r="M579" i="53"/>
  <c r="L579" i="53"/>
  <c r="K579" i="53"/>
  <c r="U579" i="53"/>
  <c r="O573" i="53"/>
  <c r="N573" i="53"/>
  <c r="M573" i="53"/>
  <c r="L573" i="53"/>
  <c r="K573" i="53"/>
  <c r="O572" i="53"/>
  <c r="N572" i="53"/>
  <c r="M572" i="53"/>
  <c r="L572" i="53"/>
  <c r="K572" i="53"/>
  <c r="U572" i="53"/>
  <c r="O570" i="53"/>
  <c r="N570" i="53"/>
  <c r="M570" i="53"/>
  <c r="L570" i="53"/>
  <c r="K570" i="53"/>
  <c r="U570" i="53"/>
  <c r="O568" i="53"/>
  <c r="N568" i="53"/>
  <c r="M568" i="53"/>
  <c r="L568" i="53"/>
  <c r="K568" i="53"/>
  <c r="U568" i="53"/>
  <c r="O567" i="53"/>
  <c r="N567" i="53"/>
  <c r="M567" i="53"/>
  <c r="L567" i="53"/>
  <c r="K567" i="53"/>
  <c r="U567" i="53"/>
  <c r="O566" i="53"/>
  <c r="N566" i="53"/>
  <c r="M566" i="53"/>
  <c r="L566" i="53"/>
  <c r="K566" i="53"/>
  <c r="O560" i="53"/>
  <c r="N560" i="53"/>
  <c r="M560" i="53"/>
  <c r="L560" i="53"/>
  <c r="K560" i="53"/>
  <c r="U560" i="53"/>
  <c r="O556" i="53"/>
  <c r="N556" i="53"/>
  <c r="M556" i="53"/>
  <c r="L556" i="53"/>
  <c r="K556" i="53"/>
  <c r="U556" i="53"/>
  <c r="O553" i="53"/>
  <c r="N553" i="53"/>
  <c r="M553" i="53"/>
  <c r="L553" i="53"/>
  <c r="K553" i="53"/>
  <c r="U553" i="53"/>
  <c r="O537" i="53"/>
  <c r="N537" i="53"/>
  <c r="M537" i="53"/>
  <c r="L537" i="53"/>
  <c r="K537" i="53"/>
  <c r="U537" i="53"/>
  <c r="O527" i="53"/>
  <c r="N527" i="53"/>
  <c r="M527" i="53"/>
  <c r="L527" i="53"/>
  <c r="K527" i="53"/>
  <c r="G120" i="15"/>
  <c r="F120" i="15"/>
  <c r="E120" i="15"/>
  <c r="D120" i="15"/>
  <c r="C120" i="15"/>
  <c r="G119" i="15"/>
  <c r="R119" i="15"/>
  <c r="F119" i="15"/>
  <c r="E119" i="15"/>
  <c r="D119" i="15"/>
  <c r="C119" i="15"/>
  <c r="G118" i="15"/>
  <c r="R118" i="15"/>
  <c r="F118" i="15"/>
  <c r="E118" i="15"/>
  <c r="D118" i="15"/>
  <c r="C118" i="15"/>
  <c r="G117" i="15"/>
  <c r="F117" i="15"/>
  <c r="E117" i="15"/>
  <c r="D117" i="15"/>
  <c r="C117" i="15"/>
  <c r="G116" i="15"/>
  <c r="R116" i="15"/>
  <c r="F116" i="15"/>
  <c r="E116" i="15"/>
  <c r="D116" i="15"/>
  <c r="C116" i="15"/>
  <c r="G115" i="15"/>
  <c r="R115" i="15"/>
  <c r="F115" i="15"/>
  <c r="E115" i="15"/>
  <c r="D115" i="15"/>
  <c r="C115" i="15"/>
  <c r="G114" i="15"/>
  <c r="F114" i="15"/>
  <c r="E114" i="15"/>
  <c r="D114" i="15"/>
  <c r="C114" i="15"/>
  <c r="G113" i="15"/>
  <c r="F113" i="15"/>
  <c r="E113" i="15"/>
  <c r="D113" i="15"/>
  <c r="C113" i="15"/>
  <c r="G112" i="15"/>
  <c r="R112" i="15"/>
  <c r="F112" i="15"/>
  <c r="E112" i="15"/>
  <c r="D112" i="15"/>
  <c r="C112" i="15"/>
  <c r="G111" i="15"/>
  <c r="F111" i="15"/>
  <c r="E111" i="15"/>
  <c r="D111" i="15"/>
  <c r="C111" i="15"/>
  <c r="G110" i="15"/>
  <c r="R110" i="15"/>
  <c r="F110" i="15"/>
  <c r="E110" i="15"/>
  <c r="D110" i="15"/>
  <c r="C110" i="15"/>
  <c r="G109" i="15"/>
  <c r="F109" i="15"/>
  <c r="E109" i="15"/>
  <c r="D109" i="15"/>
  <c r="C109" i="15"/>
  <c r="G101" i="15"/>
  <c r="F101" i="15"/>
  <c r="E101" i="15"/>
  <c r="D101" i="15"/>
  <c r="C101" i="15"/>
  <c r="G100" i="15"/>
  <c r="F100" i="15"/>
  <c r="E100" i="15"/>
  <c r="D100" i="15"/>
  <c r="C100" i="15"/>
  <c r="G99" i="15"/>
  <c r="F99" i="15"/>
  <c r="E99" i="15"/>
  <c r="D99" i="15"/>
  <c r="C99" i="15"/>
  <c r="G98" i="15"/>
  <c r="F98" i="15"/>
  <c r="E98" i="15"/>
  <c r="D98" i="15"/>
  <c r="C98" i="15"/>
  <c r="G97" i="15"/>
  <c r="R97" i="15"/>
  <c r="F97" i="15"/>
  <c r="E97" i="15"/>
  <c r="D97" i="15"/>
  <c r="C97" i="15"/>
  <c r="G96" i="15"/>
  <c r="F96" i="15"/>
  <c r="E96" i="15"/>
  <c r="D96" i="15"/>
  <c r="C96" i="15"/>
  <c r="G95" i="15"/>
  <c r="R95" i="15"/>
  <c r="F95" i="15"/>
  <c r="E95" i="15"/>
  <c r="D95" i="15"/>
  <c r="C95" i="15"/>
  <c r="G94" i="15"/>
  <c r="I94" i="15"/>
  <c r="F94" i="15"/>
  <c r="E94" i="15"/>
  <c r="D94" i="15"/>
  <c r="C94" i="15"/>
  <c r="G93" i="15"/>
  <c r="F93" i="15"/>
  <c r="E93" i="15"/>
  <c r="D93" i="15"/>
  <c r="C93" i="15"/>
  <c r="G92" i="15"/>
  <c r="F92" i="15"/>
  <c r="E92" i="15"/>
  <c r="D92" i="15"/>
  <c r="C92" i="15"/>
  <c r="G91" i="15"/>
  <c r="F91" i="15"/>
  <c r="E91" i="15"/>
  <c r="D91" i="15"/>
  <c r="C91" i="15"/>
  <c r="G90" i="15"/>
  <c r="F90" i="15"/>
  <c r="E90" i="15"/>
  <c r="D90" i="15"/>
  <c r="C90" i="15"/>
  <c r="G89" i="15"/>
  <c r="I89" i="15"/>
  <c r="J89" i="15"/>
  <c r="K89" i="15"/>
  <c r="F89" i="15"/>
  <c r="E89" i="15"/>
  <c r="D89" i="15"/>
  <c r="C89" i="15"/>
  <c r="G88" i="15"/>
  <c r="R88" i="15"/>
  <c r="F88" i="15"/>
  <c r="E88" i="15"/>
  <c r="D88" i="15"/>
  <c r="C88" i="15"/>
  <c r="G87" i="15"/>
  <c r="F87" i="15"/>
  <c r="E87" i="15"/>
  <c r="D87" i="15"/>
  <c r="C87" i="15"/>
  <c r="G86" i="15"/>
  <c r="R86" i="15"/>
  <c r="F86" i="15"/>
  <c r="E86" i="15"/>
  <c r="D86" i="15"/>
  <c r="C86" i="15"/>
  <c r="G85" i="15"/>
  <c r="F85" i="15"/>
  <c r="E85" i="15"/>
  <c r="D85" i="15"/>
  <c r="C85" i="15"/>
  <c r="G84" i="15"/>
  <c r="R84" i="15"/>
  <c r="F84" i="15"/>
  <c r="E84" i="15"/>
  <c r="D84" i="15"/>
  <c r="C84" i="15"/>
  <c r="G83" i="15"/>
  <c r="F83" i="15"/>
  <c r="E83" i="15"/>
  <c r="D83" i="15"/>
  <c r="C83" i="15"/>
  <c r="G82" i="15"/>
  <c r="F82" i="15"/>
  <c r="E82" i="15"/>
  <c r="D82" i="15"/>
  <c r="C82" i="15"/>
  <c r="G81" i="15"/>
  <c r="I81" i="15"/>
  <c r="J81" i="15"/>
  <c r="K81" i="15"/>
  <c r="F81" i="15"/>
  <c r="E81" i="15"/>
  <c r="D81" i="15"/>
  <c r="C81" i="15"/>
  <c r="G80" i="15"/>
  <c r="F80" i="15"/>
  <c r="E80" i="15"/>
  <c r="D80" i="15"/>
  <c r="C80" i="15"/>
  <c r="G79" i="15"/>
  <c r="F79" i="15"/>
  <c r="E79" i="15"/>
  <c r="D79" i="15"/>
  <c r="C79" i="15"/>
  <c r="G78" i="15"/>
  <c r="F78" i="15"/>
  <c r="E78" i="15"/>
  <c r="D78" i="15"/>
  <c r="C78" i="15"/>
  <c r="G77" i="15"/>
  <c r="R77" i="15"/>
  <c r="F77" i="15"/>
  <c r="E77" i="15"/>
  <c r="D77" i="15"/>
  <c r="C77" i="15"/>
  <c r="G76" i="15"/>
  <c r="F76" i="15"/>
  <c r="E76" i="15"/>
  <c r="D76" i="15"/>
  <c r="C76" i="15"/>
  <c r="G75" i="15"/>
  <c r="F75" i="15"/>
  <c r="E75" i="15"/>
  <c r="D75" i="15"/>
  <c r="C75" i="15"/>
  <c r="G74" i="15"/>
  <c r="F74" i="15"/>
  <c r="E74" i="15"/>
  <c r="D74" i="15"/>
  <c r="C74" i="15"/>
  <c r="G73" i="15"/>
  <c r="R73" i="15"/>
  <c r="F73" i="15"/>
  <c r="E73" i="15"/>
  <c r="D73" i="15"/>
  <c r="C73" i="15"/>
  <c r="G72" i="15"/>
  <c r="R72" i="15"/>
  <c r="F72" i="15"/>
  <c r="E72" i="15"/>
  <c r="D72" i="15"/>
  <c r="C72" i="15"/>
  <c r="G71" i="15"/>
  <c r="R71" i="15"/>
  <c r="F71" i="15"/>
  <c r="E71" i="15"/>
  <c r="D71" i="15"/>
  <c r="C71" i="15"/>
  <c r="G70" i="15"/>
  <c r="F70" i="15"/>
  <c r="E70" i="15"/>
  <c r="D70" i="15"/>
  <c r="C70" i="15"/>
  <c r="G69" i="15"/>
  <c r="I69" i="15"/>
  <c r="F69" i="15"/>
  <c r="E69" i="15"/>
  <c r="D69" i="15"/>
  <c r="C69" i="15"/>
  <c r="G68" i="15"/>
  <c r="F68" i="15"/>
  <c r="E68" i="15"/>
  <c r="D68" i="15"/>
  <c r="C68" i="15"/>
  <c r="G67" i="15"/>
  <c r="F67" i="15"/>
  <c r="E67" i="15"/>
  <c r="D67" i="15"/>
  <c r="C67" i="15"/>
  <c r="G66" i="15"/>
  <c r="F66" i="15"/>
  <c r="E66" i="15"/>
  <c r="D66" i="15"/>
  <c r="C66" i="15"/>
  <c r="G65" i="15"/>
  <c r="F65" i="15"/>
  <c r="E65" i="15"/>
  <c r="D65" i="15"/>
  <c r="C65" i="15"/>
  <c r="G64" i="15"/>
  <c r="F64" i="15"/>
  <c r="E64" i="15"/>
  <c r="D64" i="15"/>
  <c r="C64" i="15"/>
  <c r="G63" i="15"/>
  <c r="F63" i="15"/>
  <c r="E63" i="15"/>
  <c r="D63" i="15"/>
  <c r="C63" i="15"/>
  <c r="G62" i="15"/>
  <c r="F62" i="15"/>
  <c r="E62" i="15"/>
  <c r="D62" i="15"/>
  <c r="C62" i="15"/>
  <c r="G61" i="15"/>
  <c r="F61" i="15"/>
  <c r="E61" i="15"/>
  <c r="D61" i="15"/>
  <c r="C61" i="15"/>
  <c r="G60" i="15"/>
  <c r="F60" i="15"/>
  <c r="E60" i="15"/>
  <c r="D60" i="15"/>
  <c r="C60" i="15"/>
  <c r="G59" i="15"/>
  <c r="F59" i="15"/>
  <c r="E59" i="15"/>
  <c r="D59" i="15"/>
  <c r="C59" i="15"/>
  <c r="G58" i="15"/>
  <c r="F58" i="15"/>
  <c r="E58" i="15"/>
  <c r="D58" i="15"/>
  <c r="C58" i="15"/>
  <c r="G57" i="15"/>
  <c r="F57" i="15"/>
  <c r="E57" i="15"/>
  <c r="D57" i="15"/>
  <c r="C57" i="15"/>
  <c r="G56" i="15"/>
  <c r="F56" i="15"/>
  <c r="E56" i="15"/>
  <c r="D56" i="15"/>
  <c r="C56" i="15"/>
  <c r="G55" i="15"/>
  <c r="F55" i="15"/>
  <c r="E55" i="15"/>
  <c r="D55" i="15"/>
  <c r="C55" i="15"/>
  <c r="G54" i="15"/>
  <c r="F54" i="15"/>
  <c r="E54" i="15"/>
  <c r="D54" i="15"/>
  <c r="C54" i="15"/>
  <c r="G53" i="15"/>
  <c r="F53" i="15"/>
  <c r="E53" i="15"/>
  <c r="D53" i="15"/>
  <c r="C53" i="15"/>
  <c r="G52" i="15"/>
  <c r="F52" i="15"/>
  <c r="E52" i="15"/>
  <c r="D52" i="15"/>
  <c r="C52" i="15"/>
  <c r="G51" i="15"/>
  <c r="F51" i="15"/>
  <c r="E51" i="15"/>
  <c r="D51" i="15"/>
  <c r="C51" i="15"/>
  <c r="G50" i="15"/>
  <c r="F50" i="15"/>
  <c r="E50" i="15"/>
  <c r="D50" i="15"/>
  <c r="C50" i="15"/>
  <c r="G49" i="15"/>
  <c r="I49" i="15"/>
  <c r="J49" i="15"/>
  <c r="K49" i="15"/>
  <c r="F49" i="15"/>
  <c r="E49" i="15"/>
  <c r="D49" i="15"/>
  <c r="C49" i="15"/>
  <c r="G48" i="15"/>
  <c r="F48" i="15"/>
  <c r="E48" i="15"/>
  <c r="D48" i="15"/>
  <c r="C48" i="15"/>
  <c r="G47" i="15"/>
  <c r="F47" i="15"/>
  <c r="E47" i="15"/>
  <c r="D47" i="15"/>
  <c r="C47" i="15"/>
  <c r="G46" i="15"/>
  <c r="I46" i="15"/>
  <c r="F46" i="15"/>
  <c r="E46" i="15"/>
  <c r="D46" i="15"/>
  <c r="C46" i="15"/>
  <c r="G45" i="15"/>
  <c r="I45" i="15"/>
  <c r="F45" i="15"/>
  <c r="E45" i="15"/>
  <c r="D45" i="15"/>
  <c r="C45" i="15"/>
  <c r="G44" i="15"/>
  <c r="F44" i="15"/>
  <c r="E44" i="15"/>
  <c r="D44" i="15"/>
  <c r="C44" i="15"/>
  <c r="G43" i="15"/>
  <c r="F43" i="15"/>
  <c r="E43" i="15"/>
  <c r="D43" i="15"/>
  <c r="C43" i="15"/>
  <c r="G42" i="15"/>
  <c r="F42" i="15"/>
  <c r="E42" i="15"/>
  <c r="D42" i="15"/>
  <c r="C42" i="15"/>
  <c r="G41" i="15"/>
  <c r="F41" i="15"/>
  <c r="E41" i="15"/>
  <c r="D41" i="15"/>
  <c r="C41" i="15"/>
  <c r="G40" i="15"/>
  <c r="F40" i="15"/>
  <c r="E40" i="15"/>
  <c r="D40" i="15"/>
  <c r="C40" i="15"/>
  <c r="G32" i="15"/>
  <c r="R32" i="15"/>
  <c r="F32" i="15"/>
  <c r="E32" i="15"/>
  <c r="D32" i="15"/>
  <c r="C32" i="15"/>
  <c r="G31" i="15"/>
  <c r="F31" i="15"/>
  <c r="E31" i="15"/>
  <c r="D31" i="15"/>
  <c r="C31" i="15"/>
  <c r="G30" i="15"/>
  <c r="F30" i="15"/>
  <c r="E30" i="15"/>
  <c r="D30" i="15"/>
  <c r="C30" i="15"/>
  <c r="G29" i="15"/>
  <c r="F29" i="15"/>
  <c r="E29" i="15"/>
  <c r="D29" i="15"/>
  <c r="C29" i="15"/>
  <c r="G28" i="15"/>
  <c r="F28" i="15"/>
  <c r="E28" i="15"/>
  <c r="D28" i="15"/>
  <c r="C28" i="15"/>
  <c r="G27" i="15"/>
  <c r="F27" i="15"/>
  <c r="E27" i="15"/>
  <c r="D27" i="15"/>
  <c r="C27" i="15"/>
  <c r="G26" i="15"/>
  <c r="F26" i="15"/>
  <c r="E26" i="15"/>
  <c r="D26" i="15"/>
  <c r="C26" i="15"/>
  <c r="G25" i="15"/>
  <c r="F25" i="15"/>
  <c r="E25" i="15"/>
  <c r="D25" i="15"/>
  <c r="C25" i="15"/>
  <c r="G24" i="15"/>
  <c r="F24" i="15"/>
  <c r="E24" i="15"/>
  <c r="D24" i="15"/>
  <c r="C24" i="15"/>
  <c r="G23" i="15"/>
  <c r="F23" i="15"/>
  <c r="E23" i="15"/>
  <c r="D23" i="15"/>
  <c r="C23" i="15"/>
  <c r="G22" i="15"/>
  <c r="F22" i="15"/>
  <c r="E22" i="15"/>
  <c r="D22" i="15"/>
  <c r="C22" i="15"/>
  <c r="G21" i="15"/>
  <c r="F21" i="15"/>
  <c r="E21" i="15"/>
  <c r="D21" i="15"/>
  <c r="C21" i="15"/>
  <c r="G20" i="15"/>
  <c r="F20" i="15"/>
  <c r="E20" i="15"/>
  <c r="D20" i="15"/>
  <c r="C20" i="15"/>
  <c r="G19" i="15"/>
  <c r="F19" i="15"/>
  <c r="E19" i="15"/>
  <c r="D19" i="15"/>
  <c r="C19" i="15"/>
  <c r="G18" i="15"/>
  <c r="F18" i="15"/>
  <c r="E18" i="15"/>
  <c r="D18" i="15"/>
  <c r="C18" i="15"/>
  <c r="G17" i="15"/>
  <c r="F17" i="15"/>
  <c r="E17" i="15"/>
  <c r="D17" i="15"/>
  <c r="C17" i="15"/>
  <c r="G16" i="15"/>
  <c r="F16" i="15"/>
  <c r="E16" i="15"/>
  <c r="D16" i="15"/>
  <c r="C16" i="15"/>
  <c r="G15" i="15"/>
  <c r="F15" i="15"/>
  <c r="E15" i="15"/>
  <c r="D15" i="15"/>
  <c r="C15" i="15"/>
  <c r="G14" i="15"/>
  <c r="F14" i="15"/>
  <c r="E14" i="15"/>
  <c r="D14" i="15"/>
  <c r="C14" i="15"/>
  <c r="G13" i="15"/>
  <c r="F13" i="15"/>
  <c r="E13" i="15"/>
  <c r="D13" i="15"/>
  <c r="C13" i="15"/>
  <c r="G12" i="15"/>
  <c r="F12" i="15"/>
  <c r="E12" i="15"/>
  <c r="D12" i="15"/>
  <c r="C12" i="15"/>
  <c r="G11" i="15"/>
  <c r="F11" i="15"/>
  <c r="E11" i="15"/>
  <c r="D11" i="15"/>
  <c r="C11" i="15"/>
  <c r="G10" i="15"/>
  <c r="F10" i="15"/>
  <c r="E10" i="15"/>
  <c r="D10" i="15"/>
  <c r="C10" i="15"/>
  <c r="G9" i="15"/>
  <c r="F9" i="15"/>
  <c r="E9" i="15"/>
  <c r="D9" i="15"/>
  <c r="C9" i="15"/>
  <c r="G8" i="15"/>
  <c r="F8" i="15"/>
  <c r="E8" i="15"/>
  <c r="D8" i="15"/>
  <c r="C8" i="15"/>
  <c r="G7" i="15"/>
  <c r="F7" i="15"/>
  <c r="E7" i="15"/>
  <c r="D7" i="15"/>
  <c r="C7" i="15"/>
  <c r="G6" i="15"/>
  <c r="F6" i="15"/>
  <c r="E6" i="15"/>
  <c r="D6" i="15"/>
  <c r="C6" i="15"/>
  <c r="G5" i="15"/>
  <c r="F5" i="15"/>
  <c r="E5" i="15"/>
  <c r="D5" i="15"/>
  <c r="C5" i="15"/>
  <c r="U4" i="15"/>
  <c r="V4" i="15"/>
  <c r="W4" i="15"/>
  <c r="X4" i="15"/>
  <c r="D4" i="15"/>
  <c r="E4" i="15"/>
  <c r="F4" i="15"/>
  <c r="G4" i="15"/>
  <c r="I4" i="15"/>
  <c r="J4" i="15"/>
  <c r="K4" i="15"/>
  <c r="L4" i="15"/>
  <c r="M4" i="15"/>
  <c r="AG4" i="7"/>
  <c r="AH4" i="7"/>
  <c r="AI4" i="7"/>
  <c r="U4" i="7"/>
  <c r="V4" i="7"/>
  <c r="W4" i="7"/>
  <c r="X4" i="7"/>
  <c r="Y4" i="7"/>
  <c r="K36" i="7"/>
  <c r="K35" i="7"/>
  <c r="W4" i="6"/>
  <c r="X4" i="6"/>
  <c r="AI4" i="6"/>
  <c r="Y4" i="6"/>
  <c r="AJ4" i="6"/>
  <c r="Z4" i="6"/>
  <c r="AK4" i="6"/>
  <c r="AA4" i="6"/>
  <c r="AL4" i="6"/>
  <c r="P38" i="6"/>
  <c r="O38" i="6"/>
  <c r="N38" i="6"/>
  <c r="M38" i="6"/>
  <c r="L38" i="6"/>
  <c r="P37" i="6"/>
  <c r="O37" i="6"/>
  <c r="N37" i="6"/>
  <c r="M37" i="6"/>
  <c r="L37" i="6"/>
  <c r="V4" i="14"/>
  <c r="W4" i="14"/>
  <c r="X4" i="14"/>
  <c r="Y4" i="14"/>
  <c r="O493" i="53"/>
  <c r="N493" i="53"/>
  <c r="M493" i="53"/>
  <c r="L493" i="53"/>
  <c r="K493" i="53"/>
  <c r="U493" i="53"/>
  <c r="O492" i="53"/>
  <c r="N492" i="53"/>
  <c r="M492" i="53"/>
  <c r="L492" i="53"/>
  <c r="K492" i="53"/>
  <c r="O491" i="53"/>
  <c r="N491" i="53"/>
  <c r="M491" i="53"/>
  <c r="L491" i="53"/>
  <c r="K491" i="53"/>
  <c r="O490" i="53"/>
  <c r="N490" i="53"/>
  <c r="M490" i="53"/>
  <c r="L490" i="53"/>
  <c r="K490" i="53"/>
  <c r="U490" i="53"/>
  <c r="O487" i="53"/>
  <c r="N487" i="53"/>
  <c r="M487" i="53"/>
  <c r="L487" i="53"/>
  <c r="K487" i="53"/>
  <c r="U487" i="53"/>
  <c r="O486" i="53"/>
  <c r="N486" i="53"/>
  <c r="M486" i="53"/>
  <c r="L486" i="53"/>
  <c r="K486" i="53"/>
  <c r="O485" i="53"/>
  <c r="N485" i="53"/>
  <c r="M485" i="53"/>
  <c r="L485" i="53"/>
  <c r="K485" i="53"/>
  <c r="U485" i="53"/>
  <c r="O484" i="53"/>
  <c r="N484" i="53"/>
  <c r="M484" i="53"/>
  <c r="L484" i="53"/>
  <c r="K484" i="53"/>
  <c r="O482" i="53"/>
  <c r="N482" i="53"/>
  <c r="M482" i="53"/>
  <c r="L482" i="53"/>
  <c r="K482" i="53"/>
  <c r="U482" i="53"/>
  <c r="O481" i="53"/>
  <c r="N481" i="53"/>
  <c r="M481" i="53"/>
  <c r="L481" i="53"/>
  <c r="K481" i="53"/>
  <c r="U481" i="53"/>
  <c r="O480" i="53"/>
  <c r="N480" i="53"/>
  <c r="M480" i="53"/>
  <c r="L480" i="53"/>
  <c r="K480" i="53"/>
  <c r="U480" i="53"/>
  <c r="O478" i="53"/>
  <c r="N478" i="53"/>
  <c r="M478" i="53"/>
  <c r="L478" i="53"/>
  <c r="K478" i="53"/>
  <c r="O476" i="53"/>
  <c r="N476" i="53"/>
  <c r="M476" i="53"/>
  <c r="L476" i="53"/>
  <c r="K476" i="53"/>
  <c r="U476" i="53"/>
  <c r="O473" i="53"/>
  <c r="N473" i="53"/>
  <c r="M473" i="53"/>
  <c r="L473" i="53"/>
  <c r="K473" i="53"/>
  <c r="U473" i="53"/>
  <c r="O471" i="53"/>
  <c r="N471" i="53"/>
  <c r="M471" i="53"/>
  <c r="L471" i="53"/>
  <c r="K471" i="53"/>
  <c r="U471" i="53"/>
  <c r="O470" i="53"/>
  <c r="N470" i="53"/>
  <c r="M470" i="53"/>
  <c r="L470" i="53"/>
  <c r="K470" i="53"/>
  <c r="U470" i="53"/>
  <c r="O468" i="53"/>
  <c r="N468" i="53"/>
  <c r="M468" i="53"/>
  <c r="L468" i="53"/>
  <c r="K468" i="53"/>
  <c r="U468" i="53"/>
  <c r="O466" i="53"/>
  <c r="N466" i="53"/>
  <c r="M466" i="53"/>
  <c r="L466" i="53"/>
  <c r="K466" i="53"/>
  <c r="O465" i="53"/>
  <c r="N465" i="53"/>
  <c r="M465" i="53"/>
  <c r="L465" i="53"/>
  <c r="K465" i="53"/>
  <c r="U465" i="53"/>
  <c r="O464" i="53"/>
  <c r="N464" i="53"/>
  <c r="M464" i="53"/>
  <c r="L464" i="53"/>
  <c r="K464" i="53"/>
  <c r="U464" i="53"/>
  <c r="O463" i="53"/>
  <c r="N463" i="53"/>
  <c r="M463" i="53"/>
  <c r="L463" i="53"/>
  <c r="K463" i="53"/>
  <c r="U463" i="53"/>
  <c r="O462" i="53"/>
  <c r="N462" i="53"/>
  <c r="M462" i="53"/>
  <c r="L462" i="53"/>
  <c r="K462" i="53"/>
  <c r="U462" i="53"/>
  <c r="O461" i="53"/>
  <c r="N461" i="53"/>
  <c r="M461" i="53"/>
  <c r="L461" i="53"/>
  <c r="K461" i="53"/>
  <c r="U461" i="53"/>
  <c r="O448" i="53"/>
  <c r="N448" i="53"/>
  <c r="M448" i="53"/>
  <c r="L448" i="53"/>
  <c r="K448" i="53"/>
  <c r="G51" i="14"/>
  <c r="S51" i="14"/>
  <c r="F51" i="14"/>
  <c r="E51" i="14"/>
  <c r="D51" i="14"/>
  <c r="C51" i="14"/>
  <c r="G50" i="14"/>
  <c r="S50" i="14"/>
  <c r="F50" i="14"/>
  <c r="E50" i="14"/>
  <c r="D50" i="14"/>
  <c r="C50" i="14"/>
  <c r="G49" i="14"/>
  <c r="S49" i="14"/>
  <c r="F49" i="14"/>
  <c r="E49" i="14"/>
  <c r="D49" i="14"/>
  <c r="C49" i="14"/>
  <c r="G48" i="14"/>
  <c r="S48" i="14"/>
  <c r="F48" i="14"/>
  <c r="E48" i="14"/>
  <c r="D48" i="14"/>
  <c r="C48" i="14"/>
  <c r="G47" i="14"/>
  <c r="F47" i="14"/>
  <c r="E47" i="14"/>
  <c r="D47" i="14"/>
  <c r="C47" i="14"/>
  <c r="G46" i="14"/>
  <c r="F46" i="14"/>
  <c r="E46" i="14"/>
  <c r="D46" i="14"/>
  <c r="C46" i="14"/>
  <c r="G45" i="14"/>
  <c r="F45" i="14"/>
  <c r="E45" i="14"/>
  <c r="D45" i="14"/>
  <c r="C45" i="14"/>
  <c r="G44" i="14"/>
  <c r="S44" i="14"/>
  <c r="F44" i="14"/>
  <c r="E44" i="14"/>
  <c r="D44" i="14"/>
  <c r="C44" i="14"/>
  <c r="G43" i="14"/>
  <c r="S43" i="14"/>
  <c r="F43" i="14"/>
  <c r="E43" i="14"/>
  <c r="D43" i="14"/>
  <c r="C43" i="14"/>
  <c r="G42" i="14"/>
  <c r="S42" i="14"/>
  <c r="F42" i="14"/>
  <c r="E42" i="14"/>
  <c r="D42" i="14"/>
  <c r="C42" i="14"/>
  <c r="G41" i="14"/>
  <c r="F41" i="14"/>
  <c r="E41" i="14"/>
  <c r="D41" i="14"/>
  <c r="C41" i="14"/>
  <c r="G40" i="14"/>
  <c r="S40" i="14"/>
  <c r="F40" i="14"/>
  <c r="E40" i="14"/>
  <c r="D40" i="14"/>
  <c r="C40" i="14"/>
  <c r="G39" i="14"/>
  <c r="S39" i="14"/>
  <c r="F39" i="14"/>
  <c r="E39" i="14"/>
  <c r="D39" i="14"/>
  <c r="C39" i="14"/>
  <c r="G38" i="14"/>
  <c r="S38" i="14"/>
  <c r="F38" i="14"/>
  <c r="E38" i="14"/>
  <c r="D38" i="14"/>
  <c r="C38" i="14"/>
  <c r="G37" i="14"/>
  <c r="F37" i="14"/>
  <c r="E37" i="14"/>
  <c r="D37" i="14"/>
  <c r="C37" i="14"/>
  <c r="G36" i="14"/>
  <c r="S36" i="14"/>
  <c r="F36" i="14"/>
  <c r="E36" i="14"/>
  <c r="D36" i="14"/>
  <c r="C36" i="14"/>
  <c r="G35" i="14"/>
  <c r="F35" i="14"/>
  <c r="E35" i="14"/>
  <c r="D35" i="14"/>
  <c r="C35" i="14"/>
  <c r="G34" i="14"/>
  <c r="F34" i="14"/>
  <c r="E34" i="14"/>
  <c r="D34" i="14"/>
  <c r="C34" i="14"/>
  <c r="G33" i="14"/>
  <c r="F33" i="14"/>
  <c r="E33" i="14"/>
  <c r="D33" i="14"/>
  <c r="C33" i="14"/>
  <c r="G32" i="14"/>
  <c r="F32" i="14"/>
  <c r="E32" i="14"/>
  <c r="D32" i="14"/>
  <c r="C32" i="14"/>
  <c r="G31" i="14"/>
  <c r="S31" i="14"/>
  <c r="F31" i="14"/>
  <c r="E31" i="14"/>
  <c r="D31" i="14"/>
  <c r="C31" i="14"/>
  <c r="G30" i="14"/>
  <c r="F30" i="14"/>
  <c r="E30" i="14"/>
  <c r="D30" i="14"/>
  <c r="C30" i="14"/>
  <c r="G29" i="14"/>
  <c r="F29" i="14"/>
  <c r="E29" i="14"/>
  <c r="D29" i="14"/>
  <c r="C29" i="14"/>
  <c r="G28" i="14"/>
  <c r="S28" i="14"/>
  <c r="F28" i="14"/>
  <c r="E28" i="14"/>
  <c r="D28" i="14"/>
  <c r="C28" i="14"/>
  <c r="G27" i="14"/>
  <c r="F27" i="14"/>
  <c r="E27" i="14"/>
  <c r="D27" i="14"/>
  <c r="C27" i="14"/>
  <c r="G26" i="14"/>
  <c r="F26" i="14"/>
  <c r="E26" i="14"/>
  <c r="D26" i="14"/>
  <c r="C26" i="14"/>
  <c r="G24" i="14"/>
  <c r="F24" i="14"/>
  <c r="E24" i="14"/>
  <c r="D24" i="14"/>
  <c r="C24" i="14"/>
  <c r="G23" i="14"/>
  <c r="F23" i="14"/>
  <c r="E23" i="14"/>
  <c r="D23" i="14"/>
  <c r="C23" i="14"/>
  <c r="G22" i="14"/>
  <c r="S22" i="14"/>
  <c r="F22" i="14"/>
  <c r="E22" i="14"/>
  <c r="D22" i="14"/>
  <c r="C22" i="14"/>
  <c r="G21" i="14"/>
  <c r="S21" i="14"/>
  <c r="F21" i="14"/>
  <c r="E21" i="14"/>
  <c r="D21" i="14"/>
  <c r="C21" i="14"/>
  <c r="G20" i="14"/>
  <c r="F20" i="14"/>
  <c r="E20" i="14"/>
  <c r="D20" i="14"/>
  <c r="C20" i="14"/>
  <c r="G19" i="14"/>
  <c r="S19" i="14"/>
  <c r="F19" i="14"/>
  <c r="E19" i="14"/>
  <c r="D19" i="14"/>
  <c r="C19" i="14"/>
  <c r="G18" i="14"/>
  <c r="F18" i="14"/>
  <c r="E18" i="14"/>
  <c r="D18" i="14"/>
  <c r="C18" i="14"/>
  <c r="N25" i="14"/>
  <c r="M25" i="14"/>
  <c r="L25" i="14"/>
  <c r="K25" i="14"/>
  <c r="J25" i="14"/>
  <c r="E467" i="53"/>
  <c r="G16" i="14"/>
  <c r="F16" i="14"/>
  <c r="E16" i="14"/>
  <c r="D16" i="14"/>
  <c r="G15" i="14"/>
  <c r="F15" i="14"/>
  <c r="E15" i="14"/>
  <c r="D15" i="14"/>
  <c r="G14" i="14"/>
  <c r="F14" i="14"/>
  <c r="E14" i="14"/>
  <c r="D14" i="14"/>
  <c r="G13" i="14"/>
  <c r="F13" i="14"/>
  <c r="E13" i="14"/>
  <c r="D13" i="14"/>
  <c r="C16" i="14"/>
  <c r="C15" i="14"/>
  <c r="C14" i="14"/>
  <c r="C13" i="14"/>
  <c r="G10" i="14"/>
  <c r="G9" i="14"/>
  <c r="G7" i="14"/>
  <c r="G6" i="14"/>
  <c r="F10" i="14"/>
  <c r="F9" i="14"/>
  <c r="F8" i="14"/>
  <c r="F7" i="14"/>
  <c r="F6" i="14"/>
  <c r="F5" i="14"/>
  <c r="E10" i="14"/>
  <c r="E9" i="14"/>
  <c r="E8" i="14"/>
  <c r="E7" i="14"/>
  <c r="E6" i="14"/>
  <c r="E5" i="14"/>
  <c r="E167" i="18"/>
  <c r="D10" i="14"/>
  <c r="D9" i="14"/>
  <c r="D8" i="14"/>
  <c r="D7" i="14"/>
  <c r="D6" i="14"/>
  <c r="D5" i="14"/>
  <c r="D167" i="18"/>
  <c r="C10" i="14"/>
  <c r="C9" i="14"/>
  <c r="C8" i="14"/>
  <c r="C7" i="14"/>
  <c r="C6" i="14"/>
  <c r="C5" i="14"/>
  <c r="C167" i="18"/>
  <c r="D4" i="14"/>
  <c r="E4" i="14"/>
  <c r="F4" i="14"/>
  <c r="G4" i="14"/>
  <c r="J4" i="14"/>
  <c r="K4" i="14"/>
  <c r="L4" i="14"/>
  <c r="M4" i="14"/>
  <c r="N4" i="14"/>
  <c r="AF3" i="53"/>
  <c r="AG3" i="53"/>
  <c r="AH3" i="53"/>
  <c r="AI3" i="53"/>
  <c r="AJ3" i="53"/>
  <c r="H459" i="53"/>
  <c r="G459" i="53"/>
  <c r="F459" i="53"/>
  <c r="E459" i="53"/>
  <c r="AE566" i="53"/>
  <c r="G454" i="53"/>
  <c r="AC615" i="53"/>
  <c r="F454" i="53"/>
  <c r="AB719" i="53"/>
  <c r="E454" i="53"/>
  <c r="AA752" i="53"/>
  <c r="H467" i="53"/>
  <c r="G467" i="53"/>
  <c r="F467" i="53"/>
  <c r="Y756" i="53"/>
  <c r="X756" i="53"/>
  <c r="W756" i="53"/>
  <c r="V756" i="53"/>
  <c r="U756" i="53"/>
  <c r="T756" i="53"/>
  <c r="S756" i="53"/>
  <c r="R756" i="53"/>
  <c r="Q756" i="53"/>
  <c r="Y755" i="53"/>
  <c r="X755" i="53"/>
  <c r="W755" i="53"/>
  <c r="V755" i="53"/>
  <c r="U755" i="53"/>
  <c r="T755" i="53"/>
  <c r="S755" i="53"/>
  <c r="R755" i="53"/>
  <c r="Q755" i="53"/>
  <c r="Y754" i="53"/>
  <c r="X754" i="53"/>
  <c r="W754" i="53"/>
  <c r="V754" i="53"/>
  <c r="U754" i="53"/>
  <c r="T754" i="53"/>
  <c r="S754" i="53"/>
  <c r="R754" i="53"/>
  <c r="Q754" i="53"/>
  <c r="Y753" i="53"/>
  <c r="X753" i="53"/>
  <c r="W753" i="53"/>
  <c r="V753" i="53"/>
  <c r="U753" i="53"/>
  <c r="T753" i="53"/>
  <c r="S753" i="53"/>
  <c r="R753" i="53"/>
  <c r="Q753" i="53"/>
  <c r="Y752" i="53"/>
  <c r="X752" i="53"/>
  <c r="W752" i="53"/>
  <c r="V752" i="53"/>
  <c r="U752" i="53"/>
  <c r="T752" i="53"/>
  <c r="S752" i="53"/>
  <c r="R752" i="53"/>
  <c r="Q752" i="53"/>
  <c r="Y751" i="53"/>
  <c r="X751" i="53"/>
  <c r="W751" i="53"/>
  <c r="V751" i="53"/>
  <c r="U751" i="53"/>
  <c r="T751" i="53"/>
  <c r="S751" i="53"/>
  <c r="R751" i="53"/>
  <c r="Q751" i="53"/>
  <c r="Y745" i="53"/>
  <c r="X745" i="53"/>
  <c r="W745" i="53"/>
  <c r="V745" i="53"/>
  <c r="U745" i="53"/>
  <c r="T745" i="53"/>
  <c r="S745" i="53"/>
  <c r="R745" i="53"/>
  <c r="Q745" i="53"/>
  <c r="Y743" i="53"/>
  <c r="X743" i="53"/>
  <c r="W743" i="53"/>
  <c r="V743" i="53"/>
  <c r="U743" i="53"/>
  <c r="T743" i="53"/>
  <c r="S743" i="53"/>
  <c r="R743" i="53"/>
  <c r="Q743" i="53"/>
  <c r="Y742" i="53"/>
  <c r="X742" i="53"/>
  <c r="W742" i="53"/>
  <c r="V742" i="53"/>
  <c r="U742" i="53"/>
  <c r="T742" i="53"/>
  <c r="S742" i="53"/>
  <c r="R742" i="53"/>
  <c r="Q742" i="53"/>
  <c r="Y733" i="53"/>
  <c r="X733" i="53"/>
  <c r="W733" i="53"/>
  <c r="V733" i="53"/>
  <c r="U733" i="53"/>
  <c r="T733" i="53"/>
  <c r="S733" i="53"/>
  <c r="R733" i="53"/>
  <c r="Q733" i="53"/>
  <c r="Y730" i="53"/>
  <c r="X730" i="53"/>
  <c r="W730" i="53"/>
  <c r="V730" i="53"/>
  <c r="U730" i="53"/>
  <c r="T730" i="53"/>
  <c r="S730" i="53"/>
  <c r="R730" i="53"/>
  <c r="Q730" i="53"/>
  <c r="Y729" i="53"/>
  <c r="X729" i="53"/>
  <c r="W729" i="53"/>
  <c r="V729" i="53"/>
  <c r="U729" i="53"/>
  <c r="T729" i="53"/>
  <c r="S729" i="53"/>
  <c r="R729" i="53"/>
  <c r="Q729" i="53"/>
  <c r="Y728" i="53"/>
  <c r="X728" i="53"/>
  <c r="W728" i="53"/>
  <c r="V728" i="53"/>
  <c r="U728" i="53"/>
  <c r="T728" i="53"/>
  <c r="S728" i="53"/>
  <c r="R728" i="53"/>
  <c r="Q728" i="53"/>
  <c r="Y727" i="53"/>
  <c r="X727" i="53"/>
  <c r="W727" i="53"/>
  <c r="V727" i="53"/>
  <c r="U727" i="53"/>
  <c r="T727" i="53"/>
  <c r="S727" i="53"/>
  <c r="R727" i="53"/>
  <c r="Q727" i="53"/>
  <c r="Y726" i="53"/>
  <c r="X726" i="53"/>
  <c r="W726" i="53"/>
  <c r="V726" i="53"/>
  <c r="U726" i="53"/>
  <c r="T726" i="53"/>
  <c r="S726" i="53"/>
  <c r="R726" i="53"/>
  <c r="Q726" i="53"/>
  <c r="Y725" i="53"/>
  <c r="X725" i="53"/>
  <c r="W725" i="53"/>
  <c r="V725" i="53"/>
  <c r="U725" i="53"/>
  <c r="T725" i="53"/>
  <c r="S725" i="53"/>
  <c r="R725" i="53"/>
  <c r="Q725" i="53"/>
  <c r="Y724" i="53"/>
  <c r="X724" i="53"/>
  <c r="W724" i="53"/>
  <c r="V724" i="53"/>
  <c r="U724" i="53"/>
  <c r="T724" i="53"/>
  <c r="S724" i="53"/>
  <c r="R724" i="53"/>
  <c r="Q724" i="53"/>
  <c r="Y723" i="53"/>
  <c r="X723" i="53"/>
  <c r="W723" i="53"/>
  <c r="V723" i="53"/>
  <c r="U723" i="53"/>
  <c r="T723" i="53"/>
  <c r="S723" i="53"/>
  <c r="R723" i="53"/>
  <c r="Q723" i="53"/>
  <c r="Y722" i="53"/>
  <c r="X722" i="53"/>
  <c r="W722" i="53"/>
  <c r="V722" i="53"/>
  <c r="U722" i="53"/>
  <c r="T722" i="53"/>
  <c r="S722" i="53"/>
  <c r="R722" i="53"/>
  <c r="Q722" i="53"/>
  <c r="Y721" i="53"/>
  <c r="X721" i="53"/>
  <c r="W721" i="53"/>
  <c r="V721" i="53"/>
  <c r="U721" i="53"/>
  <c r="T721" i="53"/>
  <c r="S721" i="53"/>
  <c r="R721" i="53"/>
  <c r="Q721" i="53"/>
  <c r="T719" i="53"/>
  <c r="S719" i="53"/>
  <c r="R719" i="53"/>
  <c r="Q719" i="53"/>
  <c r="Y714" i="53"/>
  <c r="X714" i="53"/>
  <c r="W714" i="53"/>
  <c r="V714" i="53"/>
  <c r="U714" i="53"/>
  <c r="T714" i="53"/>
  <c r="S714" i="53"/>
  <c r="R714" i="53"/>
  <c r="Q714" i="53"/>
  <c r="Y713" i="53"/>
  <c r="X713" i="53"/>
  <c r="W713" i="53"/>
  <c r="V713" i="53"/>
  <c r="U713" i="53"/>
  <c r="T713" i="53"/>
  <c r="S713" i="53"/>
  <c r="R713" i="53"/>
  <c r="Q713" i="53"/>
  <c r="Y712" i="53"/>
  <c r="X712" i="53"/>
  <c r="W712" i="53"/>
  <c r="V712" i="53"/>
  <c r="U712" i="53"/>
  <c r="T712" i="53"/>
  <c r="S712" i="53"/>
  <c r="R712" i="53"/>
  <c r="Q712" i="53"/>
  <c r="Y711" i="53"/>
  <c r="X711" i="53"/>
  <c r="W711" i="53"/>
  <c r="V711" i="53"/>
  <c r="U711" i="53"/>
  <c r="T711" i="53"/>
  <c r="S711" i="53"/>
  <c r="R711" i="53"/>
  <c r="Q711" i="53"/>
  <c r="Y706" i="53"/>
  <c r="X706" i="53"/>
  <c r="W706" i="53"/>
  <c r="V706" i="53"/>
  <c r="U706" i="53"/>
  <c r="T706" i="53"/>
  <c r="S706" i="53"/>
  <c r="R706" i="53"/>
  <c r="Q706" i="53"/>
  <c r="T697" i="53"/>
  <c r="S697" i="53"/>
  <c r="R697" i="53"/>
  <c r="Q697" i="53"/>
  <c r="Y696" i="53"/>
  <c r="T696" i="53"/>
  <c r="S696" i="53"/>
  <c r="R696" i="53"/>
  <c r="Q696" i="53"/>
  <c r="U695" i="53"/>
  <c r="T695" i="53"/>
  <c r="S695" i="53"/>
  <c r="R695" i="53"/>
  <c r="Q695" i="53"/>
  <c r="T694" i="53"/>
  <c r="S694" i="53"/>
  <c r="R694" i="53"/>
  <c r="Q694" i="53"/>
  <c r="T693" i="53"/>
  <c r="S693" i="53"/>
  <c r="R693" i="53"/>
  <c r="Q693" i="53"/>
  <c r="T692" i="53"/>
  <c r="S692" i="53"/>
  <c r="R692" i="53"/>
  <c r="Q692" i="53"/>
  <c r="T691" i="53"/>
  <c r="S691" i="53"/>
  <c r="R691" i="53"/>
  <c r="Q691" i="53"/>
  <c r="T690" i="53"/>
  <c r="S690" i="53"/>
  <c r="R690" i="53"/>
  <c r="Q690" i="53"/>
  <c r="U689" i="53"/>
  <c r="T689" i="53"/>
  <c r="S689" i="53"/>
  <c r="R689" i="53"/>
  <c r="Q689" i="53"/>
  <c r="T688" i="53"/>
  <c r="S688" i="53"/>
  <c r="R688" i="53"/>
  <c r="Q688" i="53"/>
  <c r="T687" i="53"/>
  <c r="S687" i="53"/>
  <c r="R687" i="53"/>
  <c r="Q687" i="53"/>
  <c r="T686" i="53"/>
  <c r="S686" i="53"/>
  <c r="R686" i="53"/>
  <c r="Q686" i="53"/>
  <c r="U685" i="53"/>
  <c r="T685" i="53"/>
  <c r="S685" i="53"/>
  <c r="R685" i="53"/>
  <c r="Q685" i="53"/>
  <c r="T684" i="53"/>
  <c r="S684" i="53"/>
  <c r="R684" i="53"/>
  <c r="Q684" i="53"/>
  <c r="T683" i="53"/>
  <c r="S683" i="53"/>
  <c r="R683" i="53"/>
  <c r="Q683" i="53"/>
  <c r="T682" i="53"/>
  <c r="S682" i="53"/>
  <c r="R682" i="53"/>
  <c r="Q682" i="53"/>
  <c r="T681" i="53"/>
  <c r="S681" i="53"/>
  <c r="R681" i="53"/>
  <c r="Q681" i="53"/>
  <c r="T680" i="53"/>
  <c r="S680" i="53"/>
  <c r="R680" i="53"/>
  <c r="Q680" i="53"/>
  <c r="T679" i="53"/>
  <c r="S679" i="53"/>
  <c r="R679" i="53"/>
  <c r="Q679" i="53"/>
  <c r="T678" i="53"/>
  <c r="S678" i="53"/>
  <c r="R678" i="53"/>
  <c r="Q678" i="53"/>
  <c r="T677" i="53"/>
  <c r="S677" i="53"/>
  <c r="R677" i="53"/>
  <c r="Q677" i="53"/>
  <c r="T676" i="53"/>
  <c r="S676" i="53"/>
  <c r="R676" i="53"/>
  <c r="Q676" i="53"/>
  <c r="T675" i="53"/>
  <c r="S675" i="53"/>
  <c r="R675" i="53"/>
  <c r="Q675" i="53"/>
  <c r="T674" i="53"/>
  <c r="S674" i="53"/>
  <c r="R674" i="53"/>
  <c r="Q674" i="53"/>
  <c r="T673" i="53"/>
  <c r="S673" i="53"/>
  <c r="R673" i="53"/>
  <c r="Q673" i="53"/>
  <c r="T672" i="53"/>
  <c r="S672" i="53"/>
  <c r="R672" i="53"/>
  <c r="Q672" i="53"/>
  <c r="T671" i="53"/>
  <c r="S671" i="53"/>
  <c r="R671" i="53"/>
  <c r="Q671" i="53"/>
  <c r="T670" i="53"/>
  <c r="S670" i="53"/>
  <c r="R670" i="53"/>
  <c r="Q670" i="53"/>
  <c r="T669" i="53"/>
  <c r="S669" i="53"/>
  <c r="R669" i="53"/>
  <c r="Q669" i="53"/>
  <c r="T668" i="53"/>
  <c r="S668" i="53"/>
  <c r="R668" i="53"/>
  <c r="Q668" i="53"/>
  <c r="T667" i="53"/>
  <c r="S667" i="53"/>
  <c r="R667" i="53"/>
  <c r="Q667" i="53"/>
  <c r="T666" i="53"/>
  <c r="S666" i="53"/>
  <c r="R666" i="53"/>
  <c r="Q666" i="53"/>
  <c r="T665" i="53"/>
  <c r="S665" i="53"/>
  <c r="R665" i="53"/>
  <c r="Q665" i="53"/>
  <c r="T664" i="53"/>
  <c r="S664" i="53"/>
  <c r="R664" i="53"/>
  <c r="Q664" i="53"/>
  <c r="T663" i="53"/>
  <c r="S663" i="53"/>
  <c r="R663" i="53"/>
  <c r="Q663" i="53"/>
  <c r="T662" i="53"/>
  <c r="S662" i="53"/>
  <c r="R662" i="53"/>
  <c r="Q662" i="53"/>
  <c r="T661" i="53"/>
  <c r="S661" i="53"/>
  <c r="R661" i="53"/>
  <c r="Q661" i="53"/>
  <c r="T660" i="53"/>
  <c r="S660" i="53"/>
  <c r="R660" i="53"/>
  <c r="Q660" i="53"/>
  <c r="T659" i="53"/>
  <c r="S659" i="53"/>
  <c r="R659" i="53"/>
  <c r="Q659" i="53"/>
  <c r="T657" i="53"/>
  <c r="S657" i="53"/>
  <c r="R657" i="53"/>
  <c r="Q657" i="53"/>
  <c r="T656" i="53"/>
  <c r="S656" i="53"/>
  <c r="R656" i="53"/>
  <c r="Q656" i="53"/>
  <c r="Y651" i="53"/>
  <c r="X651" i="53"/>
  <c r="W651" i="53"/>
  <c r="V651" i="53"/>
  <c r="U651" i="53"/>
  <c r="T651" i="53"/>
  <c r="S651" i="53"/>
  <c r="R651" i="53"/>
  <c r="Q651" i="53"/>
  <c r="Y649" i="53"/>
  <c r="X649" i="53"/>
  <c r="W649" i="53"/>
  <c r="V649" i="53"/>
  <c r="U649" i="53"/>
  <c r="T649" i="53"/>
  <c r="S649" i="53"/>
  <c r="R649" i="53"/>
  <c r="Q649" i="53"/>
  <c r="Y648" i="53"/>
  <c r="X648" i="53"/>
  <c r="W648" i="53"/>
  <c r="V648" i="53"/>
  <c r="U648" i="53"/>
  <c r="T648" i="53"/>
  <c r="S648" i="53"/>
  <c r="R648" i="53"/>
  <c r="Q648" i="53"/>
  <c r="Y647" i="53"/>
  <c r="X647" i="53"/>
  <c r="W647" i="53"/>
  <c r="V647" i="53"/>
  <c r="U647" i="53"/>
  <c r="T647" i="53"/>
  <c r="S647" i="53"/>
  <c r="R647" i="53"/>
  <c r="Q647" i="53"/>
  <c r="Y646" i="53"/>
  <c r="X646" i="53"/>
  <c r="W646" i="53"/>
  <c r="V646" i="53"/>
  <c r="U646" i="53"/>
  <c r="T646" i="53"/>
  <c r="S646" i="53"/>
  <c r="R646" i="53"/>
  <c r="Q646" i="53"/>
  <c r="Y645" i="53"/>
  <c r="X645" i="53"/>
  <c r="W645" i="53"/>
  <c r="V645" i="53"/>
  <c r="U645" i="53"/>
  <c r="T645" i="53"/>
  <c r="S645" i="53"/>
  <c r="R645" i="53"/>
  <c r="Q645" i="53"/>
  <c r="Y644" i="53"/>
  <c r="X644" i="53"/>
  <c r="W644" i="53"/>
  <c r="V644" i="53"/>
  <c r="U644" i="53"/>
  <c r="T644" i="53"/>
  <c r="S644" i="53"/>
  <c r="R644" i="53"/>
  <c r="Q644" i="53"/>
  <c r="Y643" i="53"/>
  <c r="X643" i="53"/>
  <c r="W643" i="53"/>
  <c r="V643" i="53"/>
  <c r="U643" i="53"/>
  <c r="T643" i="53"/>
  <c r="S643" i="53"/>
  <c r="R643" i="53"/>
  <c r="Q643" i="53"/>
  <c r="Y642" i="53"/>
  <c r="X642" i="53"/>
  <c r="W642" i="53"/>
  <c r="V642" i="53"/>
  <c r="U642" i="53"/>
  <c r="T642" i="53"/>
  <c r="S642" i="53"/>
  <c r="R642" i="53"/>
  <c r="Q642" i="53"/>
  <c r="Y641" i="53"/>
  <c r="X641" i="53"/>
  <c r="W641" i="53"/>
  <c r="V641" i="53"/>
  <c r="U641" i="53"/>
  <c r="T641" i="53"/>
  <c r="S641" i="53"/>
  <c r="R641" i="53"/>
  <c r="Q641" i="53"/>
  <c r="Y640" i="53"/>
  <c r="X640" i="53"/>
  <c r="W640" i="53"/>
  <c r="V640" i="53"/>
  <c r="U640" i="53"/>
  <c r="T640" i="53"/>
  <c r="S640" i="53"/>
  <c r="R640" i="53"/>
  <c r="Q640" i="53"/>
  <c r="Y639" i="53"/>
  <c r="X639" i="53"/>
  <c r="W639" i="53"/>
  <c r="V639" i="53"/>
  <c r="U639" i="53"/>
  <c r="T639" i="53"/>
  <c r="S639" i="53"/>
  <c r="R639" i="53"/>
  <c r="Q639" i="53"/>
  <c r="Y638" i="53"/>
  <c r="X638" i="53"/>
  <c r="W638" i="53"/>
  <c r="V638" i="53"/>
  <c r="U638" i="53"/>
  <c r="T638" i="53"/>
  <c r="S638" i="53"/>
  <c r="R638" i="53"/>
  <c r="Q638" i="53"/>
  <c r="Y636" i="53"/>
  <c r="X636" i="53"/>
  <c r="W636" i="53"/>
  <c r="V636" i="53"/>
  <c r="U636" i="53"/>
  <c r="T636" i="53"/>
  <c r="S636" i="53"/>
  <c r="R636" i="53"/>
  <c r="Q636" i="53"/>
  <c r="Y635" i="53"/>
  <c r="X635" i="53"/>
  <c r="W635" i="53"/>
  <c r="V635" i="53"/>
  <c r="U635" i="53"/>
  <c r="T635" i="53"/>
  <c r="S635" i="53"/>
  <c r="R635" i="53"/>
  <c r="Q635" i="53"/>
  <c r="T631" i="53"/>
  <c r="S631" i="53"/>
  <c r="R631" i="53"/>
  <c r="Q631" i="53"/>
  <c r="T629" i="53"/>
  <c r="S629" i="53"/>
  <c r="R629" i="53"/>
  <c r="Q629" i="53"/>
  <c r="T627" i="53"/>
  <c r="S627" i="53"/>
  <c r="R627" i="53"/>
  <c r="Q627" i="53"/>
  <c r="T626" i="53"/>
  <c r="S626" i="53"/>
  <c r="R626" i="53"/>
  <c r="Q626" i="53"/>
  <c r="T624" i="53"/>
  <c r="S624" i="53"/>
  <c r="R624" i="53"/>
  <c r="Q624" i="53"/>
  <c r="T623" i="53"/>
  <c r="S623" i="53"/>
  <c r="R623" i="53"/>
  <c r="Q623" i="53"/>
  <c r="T622" i="53"/>
  <c r="S622" i="53"/>
  <c r="R622" i="53"/>
  <c r="Q622" i="53"/>
  <c r="T621" i="53"/>
  <c r="S621" i="53"/>
  <c r="R621" i="53"/>
  <c r="Q621" i="53"/>
  <c r="T619" i="53"/>
  <c r="S619" i="53"/>
  <c r="R619" i="53"/>
  <c r="Q619" i="53"/>
  <c r="T618" i="53"/>
  <c r="S618" i="53"/>
  <c r="R618" i="53"/>
  <c r="Q618" i="53"/>
  <c r="T615" i="53"/>
  <c r="S615" i="53"/>
  <c r="R615" i="53"/>
  <c r="Q615" i="53"/>
  <c r="T614" i="53"/>
  <c r="S614" i="53"/>
  <c r="R614" i="53"/>
  <c r="Q614" i="53"/>
  <c r="T613" i="53"/>
  <c r="S613" i="53"/>
  <c r="R613" i="53"/>
  <c r="Q613" i="53"/>
  <c r="T612" i="53"/>
  <c r="S612" i="53"/>
  <c r="R612" i="53"/>
  <c r="Q612" i="53"/>
  <c r="T611" i="53"/>
  <c r="S611" i="53"/>
  <c r="R611" i="53"/>
  <c r="Q611" i="53"/>
  <c r="T610" i="53"/>
  <c r="S610" i="53"/>
  <c r="R610" i="53"/>
  <c r="Q610" i="53"/>
  <c r="T609" i="53"/>
  <c r="S609" i="53"/>
  <c r="R609" i="53"/>
  <c r="Q609" i="53"/>
  <c r="T608" i="53"/>
  <c r="S608" i="53"/>
  <c r="R608" i="53"/>
  <c r="Q608" i="53"/>
  <c r="T607" i="53"/>
  <c r="S607" i="53"/>
  <c r="R607" i="53"/>
  <c r="Q607" i="53"/>
  <c r="T606" i="53"/>
  <c r="S606" i="53"/>
  <c r="R606" i="53"/>
  <c r="Q606" i="53"/>
  <c r="T605" i="53"/>
  <c r="S605" i="53"/>
  <c r="R605" i="53"/>
  <c r="Q605" i="53"/>
  <c r="T604" i="53"/>
  <c r="S604" i="53"/>
  <c r="R604" i="53"/>
  <c r="Q604" i="53"/>
  <c r="T596" i="53"/>
  <c r="S596" i="53"/>
  <c r="R596" i="53"/>
  <c r="Q596" i="53"/>
  <c r="T595" i="53"/>
  <c r="S595" i="53"/>
  <c r="R595" i="53"/>
  <c r="Q595" i="53"/>
  <c r="T594" i="53"/>
  <c r="S594" i="53"/>
  <c r="R594" i="53"/>
  <c r="Q594" i="53"/>
  <c r="T593" i="53"/>
  <c r="S593" i="53"/>
  <c r="R593" i="53"/>
  <c r="Q593" i="53"/>
  <c r="T592" i="53"/>
  <c r="S592" i="53"/>
  <c r="R592" i="53"/>
  <c r="Q592" i="53"/>
  <c r="T591" i="53"/>
  <c r="S591" i="53"/>
  <c r="R591" i="53"/>
  <c r="Q591" i="53"/>
  <c r="T590" i="53"/>
  <c r="S590" i="53"/>
  <c r="R590" i="53"/>
  <c r="Q590" i="53"/>
  <c r="T589" i="53"/>
  <c r="S589" i="53"/>
  <c r="R589" i="53"/>
  <c r="Q589" i="53"/>
  <c r="T588" i="53"/>
  <c r="S588" i="53"/>
  <c r="R588" i="53"/>
  <c r="Q588" i="53"/>
  <c r="T587" i="53"/>
  <c r="S587" i="53"/>
  <c r="R587" i="53"/>
  <c r="Q587" i="53"/>
  <c r="T586" i="53"/>
  <c r="S586" i="53"/>
  <c r="R586" i="53"/>
  <c r="Q586" i="53"/>
  <c r="T585" i="53"/>
  <c r="S585" i="53"/>
  <c r="R585" i="53"/>
  <c r="Q585" i="53"/>
  <c r="T584" i="53"/>
  <c r="S584" i="53"/>
  <c r="R584" i="53"/>
  <c r="Q584" i="53"/>
  <c r="T583" i="53"/>
  <c r="S583" i="53"/>
  <c r="R583" i="53"/>
  <c r="Q583" i="53"/>
  <c r="T582" i="53"/>
  <c r="S582" i="53"/>
  <c r="R582" i="53"/>
  <c r="Q582" i="53"/>
  <c r="T581" i="53"/>
  <c r="S581" i="53"/>
  <c r="R581" i="53"/>
  <c r="Q581" i="53"/>
  <c r="T580" i="53"/>
  <c r="S580" i="53"/>
  <c r="R580" i="53"/>
  <c r="Q580" i="53"/>
  <c r="T579" i="53"/>
  <c r="S579" i="53"/>
  <c r="R579" i="53"/>
  <c r="Q579" i="53"/>
  <c r="T578" i="53"/>
  <c r="S578" i="53"/>
  <c r="R578" i="53"/>
  <c r="Q578" i="53"/>
  <c r="T577" i="53"/>
  <c r="S577" i="53"/>
  <c r="R577" i="53"/>
  <c r="Q577" i="53"/>
  <c r="T576" i="53"/>
  <c r="S576" i="53"/>
  <c r="R576" i="53"/>
  <c r="Q576" i="53"/>
  <c r="T575" i="53"/>
  <c r="S575" i="53"/>
  <c r="R575" i="53"/>
  <c r="Q575" i="53"/>
  <c r="T574" i="53"/>
  <c r="S574" i="53"/>
  <c r="R574" i="53"/>
  <c r="Q574" i="53"/>
  <c r="T573" i="53"/>
  <c r="S573" i="53"/>
  <c r="R573" i="53"/>
  <c r="Q573" i="53"/>
  <c r="T572" i="53"/>
  <c r="S572" i="53"/>
  <c r="R572" i="53"/>
  <c r="Q572" i="53"/>
  <c r="T571" i="53"/>
  <c r="S571" i="53"/>
  <c r="R571" i="53"/>
  <c r="Q571" i="53"/>
  <c r="T570" i="53"/>
  <c r="S570" i="53"/>
  <c r="R570" i="53"/>
  <c r="Q570" i="53"/>
  <c r="T569" i="53"/>
  <c r="S569" i="53"/>
  <c r="R569" i="53"/>
  <c r="Q569" i="53"/>
  <c r="T568" i="53"/>
  <c r="S568" i="53"/>
  <c r="R568" i="53"/>
  <c r="Q568" i="53"/>
  <c r="T567" i="53"/>
  <c r="S567" i="53"/>
  <c r="R567" i="53"/>
  <c r="Q567" i="53"/>
  <c r="T566" i="53"/>
  <c r="S566" i="53"/>
  <c r="R566" i="53"/>
  <c r="Q566" i="53"/>
  <c r="T565" i="53"/>
  <c r="S565" i="53"/>
  <c r="R565" i="53"/>
  <c r="Q565" i="53"/>
  <c r="T564" i="53"/>
  <c r="S564" i="53"/>
  <c r="R564" i="53"/>
  <c r="Q564" i="53"/>
  <c r="T563" i="53"/>
  <c r="S563" i="53"/>
  <c r="R563" i="53"/>
  <c r="Q563" i="53"/>
  <c r="T562" i="53"/>
  <c r="S562" i="53"/>
  <c r="R562" i="53"/>
  <c r="Q562" i="53"/>
  <c r="T561" i="53"/>
  <c r="S561" i="53"/>
  <c r="R561" i="53"/>
  <c r="Q561" i="53"/>
  <c r="T560" i="53"/>
  <c r="S560" i="53"/>
  <c r="R560" i="53"/>
  <c r="Q560" i="53"/>
  <c r="T559" i="53"/>
  <c r="S559" i="53"/>
  <c r="R559" i="53"/>
  <c r="Q559" i="53"/>
  <c r="T558" i="53"/>
  <c r="S558" i="53"/>
  <c r="R558" i="53"/>
  <c r="Q558" i="53"/>
  <c r="T557" i="53"/>
  <c r="S557" i="53"/>
  <c r="R557" i="53"/>
  <c r="Q557" i="53"/>
  <c r="T556" i="53"/>
  <c r="S556" i="53"/>
  <c r="R556" i="53"/>
  <c r="Q556" i="53"/>
  <c r="T555" i="53"/>
  <c r="S555" i="53"/>
  <c r="R555" i="53"/>
  <c r="Q555" i="53"/>
  <c r="T554" i="53"/>
  <c r="S554" i="53"/>
  <c r="R554" i="53"/>
  <c r="Q554" i="53"/>
  <c r="T553" i="53"/>
  <c r="S553" i="53"/>
  <c r="R553" i="53"/>
  <c r="Q553" i="53"/>
  <c r="T552" i="53"/>
  <c r="S552" i="53"/>
  <c r="R552" i="53"/>
  <c r="Q552" i="53"/>
  <c r="T551" i="53"/>
  <c r="S551" i="53"/>
  <c r="R551" i="53"/>
  <c r="Q551" i="53"/>
  <c r="T550" i="53"/>
  <c r="S550" i="53"/>
  <c r="R550" i="53"/>
  <c r="Q550" i="53"/>
  <c r="T549" i="53"/>
  <c r="S549" i="53"/>
  <c r="R549" i="53"/>
  <c r="Q549" i="53"/>
  <c r="T548" i="53"/>
  <c r="S548" i="53"/>
  <c r="R548" i="53"/>
  <c r="Q548" i="53"/>
  <c r="T547" i="53"/>
  <c r="S547" i="53"/>
  <c r="R547" i="53"/>
  <c r="Q547" i="53"/>
  <c r="T546" i="53"/>
  <c r="S546" i="53"/>
  <c r="R546" i="53"/>
  <c r="Q546" i="53"/>
  <c r="T545" i="53"/>
  <c r="S545" i="53"/>
  <c r="R545" i="53"/>
  <c r="Q545" i="53"/>
  <c r="T544" i="53"/>
  <c r="S544" i="53"/>
  <c r="R544" i="53"/>
  <c r="Q544" i="53"/>
  <c r="T543" i="53"/>
  <c r="S543" i="53"/>
  <c r="R543" i="53"/>
  <c r="Q543" i="53"/>
  <c r="T542" i="53"/>
  <c r="S542" i="53"/>
  <c r="R542" i="53"/>
  <c r="Q542" i="53"/>
  <c r="T541" i="53"/>
  <c r="S541" i="53"/>
  <c r="R541" i="53"/>
  <c r="Q541" i="53"/>
  <c r="T540" i="53"/>
  <c r="S540" i="53"/>
  <c r="R540" i="53"/>
  <c r="Q540" i="53"/>
  <c r="T539" i="53"/>
  <c r="S539" i="53"/>
  <c r="R539" i="53"/>
  <c r="Q539" i="53"/>
  <c r="T538" i="53"/>
  <c r="S538" i="53"/>
  <c r="R538" i="53"/>
  <c r="Q538" i="53"/>
  <c r="T537" i="53"/>
  <c r="S537" i="53"/>
  <c r="R537" i="53"/>
  <c r="Q537" i="53"/>
  <c r="T536" i="53"/>
  <c r="S536" i="53"/>
  <c r="R536" i="53"/>
  <c r="Q536" i="53"/>
  <c r="T535" i="53"/>
  <c r="S535" i="53"/>
  <c r="R535" i="53"/>
  <c r="Q535" i="53"/>
  <c r="T527" i="53"/>
  <c r="S527" i="53"/>
  <c r="R527" i="53"/>
  <c r="Q527" i="53"/>
  <c r="T526" i="53"/>
  <c r="S526" i="53"/>
  <c r="R526" i="53"/>
  <c r="Q526" i="53"/>
  <c r="T525" i="53"/>
  <c r="S525" i="53"/>
  <c r="R525" i="53"/>
  <c r="Q525" i="53"/>
  <c r="T524" i="53"/>
  <c r="S524" i="53"/>
  <c r="R524" i="53"/>
  <c r="Q524" i="53"/>
  <c r="T523" i="53"/>
  <c r="S523" i="53"/>
  <c r="R523" i="53"/>
  <c r="Q523" i="53"/>
  <c r="T522" i="53"/>
  <c r="S522" i="53"/>
  <c r="R522" i="53"/>
  <c r="Q522" i="53"/>
  <c r="T521" i="53"/>
  <c r="S521" i="53"/>
  <c r="R521" i="53"/>
  <c r="Q521" i="53"/>
  <c r="T520" i="53"/>
  <c r="S520" i="53"/>
  <c r="R520" i="53"/>
  <c r="Q520" i="53"/>
  <c r="T519" i="53"/>
  <c r="S519" i="53"/>
  <c r="R519" i="53"/>
  <c r="Q519" i="53"/>
  <c r="T518" i="53"/>
  <c r="S518" i="53"/>
  <c r="R518" i="53"/>
  <c r="Q518" i="53"/>
  <c r="T517" i="53"/>
  <c r="S517" i="53"/>
  <c r="R517" i="53"/>
  <c r="Q517" i="53"/>
  <c r="T516" i="53"/>
  <c r="S516" i="53"/>
  <c r="R516" i="53"/>
  <c r="Q516" i="53"/>
  <c r="T515" i="53"/>
  <c r="S515" i="53"/>
  <c r="R515" i="53"/>
  <c r="Q515" i="53"/>
  <c r="T514" i="53"/>
  <c r="S514" i="53"/>
  <c r="R514" i="53"/>
  <c r="Q514" i="53"/>
  <c r="T513" i="53"/>
  <c r="S513" i="53"/>
  <c r="R513" i="53"/>
  <c r="Q513" i="53"/>
  <c r="T512" i="53"/>
  <c r="S512" i="53"/>
  <c r="R512" i="53"/>
  <c r="Q512" i="53"/>
  <c r="T511" i="53"/>
  <c r="S511" i="53"/>
  <c r="R511" i="53"/>
  <c r="Q511" i="53"/>
  <c r="T510" i="53"/>
  <c r="S510" i="53"/>
  <c r="R510" i="53"/>
  <c r="Q510" i="53"/>
  <c r="T509" i="53"/>
  <c r="S509" i="53"/>
  <c r="R509" i="53"/>
  <c r="Q509" i="53"/>
  <c r="T508" i="53"/>
  <c r="S508" i="53"/>
  <c r="R508" i="53"/>
  <c r="Q508" i="53"/>
  <c r="T507" i="53"/>
  <c r="S507" i="53"/>
  <c r="R507" i="53"/>
  <c r="Q507" i="53"/>
  <c r="T506" i="53"/>
  <c r="S506" i="53"/>
  <c r="R506" i="53"/>
  <c r="Q506" i="53"/>
  <c r="T505" i="53"/>
  <c r="S505" i="53"/>
  <c r="R505" i="53"/>
  <c r="Q505" i="53"/>
  <c r="T504" i="53"/>
  <c r="S504" i="53"/>
  <c r="R504" i="53"/>
  <c r="Q504" i="53"/>
  <c r="T503" i="53"/>
  <c r="S503" i="53"/>
  <c r="R503" i="53"/>
  <c r="Q503" i="53"/>
  <c r="T502" i="53"/>
  <c r="S502" i="53"/>
  <c r="R502" i="53"/>
  <c r="Q502" i="53"/>
  <c r="T501" i="53"/>
  <c r="S501" i="53"/>
  <c r="R501" i="53"/>
  <c r="Q501" i="53"/>
  <c r="T500" i="53"/>
  <c r="S500" i="53"/>
  <c r="R500" i="53"/>
  <c r="Q500" i="53"/>
  <c r="T493" i="53"/>
  <c r="S493" i="53"/>
  <c r="R493" i="53"/>
  <c r="Q493" i="53"/>
  <c r="T492" i="53"/>
  <c r="S492" i="53"/>
  <c r="R492" i="53"/>
  <c r="Q492" i="53"/>
  <c r="T491" i="53"/>
  <c r="S491" i="53"/>
  <c r="R491" i="53"/>
  <c r="Q491" i="53"/>
  <c r="T490" i="53"/>
  <c r="S490" i="53"/>
  <c r="R490" i="53"/>
  <c r="Q490" i="53"/>
  <c r="T489" i="53"/>
  <c r="S489" i="53"/>
  <c r="R489" i="53"/>
  <c r="Q489" i="53"/>
  <c r="T488" i="53"/>
  <c r="S488" i="53"/>
  <c r="R488" i="53"/>
  <c r="Q488" i="53"/>
  <c r="T487" i="53"/>
  <c r="S487" i="53"/>
  <c r="R487" i="53"/>
  <c r="Q487" i="53"/>
  <c r="T486" i="53"/>
  <c r="S486" i="53"/>
  <c r="R486" i="53"/>
  <c r="Q486" i="53"/>
  <c r="T485" i="53"/>
  <c r="S485" i="53"/>
  <c r="R485" i="53"/>
  <c r="Q485" i="53"/>
  <c r="T484" i="53"/>
  <c r="S484" i="53"/>
  <c r="R484" i="53"/>
  <c r="Q484" i="53"/>
  <c r="T483" i="53"/>
  <c r="S483" i="53"/>
  <c r="R483" i="53"/>
  <c r="Q483" i="53"/>
  <c r="T482" i="53"/>
  <c r="S482" i="53"/>
  <c r="R482" i="53"/>
  <c r="Q482" i="53"/>
  <c r="T481" i="53"/>
  <c r="S481" i="53"/>
  <c r="R481" i="53"/>
  <c r="Q481" i="53"/>
  <c r="T480" i="53"/>
  <c r="S480" i="53"/>
  <c r="R480" i="53"/>
  <c r="Q480" i="53"/>
  <c r="T479" i="53"/>
  <c r="S479" i="53"/>
  <c r="R479" i="53"/>
  <c r="Q479" i="53"/>
  <c r="T478" i="53"/>
  <c r="S478" i="53"/>
  <c r="R478" i="53"/>
  <c r="Q478" i="53"/>
  <c r="T477" i="53"/>
  <c r="S477" i="53"/>
  <c r="R477" i="53"/>
  <c r="Q477" i="53"/>
  <c r="T476" i="53"/>
  <c r="S476" i="53"/>
  <c r="R476" i="53"/>
  <c r="Q476" i="53"/>
  <c r="T475" i="53"/>
  <c r="S475" i="53"/>
  <c r="R475" i="53"/>
  <c r="Q475" i="53"/>
  <c r="T474" i="53"/>
  <c r="S474" i="53"/>
  <c r="R474" i="53"/>
  <c r="Q474" i="53"/>
  <c r="T473" i="53"/>
  <c r="S473" i="53"/>
  <c r="R473" i="53"/>
  <c r="Q473" i="53"/>
  <c r="T472" i="53"/>
  <c r="S472" i="53"/>
  <c r="R472" i="53"/>
  <c r="Q472" i="53"/>
  <c r="T471" i="53"/>
  <c r="S471" i="53"/>
  <c r="R471" i="53"/>
  <c r="Q471" i="53"/>
  <c r="T470" i="53"/>
  <c r="S470" i="53"/>
  <c r="R470" i="53"/>
  <c r="Q470" i="53"/>
  <c r="T469" i="53"/>
  <c r="S469" i="53"/>
  <c r="R469" i="53"/>
  <c r="Q469" i="53"/>
  <c r="T468" i="53"/>
  <c r="S468" i="53"/>
  <c r="R468" i="53"/>
  <c r="Q468" i="53"/>
  <c r="T466" i="53"/>
  <c r="S466" i="53"/>
  <c r="R466" i="53"/>
  <c r="Q466" i="53"/>
  <c r="T465" i="53"/>
  <c r="S465" i="53"/>
  <c r="R465" i="53"/>
  <c r="Q465" i="53"/>
  <c r="T464" i="53"/>
  <c r="S464" i="53"/>
  <c r="R464" i="53"/>
  <c r="Q464" i="53"/>
  <c r="T463" i="53"/>
  <c r="S463" i="53"/>
  <c r="R463" i="53"/>
  <c r="Q463" i="53"/>
  <c r="T462" i="53"/>
  <c r="S462" i="53"/>
  <c r="R462" i="53"/>
  <c r="Q462" i="53"/>
  <c r="T461" i="53"/>
  <c r="S461" i="53"/>
  <c r="R461" i="53"/>
  <c r="Q461" i="53"/>
  <c r="T452" i="53"/>
  <c r="S452" i="53"/>
  <c r="R452" i="53"/>
  <c r="Q452" i="53"/>
  <c r="T451" i="53"/>
  <c r="S451" i="53"/>
  <c r="R451" i="53"/>
  <c r="Q451" i="53"/>
  <c r="T450" i="53"/>
  <c r="S450" i="53"/>
  <c r="R450" i="53"/>
  <c r="Q450" i="53"/>
  <c r="T449" i="53"/>
  <c r="S449" i="53"/>
  <c r="R449" i="53"/>
  <c r="Q449" i="53"/>
  <c r="T448" i="53"/>
  <c r="S448" i="53"/>
  <c r="R448" i="53"/>
  <c r="Q448" i="53"/>
  <c r="T447" i="53"/>
  <c r="S447" i="53"/>
  <c r="R447" i="53"/>
  <c r="Q447" i="53"/>
  <c r="Y440" i="53"/>
  <c r="X440" i="53"/>
  <c r="W440" i="53"/>
  <c r="V440" i="53"/>
  <c r="U440" i="53"/>
  <c r="T440" i="53"/>
  <c r="S440" i="53"/>
  <c r="R440" i="53"/>
  <c r="Q440" i="53"/>
  <c r="Y439" i="53"/>
  <c r="X439" i="53"/>
  <c r="W439" i="53"/>
  <c r="V439" i="53"/>
  <c r="U439" i="53"/>
  <c r="T439" i="53"/>
  <c r="S439" i="53"/>
  <c r="R439" i="53"/>
  <c r="Q439" i="53"/>
  <c r="Y438" i="53"/>
  <c r="X438" i="53"/>
  <c r="W438" i="53"/>
  <c r="V438" i="53"/>
  <c r="U438" i="53"/>
  <c r="T438" i="53"/>
  <c r="S438" i="53"/>
  <c r="R438" i="53"/>
  <c r="Q438" i="53"/>
  <c r="Y437" i="53"/>
  <c r="X437" i="53"/>
  <c r="W437" i="53"/>
  <c r="V437" i="53"/>
  <c r="U437" i="53"/>
  <c r="T437" i="53"/>
  <c r="S437" i="53"/>
  <c r="R437" i="53"/>
  <c r="Q437" i="53"/>
  <c r="Y436" i="53"/>
  <c r="X436" i="53"/>
  <c r="W436" i="53"/>
  <c r="V436" i="53"/>
  <c r="U436" i="53"/>
  <c r="T436" i="53"/>
  <c r="S436" i="53"/>
  <c r="R436" i="53"/>
  <c r="Q436" i="53"/>
  <c r="Y431" i="53"/>
  <c r="X431" i="53"/>
  <c r="W431" i="53"/>
  <c r="V431" i="53"/>
  <c r="U431" i="53"/>
  <c r="T431" i="53"/>
  <c r="S431" i="53"/>
  <c r="R431" i="53"/>
  <c r="Q431" i="53"/>
  <c r="Y429" i="53"/>
  <c r="X429" i="53"/>
  <c r="W429" i="53"/>
  <c r="V429" i="53"/>
  <c r="U429" i="53"/>
  <c r="T429" i="53"/>
  <c r="S429" i="53"/>
  <c r="R429" i="53"/>
  <c r="Q429" i="53"/>
  <c r="Y422" i="53"/>
  <c r="X422" i="53"/>
  <c r="W422" i="53"/>
  <c r="V422" i="53"/>
  <c r="U422" i="53"/>
  <c r="T422" i="53"/>
  <c r="S422" i="53"/>
  <c r="R422" i="53"/>
  <c r="Q422" i="53"/>
  <c r="Y421" i="53"/>
  <c r="X421" i="53"/>
  <c r="W421" i="53"/>
  <c r="V421" i="53"/>
  <c r="U421" i="53"/>
  <c r="T421" i="53"/>
  <c r="S421" i="53"/>
  <c r="R421" i="53"/>
  <c r="Q421" i="53"/>
  <c r="Y420" i="53"/>
  <c r="X420" i="53"/>
  <c r="W420" i="53"/>
  <c r="V420" i="53"/>
  <c r="U420" i="53"/>
  <c r="T420" i="53"/>
  <c r="S420" i="53"/>
  <c r="R420" i="53"/>
  <c r="Q420" i="53"/>
  <c r="Y419" i="53"/>
  <c r="X419" i="53"/>
  <c r="W419" i="53"/>
  <c r="V419" i="53"/>
  <c r="U419" i="53"/>
  <c r="T419" i="53"/>
  <c r="S419" i="53"/>
  <c r="R419" i="53"/>
  <c r="Q419" i="53"/>
  <c r="Y418" i="53"/>
  <c r="X418" i="53"/>
  <c r="W418" i="53"/>
  <c r="V418" i="53"/>
  <c r="U418" i="53"/>
  <c r="T418" i="53"/>
  <c r="S418" i="53"/>
  <c r="R418" i="53"/>
  <c r="Q418" i="53"/>
  <c r="Y414" i="53"/>
  <c r="X414" i="53"/>
  <c r="W414" i="53"/>
  <c r="V414" i="53"/>
  <c r="U414" i="53"/>
  <c r="T414" i="53"/>
  <c r="S414" i="53"/>
  <c r="R414" i="53"/>
  <c r="Q414" i="53"/>
  <c r="Y413" i="53"/>
  <c r="X413" i="53"/>
  <c r="W413" i="53"/>
  <c r="V413" i="53"/>
  <c r="U413" i="53"/>
  <c r="T413" i="53"/>
  <c r="S413" i="53"/>
  <c r="R413" i="53"/>
  <c r="Q413" i="53"/>
  <c r="Y412" i="53"/>
  <c r="X412" i="53"/>
  <c r="W412" i="53"/>
  <c r="V412" i="53"/>
  <c r="U412" i="53"/>
  <c r="T412" i="53"/>
  <c r="S412" i="53"/>
  <c r="R412" i="53"/>
  <c r="Q412" i="53"/>
  <c r="Y408" i="53"/>
  <c r="X408" i="53"/>
  <c r="W408" i="53"/>
  <c r="V408" i="53"/>
  <c r="U408" i="53"/>
  <c r="T408" i="53"/>
  <c r="S408" i="53"/>
  <c r="R408" i="53"/>
  <c r="Q408" i="53"/>
  <c r="Y407" i="53"/>
  <c r="X407" i="53"/>
  <c r="W407" i="53"/>
  <c r="V407" i="53"/>
  <c r="U407" i="53"/>
  <c r="T407" i="53"/>
  <c r="S407" i="53"/>
  <c r="R407" i="53"/>
  <c r="Q407" i="53"/>
  <c r="Y406" i="53"/>
  <c r="X406" i="53"/>
  <c r="W406" i="53"/>
  <c r="V406" i="53"/>
  <c r="U406" i="53"/>
  <c r="T406" i="53"/>
  <c r="S406" i="53"/>
  <c r="R406" i="53"/>
  <c r="Q406" i="53"/>
  <c r="Y403" i="53"/>
  <c r="X403" i="53"/>
  <c r="W403" i="53"/>
  <c r="V403" i="53"/>
  <c r="U403" i="53"/>
  <c r="T403" i="53"/>
  <c r="S403" i="53"/>
  <c r="R403" i="53"/>
  <c r="Q403" i="53"/>
  <c r="Y399" i="53"/>
  <c r="X399" i="53"/>
  <c r="W399" i="53"/>
  <c r="V399" i="53"/>
  <c r="U399" i="53"/>
  <c r="T399" i="53"/>
  <c r="S399" i="53"/>
  <c r="R399" i="53"/>
  <c r="Q399" i="53"/>
  <c r="Y397" i="53"/>
  <c r="X397" i="53"/>
  <c r="W397" i="53"/>
  <c r="V397" i="53"/>
  <c r="U397" i="53"/>
  <c r="T397" i="53"/>
  <c r="S397" i="53"/>
  <c r="R397" i="53"/>
  <c r="Q397" i="53"/>
  <c r="Y391" i="53"/>
  <c r="X391" i="53"/>
  <c r="W391" i="53"/>
  <c r="V391" i="53"/>
  <c r="U391" i="53"/>
  <c r="T391" i="53"/>
  <c r="S391" i="53"/>
  <c r="R391" i="53"/>
  <c r="Q391" i="53"/>
  <c r="Y390" i="53"/>
  <c r="X390" i="53"/>
  <c r="W390" i="53"/>
  <c r="V390" i="53"/>
  <c r="U390" i="53"/>
  <c r="T390" i="53"/>
  <c r="S390" i="53"/>
  <c r="R390" i="53"/>
  <c r="Q390" i="53"/>
  <c r="Y389" i="53"/>
  <c r="X389" i="53"/>
  <c r="W389" i="53"/>
  <c r="V389" i="53"/>
  <c r="U389" i="53"/>
  <c r="T389" i="53"/>
  <c r="S389" i="53"/>
  <c r="R389" i="53"/>
  <c r="Q389" i="53"/>
  <c r="Y388" i="53"/>
  <c r="X388" i="53"/>
  <c r="W388" i="53"/>
  <c r="V388" i="53"/>
  <c r="U388" i="53"/>
  <c r="T388" i="53"/>
  <c r="S388" i="53"/>
  <c r="R388" i="53"/>
  <c r="Q388" i="53"/>
  <c r="Y387" i="53"/>
  <c r="X387" i="53"/>
  <c r="W387" i="53"/>
  <c r="V387" i="53"/>
  <c r="U387" i="53"/>
  <c r="T387" i="53"/>
  <c r="S387" i="53"/>
  <c r="R387" i="53"/>
  <c r="Q387" i="53"/>
  <c r="Y386" i="53"/>
  <c r="X386" i="53"/>
  <c r="W386" i="53"/>
  <c r="V386" i="53"/>
  <c r="U386" i="53"/>
  <c r="T386" i="53"/>
  <c r="S386" i="53"/>
  <c r="R386" i="53"/>
  <c r="Q386" i="53"/>
  <c r="Y385" i="53"/>
  <c r="X385" i="53"/>
  <c r="W385" i="53"/>
  <c r="V385" i="53"/>
  <c r="U385" i="53"/>
  <c r="T385" i="53"/>
  <c r="S385" i="53"/>
  <c r="R385" i="53"/>
  <c r="Q385" i="53"/>
  <c r="Y381" i="53"/>
  <c r="X381" i="53"/>
  <c r="W381" i="53"/>
  <c r="V381" i="53"/>
  <c r="U381" i="53"/>
  <c r="T381" i="53"/>
  <c r="S381" i="53"/>
  <c r="R381" i="53"/>
  <c r="Q381" i="53"/>
  <c r="Y378" i="53"/>
  <c r="X378" i="53"/>
  <c r="W378" i="53"/>
  <c r="V378" i="53"/>
  <c r="U378" i="53"/>
  <c r="T378" i="53"/>
  <c r="S378" i="53"/>
  <c r="R378" i="53"/>
  <c r="Q378" i="53"/>
  <c r="Y377" i="53"/>
  <c r="X377" i="53"/>
  <c r="W377" i="53"/>
  <c r="V377" i="53"/>
  <c r="U377" i="53"/>
  <c r="T377" i="53"/>
  <c r="S377" i="53"/>
  <c r="R377" i="53"/>
  <c r="Q377" i="53"/>
  <c r="Y373" i="53"/>
  <c r="X373" i="53"/>
  <c r="W373" i="53"/>
  <c r="V373" i="53"/>
  <c r="U373" i="53"/>
  <c r="T373" i="53"/>
  <c r="S373" i="53"/>
  <c r="R373" i="53"/>
  <c r="Q373" i="53"/>
  <c r="Y371" i="53"/>
  <c r="X371" i="53"/>
  <c r="W371" i="53"/>
  <c r="V371" i="53"/>
  <c r="U371" i="53"/>
  <c r="T371" i="53"/>
  <c r="S371" i="53"/>
  <c r="R371" i="53"/>
  <c r="Q371" i="53"/>
  <c r="Y370" i="53"/>
  <c r="X370" i="53"/>
  <c r="W370" i="53"/>
  <c r="V370" i="53"/>
  <c r="U370" i="53"/>
  <c r="T370" i="53"/>
  <c r="S370" i="53"/>
  <c r="R370" i="53"/>
  <c r="Q370" i="53"/>
  <c r="Y369" i="53"/>
  <c r="X369" i="53"/>
  <c r="W369" i="53"/>
  <c r="V369" i="53"/>
  <c r="U369" i="53"/>
  <c r="T369" i="53"/>
  <c r="S369" i="53"/>
  <c r="R369" i="53"/>
  <c r="Q369" i="53"/>
  <c r="Y368" i="53"/>
  <c r="X368" i="53"/>
  <c r="W368" i="53"/>
  <c r="V368" i="53"/>
  <c r="U368" i="53"/>
  <c r="T368" i="53"/>
  <c r="S368" i="53"/>
  <c r="R368" i="53"/>
  <c r="Q368" i="53"/>
  <c r="Y364" i="53"/>
  <c r="X364" i="53"/>
  <c r="W364" i="53"/>
  <c r="V364" i="53"/>
  <c r="U364" i="53"/>
  <c r="T364" i="53"/>
  <c r="S364" i="53"/>
  <c r="R364" i="53"/>
  <c r="Q364" i="53"/>
  <c r="Y363" i="53"/>
  <c r="X363" i="53"/>
  <c r="W363" i="53"/>
  <c r="V363" i="53"/>
  <c r="U363" i="53"/>
  <c r="T363" i="53"/>
  <c r="S363" i="53"/>
  <c r="R363" i="53"/>
  <c r="Q363" i="53"/>
  <c r="Y362" i="53"/>
  <c r="X362" i="53"/>
  <c r="W362" i="53"/>
  <c r="V362" i="53"/>
  <c r="U362" i="53"/>
  <c r="T362" i="53"/>
  <c r="S362" i="53"/>
  <c r="R362" i="53"/>
  <c r="Q362" i="53"/>
  <c r="Y361" i="53"/>
  <c r="X361" i="53"/>
  <c r="W361" i="53"/>
  <c r="V361" i="53"/>
  <c r="U361" i="53"/>
  <c r="T361" i="53"/>
  <c r="S361" i="53"/>
  <c r="R361" i="53"/>
  <c r="Q361" i="53"/>
  <c r="Y360" i="53"/>
  <c r="X360" i="53"/>
  <c r="W360" i="53"/>
  <c r="V360" i="53"/>
  <c r="U360" i="53"/>
  <c r="T360" i="53"/>
  <c r="S360" i="53"/>
  <c r="R360" i="53"/>
  <c r="Q360" i="53"/>
  <c r="Y359" i="53"/>
  <c r="X359" i="53"/>
  <c r="W359" i="53"/>
  <c r="V359" i="53"/>
  <c r="U359" i="53"/>
  <c r="T359" i="53"/>
  <c r="S359" i="53"/>
  <c r="R359" i="53"/>
  <c r="Q359" i="53"/>
  <c r="Y358" i="53"/>
  <c r="X358" i="53"/>
  <c r="W358" i="53"/>
  <c r="V358" i="53"/>
  <c r="U358" i="53"/>
  <c r="T358" i="53"/>
  <c r="S358" i="53"/>
  <c r="R358" i="53"/>
  <c r="Q358" i="53"/>
  <c r="Y357" i="53"/>
  <c r="X357" i="53"/>
  <c r="W357" i="53"/>
  <c r="V357" i="53"/>
  <c r="U357" i="53"/>
  <c r="T357" i="53"/>
  <c r="S357" i="53"/>
  <c r="R357" i="53"/>
  <c r="Q357" i="53"/>
  <c r="Y353" i="53"/>
  <c r="X353" i="53"/>
  <c r="W353" i="53"/>
  <c r="V353" i="53"/>
  <c r="U353" i="53"/>
  <c r="T353" i="53"/>
  <c r="S353" i="53"/>
  <c r="R353" i="53"/>
  <c r="Q353" i="53"/>
  <c r="Y351" i="53"/>
  <c r="X351" i="53"/>
  <c r="W351" i="53"/>
  <c r="V351" i="53"/>
  <c r="U351" i="53"/>
  <c r="T351" i="53"/>
  <c r="S351" i="53"/>
  <c r="R351" i="53"/>
  <c r="Q351" i="53"/>
  <c r="Y350" i="53"/>
  <c r="X350" i="53"/>
  <c r="W350" i="53"/>
  <c r="V350" i="53"/>
  <c r="U350" i="53"/>
  <c r="T350" i="53"/>
  <c r="S350" i="53"/>
  <c r="R350" i="53"/>
  <c r="Q350" i="53"/>
  <c r="Y349" i="53"/>
  <c r="X349" i="53"/>
  <c r="W349" i="53"/>
  <c r="V349" i="53"/>
  <c r="U349" i="53"/>
  <c r="T349" i="53"/>
  <c r="S349" i="53"/>
  <c r="R349" i="53"/>
  <c r="Q349" i="53"/>
  <c r="Y348" i="53"/>
  <c r="X348" i="53"/>
  <c r="W348" i="53"/>
  <c r="V348" i="53"/>
  <c r="U348" i="53"/>
  <c r="T348" i="53"/>
  <c r="S348" i="53"/>
  <c r="R348" i="53"/>
  <c r="Q348" i="53"/>
  <c r="Y347" i="53"/>
  <c r="X347" i="53"/>
  <c r="W347" i="53"/>
  <c r="V347" i="53"/>
  <c r="U347" i="53"/>
  <c r="T347" i="53"/>
  <c r="S347" i="53"/>
  <c r="R347" i="53"/>
  <c r="Q347" i="53"/>
  <c r="Y346" i="53"/>
  <c r="X346" i="53"/>
  <c r="W346" i="53"/>
  <c r="V346" i="53"/>
  <c r="U346" i="53"/>
  <c r="T346" i="53"/>
  <c r="S346" i="53"/>
  <c r="R346" i="53"/>
  <c r="Q346" i="53"/>
  <c r="Y345" i="53"/>
  <c r="X345" i="53"/>
  <c r="W345" i="53"/>
  <c r="V345" i="53"/>
  <c r="U345" i="53"/>
  <c r="T345" i="53"/>
  <c r="S345" i="53"/>
  <c r="R345" i="53"/>
  <c r="Q345" i="53"/>
  <c r="Y344" i="53"/>
  <c r="X344" i="53"/>
  <c r="W344" i="53"/>
  <c r="V344" i="53"/>
  <c r="U344" i="53"/>
  <c r="T344" i="53"/>
  <c r="S344" i="53"/>
  <c r="R344" i="53"/>
  <c r="Q344" i="53"/>
  <c r="Y343" i="53"/>
  <c r="X343" i="53"/>
  <c r="W343" i="53"/>
  <c r="V343" i="53"/>
  <c r="U343" i="53"/>
  <c r="T343" i="53"/>
  <c r="S343" i="53"/>
  <c r="R343" i="53"/>
  <c r="Q343" i="53"/>
  <c r="Y342" i="53"/>
  <c r="X342" i="53"/>
  <c r="W342" i="53"/>
  <c r="V342" i="53"/>
  <c r="U342" i="53"/>
  <c r="T342" i="53"/>
  <c r="S342" i="53"/>
  <c r="R342" i="53"/>
  <c r="Q342" i="53"/>
  <c r="Y341" i="53"/>
  <c r="X341" i="53"/>
  <c r="W341" i="53"/>
  <c r="V341" i="53"/>
  <c r="U341" i="53"/>
  <c r="T341" i="53"/>
  <c r="S341" i="53"/>
  <c r="R341" i="53"/>
  <c r="Q341" i="53"/>
  <c r="Y340" i="53"/>
  <c r="X340" i="53"/>
  <c r="W340" i="53"/>
  <c r="V340" i="53"/>
  <c r="U340" i="53"/>
  <c r="T340" i="53"/>
  <c r="S340" i="53"/>
  <c r="R340" i="53"/>
  <c r="Q340" i="53"/>
  <c r="Y339" i="53"/>
  <c r="X339" i="53"/>
  <c r="W339" i="53"/>
  <c r="V339" i="53"/>
  <c r="U339" i="53"/>
  <c r="T339" i="53"/>
  <c r="S339" i="53"/>
  <c r="R339" i="53"/>
  <c r="Q339" i="53"/>
  <c r="Y338" i="53"/>
  <c r="X338" i="53"/>
  <c r="W338" i="53"/>
  <c r="V338" i="53"/>
  <c r="U338" i="53"/>
  <c r="T338" i="53"/>
  <c r="S338" i="53"/>
  <c r="R338" i="53"/>
  <c r="Q338" i="53"/>
  <c r="Y337" i="53"/>
  <c r="X337" i="53"/>
  <c r="W337" i="53"/>
  <c r="V337" i="53"/>
  <c r="U337" i="53"/>
  <c r="T337" i="53"/>
  <c r="S337" i="53"/>
  <c r="R337" i="53"/>
  <c r="Q337" i="53"/>
  <c r="Y336" i="53"/>
  <c r="X336" i="53"/>
  <c r="W336" i="53"/>
  <c r="V336" i="53"/>
  <c r="U336" i="53"/>
  <c r="T336" i="53"/>
  <c r="S336" i="53"/>
  <c r="R336" i="53"/>
  <c r="Q336" i="53"/>
  <c r="Y335" i="53"/>
  <c r="X335" i="53"/>
  <c r="W335" i="53"/>
  <c r="V335" i="53"/>
  <c r="U335" i="53"/>
  <c r="T335" i="53"/>
  <c r="S335" i="53"/>
  <c r="R335" i="53"/>
  <c r="Q335" i="53"/>
  <c r="Y334" i="53"/>
  <c r="X334" i="53"/>
  <c r="W334" i="53"/>
  <c r="V334" i="53"/>
  <c r="U334" i="53"/>
  <c r="T334" i="53"/>
  <c r="S334" i="53"/>
  <c r="R334" i="53"/>
  <c r="Q334" i="53"/>
  <c r="Y333" i="53"/>
  <c r="X333" i="53"/>
  <c r="W333" i="53"/>
  <c r="V333" i="53"/>
  <c r="U333" i="53"/>
  <c r="T333" i="53"/>
  <c r="S333" i="53"/>
  <c r="R333" i="53"/>
  <c r="Q333" i="53"/>
  <c r="Y332" i="53"/>
  <c r="X332" i="53"/>
  <c r="W332" i="53"/>
  <c r="V332" i="53"/>
  <c r="U332" i="53"/>
  <c r="T332" i="53"/>
  <c r="S332" i="53"/>
  <c r="R332" i="53"/>
  <c r="Q332" i="53"/>
  <c r="Y331" i="53"/>
  <c r="X331" i="53"/>
  <c r="W331" i="53"/>
  <c r="V331" i="53"/>
  <c r="U331" i="53"/>
  <c r="T331" i="53"/>
  <c r="S331" i="53"/>
  <c r="R331" i="53"/>
  <c r="Q331" i="53"/>
  <c r="Y327" i="53"/>
  <c r="X327" i="53"/>
  <c r="W327" i="53"/>
  <c r="V327" i="53"/>
  <c r="U327" i="53"/>
  <c r="T327" i="53"/>
  <c r="S327" i="53"/>
  <c r="R327" i="53"/>
  <c r="Q327" i="53"/>
  <c r="Y326" i="53"/>
  <c r="X326" i="53"/>
  <c r="W326" i="53"/>
  <c r="V326" i="53"/>
  <c r="U326" i="53"/>
  <c r="T326" i="53"/>
  <c r="S326" i="53"/>
  <c r="R326" i="53"/>
  <c r="Q326" i="53"/>
  <c r="Y325" i="53"/>
  <c r="X325" i="53"/>
  <c r="W325" i="53"/>
  <c r="V325" i="53"/>
  <c r="U325" i="53"/>
  <c r="T325" i="53"/>
  <c r="S325" i="53"/>
  <c r="R325" i="53"/>
  <c r="Q325" i="53"/>
  <c r="Y324" i="53"/>
  <c r="X324" i="53"/>
  <c r="W324" i="53"/>
  <c r="V324" i="53"/>
  <c r="U324" i="53"/>
  <c r="T324" i="53"/>
  <c r="S324" i="53"/>
  <c r="R324" i="53"/>
  <c r="Q324" i="53"/>
  <c r="Y323" i="53"/>
  <c r="X323" i="53"/>
  <c r="W323" i="53"/>
  <c r="V323" i="53"/>
  <c r="U323" i="53"/>
  <c r="T323" i="53"/>
  <c r="S323" i="53"/>
  <c r="R323" i="53"/>
  <c r="Q323" i="53"/>
  <c r="Y322" i="53"/>
  <c r="X322" i="53"/>
  <c r="W322" i="53"/>
  <c r="V322" i="53"/>
  <c r="U322" i="53"/>
  <c r="T322" i="53"/>
  <c r="S322" i="53"/>
  <c r="R322" i="53"/>
  <c r="Q322" i="53"/>
  <c r="Y321" i="53"/>
  <c r="X321" i="53"/>
  <c r="W321" i="53"/>
  <c r="V321" i="53"/>
  <c r="U321" i="53"/>
  <c r="T321" i="53"/>
  <c r="S321" i="53"/>
  <c r="R321" i="53"/>
  <c r="Q321" i="53"/>
  <c r="Y320" i="53"/>
  <c r="X320" i="53"/>
  <c r="W320" i="53"/>
  <c r="V320" i="53"/>
  <c r="U320" i="53"/>
  <c r="T320" i="53"/>
  <c r="S320" i="53"/>
  <c r="R320" i="53"/>
  <c r="Q320" i="53"/>
  <c r="Y319" i="53"/>
  <c r="X319" i="53"/>
  <c r="W319" i="53"/>
  <c r="V319" i="53"/>
  <c r="U319" i="53"/>
  <c r="T319" i="53"/>
  <c r="S319" i="53"/>
  <c r="R319" i="53"/>
  <c r="Q319" i="53"/>
  <c r="Y318" i="53"/>
  <c r="X318" i="53"/>
  <c r="W318" i="53"/>
  <c r="V318" i="53"/>
  <c r="U318" i="53"/>
  <c r="T318" i="53"/>
  <c r="S318" i="53"/>
  <c r="R318" i="53"/>
  <c r="Q318" i="53"/>
  <c r="Y317" i="53"/>
  <c r="X317" i="53"/>
  <c r="W317" i="53"/>
  <c r="V317" i="53"/>
  <c r="U317" i="53"/>
  <c r="T317" i="53"/>
  <c r="S317" i="53"/>
  <c r="R317" i="53"/>
  <c r="Q317" i="53"/>
  <c r="Y316" i="53"/>
  <c r="X316" i="53"/>
  <c r="W316" i="53"/>
  <c r="V316" i="53"/>
  <c r="U316" i="53"/>
  <c r="T316" i="53"/>
  <c r="S316" i="53"/>
  <c r="R316" i="53"/>
  <c r="Q316" i="53"/>
  <c r="Y315" i="53"/>
  <c r="X315" i="53"/>
  <c r="W315" i="53"/>
  <c r="V315" i="53"/>
  <c r="U315" i="53"/>
  <c r="T315" i="53"/>
  <c r="S315" i="53"/>
  <c r="R315" i="53"/>
  <c r="Q315" i="53"/>
  <c r="Y314" i="53"/>
  <c r="X314" i="53"/>
  <c r="W314" i="53"/>
  <c r="V314" i="53"/>
  <c r="U314" i="53"/>
  <c r="T314" i="53"/>
  <c r="S314" i="53"/>
  <c r="R314" i="53"/>
  <c r="Q314" i="53"/>
  <c r="Y313" i="53"/>
  <c r="X313" i="53"/>
  <c r="W313" i="53"/>
  <c r="V313" i="53"/>
  <c r="U313" i="53"/>
  <c r="T313" i="53"/>
  <c r="S313" i="53"/>
  <c r="R313" i="53"/>
  <c r="Q313" i="53"/>
  <c r="Y312" i="53"/>
  <c r="X312" i="53"/>
  <c r="W312" i="53"/>
  <c r="V312" i="53"/>
  <c r="U312" i="53"/>
  <c r="T312" i="53"/>
  <c r="S312" i="53"/>
  <c r="R312" i="53"/>
  <c r="Q312" i="53"/>
  <c r="Y311" i="53"/>
  <c r="X311" i="53"/>
  <c r="W311" i="53"/>
  <c r="V311" i="53"/>
  <c r="U311" i="53"/>
  <c r="T311" i="53"/>
  <c r="S311" i="53"/>
  <c r="R311" i="53"/>
  <c r="Q311" i="53"/>
  <c r="Y310" i="53"/>
  <c r="X310" i="53"/>
  <c r="W310" i="53"/>
  <c r="V310" i="53"/>
  <c r="U310" i="53"/>
  <c r="T310" i="53"/>
  <c r="S310" i="53"/>
  <c r="R310" i="53"/>
  <c r="Q310" i="53"/>
  <c r="Y309" i="53"/>
  <c r="X309" i="53"/>
  <c r="W309" i="53"/>
  <c r="V309" i="53"/>
  <c r="U309" i="53"/>
  <c r="T309" i="53"/>
  <c r="S309" i="53"/>
  <c r="R309" i="53"/>
  <c r="Q309" i="53"/>
  <c r="Y308" i="53"/>
  <c r="X308" i="53"/>
  <c r="W308" i="53"/>
  <c r="V308" i="53"/>
  <c r="U308" i="53"/>
  <c r="T308" i="53"/>
  <c r="S308" i="53"/>
  <c r="R308" i="53"/>
  <c r="Q308" i="53"/>
  <c r="Y307" i="53"/>
  <c r="X307" i="53"/>
  <c r="W307" i="53"/>
  <c r="V307" i="53"/>
  <c r="U307" i="53"/>
  <c r="T307" i="53"/>
  <c r="S307" i="53"/>
  <c r="R307" i="53"/>
  <c r="Q307" i="53"/>
  <c r="Y306" i="53"/>
  <c r="X306" i="53"/>
  <c r="W306" i="53"/>
  <c r="V306" i="53"/>
  <c r="U306" i="53"/>
  <c r="T306" i="53"/>
  <c r="S306" i="53"/>
  <c r="R306" i="53"/>
  <c r="Q306" i="53"/>
  <c r="Y305" i="53"/>
  <c r="X305" i="53"/>
  <c r="W305" i="53"/>
  <c r="V305" i="53"/>
  <c r="U305" i="53"/>
  <c r="T305" i="53"/>
  <c r="S305" i="53"/>
  <c r="R305" i="53"/>
  <c r="Q305" i="53"/>
  <c r="Y301" i="53"/>
  <c r="X301" i="53"/>
  <c r="W301" i="53"/>
  <c r="V301" i="53"/>
  <c r="U301" i="53"/>
  <c r="T301" i="53"/>
  <c r="S301" i="53"/>
  <c r="R301" i="53"/>
  <c r="Q301" i="53"/>
  <c r="Y296" i="53"/>
  <c r="X296" i="53"/>
  <c r="W296" i="53"/>
  <c r="V296" i="53"/>
  <c r="U296" i="53"/>
  <c r="T296" i="53"/>
  <c r="S296" i="53"/>
  <c r="R296" i="53"/>
  <c r="Q296" i="53"/>
  <c r="Y290" i="53"/>
  <c r="X290" i="53"/>
  <c r="W290" i="53"/>
  <c r="V290" i="53"/>
  <c r="U290" i="53"/>
  <c r="T290" i="53"/>
  <c r="S290" i="53"/>
  <c r="R290" i="53"/>
  <c r="Q290" i="53"/>
  <c r="Y283" i="53"/>
  <c r="X283" i="53"/>
  <c r="W283" i="53"/>
  <c r="V283" i="53"/>
  <c r="U283" i="53"/>
  <c r="T283" i="53"/>
  <c r="S283" i="53"/>
  <c r="R283" i="53"/>
  <c r="Q283" i="53"/>
  <c r="T279" i="53"/>
  <c r="S279" i="53"/>
  <c r="R279" i="53"/>
  <c r="Q279" i="53"/>
  <c r="T276" i="53"/>
  <c r="S276" i="53"/>
  <c r="R276" i="53"/>
  <c r="Q276" i="53"/>
  <c r="T274" i="53"/>
  <c r="S274" i="53"/>
  <c r="R274" i="53"/>
  <c r="Q274" i="53"/>
  <c r="T272" i="53"/>
  <c r="S272" i="53"/>
  <c r="R272" i="53"/>
  <c r="Q272" i="53"/>
  <c r="T270" i="53"/>
  <c r="S270" i="53"/>
  <c r="R270" i="53"/>
  <c r="Q270" i="53"/>
  <c r="Y263" i="53"/>
  <c r="X263" i="53"/>
  <c r="W263" i="53"/>
  <c r="V263" i="53"/>
  <c r="U263" i="53"/>
  <c r="T263" i="53"/>
  <c r="S263" i="53"/>
  <c r="R263" i="53"/>
  <c r="Q263" i="53"/>
  <c r="Y260" i="53"/>
  <c r="X260" i="53"/>
  <c r="W260" i="53"/>
  <c r="V260" i="53"/>
  <c r="U260" i="53"/>
  <c r="T260" i="53"/>
  <c r="S260" i="53"/>
  <c r="R260" i="53"/>
  <c r="Q260" i="53"/>
  <c r="Y259" i="53"/>
  <c r="X259" i="53"/>
  <c r="W259" i="53"/>
  <c r="V259" i="53"/>
  <c r="U259" i="53"/>
  <c r="T259" i="53"/>
  <c r="S259" i="53"/>
  <c r="R259" i="53"/>
  <c r="Q259" i="53"/>
  <c r="Y253" i="53"/>
  <c r="X253" i="53"/>
  <c r="W253" i="53"/>
  <c r="V253" i="53"/>
  <c r="U253" i="53"/>
  <c r="T253" i="53"/>
  <c r="S253" i="53"/>
  <c r="R253" i="53"/>
  <c r="Q253" i="53"/>
  <c r="Y251" i="53"/>
  <c r="X251" i="53"/>
  <c r="W251" i="53"/>
  <c r="V251" i="53"/>
  <c r="U251" i="53"/>
  <c r="T251" i="53"/>
  <c r="S251" i="53"/>
  <c r="R251" i="53"/>
  <c r="Q251" i="53"/>
  <c r="Y235" i="53"/>
  <c r="X235" i="53"/>
  <c r="W235" i="53"/>
  <c r="V235" i="53"/>
  <c r="U235" i="53"/>
  <c r="T235" i="53"/>
  <c r="S235" i="53"/>
  <c r="R235" i="53"/>
  <c r="Q235" i="53"/>
  <c r="Y234" i="53"/>
  <c r="X234" i="53"/>
  <c r="W234" i="53"/>
  <c r="V234" i="53"/>
  <c r="U234" i="53"/>
  <c r="T234" i="53"/>
  <c r="S234" i="53"/>
  <c r="R234" i="53"/>
  <c r="Q234" i="53"/>
  <c r="Y233" i="53"/>
  <c r="X233" i="53"/>
  <c r="W233" i="53"/>
  <c r="V233" i="53"/>
  <c r="U233" i="53"/>
  <c r="T233" i="53"/>
  <c r="S233" i="53"/>
  <c r="R233" i="53"/>
  <c r="Q233" i="53"/>
  <c r="Y232" i="53"/>
  <c r="X232" i="53"/>
  <c r="W232" i="53"/>
  <c r="V232" i="53"/>
  <c r="U232" i="53"/>
  <c r="T232" i="53"/>
  <c r="S232" i="53"/>
  <c r="R232" i="53"/>
  <c r="Q232" i="53"/>
  <c r="Y231" i="53"/>
  <c r="X231" i="53"/>
  <c r="W231" i="53"/>
  <c r="V231" i="53"/>
  <c r="U231" i="53"/>
  <c r="T231" i="53"/>
  <c r="S231" i="53"/>
  <c r="R231" i="53"/>
  <c r="Q231" i="53"/>
  <c r="Y228" i="53"/>
  <c r="X228" i="53"/>
  <c r="W228" i="53"/>
  <c r="V228" i="53"/>
  <c r="U228" i="53"/>
  <c r="T228" i="53"/>
  <c r="S228" i="53"/>
  <c r="R228" i="53"/>
  <c r="Q228" i="53"/>
  <c r="Y227" i="53"/>
  <c r="X227" i="53"/>
  <c r="W227" i="53"/>
  <c r="V227" i="53"/>
  <c r="U227" i="53"/>
  <c r="T227" i="53"/>
  <c r="S227" i="53"/>
  <c r="R227" i="53"/>
  <c r="Q227" i="53"/>
  <c r="Y226" i="53"/>
  <c r="X226" i="53"/>
  <c r="W226" i="53"/>
  <c r="V226" i="53"/>
  <c r="U226" i="53"/>
  <c r="T226" i="53"/>
  <c r="S226" i="53"/>
  <c r="R226" i="53"/>
  <c r="Q226" i="53"/>
  <c r="Y225" i="53"/>
  <c r="X225" i="53"/>
  <c r="W225" i="53"/>
  <c r="V225" i="53"/>
  <c r="U225" i="53"/>
  <c r="T225" i="53"/>
  <c r="S225" i="53"/>
  <c r="R225" i="53"/>
  <c r="Q225" i="53"/>
  <c r="Y224" i="53"/>
  <c r="X224" i="53"/>
  <c r="W224" i="53"/>
  <c r="V224" i="53"/>
  <c r="U224" i="53"/>
  <c r="T224" i="53"/>
  <c r="S224" i="53"/>
  <c r="R224" i="53"/>
  <c r="Q224" i="53"/>
  <c r="Y223" i="53"/>
  <c r="X223" i="53"/>
  <c r="W223" i="53"/>
  <c r="V223" i="53"/>
  <c r="U223" i="53"/>
  <c r="T223" i="53"/>
  <c r="S223" i="53"/>
  <c r="R223" i="53"/>
  <c r="Q223" i="53"/>
  <c r="Y222" i="53"/>
  <c r="X222" i="53"/>
  <c r="W222" i="53"/>
  <c r="V222" i="53"/>
  <c r="U222" i="53"/>
  <c r="T222" i="53"/>
  <c r="S222" i="53"/>
  <c r="R222" i="53"/>
  <c r="Q222" i="53"/>
  <c r="Y221" i="53"/>
  <c r="X221" i="53"/>
  <c r="W221" i="53"/>
  <c r="V221" i="53"/>
  <c r="U221" i="53"/>
  <c r="T221" i="53"/>
  <c r="S221" i="53"/>
  <c r="R221" i="53"/>
  <c r="Q221" i="53"/>
  <c r="Y220" i="53"/>
  <c r="X220" i="53"/>
  <c r="W220" i="53"/>
  <c r="V220" i="53"/>
  <c r="U220" i="53"/>
  <c r="T220" i="53"/>
  <c r="S220" i="53"/>
  <c r="R220" i="53"/>
  <c r="Q220" i="53"/>
  <c r="Y219" i="53"/>
  <c r="X219" i="53"/>
  <c r="W219" i="53"/>
  <c r="V219" i="53"/>
  <c r="U219" i="53"/>
  <c r="T219" i="53"/>
  <c r="S219" i="53"/>
  <c r="R219" i="53"/>
  <c r="Q219" i="53"/>
  <c r="Y218" i="53"/>
  <c r="X218" i="53"/>
  <c r="W218" i="53"/>
  <c r="V218" i="53"/>
  <c r="U218" i="53"/>
  <c r="T218" i="53"/>
  <c r="S218" i="53"/>
  <c r="R218" i="53"/>
  <c r="Q218" i="53"/>
  <c r="Y217" i="53"/>
  <c r="X217" i="53"/>
  <c r="W217" i="53"/>
  <c r="V217" i="53"/>
  <c r="U217" i="53"/>
  <c r="T217" i="53"/>
  <c r="S217" i="53"/>
  <c r="R217" i="53"/>
  <c r="Q217" i="53"/>
  <c r="Y216" i="53"/>
  <c r="X216" i="53"/>
  <c r="W216" i="53"/>
  <c r="V216" i="53"/>
  <c r="U216" i="53"/>
  <c r="T216" i="53"/>
  <c r="S216" i="53"/>
  <c r="R216" i="53"/>
  <c r="Q216" i="53"/>
  <c r="Y215" i="53"/>
  <c r="X215" i="53"/>
  <c r="W215" i="53"/>
  <c r="V215" i="53"/>
  <c r="U215" i="53"/>
  <c r="T215" i="53"/>
  <c r="S215" i="53"/>
  <c r="R215" i="53"/>
  <c r="Q215" i="53"/>
  <c r="Y214" i="53"/>
  <c r="X214" i="53"/>
  <c r="W214" i="53"/>
  <c r="V214" i="53"/>
  <c r="U214" i="53"/>
  <c r="T214" i="53"/>
  <c r="S214" i="53"/>
  <c r="R214" i="53"/>
  <c r="Q214" i="53"/>
  <c r="Y213" i="53"/>
  <c r="X213" i="53"/>
  <c r="W213" i="53"/>
  <c r="V213" i="53"/>
  <c r="U213" i="53"/>
  <c r="T213" i="53"/>
  <c r="S213" i="53"/>
  <c r="R213" i="53"/>
  <c r="Q213" i="53"/>
  <c r="Y212" i="53"/>
  <c r="X212" i="53"/>
  <c r="W212" i="53"/>
  <c r="V212" i="53"/>
  <c r="U212" i="53"/>
  <c r="T212" i="53"/>
  <c r="S212" i="53"/>
  <c r="R212" i="53"/>
  <c r="Q212" i="53"/>
  <c r="Y211" i="53"/>
  <c r="X211" i="53"/>
  <c r="W211" i="53"/>
  <c r="V211" i="53"/>
  <c r="U211" i="53"/>
  <c r="T211" i="53"/>
  <c r="S211" i="53"/>
  <c r="R211" i="53"/>
  <c r="Q211" i="53"/>
  <c r="Y210" i="53"/>
  <c r="X210" i="53"/>
  <c r="W210" i="53"/>
  <c r="V210" i="53"/>
  <c r="U210" i="53"/>
  <c r="T210" i="53"/>
  <c r="S210" i="53"/>
  <c r="R210" i="53"/>
  <c r="Q210" i="53"/>
  <c r="Y209" i="53"/>
  <c r="X209" i="53"/>
  <c r="W209" i="53"/>
  <c r="V209" i="53"/>
  <c r="U209" i="53"/>
  <c r="T209" i="53"/>
  <c r="S209" i="53"/>
  <c r="R209" i="53"/>
  <c r="Q209" i="53"/>
  <c r="Y208" i="53"/>
  <c r="X208" i="53"/>
  <c r="W208" i="53"/>
  <c r="V208" i="53"/>
  <c r="U208" i="53"/>
  <c r="T208" i="53"/>
  <c r="S208" i="53"/>
  <c r="R208" i="53"/>
  <c r="Q208" i="53"/>
  <c r="Y207" i="53"/>
  <c r="X207" i="53"/>
  <c r="W207" i="53"/>
  <c r="V207" i="53"/>
  <c r="U207" i="53"/>
  <c r="T207" i="53"/>
  <c r="S207" i="53"/>
  <c r="R207" i="53"/>
  <c r="Q207" i="53"/>
  <c r="Y206" i="53"/>
  <c r="X206" i="53"/>
  <c r="W206" i="53"/>
  <c r="V206" i="53"/>
  <c r="U206" i="53"/>
  <c r="T206" i="53"/>
  <c r="S206" i="53"/>
  <c r="R206" i="53"/>
  <c r="Q206" i="53"/>
  <c r="Y205" i="53"/>
  <c r="X205" i="53"/>
  <c r="W205" i="53"/>
  <c r="V205" i="53"/>
  <c r="U205" i="53"/>
  <c r="T205" i="53"/>
  <c r="S205" i="53"/>
  <c r="R205" i="53"/>
  <c r="Q205" i="53"/>
  <c r="Y204" i="53"/>
  <c r="X204" i="53"/>
  <c r="W204" i="53"/>
  <c r="V204" i="53"/>
  <c r="U204" i="53"/>
  <c r="T204" i="53"/>
  <c r="S204" i="53"/>
  <c r="R204" i="53"/>
  <c r="Q204" i="53"/>
  <c r="Y203" i="53"/>
  <c r="X203" i="53"/>
  <c r="W203" i="53"/>
  <c r="V203" i="53"/>
  <c r="U203" i="53"/>
  <c r="T203" i="53"/>
  <c r="S203" i="53"/>
  <c r="R203" i="53"/>
  <c r="Q203" i="53"/>
  <c r="Y202" i="53"/>
  <c r="X202" i="53"/>
  <c r="W202" i="53"/>
  <c r="V202" i="53"/>
  <c r="U202" i="53"/>
  <c r="T202" i="53"/>
  <c r="S202" i="53"/>
  <c r="R202" i="53"/>
  <c r="Q202" i="53"/>
  <c r="Y198" i="53"/>
  <c r="X198" i="53"/>
  <c r="W198" i="53"/>
  <c r="V198" i="53"/>
  <c r="U198" i="53"/>
  <c r="T198" i="53"/>
  <c r="S198" i="53"/>
  <c r="R198" i="53"/>
  <c r="Q198" i="53"/>
  <c r="Y193" i="53"/>
  <c r="X193" i="53"/>
  <c r="W193" i="53"/>
  <c r="V193" i="53"/>
  <c r="U193" i="53"/>
  <c r="T193" i="53"/>
  <c r="S193" i="53"/>
  <c r="R193" i="53"/>
  <c r="Q193" i="53"/>
  <c r="Y191" i="53"/>
  <c r="X191" i="53"/>
  <c r="W191" i="53"/>
  <c r="V191" i="53"/>
  <c r="U191" i="53"/>
  <c r="T191" i="53"/>
  <c r="S191" i="53"/>
  <c r="R191" i="53"/>
  <c r="Q191" i="53"/>
  <c r="Y187" i="53"/>
  <c r="X187" i="53"/>
  <c r="W187" i="53"/>
  <c r="V187" i="53"/>
  <c r="U187" i="53"/>
  <c r="T187" i="53"/>
  <c r="S187" i="53"/>
  <c r="R187" i="53"/>
  <c r="Q187" i="53"/>
  <c r="Y186" i="53"/>
  <c r="X186" i="53"/>
  <c r="W186" i="53"/>
  <c r="V186" i="53"/>
  <c r="U186" i="53"/>
  <c r="T186" i="53"/>
  <c r="S186" i="53"/>
  <c r="R186" i="53"/>
  <c r="Q186" i="53"/>
  <c r="Y185" i="53"/>
  <c r="X185" i="53"/>
  <c r="W185" i="53"/>
  <c r="V185" i="53"/>
  <c r="U185" i="53"/>
  <c r="T185" i="53"/>
  <c r="S185" i="53"/>
  <c r="R185" i="53"/>
  <c r="Q185" i="53"/>
  <c r="Y184" i="53"/>
  <c r="X184" i="53"/>
  <c r="W184" i="53"/>
  <c r="V184" i="53"/>
  <c r="U184" i="53"/>
  <c r="T184" i="53"/>
  <c r="S184" i="53"/>
  <c r="R184" i="53"/>
  <c r="Q184" i="53"/>
  <c r="Y182" i="53"/>
  <c r="X182" i="53"/>
  <c r="W182" i="53"/>
  <c r="V182" i="53"/>
  <c r="U182" i="53"/>
  <c r="T182" i="53"/>
  <c r="S182" i="53"/>
  <c r="R182" i="53"/>
  <c r="Q182" i="53"/>
  <c r="Y181" i="53"/>
  <c r="X181" i="53"/>
  <c r="W181" i="53"/>
  <c r="V181" i="53"/>
  <c r="U181" i="53"/>
  <c r="T181" i="53"/>
  <c r="S181" i="53"/>
  <c r="R181" i="53"/>
  <c r="Q181" i="53"/>
  <c r="Y180" i="53"/>
  <c r="X180" i="53"/>
  <c r="W180" i="53"/>
  <c r="V180" i="53"/>
  <c r="U180" i="53"/>
  <c r="T180" i="53"/>
  <c r="S180" i="53"/>
  <c r="R180" i="53"/>
  <c r="Q180" i="53"/>
  <c r="Y179" i="53"/>
  <c r="X179" i="53"/>
  <c r="W179" i="53"/>
  <c r="V179" i="53"/>
  <c r="U179" i="53"/>
  <c r="T179" i="53"/>
  <c r="S179" i="53"/>
  <c r="R179" i="53"/>
  <c r="Q179" i="53"/>
  <c r="Y178" i="53"/>
  <c r="X178" i="53"/>
  <c r="W178" i="53"/>
  <c r="V178" i="53"/>
  <c r="U178" i="53"/>
  <c r="T178" i="53"/>
  <c r="S178" i="53"/>
  <c r="R178" i="53"/>
  <c r="Q178" i="53"/>
  <c r="Y177" i="53"/>
  <c r="X177" i="53"/>
  <c r="W177" i="53"/>
  <c r="V177" i="53"/>
  <c r="U177" i="53"/>
  <c r="T177" i="53"/>
  <c r="S177" i="53"/>
  <c r="R177" i="53"/>
  <c r="Q177" i="53"/>
  <c r="Y176" i="53"/>
  <c r="X176" i="53"/>
  <c r="W176" i="53"/>
  <c r="V176" i="53"/>
  <c r="U176" i="53"/>
  <c r="T176" i="53"/>
  <c r="S176" i="53"/>
  <c r="R176" i="53"/>
  <c r="Q176" i="53"/>
  <c r="Y175" i="53"/>
  <c r="X175" i="53"/>
  <c r="W175" i="53"/>
  <c r="V175" i="53"/>
  <c r="U175" i="53"/>
  <c r="T175" i="53"/>
  <c r="S175" i="53"/>
  <c r="R175" i="53"/>
  <c r="Q175" i="53"/>
  <c r="Y174" i="53"/>
  <c r="X174" i="53"/>
  <c r="W174" i="53"/>
  <c r="V174" i="53"/>
  <c r="U174" i="53"/>
  <c r="T174" i="53"/>
  <c r="S174" i="53"/>
  <c r="R174" i="53"/>
  <c r="Q174" i="53"/>
  <c r="Y173" i="53"/>
  <c r="X173" i="53"/>
  <c r="W173" i="53"/>
  <c r="V173" i="53"/>
  <c r="U173" i="53"/>
  <c r="T173" i="53"/>
  <c r="S173" i="53"/>
  <c r="R173" i="53"/>
  <c r="Q173" i="53"/>
  <c r="Y172" i="53"/>
  <c r="X172" i="53"/>
  <c r="W172" i="53"/>
  <c r="V172" i="53"/>
  <c r="U172" i="53"/>
  <c r="T172" i="53"/>
  <c r="S172" i="53"/>
  <c r="R172" i="53"/>
  <c r="Q172" i="53"/>
  <c r="Y171" i="53"/>
  <c r="X171" i="53"/>
  <c r="W171" i="53"/>
  <c r="V171" i="53"/>
  <c r="U171" i="53"/>
  <c r="T171" i="53"/>
  <c r="S171" i="53"/>
  <c r="R171" i="53"/>
  <c r="Q171" i="53"/>
  <c r="Y170" i="53"/>
  <c r="X170" i="53"/>
  <c r="W170" i="53"/>
  <c r="V170" i="53"/>
  <c r="U170" i="53"/>
  <c r="T170" i="53"/>
  <c r="S170" i="53"/>
  <c r="R170" i="53"/>
  <c r="Q170" i="53"/>
  <c r="Y169" i="53"/>
  <c r="X169" i="53"/>
  <c r="W169" i="53"/>
  <c r="V169" i="53"/>
  <c r="U169" i="53"/>
  <c r="T169" i="53"/>
  <c r="S169" i="53"/>
  <c r="R169" i="53"/>
  <c r="Q169" i="53"/>
  <c r="Y168" i="53"/>
  <c r="X168" i="53"/>
  <c r="W168" i="53"/>
  <c r="V168" i="53"/>
  <c r="U168" i="53"/>
  <c r="T168" i="53"/>
  <c r="S168" i="53"/>
  <c r="R168" i="53"/>
  <c r="Q168" i="53"/>
  <c r="Y167" i="53"/>
  <c r="X167" i="53"/>
  <c r="W167" i="53"/>
  <c r="V167" i="53"/>
  <c r="U167" i="53"/>
  <c r="T167" i="53"/>
  <c r="S167" i="53"/>
  <c r="R167" i="53"/>
  <c r="Q167" i="53"/>
  <c r="Y166" i="53"/>
  <c r="X166" i="53"/>
  <c r="W166" i="53"/>
  <c r="V166" i="53"/>
  <c r="U166" i="53"/>
  <c r="T166" i="53"/>
  <c r="S166" i="53"/>
  <c r="R166" i="53"/>
  <c r="Q166" i="53"/>
  <c r="Y165" i="53"/>
  <c r="X165" i="53"/>
  <c r="W165" i="53"/>
  <c r="V165" i="53"/>
  <c r="U165" i="53"/>
  <c r="T165" i="53"/>
  <c r="S165" i="53"/>
  <c r="R165" i="53"/>
  <c r="Q165" i="53"/>
  <c r="Y164" i="53"/>
  <c r="X164" i="53"/>
  <c r="W164" i="53"/>
  <c r="V164" i="53"/>
  <c r="U164" i="53"/>
  <c r="T164" i="53"/>
  <c r="S164" i="53"/>
  <c r="R164" i="53"/>
  <c r="Q164" i="53"/>
  <c r="Y163" i="53"/>
  <c r="X163" i="53"/>
  <c r="W163" i="53"/>
  <c r="V163" i="53"/>
  <c r="U163" i="53"/>
  <c r="T163" i="53"/>
  <c r="S163" i="53"/>
  <c r="R163" i="53"/>
  <c r="Q163" i="53"/>
  <c r="Y162" i="53"/>
  <c r="X162" i="53"/>
  <c r="W162" i="53"/>
  <c r="V162" i="53"/>
  <c r="U162" i="53"/>
  <c r="T162" i="53"/>
  <c r="S162" i="53"/>
  <c r="R162" i="53"/>
  <c r="Q162" i="53"/>
  <c r="Y161" i="53"/>
  <c r="X161" i="53"/>
  <c r="W161" i="53"/>
  <c r="V161" i="53"/>
  <c r="U161" i="53"/>
  <c r="T161" i="53"/>
  <c r="S161" i="53"/>
  <c r="R161" i="53"/>
  <c r="Q161" i="53"/>
  <c r="Y160" i="53"/>
  <c r="X160" i="53"/>
  <c r="W160" i="53"/>
  <c r="V160" i="53"/>
  <c r="U160" i="53"/>
  <c r="T160" i="53"/>
  <c r="S160" i="53"/>
  <c r="R160" i="53"/>
  <c r="Q160" i="53"/>
  <c r="Y159" i="53"/>
  <c r="X159" i="53"/>
  <c r="W159" i="53"/>
  <c r="V159" i="53"/>
  <c r="U159" i="53"/>
  <c r="T159" i="53"/>
  <c r="S159" i="53"/>
  <c r="R159" i="53"/>
  <c r="Q159" i="53"/>
  <c r="Y158" i="53"/>
  <c r="X158" i="53"/>
  <c r="W158" i="53"/>
  <c r="V158" i="53"/>
  <c r="U158" i="53"/>
  <c r="T158" i="53"/>
  <c r="S158" i="53"/>
  <c r="R158" i="53"/>
  <c r="Q158" i="53"/>
  <c r="Y157" i="53"/>
  <c r="X157" i="53"/>
  <c r="W157" i="53"/>
  <c r="V157" i="53"/>
  <c r="U157" i="53"/>
  <c r="T157" i="53"/>
  <c r="S157" i="53"/>
  <c r="R157" i="53"/>
  <c r="Q157" i="53"/>
  <c r="Y156" i="53"/>
  <c r="X156" i="53"/>
  <c r="W156" i="53"/>
  <c r="V156" i="53"/>
  <c r="U156" i="53"/>
  <c r="T156" i="53"/>
  <c r="S156" i="53"/>
  <c r="R156" i="53"/>
  <c r="Q156" i="53"/>
  <c r="Y155" i="53"/>
  <c r="X155" i="53"/>
  <c r="W155" i="53"/>
  <c r="V155" i="53"/>
  <c r="U155" i="53"/>
  <c r="T155" i="53"/>
  <c r="S155" i="53"/>
  <c r="R155" i="53"/>
  <c r="Q155" i="53"/>
  <c r="Y154" i="53"/>
  <c r="X154" i="53"/>
  <c r="W154" i="53"/>
  <c r="V154" i="53"/>
  <c r="U154" i="53"/>
  <c r="T154" i="53"/>
  <c r="S154" i="53"/>
  <c r="R154" i="53"/>
  <c r="Q154" i="53"/>
  <c r="Y153" i="53"/>
  <c r="X153" i="53"/>
  <c r="W153" i="53"/>
  <c r="V153" i="53"/>
  <c r="U153" i="53"/>
  <c r="T153" i="53"/>
  <c r="S153" i="53"/>
  <c r="R153" i="53"/>
  <c r="Q153" i="53"/>
  <c r="Y152" i="53"/>
  <c r="X152" i="53"/>
  <c r="W152" i="53"/>
  <c r="V152" i="53"/>
  <c r="U152" i="53"/>
  <c r="T152" i="53"/>
  <c r="S152" i="53"/>
  <c r="R152" i="53"/>
  <c r="Q152" i="53"/>
  <c r="Y151" i="53"/>
  <c r="X151" i="53"/>
  <c r="W151" i="53"/>
  <c r="V151" i="53"/>
  <c r="U151" i="53"/>
  <c r="T151" i="53"/>
  <c r="S151" i="53"/>
  <c r="R151" i="53"/>
  <c r="Q151" i="53"/>
  <c r="Y150" i="53"/>
  <c r="X150" i="53"/>
  <c r="W150" i="53"/>
  <c r="V150" i="53"/>
  <c r="U150" i="53"/>
  <c r="T150" i="53"/>
  <c r="S150" i="53"/>
  <c r="R150" i="53"/>
  <c r="Q150" i="53"/>
  <c r="Y149" i="53"/>
  <c r="X149" i="53"/>
  <c r="W149" i="53"/>
  <c r="V149" i="53"/>
  <c r="U149" i="53"/>
  <c r="T149" i="53"/>
  <c r="S149" i="53"/>
  <c r="R149" i="53"/>
  <c r="Q149" i="53"/>
  <c r="Y148" i="53"/>
  <c r="X148" i="53"/>
  <c r="W148" i="53"/>
  <c r="V148" i="53"/>
  <c r="U148" i="53"/>
  <c r="T148" i="53"/>
  <c r="S148" i="53"/>
  <c r="R148" i="53"/>
  <c r="Q148" i="53"/>
  <c r="Y147" i="53"/>
  <c r="X147" i="53"/>
  <c r="W147" i="53"/>
  <c r="V147" i="53"/>
  <c r="U147" i="53"/>
  <c r="T147" i="53"/>
  <c r="S147" i="53"/>
  <c r="R147" i="53"/>
  <c r="Q147" i="53"/>
  <c r="Y146" i="53"/>
  <c r="X146" i="53"/>
  <c r="W146" i="53"/>
  <c r="V146" i="53"/>
  <c r="U146" i="53"/>
  <c r="T146" i="53"/>
  <c r="S146" i="53"/>
  <c r="R146" i="53"/>
  <c r="Q146" i="53"/>
  <c r="Y145" i="53"/>
  <c r="X145" i="53"/>
  <c r="W145" i="53"/>
  <c r="V145" i="53"/>
  <c r="U145" i="53"/>
  <c r="T145" i="53"/>
  <c r="S145" i="53"/>
  <c r="R145" i="53"/>
  <c r="Q145" i="53"/>
  <c r="Y144" i="53"/>
  <c r="X144" i="53"/>
  <c r="W144" i="53"/>
  <c r="V144" i="53"/>
  <c r="U144" i="53"/>
  <c r="T144" i="53"/>
  <c r="S144" i="53"/>
  <c r="R144" i="53"/>
  <c r="Q144" i="53"/>
  <c r="Y143" i="53"/>
  <c r="X143" i="53"/>
  <c r="W143" i="53"/>
  <c r="V143" i="53"/>
  <c r="U143" i="53"/>
  <c r="T143" i="53"/>
  <c r="S143" i="53"/>
  <c r="R143" i="53"/>
  <c r="Q143" i="53"/>
  <c r="Y142" i="53"/>
  <c r="X142" i="53"/>
  <c r="W142" i="53"/>
  <c r="V142" i="53"/>
  <c r="U142" i="53"/>
  <c r="T142" i="53"/>
  <c r="S142" i="53"/>
  <c r="R142" i="53"/>
  <c r="Q142" i="53"/>
  <c r="Y141" i="53"/>
  <c r="X141" i="53"/>
  <c r="W141" i="53"/>
  <c r="V141" i="53"/>
  <c r="U141" i="53"/>
  <c r="T141" i="53"/>
  <c r="S141" i="53"/>
  <c r="R141" i="53"/>
  <c r="Q141" i="53"/>
  <c r="Y140" i="53"/>
  <c r="X140" i="53"/>
  <c r="W140" i="53"/>
  <c r="V140" i="53"/>
  <c r="U140" i="53"/>
  <c r="T140" i="53"/>
  <c r="S140" i="53"/>
  <c r="R140" i="53"/>
  <c r="Q140" i="53"/>
  <c r="Y139" i="53"/>
  <c r="X139" i="53"/>
  <c r="W139" i="53"/>
  <c r="V139" i="53"/>
  <c r="U139" i="53"/>
  <c r="T139" i="53"/>
  <c r="S139" i="53"/>
  <c r="R139" i="53"/>
  <c r="Q139" i="53"/>
  <c r="Y138" i="53"/>
  <c r="X138" i="53"/>
  <c r="W138" i="53"/>
  <c r="V138" i="53"/>
  <c r="U138" i="53"/>
  <c r="T138" i="53"/>
  <c r="S138" i="53"/>
  <c r="R138" i="53"/>
  <c r="Q138" i="53"/>
  <c r="Y137" i="53"/>
  <c r="X137" i="53"/>
  <c r="W137" i="53"/>
  <c r="V137" i="53"/>
  <c r="U137" i="53"/>
  <c r="T137" i="53"/>
  <c r="S137" i="53"/>
  <c r="R137" i="53"/>
  <c r="Q137" i="53"/>
  <c r="Y136" i="53"/>
  <c r="X136" i="53"/>
  <c r="W136" i="53"/>
  <c r="V136" i="53"/>
  <c r="U136" i="53"/>
  <c r="T136" i="53"/>
  <c r="S136" i="53"/>
  <c r="R136" i="53"/>
  <c r="Q136" i="53"/>
  <c r="Y135" i="53"/>
  <c r="X135" i="53"/>
  <c r="W135" i="53"/>
  <c r="V135" i="53"/>
  <c r="U135" i="53"/>
  <c r="T135" i="53"/>
  <c r="S135" i="53"/>
  <c r="R135" i="53"/>
  <c r="Q135" i="53"/>
  <c r="Y133" i="53"/>
  <c r="X133" i="53"/>
  <c r="W133" i="53"/>
  <c r="V133" i="53"/>
  <c r="U133" i="53"/>
  <c r="T133" i="53"/>
  <c r="S133" i="53"/>
  <c r="R133" i="53"/>
  <c r="Q133" i="53"/>
  <c r="Y132" i="53"/>
  <c r="X132" i="53"/>
  <c r="W132" i="53"/>
  <c r="V132" i="53"/>
  <c r="U132" i="53"/>
  <c r="T132" i="53"/>
  <c r="S132" i="53"/>
  <c r="R132" i="53"/>
  <c r="Q132" i="53"/>
  <c r="Y131" i="53"/>
  <c r="X131" i="53"/>
  <c r="W131" i="53"/>
  <c r="V131" i="53"/>
  <c r="U131" i="53"/>
  <c r="T131" i="53"/>
  <c r="S131" i="53"/>
  <c r="R131" i="53"/>
  <c r="Q131" i="53"/>
  <c r="Y130" i="53"/>
  <c r="X130" i="53"/>
  <c r="W130" i="53"/>
  <c r="V130" i="53"/>
  <c r="U130" i="53"/>
  <c r="T130" i="53"/>
  <c r="S130" i="53"/>
  <c r="R130" i="53"/>
  <c r="Q130" i="53"/>
  <c r="Y129" i="53"/>
  <c r="X129" i="53"/>
  <c r="W129" i="53"/>
  <c r="V129" i="53"/>
  <c r="U129" i="53"/>
  <c r="T129" i="53"/>
  <c r="S129" i="53"/>
  <c r="R129" i="53"/>
  <c r="Q129" i="53"/>
  <c r="Y128" i="53"/>
  <c r="X128" i="53"/>
  <c r="W128" i="53"/>
  <c r="V128" i="53"/>
  <c r="U128" i="53"/>
  <c r="T128" i="53"/>
  <c r="S128" i="53"/>
  <c r="R128" i="53"/>
  <c r="Q128" i="53"/>
  <c r="Y127" i="53"/>
  <c r="X127" i="53"/>
  <c r="W127" i="53"/>
  <c r="V127" i="53"/>
  <c r="U127" i="53"/>
  <c r="T127" i="53"/>
  <c r="S127" i="53"/>
  <c r="R127" i="53"/>
  <c r="Q127" i="53"/>
  <c r="Y126" i="53"/>
  <c r="X126" i="53"/>
  <c r="W126" i="53"/>
  <c r="V126" i="53"/>
  <c r="U126" i="53"/>
  <c r="T126" i="53"/>
  <c r="S126" i="53"/>
  <c r="R126" i="53"/>
  <c r="Q126" i="53"/>
  <c r="Y125" i="53"/>
  <c r="X125" i="53"/>
  <c r="W125" i="53"/>
  <c r="V125" i="53"/>
  <c r="U125" i="53"/>
  <c r="T125" i="53"/>
  <c r="S125" i="53"/>
  <c r="R125" i="53"/>
  <c r="Q125" i="53"/>
  <c r="Y123" i="53"/>
  <c r="X123" i="53"/>
  <c r="W123" i="53"/>
  <c r="V123" i="53"/>
  <c r="U123" i="53"/>
  <c r="T123" i="53"/>
  <c r="S123" i="53"/>
  <c r="R123" i="53"/>
  <c r="Q123" i="53"/>
  <c r="Y119" i="53"/>
  <c r="X119" i="53"/>
  <c r="W119" i="53"/>
  <c r="V119" i="53"/>
  <c r="U119" i="53"/>
  <c r="T119" i="53"/>
  <c r="S119" i="53"/>
  <c r="R119" i="53"/>
  <c r="Q119" i="53"/>
  <c r="Y114" i="53"/>
  <c r="X114" i="53"/>
  <c r="W114" i="53"/>
  <c r="V114" i="53"/>
  <c r="U114" i="53"/>
  <c r="T114" i="53"/>
  <c r="S114" i="53"/>
  <c r="R114" i="53"/>
  <c r="Q114" i="53"/>
  <c r="Y113" i="53"/>
  <c r="X113" i="53"/>
  <c r="W113" i="53"/>
  <c r="V113" i="53"/>
  <c r="U113" i="53"/>
  <c r="T113" i="53"/>
  <c r="S113" i="53"/>
  <c r="R113" i="53"/>
  <c r="Q113" i="53"/>
  <c r="Y112" i="53"/>
  <c r="X112" i="53"/>
  <c r="W112" i="53"/>
  <c r="V112" i="53"/>
  <c r="U112" i="53"/>
  <c r="T112" i="53"/>
  <c r="S112" i="53"/>
  <c r="R112" i="53"/>
  <c r="Q112" i="53"/>
  <c r="Y111" i="53"/>
  <c r="X111" i="53"/>
  <c r="W111" i="53"/>
  <c r="V111" i="53"/>
  <c r="U111" i="53"/>
  <c r="T111" i="53"/>
  <c r="S111" i="53"/>
  <c r="R111" i="53"/>
  <c r="Q111" i="53"/>
  <c r="Y110" i="53"/>
  <c r="X110" i="53"/>
  <c r="W110" i="53"/>
  <c r="V110" i="53"/>
  <c r="U110" i="53"/>
  <c r="T110" i="53"/>
  <c r="S110" i="53"/>
  <c r="R110" i="53"/>
  <c r="Q110" i="53"/>
  <c r="Y109" i="53"/>
  <c r="X109" i="53"/>
  <c r="W109" i="53"/>
  <c r="V109" i="53"/>
  <c r="U109" i="53"/>
  <c r="T109" i="53"/>
  <c r="S109" i="53"/>
  <c r="R109" i="53"/>
  <c r="Q109" i="53"/>
  <c r="Y108" i="53"/>
  <c r="X108" i="53"/>
  <c r="W108" i="53"/>
  <c r="V108" i="53"/>
  <c r="U108" i="53"/>
  <c r="T108" i="53"/>
  <c r="S108" i="53"/>
  <c r="R108" i="53"/>
  <c r="Q108" i="53"/>
  <c r="Y107" i="53"/>
  <c r="X107" i="53"/>
  <c r="W107" i="53"/>
  <c r="V107" i="53"/>
  <c r="U107" i="53"/>
  <c r="T107" i="53"/>
  <c r="S107" i="53"/>
  <c r="R107" i="53"/>
  <c r="Q107" i="53"/>
  <c r="Y106" i="53"/>
  <c r="X106" i="53"/>
  <c r="W106" i="53"/>
  <c r="V106" i="53"/>
  <c r="U106" i="53"/>
  <c r="T106" i="53"/>
  <c r="S106" i="53"/>
  <c r="R106" i="53"/>
  <c r="Q106" i="53"/>
  <c r="Y105" i="53"/>
  <c r="X105" i="53"/>
  <c r="W105" i="53"/>
  <c r="V105" i="53"/>
  <c r="U105" i="53"/>
  <c r="T105" i="53"/>
  <c r="S105" i="53"/>
  <c r="R105" i="53"/>
  <c r="Q105" i="53"/>
  <c r="Y104" i="53"/>
  <c r="X104" i="53"/>
  <c r="W104" i="53"/>
  <c r="V104" i="53"/>
  <c r="U104" i="53"/>
  <c r="T104" i="53"/>
  <c r="S104" i="53"/>
  <c r="R104" i="53"/>
  <c r="Q104" i="53"/>
  <c r="Y103" i="53"/>
  <c r="X103" i="53"/>
  <c r="W103" i="53"/>
  <c r="V103" i="53"/>
  <c r="U103" i="53"/>
  <c r="T103" i="53"/>
  <c r="S103" i="53"/>
  <c r="R103" i="53"/>
  <c r="Q103" i="53"/>
  <c r="Y102" i="53"/>
  <c r="X102" i="53"/>
  <c r="W102" i="53"/>
  <c r="V102" i="53"/>
  <c r="U102" i="53"/>
  <c r="T102" i="53"/>
  <c r="S102" i="53"/>
  <c r="R102" i="53"/>
  <c r="Q102" i="53"/>
  <c r="Y101" i="53"/>
  <c r="X101" i="53"/>
  <c r="W101" i="53"/>
  <c r="V101" i="53"/>
  <c r="U101" i="53"/>
  <c r="T101" i="53"/>
  <c r="S101" i="53"/>
  <c r="R101" i="53"/>
  <c r="Q101" i="53"/>
  <c r="Y100" i="53"/>
  <c r="X100" i="53"/>
  <c r="W100" i="53"/>
  <c r="V100" i="53"/>
  <c r="U100" i="53"/>
  <c r="T100" i="53"/>
  <c r="S100" i="53"/>
  <c r="R100" i="53"/>
  <c r="Q100" i="53"/>
  <c r="Y91" i="53"/>
  <c r="X91" i="53"/>
  <c r="W91" i="53"/>
  <c r="V91" i="53"/>
  <c r="U91" i="53"/>
  <c r="T91" i="53"/>
  <c r="S91" i="53"/>
  <c r="R91" i="53"/>
  <c r="Q91" i="53"/>
  <c r="Y90" i="53"/>
  <c r="X90" i="53"/>
  <c r="W90" i="53"/>
  <c r="V90" i="53"/>
  <c r="U90" i="53"/>
  <c r="T90" i="53"/>
  <c r="S90" i="53"/>
  <c r="R90" i="53"/>
  <c r="Q90" i="53"/>
  <c r="Y89" i="53"/>
  <c r="X89" i="53"/>
  <c r="W89" i="53"/>
  <c r="V89" i="53"/>
  <c r="U89" i="53"/>
  <c r="T89" i="53"/>
  <c r="S89" i="53"/>
  <c r="R89" i="53"/>
  <c r="Q89" i="53"/>
  <c r="Y88" i="53"/>
  <c r="X88" i="53"/>
  <c r="W88" i="53"/>
  <c r="V88" i="53"/>
  <c r="U88" i="53"/>
  <c r="T88" i="53"/>
  <c r="S88" i="53"/>
  <c r="R88" i="53"/>
  <c r="Q88" i="53"/>
  <c r="Y87" i="53"/>
  <c r="X87" i="53"/>
  <c r="W87" i="53"/>
  <c r="V87" i="53"/>
  <c r="U87" i="53"/>
  <c r="T87" i="53"/>
  <c r="S87" i="53"/>
  <c r="R87" i="53"/>
  <c r="Q87" i="53"/>
  <c r="Y86" i="53"/>
  <c r="X86" i="53"/>
  <c r="W86" i="53"/>
  <c r="V86" i="53"/>
  <c r="U86" i="53"/>
  <c r="T86" i="53"/>
  <c r="S86" i="53"/>
  <c r="R86" i="53"/>
  <c r="Q86" i="53"/>
  <c r="Y85" i="53"/>
  <c r="X85" i="53"/>
  <c r="W85" i="53"/>
  <c r="V85" i="53"/>
  <c r="U85" i="53"/>
  <c r="T85" i="53"/>
  <c r="S85" i="53"/>
  <c r="R85" i="53"/>
  <c r="Q85" i="53"/>
  <c r="Y84" i="53"/>
  <c r="X84" i="53"/>
  <c r="W84" i="53"/>
  <c r="V84" i="53"/>
  <c r="U84" i="53"/>
  <c r="T84" i="53"/>
  <c r="S84" i="53"/>
  <c r="R84" i="53"/>
  <c r="Q84" i="53"/>
  <c r="Y83" i="53"/>
  <c r="X83" i="53"/>
  <c r="W83" i="53"/>
  <c r="V83" i="53"/>
  <c r="U83" i="53"/>
  <c r="T83" i="53"/>
  <c r="S83" i="53"/>
  <c r="R83" i="53"/>
  <c r="Q83" i="53"/>
  <c r="Y82" i="53"/>
  <c r="X82" i="53"/>
  <c r="W82" i="53"/>
  <c r="V82" i="53"/>
  <c r="U82" i="53"/>
  <c r="T82" i="53"/>
  <c r="S82" i="53"/>
  <c r="R82" i="53"/>
  <c r="Q82" i="53"/>
  <c r="Y81" i="53"/>
  <c r="X81" i="53"/>
  <c r="W81" i="53"/>
  <c r="V81" i="53"/>
  <c r="U81" i="53"/>
  <c r="T81" i="53"/>
  <c r="S81" i="53"/>
  <c r="R81" i="53"/>
  <c r="Q81" i="53"/>
  <c r="Y80" i="53"/>
  <c r="X80" i="53"/>
  <c r="W80" i="53"/>
  <c r="V80" i="53"/>
  <c r="U80" i="53"/>
  <c r="T80" i="53"/>
  <c r="S80" i="53"/>
  <c r="R80" i="53"/>
  <c r="Q80" i="53"/>
  <c r="Y79" i="53"/>
  <c r="X79" i="53"/>
  <c r="W79" i="53"/>
  <c r="V79" i="53"/>
  <c r="U79" i="53"/>
  <c r="T79" i="53"/>
  <c r="S79" i="53"/>
  <c r="R79" i="53"/>
  <c r="Q79" i="53"/>
  <c r="T73" i="53"/>
  <c r="S73" i="53"/>
  <c r="R73" i="53"/>
  <c r="Q73" i="53"/>
  <c r="T71" i="53"/>
  <c r="S71" i="53"/>
  <c r="R71" i="53"/>
  <c r="Q71" i="53"/>
  <c r="T69" i="53"/>
  <c r="S69" i="53"/>
  <c r="R69" i="53"/>
  <c r="Q69" i="53"/>
  <c r="Y60" i="53"/>
  <c r="X60" i="53"/>
  <c r="W60" i="53"/>
  <c r="V60" i="53"/>
  <c r="U60" i="53"/>
  <c r="T60" i="53"/>
  <c r="S60" i="53"/>
  <c r="R60" i="53"/>
  <c r="Q60" i="53"/>
  <c r="Y58" i="53"/>
  <c r="X58" i="53"/>
  <c r="W58" i="53"/>
  <c r="V58" i="53"/>
  <c r="U58" i="53"/>
  <c r="T58" i="53"/>
  <c r="S58" i="53"/>
  <c r="R58" i="53"/>
  <c r="Q58" i="53"/>
  <c r="Y52" i="53"/>
  <c r="X52" i="53"/>
  <c r="W52" i="53"/>
  <c r="V52" i="53"/>
  <c r="U52" i="53"/>
  <c r="T52" i="53"/>
  <c r="S52" i="53"/>
  <c r="R52" i="53"/>
  <c r="Q52" i="53"/>
  <c r="Y51" i="53"/>
  <c r="X51" i="53"/>
  <c r="W51" i="53"/>
  <c r="V51" i="53"/>
  <c r="U51" i="53"/>
  <c r="T51" i="53"/>
  <c r="S51" i="53"/>
  <c r="R51" i="53"/>
  <c r="Q51" i="53"/>
  <c r="Y50" i="53"/>
  <c r="X50" i="53"/>
  <c r="W50" i="53"/>
  <c r="V50" i="53"/>
  <c r="U50" i="53"/>
  <c r="T50" i="53"/>
  <c r="S50" i="53"/>
  <c r="R50" i="53"/>
  <c r="Q50" i="53"/>
  <c r="Y49" i="53"/>
  <c r="X49" i="53"/>
  <c r="W49" i="53"/>
  <c r="V49" i="53"/>
  <c r="U49" i="53"/>
  <c r="T49" i="53"/>
  <c r="S49" i="53"/>
  <c r="R49" i="53"/>
  <c r="Q49" i="53"/>
  <c r="Y48" i="53"/>
  <c r="X48" i="53"/>
  <c r="W48" i="53"/>
  <c r="V48" i="53"/>
  <c r="U48" i="53"/>
  <c r="T48" i="53"/>
  <c r="S48" i="53"/>
  <c r="R48" i="53"/>
  <c r="Q48" i="53"/>
  <c r="Y47" i="53"/>
  <c r="X47" i="53"/>
  <c r="W47" i="53"/>
  <c r="V47" i="53"/>
  <c r="U47" i="53"/>
  <c r="T47" i="53"/>
  <c r="S47" i="53"/>
  <c r="R47" i="53"/>
  <c r="Q47" i="53"/>
  <c r="Y46" i="53"/>
  <c r="X46" i="53"/>
  <c r="W46" i="53"/>
  <c r="V46" i="53"/>
  <c r="U46" i="53"/>
  <c r="T46" i="53"/>
  <c r="S46" i="53"/>
  <c r="R46" i="53"/>
  <c r="Q46" i="53"/>
  <c r="Y45" i="53"/>
  <c r="X45" i="53"/>
  <c r="W45" i="53"/>
  <c r="V45" i="53"/>
  <c r="U45" i="53"/>
  <c r="T45" i="53"/>
  <c r="S45" i="53"/>
  <c r="R45" i="53"/>
  <c r="Q45" i="53"/>
  <c r="Y44" i="53"/>
  <c r="X44" i="53"/>
  <c r="W44" i="53"/>
  <c r="V44" i="53"/>
  <c r="U44" i="53"/>
  <c r="T44" i="53"/>
  <c r="S44" i="53"/>
  <c r="R44" i="53"/>
  <c r="Q44" i="53"/>
  <c r="Y43" i="53"/>
  <c r="X43" i="53"/>
  <c r="W43" i="53"/>
  <c r="V43" i="53"/>
  <c r="U43" i="53"/>
  <c r="T43" i="53"/>
  <c r="S43" i="53"/>
  <c r="R43" i="53"/>
  <c r="Q43" i="53"/>
  <c r="Y42" i="53"/>
  <c r="X42" i="53"/>
  <c r="W42" i="53"/>
  <c r="V42" i="53"/>
  <c r="U42" i="53"/>
  <c r="T42" i="53"/>
  <c r="S42" i="53"/>
  <c r="R42" i="53"/>
  <c r="Q42" i="53"/>
  <c r="Y41" i="53"/>
  <c r="X41" i="53"/>
  <c r="W41" i="53"/>
  <c r="V41" i="53"/>
  <c r="U41" i="53"/>
  <c r="T41" i="53"/>
  <c r="S41" i="53"/>
  <c r="R41" i="53"/>
  <c r="Q41" i="53"/>
  <c r="Y40" i="53"/>
  <c r="X40" i="53"/>
  <c r="W40" i="53"/>
  <c r="V40" i="53"/>
  <c r="U40" i="53"/>
  <c r="T40" i="53"/>
  <c r="S40" i="53"/>
  <c r="R40" i="53"/>
  <c r="Q40" i="53"/>
  <c r="Y38" i="53"/>
  <c r="X38" i="53"/>
  <c r="W38" i="53"/>
  <c r="V38" i="53"/>
  <c r="U38" i="53"/>
  <c r="T38" i="53"/>
  <c r="S38" i="53"/>
  <c r="R38" i="53"/>
  <c r="Q38" i="53"/>
  <c r="Y37" i="53"/>
  <c r="X37" i="53"/>
  <c r="W37" i="53"/>
  <c r="V37" i="53"/>
  <c r="U37" i="53"/>
  <c r="T37" i="53"/>
  <c r="S37" i="53"/>
  <c r="R37" i="53"/>
  <c r="Q37" i="53"/>
  <c r="Y36" i="53"/>
  <c r="X36" i="53"/>
  <c r="W36" i="53"/>
  <c r="V36" i="53"/>
  <c r="U36" i="53"/>
  <c r="T36" i="53"/>
  <c r="S36" i="53"/>
  <c r="R36" i="53"/>
  <c r="Q36" i="53"/>
  <c r="Y34" i="53"/>
  <c r="X34" i="53"/>
  <c r="W34" i="53"/>
  <c r="V34" i="53"/>
  <c r="U34" i="53"/>
  <c r="T34" i="53"/>
  <c r="S34" i="53"/>
  <c r="R34" i="53"/>
  <c r="Q34" i="53"/>
  <c r="Y33" i="53"/>
  <c r="X33" i="53"/>
  <c r="W33" i="53"/>
  <c r="V33" i="53"/>
  <c r="U33" i="53"/>
  <c r="T33" i="53"/>
  <c r="S33" i="53"/>
  <c r="R33" i="53"/>
  <c r="Q33" i="53"/>
  <c r="Y32" i="53"/>
  <c r="X32" i="53"/>
  <c r="W32" i="53"/>
  <c r="V32" i="53"/>
  <c r="U32" i="53"/>
  <c r="T32" i="53"/>
  <c r="S32" i="53"/>
  <c r="R32" i="53"/>
  <c r="Q32" i="53"/>
  <c r="Y31" i="53"/>
  <c r="X31" i="53"/>
  <c r="W31" i="53"/>
  <c r="V31" i="53"/>
  <c r="U31" i="53"/>
  <c r="T31" i="53"/>
  <c r="S31" i="53"/>
  <c r="R31" i="53"/>
  <c r="Q31" i="53"/>
  <c r="Y30" i="53"/>
  <c r="X30" i="53"/>
  <c r="W30" i="53"/>
  <c r="V30" i="53"/>
  <c r="U30" i="53"/>
  <c r="T30" i="53"/>
  <c r="S30" i="53"/>
  <c r="R30" i="53"/>
  <c r="Q30" i="53"/>
  <c r="Y29" i="53"/>
  <c r="X29" i="53"/>
  <c r="W29" i="53"/>
  <c r="V29" i="53"/>
  <c r="U29" i="53"/>
  <c r="T29" i="53"/>
  <c r="S29" i="53"/>
  <c r="R29" i="53"/>
  <c r="Q29" i="53"/>
  <c r="Y28" i="53"/>
  <c r="X28" i="53"/>
  <c r="W28" i="53"/>
  <c r="V28" i="53"/>
  <c r="U28" i="53"/>
  <c r="T28" i="53"/>
  <c r="S28" i="53"/>
  <c r="R28" i="53"/>
  <c r="Q28" i="53"/>
  <c r="Y27" i="53"/>
  <c r="X27" i="53"/>
  <c r="W27" i="53"/>
  <c r="V27" i="53"/>
  <c r="U27" i="53"/>
  <c r="T27" i="53"/>
  <c r="S27" i="53"/>
  <c r="R27" i="53"/>
  <c r="Q27" i="53"/>
  <c r="Y26" i="53"/>
  <c r="X26" i="53"/>
  <c r="W26" i="53"/>
  <c r="V26" i="53"/>
  <c r="U26" i="53"/>
  <c r="T26" i="53"/>
  <c r="S26" i="53"/>
  <c r="R26" i="53"/>
  <c r="Q26" i="53"/>
  <c r="Y25" i="53"/>
  <c r="X25" i="53"/>
  <c r="W25" i="53"/>
  <c r="V25" i="53"/>
  <c r="U25" i="53"/>
  <c r="T25" i="53"/>
  <c r="S25" i="53"/>
  <c r="R25" i="53"/>
  <c r="Q25" i="53"/>
  <c r="Y23" i="53"/>
  <c r="X23" i="53"/>
  <c r="W23" i="53"/>
  <c r="V23" i="53"/>
  <c r="U23" i="53"/>
  <c r="T23" i="53"/>
  <c r="S23" i="53"/>
  <c r="R23" i="53"/>
  <c r="Q23" i="53"/>
  <c r="Y22" i="53"/>
  <c r="X22" i="53"/>
  <c r="W22" i="53"/>
  <c r="V22" i="53"/>
  <c r="U22" i="53"/>
  <c r="T22" i="53"/>
  <c r="S22" i="53"/>
  <c r="R22" i="53"/>
  <c r="Q22" i="53"/>
  <c r="Y21" i="53"/>
  <c r="X21" i="53"/>
  <c r="W21" i="53"/>
  <c r="V21" i="53"/>
  <c r="U21" i="53"/>
  <c r="T21" i="53"/>
  <c r="S21" i="53"/>
  <c r="R21" i="53"/>
  <c r="Q21" i="53"/>
  <c r="Y20" i="53"/>
  <c r="X20" i="53"/>
  <c r="W20" i="53"/>
  <c r="V20" i="53"/>
  <c r="U20" i="53"/>
  <c r="T20" i="53"/>
  <c r="S20" i="53"/>
  <c r="R20" i="53"/>
  <c r="Q20" i="53"/>
  <c r="Y16" i="53"/>
  <c r="X16" i="53"/>
  <c r="W16" i="53"/>
  <c r="V16" i="53"/>
  <c r="U16" i="53"/>
  <c r="T16" i="53"/>
  <c r="S16" i="53"/>
  <c r="R16" i="53"/>
  <c r="Q16" i="53"/>
  <c r="Y15" i="53"/>
  <c r="X15" i="53"/>
  <c r="W15" i="53"/>
  <c r="V15" i="53"/>
  <c r="U15" i="53"/>
  <c r="T15" i="53"/>
  <c r="S15" i="53"/>
  <c r="R15" i="53"/>
  <c r="Q15" i="53"/>
  <c r="Y13" i="53"/>
  <c r="X13" i="53"/>
  <c r="W13" i="53"/>
  <c r="V13" i="53"/>
  <c r="U13" i="53"/>
  <c r="T13" i="53"/>
  <c r="S13" i="53"/>
  <c r="R13" i="53"/>
  <c r="Q13" i="53"/>
  <c r="Y12" i="53"/>
  <c r="X12" i="53"/>
  <c r="W12" i="53"/>
  <c r="V12" i="53"/>
  <c r="U12" i="53"/>
  <c r="T12" i="53"/>
  <c r="S12" i="53"/>
  <c r="R12" i="53"/>
  <c r="Q12" i="53"/>
  <c r="Y11" i="53"/>
  <c r="X11" i="53"/>
  <c r="W11" i="53"/>
  <c r="V11" i="53"/>
  <c r="U11" i="53"/>
  <c r="T11" i="53"/>
  <c r="S11" i="53"/>
  <c r="R11" i="53"/>
  <c r="Q11" i="53"/>
  <c r="Y10" i="53"/>
  <c r="X10" i="53"/>
  <c r="W10" i="53"/>
  <c r="V10" i="53"/>
  <c r="U10" i="53"/>
  <c r="T10" i="53"/>
  <c r="S10" i="53"/>
  <c r="R10" i="53"/>
  <c r="Q10" i="53"/>
  <c r="Y9" i="53"/>
  <c r="X9" i="53"/>
  <c r="W9" i="53"/>
  <c r="V9" i="53"/>
  <c r="U9" i="53"/>
  <c r="T9" i="53"/>
  <c r="S9" i="53"/>
  <c r="R9" i="53"/>
  <c r="Q9" i="53"/>
  <c r="Y8" i="53"/>
  <c r="X8" i="53"/>
  <c r="W8" i="53"/>
  <c r="V8" i="53"/>
  <c r="U8" i="53"/>
  <c r="T8" i="53"/>
  <c r="S8" i="53"/>
  <c r="R8" i="53"/>
  <c r="Q8" i="53"/>
  <c r="K3" i="53"/>
  <c r="L3" i="53"/>
  <c r="M3" i="53"/>
  <c r="N3" i="53"/>
  <c r="O3" i="53"/>
  <c r="F170" i="24"/>
  <c r="E170" i="24"/>
  <c r="D170" i="24"/>
  <c r="J169" i="24"/>
  <c r="J168" i="24"/>
  <c r="K167" i="24"/>
  <c r="K166" i="24"/>
  <c r="J165" i="24"/>
  <c r="J164" i="24"/>
  <c r="K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49" i="24"/>
  <c r="J148" i="24"/>
  <c r="J147" i="24"/>
  <c r="J145" i="24"/>
  <c r="J143" i="24"/>
  <c r="H143" i="24"/>
  <c r="G143" i="24"/>
  <c r="J142" i="24"/>
  <c r="G142" i="24"/>
  <c r="H142" i="24"/>
  <c r="J141" i="24"/>
  <c r="H141" i="24"/>
  <c r="G141" i="24"/>
  <c r="J140" i="24"/>
  <c r="G140" i="24"/>
  <c r="H140" i="24"/>
  <c r="J139" i="24"/>
  <c r="H139" i="24"/>
  <c r="G139" i="24"/>
  <c r="J138" i="24"/>
  <c r="G138" i="24"/>
  <c r="H138" i="24"/>
  <c r="J137" i="24"/>
  <c r="G137" i="24"/>
  <c r="H137" i="24"/>
  <c r="J136" i="24"/>
  <c r="G136" i="24"/>
  <c r="H136" i="24"/>
  <c r="G135" i="24"/>
  <c r="H135" i="24"/>
  <c r="J134" i="24"/>
  <c r="G134" i="24"/>
  <c r="H134" i="24"/>
  <c r="J133" i="24"/>
  <c r="G133" i="24"/>
  <c r="H133" i="24"/>
  <c r="J132" i="24"/>
  <c r="H132" i="24"/>
  <c r="G132" i="24"/>
  <c r="J131" i="24"/>
  <c r="G131" i="24"/>
  <c r="H131" i="24"/>
  <c r="J130" i="24"/>
  <c r="H130" i="24"/>
  <c r="G130" i="24"/>
  <c r="J129" i="24"/>
  <c r="G129" i="24"/>
  <c r="H129" i="24"/>
  <c r="J128" i="24"/>
  <c r="H128" i="24"/>
  <c r="G128" i="24"/>
  <c r="J127" i="24"/>
  <c r="G127" i="24"/>
  <c r="H127" i="24"/>
  <c r="J126" i="24"/>
  <c r="G126" i="24"/>
  <c r="H126" i="24"/>
  <c r="J125" i="24"/>
  <c r="G125" i="24"/>
  <c r="H125" i="24"/>
  <c r="G124" i="24"/>
  <c r="H124" i="24"/>
  <c r="G123" i="24"/>
  <c r="H123" i="24"/>
  <c r="G122" i="24"/>
  <c r="H122" i="24"/>
  <c r="K121" i="24"/>
  <c r="H121" i="24"/>
  <c r="G121" i="24"/>
  <c r="H120" i="24"/>
  <c r="G120" i="24"/>
  <c r="G119" i="24"/>
  <c r="H119" i="24"/>
  <c r="K118" i="24"/>
  <c r="G118" i="24"/>
  <c r="H118" i="24"/>
  <c r="J117" i="24"/>
  <c r="H117" i="24"/>
  <c r="G117" i="24"/>
  <c r="J116" i="24"/>
  <c r="G116" i="24"/>
  <c r="H116" i="24"/>
  <c r="G115" i="24"/>
  <c r="H115" i="24"/>
  <c r="G114" i="24"/>
  <c r="H114" i="24"/>
  <c r="J113" i="24"/>
  <c r="G113" i="24"/>
  <c r="H113" i="24"/>
  <c r="H112" i="24"/>
  <c r="G112" i="24"/>
  <c r="J111" i="24"/>
  <c r="G111" i="24"/>
  <c r="H111" i="24"/>
  <c r="G110" i="24"/>
  <c r="H110" i="24"/>
  <c r="G109" i="24"/>
  <c r="H109" i="24"/>
  <c r="G108" i="24"/>
  <c r="H108" i="24"/>
  <c r="G107" i="24"/>
  <c r="H107" i="24"/>
  <c r="G106" i="24"/>
  <c r="H106" i="24"/>
  <c r="J105" i="24"/>
  <c r="H105" i="24"/>
  <c r="G105" i="24"/>
  <c r="J104" i="24"/>
  <c r="G104" i="24"/>
  <c r="H104" i="24"/>
  <c r="G103" i="24"/>
  <c r="H103" i="24"/>
  <c r="J102" i="24"/>
  <c r="H102" i="24"/>
  <c r="G102" i="24"/>
  <c r="H101" i="24"/>
  <c r="G101" i="24"/>
  <c r="H100" i="24"/>
  <c r="G100" i="24"/>
  <c r="G99" i="24"/>
  <c r="H99" i="24"/>
  <c r="H98" i="24"/>
  <c r="G98" i="24"/>
  <c r="H97" i="24"/>
  <c r="G97" i="24"/>
  <c r="H96" i="24"/>
  <c r="G96" i="24"/>
  <c r="G95" i="24"/>
  <c r="H95" i="24"/>
  <c r="J94" i="24"/>
  <c r="G94" i="24"/>
  <c r="H94" i="24"/>
  <c r="G93" i="24"/>
  <c r="H93" i="24"/>
  <c r="G92" i="24"/>
  <c r="H92" i="24"/>
  <c r="G91" i="24"/>
  <c r="H91" i="24"/>
  <c r="G90" i="24"/>
  <c r="H90" i="24"/>
  <c r="G89" i="24"/>
  <c r="H89" i="24"/>
  <c r="G88" i="24"/>
  <c r="H88" i="24"/>
  <c r="G87" i="24"/>
  <c r="H87" i="24"/>
  <c r="J86" i="24"/>
  <c r="H86" i="24"/>
  <c r="G86" i="24"/>
  <c r="H85" i="24"/>
  <c r="G85" i="24"/>
  <c r="G84" i="24"/>
  <c r="H84" i="24"/>
  <c r="H83" i="24"/>
  <c r="G83" i="24"/>
  <c r="H82" i="24"/>
  <c r="G82" i="24"/>
  <c r="H81" i="24"/>
  <c r="G81" i="24"/>
  <c r="G80" i="24"/>
  <c r="H80" i="24"/>
  <c r="H79" i="24"/>
  <c r="G79" i="24"/>
  <c r="H78" i="24"/>
  <c r="G78" i="24"/>
  <c r="H77" i="24"/>
  <c r="G77" i="24"/>
  <c r="G76" i="24"/>
  <c r="H76" i="24"/>
  <c r="H75" i="24"/>
  <c r="G75" i="24"/>
  <c r="H74" i="24"/>
  <c r="G74" i="24"/>
  <c r="H73" i="24"/>
  <c r="G73" i="24"/>
  <c r="G72" i="24"/>
  <c r="H72" i="24"/>
  <c r="H71" i="24"/>
  <c r="G71" i="24"/>
  <c r="H70" i="24"/>
  <c r="G70" i="24"/>
  <c r="H69" i="24"/>
  <c r="G69" i="24"/>
  <c r="G68" i="24"/>
  <c r="H68" i="24"/>
  <c r="H67" i="24"/>
  <c r="G67" i="24"/>
  <c r="H66" i="24"/>
  <c r="G66" i="24"/>
  <c r="H65" i="24"/>
  <c r="G65" i="24"/>
  <c r="G64" i="24"/>
  <c r="H64" i="24"/>
  <c r="H63" i="24"/>
  <c r="G63" i="24"/>
  <c r="H62" i="24"/>
  <c r="G62" i="24"/>
  <c r="H61" i="24"/>
  <c r="G61" i="24"/>
  <c r="G60" i="24"/>
  <c r="H60" i="24"/>
  <c r="H59" i="24"/>
  <c r="G59" i="24"/>
  <c r="H58" i="24"/>
  <c r="G58" i="24"/>
  <c r="H57" i="24"/>
  <c r="G57" i="24"/>
  <c r="G56" i="24"/>
  <c r="H56" i="24"/>
  <c r="H55" i="24"/>
  <c r="G55" i="24"/>
  <c r="H54" i="24"/>
  <c r="G54" i="24"/>
  <c r="K53" i="24"/>
  <c r="H53" i="24"/>
  <c r="G53" i="24"/>
  <c r="K52" i="24"/>
  <c r="H52" i="24"/>
  <c r="G52" i="24"/>
  <c r="K51" i="24"/>
  <c r="G51" i="24"/>
  <c r="H51" i="24"/>
  <c r="J50" i="24"/>
  <c r="G50" i="24"/>
  <c r="H50" i="24"/>
  <c r="K49" i="24"/>
  <c r="G49" i="24"/>
  <c r="H49" i="24"/>
  <c r="K48" i="24"/>
  <c r="H48" i="24"/>
  <c r="G48" i="24"/>
  <c r="G47" i="24"/>
  <c r="H47" i="24"/>
  <c r="J46" i="24"/>
  <c r="G46" i="24"/>
  <c r="H46" i="24"/>
  <c r="J45" i="24"/>
  <c r="H45" i="24"/>
  <c r="G45" i="24"/>
  <c r="G44" i="24"/>
  <c r="H44" i="24"/>
  <c r="J43" i="24"/>
  <c r="G43" i="24"/>
  <c r="H43" i="24"/>
  <c r="G42" i="24"/>
  <c r="H42" i="24"/>
  <c r="H41" i="24"/>
  <c r="G41" i="24"/>
  <c r="G40" i="24"/>
  <c r="H40" i="24"/>
  <c r="J39" i="24"/>
  <c r="H39" i="24"/>
  <c r="G39" i="24"/>
  <c r="J38" i="24"/>
  <c r="H38" i="24"/>
  <c r="G38" i="24"/>
  <c r="J37" i="24"/>
  <c r="H37" i="24"/>
  <c r="G37" i="24"/>
  <c r="J36" i="24"/>
  <c r="G36" i="24"/>
  <c r="H36" i="24"/>
  <c r="J35" i="24"/>
  <c r="G35" i="24"/>
  <c r="H35" i="24"/>
  <c r="H34" i="24"/>
  <c r="G34" i="24"/>
  <c r="J33" i="24"/>
  <c r="G33" i="24"/>
  <c r="H33" i="24"/>
  <c r="H32" i="24"/>
  <c r="G32" i="24"/>
  <c r="G31" i="24"/>
  <c r="H31" i="24"/>
  <c r="J30" i="24"/>
  <c r="K30" i="24"/>
  <c r="G30" i="24"/>
  <c r="H30" i="24"/>
  <c r="K29" i="24"/>
  <c r="J29" i="24"/>
  <c r="G29" i="24"/>
  <c r="H29" i="24"/>
  <c r="J28" i="24"/>
  <c r="H28" i="24"/>
  <c r="G28" i="24"/>
  <c r="J27" i="24"/>
  <c r="H27" i="24"/>
  <c r="G27" i="24"/>
  <c r="G26" i="24"/>
  <c r="H26" i="24"/>
  <c r="G25" i="24"/>
  <c r="H25" i="24"/>
  <c r="G24" i="24"/>
  <c r="H24" i="24"/>
  <c r="K23" i="24"/>
  <c r="J23" i="24"/>
  <c r="G23" i="24"/>
  <c r="H23" i="24"/>
  <c r="J22" i="24"/>
  <c r="K22" i="24"/>
  <c r="G22" i="24"/>
  <c r="H22" i="24"/>
  <c r="K21" i="24"/>
  <c r="J21" i="24"/>
  <c r="G21" i="24"/>
  <c r="H21" i="24"/>
  <c r="J20" i="24"/>
  <c r="K20" i="24"/>
  <c r="G20" i="24"/>
  <c r="H20" i="24"/>
  <c r="K19" i="24"/>
  <c r="G19" i="24"/>
  <c r="H19" i="24"/>
  <c r="J18" i="24"/>
  <c r="G18" i="24"/>
  <c r="H18" i="24"/>
  <c r="G17" i="24"/>
  <c r="H17" i="24"/>
  <c r="J16" i="24"/>
  <c r="G16" i="24"/>
  <c r="H16" i="24"/>
  <c r="J15" i="24"/>
  <c r="G15" i="24"/>
  <c r="H15" i="24"/>
  <c r="J14" i="24"/>
  <c r="G14" i="24"/>
  <c r="H14" i="24"/>
  <c r="J13" i="24"/>
  <c r="G13" i="24"/>
  <c r="H13" i="24"/>
  <c r="G12" i="24"/>
  <c r="H12" i="24"/>
  <c r="J11" i="24"/>
  <c r="G11" i="24"/>
  <c r="H11" i="24"/>
  <c r="J10" i="24"/>
  <c r="J170" i="24"/>
  <c r="G10" i="24"/>
  <c r="H10" i="24"/>
  <c r="G9" i="24"/>
  <c r="G170" i="24"/>
  <c r="C9" i="24"/>
  <c r="C170" i="24"/>
  <c r="K8" i="24"/>
  <c r="K170" i="24"/>
  <c r="H8" i="24"/>
  <c r="G8" i="24"/>
  <c r="L272" i="53"/>
  <c r="V272" i="53"/>
  <c r="L274" i="53"/>
  <c r="V274" i="53"/>
  <c r="K28" i="7"/>
  <c r="V16" i="14"/>
  <c r="W16" i="14"/>
  <c r="X16" i="14"/>
  <c r="U16" i="14"/>
  <c r="J14" i="14"/>
  <c r="Y16" i="14"/>
  <c r="V15" i="14"/>
  <c r="W15" i="14"/>
  <c r="Y15" i="14"/>
  <c r="I43" i="15"/>
  <c r="J43" i="15"/>
  <c r="K43" i="15"/>
  <c r="L43" i="15"/>
  <c r="M43" i="15"/>
  <c r="U15" i="14"/>
  <c r="I44" i="15"/>
  <c r="J44" i="15"/>
  <c r="K44" i="15"/>
  <c r="L44" i="15"/>
  <c r="M44" i="15"/>
  <c r="F167" i="18"/>
  <c r="F175" i="18"/>
  <c r="C18" i="114"/>
  <c r="C20" i="114"/>
  <c r="X15" i="14"/>
  <c r="I41" i="15"/>
  <c r="J41" i="15"/>
  <c r="K41" i="15"/>
  <c r="L41" i="15"/>
  <c r="M41" i="15"/>
  <c r="E172" i="18"/>
  <c r="E175" i="18"/>
  <c r="E174" i="18"/>
  <c r="E177" i="18"/>
  <c r="E169" i="18"/>
  <c r="E173" i="18"/>
  <c r="E176" i="18"/>
  <c r="E168" i="18"/>
  <c r="E170" i="18"/>
  <c r="E171" i="18"/>
  <c r="D174" i="18"/>
  <c r="D172" i="18"/>
  <c r="D168" i="18"/>
  <c r="D176" i="18"/>
  <c r="D171" i="18"/>
  <c r="D177" i="18"/>
  <c r="D170" i="18"/>
  <c r="D173" i="18"/>
  <c r="D175" i="18"/>
  <c r="D169" i="18"/>
  <c r="C177" i="18"/>
  <c r="C170" i="18"/>
  <c r="C176" i="18"/>
  <c r="C169" i="18"/>
  <c r="C171" i="18"/>
  <c r="C175" i="18"/>
  <c r="C172" i="18"/>
  <c r="C168" i="18"/>
  <c r="C174" i="18"/>
  <c r="C173" i="18"/>
  <c r="F108" i="15"/>
  <c r="F183" i="15"/>
  <c r="C170" i="15"/>
  <c r="I13" i="14"/>
  <c r="I17" i="14"/>
  <c r="I55" i="14"/>
  <c r="G5" i="54"/>
  <c r="G39" i="54"/>
  <c r="H39" i="54"/>
  <c r="D170" i="15"/>
  <c r="E170" i="15"/>
  <c r="F170" i="15"/>
  <c r="F185" i="15"/>
  <c r="G170" i="15"/>
  <c r="G185" i="15"/>
  <c r="F64" i="14"/>
  <c r="F12" i="14"/>
  <c r="D64" i="14"/>
  <c r="D12" i="14"/>
  <c r="E64" i="14"/>
  <c r="E12" i="14"/>
  <c r="C64" i="14"/>
  <c r="C12" i="14"/>
  <c r="G12" i="14"/>
  <c r="Y52" i="14"/>
  <c r="G108" i="15"/>
  <c r="G183" i="15"/>
  <c r="C108" i="15"/>
  <c r="D108" i="15"/>
  <c r="E108" i="15"/>
  <c r="C39" i="15"/>
  <c r="C173" i="15"/>
  <c r="C174" i="15"/>
  <c r="D39" i="15"/>
  <c r="D173" i="15"/>
  <c r="D174" i="15"/>
  <c r="E39" i="15"/>
  <c r="E173" i="15"/>
  <c r="E174" i="15"/>
  <c r="F39" i="15"/>
  <c r="G39" i="15"/>
  <c r="C53" i="14"/>
  <c r="S26" i="14"/>
  <c r="G53" i="14"/>
  <c r="D53" i="14"/>
  <c r="E53" i="14"/>
  <c r="F53" i="14"/>
  <c r="W677" i="53"/>
  <c r="Y660" i="53"/>
  <c r="W667" i="53"/>
  <c r="X671" i="53"/>
  <c r="V677" i="53"/>
  <c r="Y678" i="53"/>
  <c r="W683" i="53"/>
  <c r="X688" i="53"/>
  <c r="V690" i="53"/>
  <c r="Y691" i="53"/>
  <c r="W693" i="53"/>
  <c r="X696" i="53"/>
  <c r="Y671" i="53"/>
  <c r="V692" i="53"/>
  <c r="Y677" i="53"/>
  <c r="W679" i="53"/>
  <c r="Y690" i="53"/>
  <c r="V697" i="53"/>
  <c r="U697" i="53"/>
  <c r="Y556" i="53"/>
  <c r="W566" i="53"/>
  <c r="X570" i="53"/>
  <c r="Y579" i="53"/>
  <c r="V583" i="53"/>
  <c r="W606" i="53"/>
  <c r="V610" i="53"/>
  <c r="Y611" i="53"/>
  <c r="X664" i="53"/>
  <c r="V668" i="53"/>
  <c r="W672" i="53"/>
  <c r="X679" i="53"/>
  <c r="V614" i="53"/>
  <c r="W593" i="53"/>
  <c r="X659" i="53"/>
  <c r="Y667" i="53"/>
  <c r="W670" i="53"/>
  <c r="X677" i="53"/>
  <c r="V679" i="53"/>
  <c r="Y683" i="53"/>
  <c r="X690" i="53"/>
  <c r="Y693" i="53"/>
  <c r="W695" i="53"/>
  <c r="Y464" i="53"/>
  <c r="V689" i="53"/>
  <c r="G8" i="54"/>
  <c r="F17" i="54"/>
  <c r="R17" i="54"/>
  <c r="G16" i="54"/>
  <c r="F19" i="54"/>
  <c r="G18" i="54"/>
  <c r="G15" i="54"/>
  <c r="W463" i="53"/>
  <c r="X481" i="53"/>
  <c r="W487" i="53"/>
  <c r="W594" i="53"/>
  <c r="Y672" i="53"/>
  <c r="W678" i="53"/>
  <c r="X685" i="53"/>
  <c r="Y689" i="53"/>
  <c r="W691" i="53"/>
  <c r="X694" i="53"/>
  <c r="V696" i="53"/>
  <c r="Y697" i="53"/>
  <c r="Y567" i="53"/>
  <c r="W570" i="53"/>
  <c r="W664" i="53"/>
  <c r="Y527" i="53"/>
  <c r="V678" i="53"/>
  <c r="W685" i="53"/>
  <c r="X689" i="53"/>
  <c r="Y692" i="53"/>
  <c r="W689" i="53"/>
  <c r="U678" i="53"/>
  <c r="V685" i="53"/>
  <c r="W448" i="53"/>
  <c r="X463" i="53"/>
  <c r="V465" i="53"/>
  <c r="Y466" i="53"/>
  <c r="W470" i="53"/>
  <c r="X476" i="53"/>
  <c r="V480" i="53"/>
  <c r="Y481" i="53"/>
  <c r="X487" i="53"/>
  <c r="Y492" i="53"/>
  <c r="V660" i="53"/>
  <c r="X672" i="53"/>
  <c r="Y679" i="53"/>
  <c r="V691" i="53"/>
  <c r="W694" i="53"/>
  <c r="X697" i="53"/>
  <c r="Y605" i="53"/>
  <c r="Y463" i="53"/>
  <c r="U679" i="53"/>
  <c r="X693" i="53"/>
  <c r="Y560" i="53"/>
  <c r="X581" i="53"/>
  <c r="V590" i="53"/>
  <c r="Y591" i="53"/>
  <c r="X605" i="53"/>
  <c r="X607" i="53"/>
  <c r="Y612" i="53"/>
  <c r="Y688" i="53"/>
  <c r="X683" i="53"/>
  <c r="Y572" i="53"/>
  <c r="Y581" i="53"/>
  <c r="W590" i="53"/>
  <c r="X593" i="53"/>
  <c r="V595" i="53"/>
  <c r="Y607" i="53"/>
  <c r="W690" i="53"/>
  <c r="V695" i="53"/>
  <c r="W612" i="53"/>
  <c r="W696" i="53"/>
  <c r="X594" i="53"/>
  <c r="U690" i="53"/>
  <c r="X615" i="53"/>
  <c r="Y694" i="53"/>
  <c r="X461" i="53"/>
  <c r="X568" i="53"/>
  <c r="Y573" i="53"/>
  <c r="Y610" i="53"/>
  <c r="V537" i="53"/>
  <c r="V607" i="53"/>
  <c r="W671" i="53"/>
  <c r="W688" i="53"/>
  <c r="X678" i="53"/>
  <c r="Y668" i="53"/>
  <c r="Y685" i="53"/>
  <c r="V688" i="53"/>
  <c r="V693" i="53"/>
  <c r="V567" i="53"/>
  <c r="Y568" i="53"/>
  <c r="Y615" i="53"/>
  <c r="V659" i="53"/>
  <c r="W461" i="53"/>
  <c r="U614" i="53"/>
  <c r="V671" i="53"/>
  <c r="U677" i="53"/>
  <c r="X691" i="53"/>
  <c r="X692" i="53"/>
  <c r="V694" i="53"/>
  <c r="W697" i="53"/>
  <c r="X660" i="53"/>
  <c r="V667" i="53"/>
  <c r="Y595" i="53"/>
  <c r="X668" i="53"/>
  <c r="O41" i="15"/>
  <c r="H35" i="54"/>
  <c r="P37" i="54"/>
  <c r="V485" i="53"/>
  <c r="V462" i="53"/>
  <c r="V473" i="53"/>
  <c r="V463" i="53"/>
  <c r="X468" i="53"/>
  <c r="V461" i="53"/>
  <c r="V471" i="53"/>
  <c r="Y473" i="53"/>
  <c r="X482" i="53"/>
  <c r="Y486" i="53"/>
  <c r="W490" i="53"/>
  <c r="X493" i="53"/>
  <c r="X470" i="53"/>
  <c r="W480" i="53"/>
  <c r="W491" i="53"/>
  <c r="Y448" i="53"/>
  <c r="W462" i="53"/>
  <c r="X465" i="53"/>
  <c r="Y480" i="53"/>
  <c r="V482" i="53"/>
  <c r="X486" i="53"/>
  <c r="X491" i="53"/>
  <c r="W493" i="53"/>
  <c r="X448" i="53"/>
  <c r="W465" i="53"/>
  <c r="Y476" i="53"/>
  <c r="W482" i="53"/>
  <c r="Y468" i="53"/>
  <c r="W471" i="53"/>
  <c r="X478" i="53"/>
  <c r="Y482" i="53"/>
  <c r="W485" i="53"/>
  <c r="X490" i="53"/>
  <c r="Y493" i="53"/>
  <c r="V493" i="53"/>
  <c r="V448" i="53"/>
  <c r="Y461" i="53"/>
  <c r="X466" i="53"/>
  <c r="X471" i="53"/>
  <c r="V484" i="53"/>
  <c r="Y485" i="53"/>
  <c r="V490" i="53"/>
  <c r="Y478" i="53"/>
  <c r="U484" i="53"/>
  <c r="Y471" i="53"/>
  <c r="W476" i="53"/>
  <c r="V476" i="53"/>
  <c r="X480" i="53"/>
  <c r="X485" i="53"/>
  <c r="K467" i="53"/>
  <c r="W466" i="53"/>
  <c r="V470" i="53"/>
  <c r="W486" i="53"/>
  <c r="Y490" i="53"/>
  <c r="U448" i="53"/>
  <c r="N467" i="53"/>
  <c r="V464" i="53"/>
  <c r="Y465" i="53"/>
  <c r="W468" i="53"/>
  <c r="Y491" i="53"/>
  <c r="V492" i="53"/>
  <c r="U276" i="53"/>
  <c r="V276" i="53"/>
  <c r="W276" i="53"/>
  <c r="Y670" i="53"/>
  <c r="Y664" i="53"/>
  <c r="W660" i="53"/>
  <c r="R21" i="14"/>
  <c r="R38" i="14"/>
  <c r="R46" i="14"/>
  <c r="U279" i="53"/>
  <c r="E7" i="54"/>
  <c r="Q13" i="54"/>
  <c r="F7" i="54"/>
  <c r="L34" i="8"/>
  <c r="R27" i="14"/>
  <c r="R35" i="14"/>
  <c r="R43" i="14"/>
  <c r="R51" i="14"/>
  <c r="K35" i="8"/>
  <c r="V279" i="53"/>
  <c r="P50" i="14"/>
  <c r="P134" i="15"/>
  <c r="P142" i="15"/>
  <c r="K33" i="8"/>
  <c r="L33" i="8"/>
  <c r="M35" i="8"/>
  <c r="Q111" i="15"/>
  <c r="J34" i="8"/>
  <c r="L35" i="8"/>
  <c r="P54" i="15"/>
  <c r="M33" i="8"/>
  <c r="K34" i="8"/>
  <c r="Q41" i="15"/>
  <c r="Q57" i="15"/>
  <c r="Q65" i="15"/>
  <c r="Q73" i="15"/>
  <c r="Q97" i="15"/>
  <c r="Q112" i="15"/>
  <c r="Q120" i="15"/>
  <c r="M34" i="8"/>
  <c r="J33" i="8"/>
  <c r="J35" i="8"/>
  <c r="U272" i="53"/>
  <c r="Q18" i="54"/>
  <c r="U270" i="53"/>
  <c r="O44" i="15"/>
  <c r="O111" i="15"/>
  <c r="O115" i="15"/>
  <c r="K27" i="7"/>
  <c r="R13" i="14"/>
  <c r="Q23" i="14"/>
  <c r="P62" i="15"/>
  <c r="P78" i="15"/>
  <c r="Q20" i="15"/>
  <c r="Q59" i="15"/>
  <c r="P89" i="15"/>
  <c r="P120" i="15"/>
  <c r="U274" i="53"/>
  <c r="Q13" i="15"/>
  <c r="Q44" i="15"/>
  <c r="Q76" i="15"/>
  <c r="Q100" i="15"/>
  <c r="Q115" i="15"/>
  <c r="Q158" i="15"/>
  <c r="AC478" i="53"/>
  <c r="AC512" i="53"/>
  <c r="O110" i="15"/>
  <c r="AC516" i="53"/>
  <c r="D12" i="54"/>
  <c r="Q6" i="15"/>
  <c r="Q22" i="15"/>
  <c r="Q45" i="15"/>
  <c r="Q69" i="15"/>
  <c r="Q77" i="15"/>
  <c r="Q85" i="15"/>
  <c r="Q116" i="15"/>
  <c r="P145" i="15"/>
  <c r="P166" i="15"/>
  <c r="R20" i="14"/>
  <c r="O6" i="15"/>
  <c r="O14" i="15"/>
  <c r="O30" i="15"/>
  <c r="O61" i="15"/>
  <c r="O81" i="15"/>
  <c r="O85" i="15"/>
  <c r="O93" i="15"/>
  <c r="O101" i="15"/>
  <c r="Q163" i="15"/>
  <c r="Q168" i="15"/>
  <c r="P8" i="54"/>
  <c r="O23" i="15"/>
  <c r="Q46" i="15"/>
  <c r="Q70" i="15"/>
  <c r="Q78" i="15"/>
  <c r="R10" i="54"/>
  <c r="R18" i="54"/>
  <c r="AC484" i="53"/>
  <c r="R78" i="15"/>
  <c r="W607" i="53"/>
  <c r="X560" i="53"/>
  <c r="W581" i="53"/>
  <c r="V594" i="53"/>
  <c r="X612" i="53"/>
  <c r="X573" i="53"/>
  <c r="W583" i="53"/>
  <c r="V591" i="53"/>
  <c r="Y592" i="53"/>
  <c r="X610" i="53"/>
  <c r="V612" i="53"/>
  <c r="Y613" i="53"/>
  <c r="W615" i="53"/>
  <c r="AC527" i="53"/>
  <c r="P5" i="15"/>
  <c r="Q9" i="54"/>
  <c r="AC466" i="53"/>
  <c r="AB539" i="53"/>
  <c r="Q7" i="15"/>
  <c r="Q15" i="15"/>
  <c r="Q23" i="15"/>
  <c r="Q31" i="15"/>
  <c r="Q54" i="15"/>
  <c r="Q62" i="15"/>
  <c r="Q86" i="15"/>
  <c r="H7" i="54"/>
  <c r="H24" i="54"/>
  <c r="H29" i="54"/>
  <c r="AC468" i="53"/>
  <c r="AC593" i="53"/>
  <c r="O7" i="15"/>
  <c r="O11" i="15"/>
  <c r="Q12" i="15"/>
  <c r="O15" i="15"/>
  <c r="O19" i="15"/>
  <c r="O27" i="15"/>
  <c r="Q28" i="15"/>
  <c r="O31" i="15"/>
  <c r="Q43" i="15"/>
  <c r="Q51" i="15"/>
  <c r="Q67" i="15"/>
  <c r="Q75" i="15"/>
  <c r="Q83" i="15"/>
  <c r="Q91" i="15"/>
  <c r="Q99" i="15"/>
  <c r="E35" i="54"/>
  <c r="E38" i="54"/>
  <c r="AB475" i="53"/>
  <c r="Q16" i="15"/>
  <c r="Q24" i="15"/>
  <c r="Q118" i="15"/>
  <c r="P137" i="15"/>
  <c r="D39" i="54"/>
  <c r="R14" i="54"/>
  <c r="P11" i="15"/>
  <c r="P19" i="15"/>
  <c r="P27" i="15"/>
  <c r="Q5" i="54"/>
  <c r="E39" i="54"/>
  <c r="P16" i="54"/>
  <c r="Q24" i="14"/>
  <c r="R5" i="54"/>
  <c r="F39" i="54"/>
  <c r="Q10" i="54"/>
  <c r="M270" i="53"/>
  <c r="M27" i="7"/>
  <c r="V270" i="53"/>
  <c r="P17" i="54"/>
  <c r="E12" i="54"/>
  <c r="P23" i="14"/>
  <c r="P9" i="15"/>
  <c r="P17" i="15"/>
  <c r="Q21" i="15"/>
  <c r="P25" i="15"/>
  <c r="Q29" i="15"/>
  <c r="P40" i="15"/>
  <c r="P48" i="15"/>
  <c r="Q52" i="15"/>
  <c r="P56" i="15"/>
  <c r="Q60" i="15"/>
  <c r="P64" i="15"/>
  <c r="Q68" i="15"/>
  <c r="P80" i="15"/>
  <c r="Q84" i="15"/>
  <c r="Q92" i="15"/>
  <c r="P96" i="15"/>
  <c r="R142" i="15"/>
  <c r="P131" i="15"/>
  <c r="P139" i="15"/>
  <c r="P147" i="15"/>
  <c r="P155" i="15"/>
  <c r="C7" i="54"/>
  <c r="C24" i="54"/>
  <c r="C25" i="54"/>
  <c r="F12" i="54"/>
  <c r="D17" i="54"/>
  <c r="H19" i="54"/>
  <c r="Q8" i="54"/>
  <c r="P11" i="54"/>
  <c r="R13" i="54"/>
  <c r="Q16" i="54"/>
  <c r="AC488" i="53"/>
  <c r="AC684" i="53"/>
  <c r="Q29" i="14"/>
  <c r="P8" i="15"/>
  <c r="Q11" i="15"/>
  <c r="P16" i="15"/>
  <c r="Q19" i="15"/>
  <c r="P22" i="15"/>
  <c r="P24" i="15"/>
  <c r="Q27" i="15"/>
  <c r="Q42" i="15"/>
  <c r="P47" i="15"/>
  <c r="Q50" i="15"/>
  <c r="P55" i="15"/>
  <c r="Q58" i="15"/>
  <c r="P63" i="15"/>
  <c r="Q66" i="15"/>
  <c r="P71" i="15"/>
  <c r="Q74" i="15"/>
  <c r="Q82" i="15"/>
  <c r="Q90" i="15"/>
  <c r="P95" i="15"/>
  <c r="Q98" i="15"/>
  <c r="P110" i="15"/>
  <c r="P153" i="15"/>
  <c r="D7" i="54"/>
  <c r="D24" i="54"/>
  <c r="H12" i="54"/>
  <c r="E17" i="54"/>
  <c r="Q17" i="54"/>
  <c r="P6" i="54"/>
  <c r="R8" i="54"/>
  <c r="Q11" i="54"/>
  <c r="P14" i="54"/>
  <c r="R16" i="54"/>
  <c r="C39" i="54"/>
  <c r="F35" i="54"/>
  <c r="AC450" i="53"/>
  <c r="AC493" i="53"/>
  <c r="AB687" i="53"/>
  <c r="R22" i="14"/>
  <c r="C15" i="54"/>
  <c r="Q6" i="54"/>
  <c r="P9" i="54"/>
  <c r="R11" i="54"/>
  <c r="Q14" i="54"/>
  <c r="K455" i="53"/>
  <c r="AC451" i="53"/>
  <c r="AC505" i="53"/>
  <c r="O166" i="15"/>
  <c r="D15" i="54"/>
  <c r="R6" i="54"/>
  <c r="O118" i="15"/>
  <c r="P94" i="15"/>
  <c r="P115" i="15"/>
  <c r="E15" i="54"/>
  <c r="C19" i="54"/>
  <c r="R9" i="54"/>
  <c r="Q51" i="14"/>
  <c r="P10" i="15"/>
  <c r="P18" i="15"/>
  <c r="P26" i="15"/>
  <c r="P28" i="15"/>
  <c r="P57" i="15"/>
  <c r="P65" i="15"/>
  <c r="P73" i="15"/>
  <c r="Q109" i="15"/>
  <c r="Q117" i="15"/>
  <c r="C12" i="54"/>
  <c r="F15" i="54"/>
  <c r="P10" i="54"/>
  <c r="P18" i="54"/>
  <c r="C35" i="54"/>
  <c r="H15" i="54"/>
  <c r="P13" i="54"/>
  <c r="P161" i="15"/>
  <c r="P118" i="15"/>
  <c r="P113" i="15"/>
  <c r="P87" i="15"/>
  <c r="P79" i="15"/>
  <c r="P70" i="15"/>
  <c r="U612" i="53"/>
  <c r="X553" i="53"/>
  <c r="W537" i="53"/>
  <c r="X592" i="53"/>
  <c r="V527" i="53"/>
  <c r="X537" i="53"/>
  <c r="W567" i="53"/>
  <c r="V579" i="53"/>
  <c r="V611" i="53"/>
  <c r="U591" i="53"/>
  <c r="W610" i="53"/>
  <c r="X556" i="53"/>
  <c r="X527" i="53"/>
  <c r="W553" i="53"/>
  <c r="W573" i="53"/>
  <c r="X613" i="53"/>
  <c r="V615" i="53"/>
  <c r="P32" i="15"/>
  <c r="Q15" i="14"/>
  <c r="P5" i="54"/>
  <c r="AC462" i="53"/>
  <c r="AC479" i="53"/>
  <c r="AB507" i="53"/>
  <c r="AA542" i="53"/>
  <c r="P116" i="15"/>
  <c r="P163" i="15"/>
  <c r="P167" i="15"/>
  <c r="AA463" i="53"/>
  <c r="AC483" i="53"/>
  <c r="AC508" i="53"/>
  <c r="AC549" i="53"/>
  <c r="P46" i="15"/>
  <c r="O77" i="15"/>
  <c r="O150" i="15"/>
  <c r="Q138" i="15"/>
  <c r="Q146" i="15"/>
  <c r="Q154" i="15"/>
  <c r="Q162" i="15"/>
  <c r="Q167" i="15"/>
  <c r="I134" i="15"/>
  <c r="AB466" i="53"/>
  <c r="AB564" i="53"/>
  <c r="P6" i="15"/>
  <c r="Q49" i="15"/>
  <c r="Q81" i="15"/>
  <c r="Q89" i="15"/>
  <c r="R131" i="15"/>
  <c r="R14" i="14"/>
  <c r="P34" i="14"/>
  <c r="O48" i="15"/>
  <c r="Q14" i="15"/>
  <c r="O18" i="15"/>
  <c r="Q30" i="15"/>
  <c r="Q53" i="15"/>
  <c r="Q61" i="15"/>
  <c r="Q93" i="15"/>
  <c r="Q101" i="15"/>
  <c r="O120" i="15"/>
  <c r="Q131" i="15"/>
  <c r="Q139" i="15"/>
  <c r="O143" i="15"/>
  <c r="Q147" i="15"/>
  <c r="Q155" i="15"/>
  <c r="O159" i="15"/>
  <c r="O168" i="15"/>
  <c r="AB490" i="53"/>
  <c r="AB520" i="53"/>
  <c r="AB610" i="53"/>
  <c r="P72" i="15"/>
  <c r="P88" i="15"/>
  <c r="R96" i="15"/>
  <c r="O119" i="15"/>
  <c r="P86" i="15"/>
  <c r="P168" i="15"/>
  <c r="Q136" i="15"/>
  <c r="P150" i="15"/>
  <c r="Q152" i="15"/>
  <c r="P158" i="15"/>
  <c r="Q160" i="15"/>
  <c r="Q166" i="15"/>
  <c r="AC470" i="53"/>
  <c r="AC490" i="53"/>
  <c r="AA522" i="53"/>
  <c r="AC664" i="53"/>
  <c r="O40" i="15"/>
  <c r="O49" i="15"/>
  <c r="R65" i="15"/>
  <c r="O8" i="15"/>
  <c r="O83" i="15"/>
  <c r="O99" i="15"/>
  <c r="P114" i="15"/>
  <c r="Q119" i="15"/>
  <c r="J132" i="15"/>
  <c r="L661" i="53"/>
  <c r="K661" i="53"/>
  <c r="U661" i="53"/>
  <c r="J153" i="15"/>
  <c r="K682" i="53"/>
  <c r="U682" i="53"/>
  <c r="AE451" i="53"/>
  <c r="AA480" i="53"/>
  <c r="AE493" i="53"/>
  <c r="AE508" i="53"/>
  <c r="AE517" i="53"/>
  <c r="AE567" i="53"/>
  <c r="AE588" i="53"/>
  <c r="AA623" i="53"/>
  <c r="P42" i="14"/>
  <c r="O57" i="15"/>
  <c r="R61" i="15"/>
  <c r="O97" i="15"/>
  <c r="O112" i="15"/>
  <c r="H496" i="53"/>
  <c r="H497" i="53"/>
  <c r="AA461" i="53"/>
  <c r="AE468" i="53"/>
  <c r="AC475" i="53"/>
  <c r="AE482" i="53"/>
  <c r="AC489" i="53"/>
  <c r="AA503" i="53"/>
  <c r="AB509" i="53"/>
  <c r="AC518" i="53"/>
  <c r="AA536" i="53"/>
  <c r="AB550" i="53"/>
  <c r="AC571" i="53"/>
  <c r="AE589" i="53"/>
  <c r="AE636" i="53"/>
  <c r="AA695" i="53"/>
  <c r="Q47" i="14"/>
  <c r="P97" i="15"/>
  <c r="P112" i="15"/>
  <c r="Q137" i="15"/>
  <c r="P143" i="15"/>
  <c r="Q145" i="15"/>
  <c r="P151" i="15"/>
  <c r="Q153" i="15"/>
  <c r="P157" i="15"/>
  <c r="P159" i="15"/>
  <c r="Q161" i="15"/>
  <c r="AC461" i="53"/>
  <c r="AE469" i="53"/>
  <c r="AC476" i="53"/>
  <c r="AB483" i="53"/>
  <c r="AE489" i="53"/>
  <c r="AC503" i="53"/>
  <c r="AC510" i="53"/>
  <c r="AC519" i="53"/>
  <c r="AE538" i="53"/>
  <c r="AC553" i="53"/>
  <c r="AA575" i="53"/>
  <c r="AC592" i="53"/>
  <c r="AA640" i="53"/>
  <c r="AB697" i="53"/>
  <c r="R5" i="14"/>
  <c r="P7" i="14"/>
  <c r="S24" i="14"/>
  <c r="F121" i="15"/>
  <c r="F184" i="15"/>
  <c r="O10" i="15"/>
  <c r="O53" i="15"/>
  <c r="R120" i="15"/>
  <c r="P14" i="15"/>
  <c r="P20" i="15"/>
  <c r="P59" i="15"/>
  <c r="P77" i="15"/>
  <c r="R139" i="15"/>
  <c r="P148" i="15"/>
  <c r="Q135" i="15"/>
  <c r="Q151" i="15"/>
  <c r="AA447" i="53"/>
  <c r="AA470" i="53"/>
  <c r="AE476" i="53"/>
  <c r="AE504" i="53"/>
  <c r="AA511" i="53"/>
  <c r="AE555" i="53"/>
  <c r="AE577" i="53"/>
  <c r="AE647" i="53"/>
  <c r="AA727" i="53"/>
  <c r="R30" i="14"/>
  <c r="S34" i="14"/>
  <c r="O89" i="15"/>
  <c r="O116" i="15"/>
  <c r="K544" i="53"/>
  <c r="U544" i="53"/>
  <c r="P140" i="15"/>
  <c r="AE449" i="53"/>
  <c r="AE477" i="53"/>
  <c r="AE556" i="53"/>
  <c r="AE578" i="53"/>
  <c r="AE596" i="53"/>
  <c r="AE755" i="53"/>
  <c r="P9" i="14"/>
  <c r="G496" i="53"/>
  <c r="G497" i="53"/>
  <c r="AB450" i="53"/>
  <c r="AE465" i="53"/>
  <c r="AC471" i="53"/>
  <c r="AA478" i="53"/>
  <c r="AE484" i="53"/>
  <c r="AC491" i="53"/>
  <c r="AC506" i="53"/>
  <c r="AE512" i="53"/>
  <c r="AC523" i="53"/>
  <c r="AE543" i="53"/>
  <c r="AC560" i="53"/>
  <c r="AC581" i="53"/>
  <c r="AB604" i="53"/>
  <c r="AC674" i="53"/>
  <c r="Q27" i="14"/>
  <c r="R32" i="14"/>
  <c r="Q35" i="14"/>
  <c r="R40" i="14"/>
  <c r="R48" i="14"/>
  <c r="O45" i="15"/>
  <c r="P49" i="15"/>
  <c r="O65" i="15"/>
  <c r="O69" i="15"/>
  <c r="O73" i="15"/>
  <c r="P81" i="15"/>
  <c r="O114" i="15"/>
  <c r="O62" i="15"/>
  <c r="O86" i="15"/>
  <c r="O94" i="15"/>
  <c r="O135" i="15"/>
  <c r="AA472" i="53"/>
  <c r="AA486" i="53"/>
  <c r="AA492" i="53"/>
  <c r="AA516" i="53"/>
  <c r="AE523" i="53"/>
  <c r="AC544" i="53"/>
  <c r="AC582" i="53"/>
  <c r="AC608" i="53"/>
  <c r="AB677" i="53"/>
  <c r="R9" i="14"/>
  <c r="R29" i="14"/>
  <c r="R37" i="14"/>
  <c r="R45" i="14"/>
  <c r="P26" i="14"/>
  <c r="Q43" i="14"/>
  <c r="O22" i="15"/>
  <c r="O26" i="15"/>
  <c r="K576" i="53"/>
  <c r="U576" i="53"/>
  <c r="L27" i="7"/>
  <c r="AE474" i="53"/>
  <c r="AE487" i="53"/>
  <c r="AA527" i="53"/>
  <c r="AA547" i="53"/>
  <c r="AA586" i="53"/>
  <c r="R26" i="14"/>
  <c r="R34" i="14"/>
  <c r="R42" i="14"/>
  <c r="P49" i="14"/>
  <c r="R50" i="14"/>
  <c r="P41" i="15"/>
  <c r="O72" i="15"/>
  <c r="O84" i="15"/>
  <c r="O96" i="15"/>
  <c r="K584" i="53"/>
  <c r="U584" i="53"/>
  <c r="Q144" i="15"/>
  <c r="O151" i="15"/>
  <c r="O163" i="15"/>
  <c r="AD745" i="53"/>
  <c r="AD726" i="53"/>
  <c r="AD756" i="53"/>
  <c r="AD742" i="53"/>
  <c r="AD724" i="53"/>
  <c r="AD751" i="53"/>
  <c r="AD727" i="53"/>
  <c r="AD714" i="53"/>
  <c r="AD694" i="53"/>
  <c r="AD686" i="53"/>
  <c r="AD678" i="53"/>
  <c r="AD670" i="53"/>
  <c r="AD662" i="53"/>
  <c r="AD648" i="53"/>
  <c r="AD640" i="53"/>
  <c r="AD626" i="53"/>
  <c r="AD614" i="53"/>
  <c r="AD606" i="53"/>
  <c r="AD754" i="53"/>
  <c r="AD730" i="53"/>
  <c r="AD722" i="53"/>
  <c r="AD697" i="53"/>
  <c r="AD689" i="53"/>
  <c r="AD681" i="53"/>
  <c r="AD673" i="53"/>
  <c r="AD665" i="53"/>
  <c r="AD656" i="53"/>
  <c r="AD643" i="53"/>
  <c r="AD631" i="53"/>
  <c r="AD619" i="53"/>
  <c r="AD743" i="53"/>
  <c r="AD725" i="53"/>
  <c r="AD712" i="53"/>
  <c r="AD692" i="53"/>
  <c r="AD684" i="53"/>
  <c r="AD676" i="53"/>
  <c r="AD668" i="53"/>
  <c r="AD660" i="53"/>
  <c r="AD646" i="53"/>
  <c r="AD638" i="53"/>
  <c r="AD623" i="53"/>
  <c r="AD612" i="53"/>
  <c r="AD604" i="53"/>
  <c r="AD589" i="53"/>
  <c r="AD581" i="53"/>
  <c r="AD573" i="53"/>
  <c r="AD565" i="53"/>
  <c r="AD557" i="53"/>
  <c r="AD723" i="53"/>
  <c r="AD679" i="53"/>
  <c r="AD674" i="53"/>
  <c r="AD669" i="53"/>
  <c r="AD664" i="53"/>
  <c r="AD659" i="53"/>
  <c r="AD755" i="53"/>
  <c r="AD663" i="53"/>
  <c r="AD657" i="53"/>
  <c r="AD647" i="53"/>
  <c r="AD642" i="53"/>
  <c r="AD636" i="53"/>
  <c r="AD609" i="53"/>
  <c r="AD596" i="53"/>
  <c r="AD585" i="53"/>
  <c r="AD574" i="53"/>
  <c r="AD563" i="53"/>
  <c r="AD554" i="53"/>
  <c r="AD546" i="53"/>
  <c r="AD538" i="53"/>
  <c r="AD711" i="53"/>
  <c r="AD649" i="53"/>
  <c r="AD644" i="53"/>
  <c r="AD639" i="53"/>
  <c r="AD629" i="53"/>
  <c r="AD622" i="53"/>
  <c r="AD594" i="53"/>
  <c r="AD592" i="53"/>
  <c r="AD583" i="53"/>
  <c r="AD572" i="53"/>
  <c r="AD561" i="53"/>
  <c r="AD549" i="53"/>
  <c r="AD541" i="53"/>
  <c r="AD721" i="53"/>
  <c r="AD713" i="53"/>
  <c r="AD696" i="53"/>
  <c r="AD691" i="53"/>
  <c r="AD641" i="53"/>
  <c r="AD635" i="53"/>
  <c r="AD624" i="53"/>
  <c r="AD618" i="53"/>
  <c r="AD611" i="53"/>
  <c r="AD729" i="53"/>
  <c r="AD719" i="53"/>
  <c r="AD706" i="53"/>
  <c r="AD693" i="53"/>
  <c r="AD688" i="53"/>
  <c r="AD683" i="53"/>
  <c r="AD627" i="53"/>
  <c r="AD621" i="53"/>
  <c r="AD613" i="53"/>
  <c r="AD588" i="53"/>
  <c r="AD577" i="53"/>
  <c r="AD566" i="53"/>
  <c r="AD555" i="53"/>
  <c r="AD547" i="53"/>
  <c r="AD753" i="53"/>
  <c r="AD728" i="53"/>
  <c r="AD695" i="53"/>
  <c r="AD690" i="53"/>
  <c r="AD685" i="53"/>
  <c r="AD680" i="53"/>
  <c r="AD675" i="53"/>
  <c r="AD615" i="53"/>
  <c r="AD610" i="53"/>
  <c r="AD608" i="53"/>
  <c r="AD595" i="53"/>
  <c r="AD586" i="53"/>
  <c r="AD584" i="53"/>
  <c r="AD575" i="53"/>
  <c r="AD564" i="53"/>
  <c r="AD550" i="53"/>
  <c r="AD542" i="53"/>
  <c r="AD524" i="53"/>
  <c r="AD516" i="53"/>
  <c r="AD508" i="53"/>
  <c r="AD503" i="53"/>
  <c r="AD489" i="53"/>
  <c r="AD448" i="53"/>
  <c r="AD464" i="53"/>
  <c r="AD473" i="53"/>
  <c r="AD481" i="53"/>
  <c r="AD486" i="53"/>
  <c r="AD501" i="53"/>
  <c r="AD514" i="53"/>
  <c r="AD525" i="53"/>
  <c r="AD536" i="53"/>
  <c r="AD651" i="53"/>
  <c r="AD666" i="53"/>
  <c r="P130" i="15"/>
  <c r="Q132" i="15"/>
  <c r="O132" i="15"/>
  <c r="Q133" i="15"/>
  <c r="P136" i="15"/>
  <c r="O136" i="15"/>
  <c r="Q140" i="15"/>
  <c r="O140" i="15"/>
  <c r="Q141" i="15"/>
  <c r="P144" i="15"/>
  <c r="O144" i="15"/>
  <c r="Q148" i="15"/>
  <c r="O148" i="15"/>
  <c r="Q149" i="15"/>
  <c r="I152" i="15"/>
  <c r="P152" i="15"/>
  <c r="O152" i="15"/>
  <c r="P154" i="15"/>
  <c r="Q156" i="15"/>
  <c r="O156" i="15"/>
  <c r="Q157" i="15"/>
  <c r="P160" i="15"/>
  <c r="O160" i="15"/>
  <c r="R160" i="15"/>
  <c r="Q164" i="15"/>
  <c r="O164" i="15"/>
  <c r="Q165" i="15"/>
  <c r="AE753" i="53"/>
  <c r="AE729" i="53"/>
  <c r="AE721" i="53"/>
  <c r="AE751" i="53"/>
  <c r="AE727" i="53"/>
  <c r="AE754" i="53"/>
  <c r="AE730" i="53"/>
  <c r="AE722" i="53"/>
  <c r="AE697" i="53"/>
  <c r="AE689" i="53"/>
  <c r="AE681" i="53"/>
  <c r="AE673" i="53"/>
  <c r="AE665" i="53"/>
  <c r="AE656" i="53"/>
  <c r="AE643" i="53"/>
  <c r="AE631" i="53"/>
  <c r="AE619" i="53"/>
  <c r="AE609" i="53"/>
  <c r="AE743" i="53"/>
  <c r="AE725" i="53"/>
  <c r="AE712" i="53"/>
  <c r="AE692" i="53"/>
  <c r="AE684" i="53"/>
  <c r="AE676" i="53"/>
  <c r="AE668" i="53"/>
  <c r="AE660" i="53"/>
  <c r="AE646" i="53"/>
  <c r="AE638" i="53"/>
  <c r="AE623" i="53"/>
  <c r="AE612" i="53"/>
  <c r="AE752" i="53"/>
  <c r="AE728" i="53"/>
  <c r="AE719" i="53"/>
  <c r="AE695" i="53"/>
  <c r="AE687" i="53"/>
  <c r="AE679" i="53"/>
  <c r="AE671" i="53"/>
  <c r="AE663" i="53"/>
  <c r="AE649" i="53"/>
  <c r="AE641" i="53"/>
  <c r="AE627" i="53"/>
  <c r="AE615" i="53"/>
  <c r="AE607" i="53"/>
  <c r="AE592" i="53"/>
  <c r="AE584" i="53"/>
  <c r="AE576" i="53"/>
  <c r="AE568" i="53"/>
  <c r="AE560" i="53"/>
  <c r="AE756" i="53"/>
  <c r="AE733" i="53"/>
  <c r="AE666" i="53"/>
  <c r="AE661" i="53"/>
  <c r="AE651" i="53"/>
  <c r="AE645" i="53"/>
  <c r="AE640" i="53"/>
  <c r="AE726" i="53"/>
  <c r="AE711" i="53"/>
  <c r="AE694" i="53"/>
  <c r="AE644" i="53"/>
  <c r="AE639" i="53"/>
  <c r="AE629" i="53"/>
  <c r="AE622" i="53"/>
  <c r="AE614" i="53"/>
  <c r="AE594" i="53"/>
  <c r="AE583" i="53"/>
  <c r="AE572" i="53"/>
  <c r="AE561" i="53"/>
  <c r="AE549" i="53"/>
  <c r="AE541" i="53"/>
  <c r="AE745" i="53"/>
  <c r="AE713" i="53"/>
  <c r="AE696" i="53"/>
  <c r="AE691" i="53"/>
  <c r="AE686" i="53"/>
  <c r="AE635" i="53"/>
  <c r="AE624" i="53"/>
  <c r="AE618" i="53"/>
  <c r="AE611" i="53"/>
  <c r="AE590" i="53"/>
  <c r="AE581" i="53"/>
  <c r="AE579" i="53"/>
  <c r="AE570" i="53"/>
  <c r="AE559" i="53"/>
  <c r="AE552" i="53"/>
  <c r="AE544" i="53"/>
  <c r="AE536" i="53"/>
  <c r="AE706" i="53"/>
  <c r="AE693" i="53"/>
  <c r="AE688" i="53"/>
  <c r="AE683" i="53"/>
  <c r="AE678" i="53"/>
  <c r="AE621" i="53"/>
  <c r="AE613" i="53"/>
  <c r="AE690" i="53"/>
  <c r="AE685" i="53"/>
  <c r="AE680" i="53"/>
  <c r="AE675" i="53"/>
  <c r="AE670" i="53"/>
  <c r="AE610" i="53"/>
  <c r="AE608" i="53"/>
  <c r="AE606" i="53"/>
  <c r="AE604" i="53"/>
  <c r="AE595" i="53"/>
  <c r="AE586" i="53"/>
  <c r="AE575" i="53"/>
  <c r="AE564" i="53"/>
  <c r="AE550" i="53"/>
  <c r="AE724" i="53"/>
  <c r="AE682" i="53"/>
  <c r="AE677" i="53"/>
  <c r="AE672" i="53"/>
  <c r="AE667" i="53"/>
  <c r="AE662" i="53"/>
  <c r="AE593" i="53"/>
  <c r="AE582" i="53"/>
  <c r="AE573" i="53"/>
  <c r="AE571" i="53"/>
  <c r="AE562" i="53"/>
  <c r="AE553" i="53"/>
  <c r="AE545" i="53"/>
  <c r="AE537" i="53"/>
  <c r="AE527" i="53"/>
  <c r="AE519" i="53"/>
  <c r="AE511" i="53"/>
  <c r="AE506" i="53"/>
  <c r="AE492" i="53"/>
  <c r="AB447" i="53"/>
  <c r="AE448" i="53"/>
  <c r="AA452" i="53"/>
  <c r="AD461" i="53"/>
  <c r="AB463" i="53"/>
  <c r="AE464" i="53"/>
  <c r="AA469" i="53"/>
  <c r="AD470" i="53"/>
  <c r="AB472" i="53"/>
  <c r="AE473" i="53"/>
  <c r="AA477" i="53"/>
  <c r="AD478" i="53"/>
  <c r="AB480" i="53"/>
  <c r="AE481" i="53"/>
  <c r="AA485" i="53"/>
  <c r="AE486" i="53"/>
  <c r="AD488" i="53"/>
  <c r="AB492" i="53"/>
  <c r="AA500" i="53"/>
  <c r="AE501" i="53"/>
  <c r="AE503" i="53"/>
  <c r="AD505" i="53"/>
  <c r="AC507" i="53"/>
  <c r="AC509" i="53"/>
  <c r="AB511" i="53"/>
  <c r="AA513" i="53"/>
  <c r="AE514" i="53"/>
  <c r="AE516" i="53"/>
  <c r="AD518" i="53"/>
  <c r="AC520" i="53"/>
  <c r="AB522" i="53"/>
  <c r="AA524" i="53"/>
  <c r="AE525" i="53"/>
  <c r="AD527" i="53"/>
  <c r="AB537" i="53"/>
  <c r="AD539" i="53"/>
  <c r="AB542" i="53"/>
  <c r="AD544" i="53"/>
  <c r="AB547" i="53"/>
  <c r="AC550" i="53"/>
  <c r="AD553" i="53"/>
  <c r="AA557" i="53"/>
  <c r="AD560" i="53"/>
  <c r="AC564" i="53"/>
  <c r="AA568" i="53"/>
  <c r="AD571" i="53"/>
  <c r="AC575" i="53"/>
  <c r="AA579" i="53"/>
  <c r="AD582" i="53"/>
  <c r="AB586" i="53"/>
  <c r="AA590" i="53"/>
  <c r="AD593" i="53"/>
  <c r="AD605" i="53"/>
  <c r="AC610" i="53"/>
  <c r="AC623" i="53"/>
  <c r="AA641" i="53"/>
  <c r="AA656" i="53"/>
  <c r="AD667" i="53"/>
  <c r="AD677" i="53"/>
  <c r="AD687" i="53"/>
  <c r="AB706" i="53"/>
  <c r="AC728" i="53"/>
  <c r="AC447" i="53"/>
  <c r="AA449" i="53"/>
  <c r="AD450" i="53"/>
  <c r="AB452" i="53"/>
  <c r="AE461" i="53"/>
  <c r="AC463" i="53"/>
  <c r="AA465" i="53"/>
  <c r="AD466" i="53"/>
  <c r="AB469" i="53"/>
  <c r="AE470" i="53"/>
  <c r="AC472" i="53"/>
  <c r="AA474" i="53"/>
  <c r="AD475" i="53"/>
  <c r="AB477" i="53"/>
  <c r="AE478" i="53"/>
  <c r="AC480" i="53"/>
  <c r="AA482" i="53"/>
  <c r="AD483" i="53"/>
  <c r="AB485" i="53"/>
  <c r="AA487" i="53"/>
  <c r="AE488" i="53"/>
  <c r="AD490" i="53"/>
  <c r="AC492" i="53"/>
  <c r="AB500" i="53"/>
  <c r="AB502" i="53"/>
  <c r="AA504" i="53"/>
  <c r="AE505" i="53"/>
  <c r="AD507" i="53"/>
  <c r="AD509" i="53"/>
  <c r="AC511" i="53"/>
  <c r="AB513" i="53"/>
  <c r="AB515" i="53"/>
  <c r="AA517" i="53"/>
  <c r="AE518" i="53"/>
  <c r="AD520" i="53"/>
  <c r="AC522" i="53"/>
  <c r="AB524" i="53"/>
  <c r="AA526" i="53"/>
  <c r="AE507" i="53"/>
  <c r="AC537" i="53"/>
  <c r="AE539" i="53"/>
  <c r="AC542" i="53"/>
  <c r="AB545" i="53"/>
  <c r="AE547" i="53"/>
  <c r="AA551" i="53"/>
  <c r="AB554" i="53"/>
  <c r="AE557" i="53"/>
  <c r="AC561" i="53"/>
  <c r="AA565" i="53"/>
  <c r="AD568" i="53"/>
  <c r="AC572" i="53"/>
  <c r="AA576" i="53"/>
  <c r="AD579" i="53"/>
  <c r="AC583" i="53"/>
  <c r="AA587" i="53"/>
  <c r="AD590" i="53"/>
  <c r="AB594" i="53"/>
  <c r="AE605" i="53"/>
  <c r="AB612" i="53"/>
  <c r="AE626" i="53"/>
  <c r="AE642" i="53"/>
  <c r="AE657" i="53"/>
  <c r="AC669" i="53"/>
  <c r="AC679" i="53"/>
  <c r="AA690" i="53"/>
  <c r="AA712" i="53"/>
  <c r="AD733" i="53"/>
  <c r="P8" i="14"/>
  <c r="F496" i="53"/>
  <c r="F497" i="53"/>
  <c r="AD447" i="53"/>
  <c r="AB449" i="53"/>
  <c r="AE450" i="53"/>
  <c r="AC452" i="53"/>
  <c r="AA462" i="53"/>
  <c r="AD463" i="53"/>
  <c r="AB465" i="53"/>
  <c r="AE466" i="53"/>
  <c r="AC469" i="53"/>
  <c r="AA471" i="53"/>
  <c r="AD472" i="53"/>
  <c r="AB474" i="53"/>
  <c r="AE475" i="53"/>
  <c r="AC477" i="53"/>
  <c r="AA479" i="53"/>
  <c r="AD480" i="53"/>
  <c r="AB482" i="53"/>
  <c r="AE483" i="53"/>
  <c r="AC485" i="53"/>
  <c r="AB487" i="53"/>
  <c r="AA489" i="53"/>
  <c r="AE490" i="53"/>
  <c r="AD492" i="53"/>
  <c r="AD500" i="53"/>
  <c r="AC502" i="53"/>
  <c r="AB504" i="53"/>
  <c r="AA506" i="53"/>
  <c r="AA508" i="53"/>
  <c r="AE509" i="53"/>
  <c r="AD511" i="53"/>
  <c r="AD513" i="53"/>
  <c r="AC515" i="53"/>
  <c r="AB517" i="53"/>
  <c r="AA519" i="53"/>
  <c r="AE520" i="53"/>
  <c r="AD522" i="53"/>
  <c r="AC524" i="53"/>
  <c r="AC526" i="53"/>
  <c r="AA535" i="53"/>
  <c r="AD537" i="53"/>
  <c r="AC540" i="53"/>
  <c r="AE542" i="53"/>
  <c r="AC545" i="53"/>
  <c r="AC548" i="53"/>
  <c r="AD551" i="53"/>
  <c r="AE554" i="53"/>
  <c r="AC558" i="53"/>
  <c r="AA562" i="53"/>
  <c r="AE565" i="53"/>
  <c r="AC569" i="53"/>
  <c r="AA573" i="53"/>
  <c r="AD576" i="53"/>
  <c r="AC580" i="53"/>
  <c r="AA584" i="53"/>
  <c r="AD587" i="53"/>
  <c r="AC591" i="53"/>
  <c r="AA595" i="53"/>
  <c r="AA606" i="53"/>
  <c r="AB613" i="53"/>
  <c r="AB627" i="53"/>
  <c r="AB643" i="53"/>
  <c r="AE659" i="53"/>
  <c r="AE669" i="53"/>
  <c r="AC680" i="53"/>
  <c r="AC690" i="53"/>
  <c r="AC712" i="53"/>
  <c r="AE742" i="53"/>
  <c r="AE447" i="53"/>
  <c r="AC449" i="53"/>
  <c r="AA451" i="53"/>
  <c r="AE452" i="53"/>
  <c r="AB462" i="53"/>
  <c r="AE463" i="53"/>
  <c r="AC465" i="53"/>
  <c r="AA468" i="53"/>
  <c r="AD469" i="53"/>
  <c r="AB471" i="53"/>
  <c r="AE472" i="53"/>
  <c r="AC474" i="53"/>
  <c r="AA476" i="53"/>
  <c r="AD477" i="53"/>
  <c r="AB479" i="53"/>
  <c r="AE480" i="53"/>
  <c r="AC482" i="53"/>
  <c r="AA484" i="53"/>
  <c r="AD485" i="53"/>
  <c r="AC487" i="53"/>
  <c r="AB489" i="53"/>
  <c r="AA491" i="53"/>
  <c r="AA493" i="53"/>
  <c r="AE500" i="53"/>
  <c r="AD502" i="53"/>
  <c r="AC504" i="53"/>
  <c r="AB506" i="53"/>
  <c r="AB508" i="53"/>
  <c r="AA510" i="53"/>
  <c r="AA512" i="53"/>
  <c r="AE513" i="53"/>
  <c r="AD515" i="53"/>
  <c r="AC517" i="53"/>
  <c r="AB519" i="53"/>
  <c r="AA521" i="53"/>
  <c r="AE522" i="53"/>
  <c r="AE524" i="53"/>
  <c r="AD526" i="53"/>
  <c r="AD535" i="53"/>
  <c r="AA538" i="53"/>
  <c r="AD540" i="53"/>
  <c r="AA543" i="53"/>
  <c r="AD545" i="53"/>
  <c r="AD548" i="53"/>
  <c r="AE551" i="53"/>
  <c r="AA555" i="53"/>
  <c r="AD558" i="53"/>
  <c r="AB562" i="53"/>
  <c r="AA566" i="53"/>
  <c r="AD569" i="53"/>
  <c r="AB573" i="53"/>
  <c r="AA577" i="53"/>
  <c r="AD580" i="53"/>
  <c r="AB584" i="53"/>
  <c r="AE587" i="53"/>
  <c r="AD591" i="53"/>
  <c r="AB595" i="53"/>
  <c r="AD607" i="53"/>
  <c r="AA615" i="53"/>
  <c r="AA631" i="53"/>
  <c r="AD645" i="53"/>
  <c r="AD661" i="53"/>
  <c r="AD671" i="53"/>
  <c r="AB682" i="53"/>
  <c r="AB692" i="53"/>
  <c r="AE714" i="53"/>
  <c r="AA743" i="53"/>
  <c r="AA725" i="53"/>
  <c r="AA755" i="53"/>
  <c r="AA733" i="53"/>
  <c r="AA723" i="53"/>
  <c r="AA745" i="53"/>
  <c r="AA726" i="53"/>
  <c r="AA713" i="53"/>
  <c r="AA693" i="53"/>
  <c r="AA685" i="53"/>
  <c r="AA677" i="53"/>
  <c r="AA669" i="53"/>
  <c r="AA661" i="53"/>
  <c r="AA647" i="53"/>
  <c r="AA639" i="53"/>
  <c r="AA624" i="53"/>
  <c r="AA613" i="53"/>
  <c r="AA753" i="53"/>
  <c r="AA729" i="53"/>
  <c r="AA721" i="53"/>
  <c r="AA696" i="53"/>
  <c r="AA688" i="53"/>
  <c r="AA680" i="53"/>
  <c r="AA672" i="53"/>
  <c r="AA664" i="53"/>
  <c r="AA651" i="53"/>
  <c r="AA642" i="53"/>
  <c r="AA629" i="53"/>
  <c r="AA618" i="53"/>
  <c r="AA756" i="53"/>
  <c r="AA742" i="53"/>
  <c r="AA724" i="53"/>
  <c r="AA711" i="53"/>
  <c r="AA691" i="53"/>
  <c r="AA683" i="53"/>
  <c r="AA675" i="53"/>
  <c r="AA667" i="53"/>
  <c r="AA659" i="53"/>
  <c r="AA645" i="53"/>
  <c r="AA636" i="53"/>
  <c r="AA622" i="53"/>
  <c r="AA611" i="53"/>
  <c r="AA596" i="53"/>
  <c r="AA588" i="53"/>
  <c r="AA580" i="53"/>
  <c r="AA572" i="53"/>
  <c r="AA564" i="53"/>
  <c r="AA556" i="53"/>
  <c r="AA728" i="53"/>
  <c r="AA719" i="53"/>
  <c r="AA706" i="53"/>
  <c r="AA648" i="53"/>
  <c r="AA643" i="53"/>
  <c r="AA638" i="53"/>
  <c r="AA627" i="53"/>
  <c r="AA621" i="53"/>
  <c r="AA751" i="53"/>
  <c r="AA714" i="53"/>
  <c r="AA697" i="53"/>
  <c r="AA692" i="53"/>
  <c r="AA687" i="53"/>
  <c r="AA682" i="53"/>
  <c r="AA626" i="53"/>
  <c r="AA619" i="53"/>
  <c r="AA612" i="53"/>
  <c r="AA593" i="53"/>
  <c r="AA591" i="53"/>
  <c r="AA582" i="53"/>
  <c r="AA571" i="53"/>
  <c r="AA560" i="53"/>
  <c r="AA553" i="53"/>
  <c r="AA545" i="53"/>
  <c r="AA537" i="53"/>
  <c r="AA722" i="53"/>
  <c r="AA694" i="53"/>
  <c r="AA689" i="53"/>
  <c r="AA684" i="53"/>
  <c r="AA679" i="53"/>
  <c r="AA674" i="53"/>
  <c r="AA614" i="53"/>
  <c r="AA589" i="53"/>
  <c r="AA578" i="53"/>
  <c r="AA569" i="53"/>
  <c r="AA567" i="53"/>
  <c r="AA558" i="53"/>
  <c r="AA548" i="53"/>
  <c r="AA540" i="53"/>
  <c r="AA730" i="53"/>
  <c r="AA686" i="53"/>
  <c r="AA681" i="53"/>
  <c r="AA676" i="53"/>
  <c r="AA671" i="53"/>
  <c r="AA666" i="53"/>
  <c r="AA609" i="53"/>
  <c r="AA607" i="53"/>
  <c r="AA605" i="53"/>
  <c r="AA754" i="53"/>
  <c r="AA678" i="53"/>
  <c r="AA673" i="53"/>
  <c r="AA668" i="53"/>
  <c r="AA663" i="53"/>
  <c r="AA657" i="53"/>
  <c r="AA594" i="53"/>
  <c r="AA585" i="53"/>
  <c r="AA583" i="53"/>
  <c r="AA574" i="53"/>
  <c r="AA563" i="53"/>
  <c r="AA554" i="53"/>
  <c r="AA670" i="53"/>
  <c r="AA665" i="53"/>
  <c r="AA660" i="53"/>
  <c r="AA649" i="53"/>
  <c r="AA644" i="53"/>
  <c r="AA592" i="53"/>
  <c r="AA581" i="53"/>
  <c r="AA570" i="53"/>
  <c r="AA561" i="53"/>
  <c r="AA559" i="53"/>
  <c r="AA549" i="53"/>
  <c r="AA541" i="53"/>
  <c r="AA523" i="53"/>
  <c r="AA515" i="53"/>
  <c r="AA502" i="53"/>
  <c r="AA488" i="53"/>
  <c r="AA448" i="53"/>
  <c r="AD449" i="53"/>
  <c r="AB451" i="53"/>
  <c r="AD452" i="53"/>
  <c r="AA464" i="53"/>
  <c r="AD465" i="53"/>
  <c r="AB468" i="53"/>
  <c r="AA473" i="53"/>
  <c r="AD474" i="53"/>
  <c r="AB476" i="53"/>
  <c r="AA481" i="53"/>
  <c r="AD482" i="53"/>
  <c r="AB484" i="53"/>
  <c r="AE485" i="53"/>
  <c r="AD487" i="53"/>
  <c r="AB493" i="53"/>
  <c r="AA501" i="53"/>
  <c r="AE502" i="53"/>
  <c r="AD504" i="53"/>
  <c r="AB512" i="53"/>
  <c r="AA514" i="53"/>
  <c r="AE515" i="53"/>
  <c r="AD517" i="53"/>
  <c r="AB521" i="53"/>
  <c r="AB523" i="53"/>
  <c r="AA525" i="53"/>
  <c r="AE526" i="53"/>
  <c r="AE535" i="53"/>
  <c r="AB538" i="53"/>
  <c r="AE540" i="53"/>
  <c r="AD543" i="53"/>
  <c r="AA546" i="53"/>
  <c r="AE548" i="53"/>
  <c r="AA552" i="53"/>
  <c r="AB555" i="53"/>
  <c r="AE558" i="53"/>
  <c r="AD562" i="53"/>
  <c r="AB566" i="53"/>
  <c r="AE569" i="53"/>
  <c r="AC573" i="53"/>
  <c r="AB577" i="53"/>
  <c r="AE580" i="53"/>
  <c r="AC584" i="53"/>
  <c r="AB588" i="53"/>
  <c r="AE591" i="53"/>
  <c r="AC595" i="53"/>
  <c r="AA608" i="53"/>
  <c r="AA635" i="53"/>
  <c r="AA646" i="53"/>
  <c r="AA662" i="53"/>
  <c r="AD672" i="53"/>
  <c r="AD682" i="53"/>
  <c r="AB693" i="53"/>
  <c r="AD752" i="53"/>
  <c r="AB752" i="53"/>
  <c r="AB728" i="53"/>
  <c r="AB745" i="53"/>
  <c r="AB726" i="53"/>
  <c r="AB753" i="53"/>
  <c r="AB729" i="53"/>
  <c r="AB721" i="53"/>
  <c r="AB696" i="53"/>
  <c r="AB688" i="53"/>
  <c r="AB680" i="53"/>
  <c r="AB672" i="53"/>
  <c r="AB664" i="53"/>
  <c r="AB651" i="53"/>
  <c r="AB642" i="53"/>
  <c r="AB629" i="53"/>
  <c r="AB618" i="53"/>
  <c r="AB608" i="53"/>
  <c r="AB756" i="53"/>
  <c r="AB742" i="53"/>
  <c r="AB724" i="53"/>
  <c r="AB711" i="53"/>
  <c r="AB691" i="53"/>
  <c r="AB683" i="53"/>
  <c r="AB675" i="53"/>
  <c r="AB667" i="53"/>
  <c r="AB659" i="53"/>
  <c r="AB645" i="53"/>
  <c r="AB636" i="53"/>
  <c r="AB622" i="53"/>
  <c r="AB611" i="53"/>
  <c r="AB751" i="53"/>
  <c r="AB727" i="53"/>
  <c r="AB714" i="53"/>
  <c r="AB694" i="53"/>
  <c r="AB686" i="53"/>
  <c r="AB678" i="53"/>
  <c r="AB670" i="53"/>
  <c r="AB662" i="53"/>
  <c r="AB648" i="53"/>
  <c r="AB640" i="53"/>
  <c r="AB626" i="53"/>
  <c r="AB614" i="53"/>
  <c r="AB606" i="53"/>
  <c r="AB591" i="53"/>
  <c r="AB583" i="53"/>
  <c r="AB575" i="53"/>
  <c r="AB567" i="53"/>
  <c r="AB559" i="53"/>
  <c r="AB712" i="53"/>
  <c r="AB695" i="53"/>
  <c r="AB690" i="53"/>
  <c r="AB685" i="53"/>
  <c r="AB631" i="53"/>
  <c r="AB623" i="53"/>
  <c r="AB615" i="53"/>
  <c r="AB733" i="53"/>
  <c r="AB722" i="53"/>
  <c r="AB689" i="53"/>
  <c r="AB684" i="53"/>
  <c r="AB679" i="53"/>
  <c r="AB674" i="53"/>
  <c r="AB669" i="53"/>
  <c r="AB589" i="53"/>
  <c r="AB580" i="53"/>
  <c r="AB578" i="53"/>
  <c r="AB569" i="53"/>
  <c r="AB558" i="53"/>
  <c r="AB548" i="53"/>
  <c r="AB540" i="53"/>
  <c r="AB755" i="53"/>
  <c r="AB730" i="53"/>
  <c r="AB681" i="53"/>
  <c r="AB676" i="53"/>
  <c r="AB671" i="53"/>
  <c r="AB666" i="53"/>
  <c r="AB661" i="53"/>
  <c r="AB609" i="53"/>
  <c r="AB607" i="53"/>
  <c r="AB605" i="53"/>
  <c r="AB587" i="53"/>
  <c r="AB576" i="53"/>
  <c r="AB565" i="53"/>
  <c r="AB556" i="53"/>
  <c r="AB551" i="53"/>
  <c r="AB543" i="53"/>
  <c r="AB535" i="53"/>
  <c r="AB754" i="53"/>
  <c r="AB673" i="53"/>
  <c r="AB668" i="53"/>
  <c r="AB663" i="53"/>
  <c r="AB657" i="53"/>
  <c r="AB647" i="53"/>
  <c r="AB596" i="53"/>
  <c r="AB725" i="53"/>
  <c r="AB665" i="53"/>
  <c r="AB660" i="53"/>
  <c r="AB649" i="53"/>
  <c r="AB644" i="53"/>
  <c r="AB639" i="53"/>
  <c r="AB592" i="53"/>
  <c r="AB581" i="53"/>
  <c r="AB572" i="53"/>
  <c r="AB570" i="53"/>
  <c r="AB561" i="53"/>
  <c r="AB549" i="53"/>
  <c r="AB743" i="53"/>
  <c r="AB713" i="53"/>
  <c r="AB656" i="53"/>
  <c r="AB646" i="53"/>
  <c r="AB641" i="53"/>
  <c r="AB635" i="53"/>
  <c r="AB624" i="53"/>
  <c r="AB590" i="53"/>
  <c r="AB579" i="53"/>
  <c r="AB568" i="53"/>
  <c r="AB557" i="53"/>
  <c r="AB552" i="53"/>
  <c r="AB544" i="53"/>
  <c r="AB536" i="53"/>
  <c r="AB526" i="53"/>
  <c r="AB518" i="53"/>
  <c r="AB510" i="53"/>
  <c r="AB505" i="53"/>
  <c r="AB491" i="53"/>
  <c r="AB448" i="53"/>
  <c r="AD462" i="53"/>
  <c r="AB464" i="53"/>
  <c r="AD471" i="53"/>
  <c r="AB473" i="53"/>
  <c r="AD479" i="53"/>
  <c r="AB481" i="53"/>
  <c r="AD491" i="53"/>
  <c r="AB501" i="53"/>
  <c r="AD506" i="53"/>
  <c r="AD510" i="53"/>
  <c r="AB514" i="53"/>
  <c r="AD519" i="53"/>
  <c r="AD521" i="53"/>
  <c r="AB525" i="53"/>
  <c r="AB541" i="53"/>
  <c r="AB546" i="53"/>
  <c r="AD552" i="53"/>
  <c r="AD559" i="53"/>
  <c r="AB563" i="53"/>
  <c r="AD570" i="53"/>
  <c r="AB574" i="53"/>
  <c r="AB585" i="53"/>
  <c r="AB619" i="53"/>
  <c r="AB723" i="53"/>
  <c r="AC755" i="53"/>
  <c r="AC733" i="53"/>
  <c r="AC723" i="53"/>
  <c r="AC753" i="53"/>
  <c r="AC729" i="53"/>
  <c r="AC721" i="53"/>
  <c r="AC756" i="53"/>
  <c r="AC742" i="53"/>
  <c r="AC724" i="53"/>
  <c r="AC711" i="53"/>
  <c r="AC691" i="53"/>
  <c r="AC683" i="53"/>
  <c r="AC675" i="53"/>
  <c r="AC667" i="53"/>
  <c r="AC659" i="53"/>
  <c r="AC645" i="53"/>
  <c r="AC636" i="53"/>
  <c r="AC622" i="53"/>
  <c r="AC611" i="53"/>
  <c r="AC751" i="53"/>
  <c r="AC727" i="53"/>
  <c r="AC714" i="53"/>
  <c r="AC694" i="53"/>
  <c r="AC686" i="53"/>
  <c r="AC678" i="53"/>
  <c r="AC670" i="53"/>
  <c r="AC662" i="53"/>
  <c r="AC648" i="53"/>
  <c r="AC640" i="53"/>
  <c r="AC626" i="53"/>
  <c r="AC614" i="53"/>
  <c r="AC754" i="53"/>
  <c r="AC730" i="53"/>
  <c r="AC722" i="53"/>
  <c r="AC697" i="53"/>
  <c r="AC689" i="53"/>
  <c r="AC681" i="53"/>
  <c r="AC673" i="53"/>
  <c r="AC665" i="53"/>
  <c r="AC656" i="53"/>
  <c r="AC643" i="53"/>
  <c r="AC631" i="53"/>
  <c r="AC619" i="53"/>
  <c r="AC609" i="53"/>
  <c r="AC594" i="53"/>
  <c r="AC586" i="53"/>
  <c r="AC578" i="53"/>
  <c r="AC570" i="53"/>
  <c r="AC562" i="53"/>
  <c r="AC752" i="53"/>
  <c r="AC692" i="53"/>
  <c r="AC687" i="53"/>
  <c r="AC682" i="53"/>
  <c r="AC677" i="53"/>
  <c r="AC672" i="53"/>
  <c r="AC612" i="53"/>
  <c r="AC676" i="53"/>
  <c r="AC671" i="53"/>
  <c r="AC666" i="53"/>
  <c r="AC661" i="53"/>
  <c r="AC651" i="53"/>
  <c r="AC607" i="53"/>
  <c r="AC605" i="53"/>
  <c r="AC587" i="53"/>
  <c r="AC576" i="53"/>
  <c r="AC567" i="53"/>
  <c r="AC565" i="53"/>
  <c r="AC556" i="53"/>
  <c r="AC551" i="53"/>
  <c r="AC543" i="53"/>
  <c r="AC535" i="53"/>
  <c r="AC726" i="53"/>
  <c r="AC668" i="53"/>
  <c r="AC663" i="53"/>
  <c r="AC657" i="53"/>
  <c r="AC647" i="53"/>
  <c r="AC642" i="53"/>
  <c r="AC596" i="53"/>
  <c r="AC585" i="53"/>
  <c r="AC574" i="53"/>
  <c r="AC563" i="53"/>
  <c r="AC554" i="53"/>
  <c r="AC546" i="53"/>
  <c r="AC538" i="53"/>
  <c r="AC745" i="53"/>
  <c r="AC725" i="53"/>
  <c r="AC660" i="53"/>
  <c r="AC649" i="53"/>
  <c r="AC644" i="53"/>
  <c r="AC639" i="53"/>
  <c r="AC629" i="53"/>
  <c r="AC743" i="53"/>
  <c r="AC713" i="53"/>
  <c r="AC696" i="53"/>
  <c r="AC646" i="53"/>
  <c r="AC641" i="53"/>
  <c r="AC635" i="53"/>
  <c r="AC624" i="53"/>
  <c r="AC618" i="53"/>
  <c r="AC590" i="53"/>
  <c r="AC579" i="53"/>
  <c r="AC568" i="53"/>
  <c r="AC559" i="53"/>
  <c r="AC557" i="53"/>
  <c r="AC552" i="53"/>
  <c r="AC719" i="53"/>
  <c r="AC706" i="53"/>
  <c r="AC693" i="53"/>
  <c r="AC688" i="53"/>
  <c r="AC638" i="53"/>
  <c r="AC627" i="53"/>
  <c r="AC621" i="53"/>
  <c r="AC613" i="53"/>
  <c r="AC606" i="53"/>
  <c r="AC604" i="53"/>
  <c r="AC588" i="53"/>
  <c r="AC577" i="53"/>
  <c r="AC566" i="53"/>
  <c r="AC555" i="53"/>
  <c r="AC547" i="53"/>
  <c r="AC539" i="53"/>
  <c r="AC521" i="53"/>
  <c r="AC513" i="53"/>
  <c r="AC500" i="53"/>
  <c r="AC486" i="53"/>
  <c r="AC448" i="53"/>
  <c r="AA450" i="53"/>
  <c r="AD451" i="53"/>
  <c r="AB461" i="53"/>
  <c r="AE462" i="53"/>
  <c r="AC464" i="53"/>
  <c r="AA466" i="53"/>
  <c r="AD468" i="53"/>
  <c r="AB470" i="53"/>
  <c r="AE471" i="53"/>
  <c r="AC473" i="53"/>
  <c r="AA475" i="53"/>
  <c r="AD476" i="53"/>
  <c r="AB478" i="53"/>
  <c r="AE479" i="53"/>
  <c r="AC481" i="53"/>
  <c r="AA483" i="53"/>
  <c r="AD484" i="53"/>
  <c r="AB486" i="53"/>
  <c r="AB488" i="53"/>
  <c r="AA490" i="53"/>
  <c r="AE491" i="53"/>
  <c r="AD493" i="53"/>
  <c r="AC501" i="53"/>
  <c r="AB503" i="53"/>
  <c r="AA505" i="53"/>
  <c r="AA507" i="53"/>
  <c r="AA509" i="53"/>
  <c r="AE510" i="53"/>
  <c r="AD512" i="53"/>
  <c r="AC514" i="53"/>
  <c r="AB516" i="53"/>
  <c r="AA518" i="53"/>
  <c r="AA520" i="53"/>
  <c r="AE521" i="53"/>
  <c r="AD523" i="53"/>
  <c r="AC525" i="53"/>
  <c r="AB527" i="53"/>
  <c r="AC536" i="53"/>
  <c r="AA539" i="53"/>
  <c r="AC541" i="53"/>
  <c r="AA544" i="53"/>
  <c r="AE546" i="53"/>
  <c r="AA550" i="53"/>
  <c r="AB553" i="53"/>
  <c r="AD556" i="53"/>
  <c r="AB560" i="53"/>
  <c r="AE563" i="53"/>
  <c r="AD567" i="53"/>
  <c r="AB571" i="53"/>
  <c r="AE574" i="53"/>
  <c r="AD578" i="53"/>
  <c r="AB582" i="53"/>
  <c r="AE585" i="53"/>
  <c r="AC589" i="53"/>
  <c r="AB593" i="53"/>
  <c r="AA604" i="53"/>
  <c r="AA610" i="53"/>
  <c r="AB621" i="53"/>
  <c r="AB638" i="53"/>
  <c r="AE648" i="53"/>
  <c r="AE664" i="53"/>
  <c r="AE674" i="53"/>
  <c r="AC685" i="53"/>
  <c r="AC695" i="53"/>
  <c r="AE723" i="53"/>
  <c r="Q20" i="14"/>
  <c r="S20" i="14"/>
  <c r="P20" i="14"/>
  <c r="P29" i="14"/>
  <c r="S29" i="14"/>
  <c r="Q37" i="14"/>
  <c r="P37" i="14"/>
  <c r="Q45" i="14"/>
  <c r="P45" i="14"/>
  <c r="S45" i="14"/>
  <c r="P5" i="14"/>
  <c r="E496" i="53"/>
  <c r="E497" i="53"/>
  <c r="P33" i="14"/>
  <c r="P41" i="14"/>
  <c r="Q18" i="14"/>
  <c r="S18" i="14"/>
  <c r="P18" i="14"/>
  <c r="Q6" i="14"/>
  <c r="S6" i="14"/>
  <c r="R7" i="14"/>
  <c r="R15" i="14"/>
  <c r="Q31" i="14"/>
  <c r="O16" i="15"/>
  <c r="Q10" i="14"/>
  <c r="O20" i="15"/>
  <c r="R10" i="14"/>
  <c r="E17" i="14"/>
  <c r="P24" i="14"/>
  <c r="Q13" i="14"/>
  <c r="Q39" i="14"/>
  <c r="O24" i="15"/>
  <c r="O28" i="15"/>
  <c r="P30" i="15"/>
  <c r="Q32" i="15"/>
  <c r="O32" i="15"/>
  <c r="Q40" i="15"/>
  <c r="P45" i="15"/>
  <c r="O47" i="15"/>
  <c r="Q48" i="15"/>
  <c r="P51" i="15"/>
  <c r="O51" i="15"/>
  <c r="P53" i="15"/>
  <c r="O55" i="15"/>
  <c r="Q56" i="15"/>
  <c r="O59" i="15"/>
  <c r="I59" i="15"/>
  <c r="P61" i="15"/>
  <c r="O63" i="15"/>
  <c r="Q64" i="15"/>
  <c r="I67" i="15"/>
  <c r="P67" i="15"/>
  <c r="O67" i="15"/>
  <c r="P69" i="15"/>
  <c r="O71" i="15"/>
  <c r="Q72" i="15"/>
  <c r="R75" i="15"/>
  <c r="P75" i="15"/>
  <c r="O75" i="15"/>
  <c r="O79" i="15"/>
  <c r="Q80" i="15"/>
  <c r="I83" i="15"/>
  <c r="P83" i="15"/>
  <c r="P85" i="15"/>
  <c r="O87" i="15"/>
  <c r="Q88" i="15"/>
  <c r="I91" i="15"/>
  <c r="P91" i="15"/>
  <c r="O91" i="15"/>
  <c r="P93" i="15"/>
  <c r="O95" i="15"/>
  <c r="Q96" i="15"/>
  <c r="R99" i="15"/>
  <c r="P99" i="15"/>
  <c r="Q110" i="15"/>
  <c r="Q8" i="15"/>
  <c r="O12" i="15"/>
  <c r="O43" i="15"/>
  <c r="S23" i="14"/>
  <c r="P12" i="15"/>
  <c r="P43" i="15"/>
  <c r="I64" i="15"/>
  <c r="J45" i="15"/>
  <c r="K540" i="53"/>
  <c r="U540" i="53"/>
  <c r="J69" i="15"/>
  <c r="K564" i="53"/>
  <c r="U564" i="53"/>
  <c r="I93" i="15"/>
  <c r="P42" i="15"/>
  <c r="P44" i="15"/>
  <c r="O46" i="15"/>
  <c r="P50" i="15"/>
  <c r="I50" i="15"/>
  <c r="P52" i="15"/>
  <c r="O54" i="15"/>
  <c r="Q55" i="15"/>
  <c r="P58" i="15"/>
  <c r="P60" i="15"/>
  <c r="Q63" i="15"/>
  <c r="P66" i="15"/>
  <c r="I66" i="15"/>
  <c r="P68" i="15"/>
  <c r="O70" i="15"/>
  <c r="Q71" i="15"/>
  <c r="P74" i="15"/>
  <c r="P76" i="15"/>
  <c r="O78" i="15"/>
  <c r="Q79" i="15"/>
  <c r="P82" i="15"/>
  <c r="I74" i="15"/>
  <c r="P7" i="15"/>
  <c r="Q9" i="15"/>
  <c r="Q10" i="15"/>
  <c r="P15" i="15"/>
  <c r="Q17" i="15"/>
  <c r="Q18" i="15"/>
  <c r="P23" i="15"/>
  <c r="Q25" i="15"/>
  <c r="Q26" i="15"/>
  <c r="P31" i="15"/>
  <c r="O52" i="15"/>
  <c r="O56" i="15"/>
  <c r="O60" i="15"/>
  <c r="I60" i="15"/>
  <c r="O64" i="15"/>
  <c r="O68" i="15"/>
  <c r="O76" i="15"/>
  <c r="O80" i="15"/>
  <c r="O88" i="15"/>
  <c r="O92" i="15"/>
  <c r="I92" i="15"/>
  <c r="O100" i="15"/>
  <c r="J94" i="15"/>
  <c r="K589" i="53"/>
  <c r="U589" i="53"/>
  <c r="Q130" i="15"/>
  <c r="O133" i="15"/>
  <c r="I133" i="15"/>
  <c r="P133" i="15"/>
  <c r="P141" i="15"/>
  <c r="R141" i="15"/>
  <c r="P149" i="15"/>
  <c r="R149" i="15"/>
  <c r="P165" i="15"/>
  <c r="R165" i="15"/>
  <c r="M272" i="53"/>
  <c r="P84" i="15"/>
  <c r="Q87" i="15"/>
  <c r="P90" i="15"/>
  <c r="I90" i="15"/>
  <c r="P92" i="15"/>
  <c r="Q95" i="15"/>
  <c r="P98" i="15"/>
  <c r="P100" i="15"/>
  <c r="R130" i="15"/>
  <c r="O130" i="15"/>
  <c r="P132" i="15"/>
  <c r="O134" i="15"/>
  <c r="Q134" i="15"/>
  <c r="R138" i="15"/>
  <c r="P138" i="15"/>
  <c r="O138" i="15"/>
  <c r="O142" i="15"/>
  <c r="Q142" i="15"/>
  <c r="Q143" i="15"/>
  <c r="P146" i="15"/>
  <c r="O146" i="15"/>
  <c r="Q150" i="15"/>
  <c r="R154" i="15"/>
  <c r="P156" i="15"/>
  <c r="O158" i="15"/>
  <c r="Q159" i="15"/>
  <c r="R162" i="15"/>
  <c r="P162" i="15"/>
  <c r="O162" i="15"/>
  <c r="P164" i="15"/>
  <c r="R167" i="15"/>
  <c r="O167" i="15"/>
  <c r="I87" i="15"/>
  <c r="L576" i="53"/>
  <c r="I101" i="15"/>
  <c r="K541" i="53"/>
  <c r="U541" i="53"/>
  <c r="J46" i="15"/>
  <c r="I70" i="15"/>
  <c r="P109" i="15"/>
  <c r="I109" i="15"/>
  <c r="P111" i="15"/>
  <c r="Q113" i="15"/>
  <c r="Q114" i="15"/>
  <c r="D121" i="15"/>
  <c r="P117" i="15"/>
  <c r="P119" i="15"/>
  <c r="P135" i="15"/>
  <c r="O154" i="15"/>
  <c r="K665" i="53"/>
  <c r="U665" i="53"/>
  <c r="K680" i="53"/>
  <c r="U680" i="53"/>
  <c r="J151" i="15"/>
  <c r="K666" i="53"/>
  <c r="U666" i="53"/>
  <c r="J137" i="15"/>
  <c r="M274" i="53"/>
  <c r="M28" i="7"/>
  <c r="L28" i="7"/>
  <c r="O139" i="15"/>
  <c r="O155" i="15"/>
  <c r="O131" i="15"/>
  <c r="O147" i="15"/>
  <c r="V683" i="53"/>
  <c r="U669" i="53"/>
  <c r="W668" i="53"/>
  <c r="X667" i="53"/>
  <c r="V664" i="53"/>
  <c r="W659" i="53"/>
  <c r="V670" i="53"/>
  <c r="X670" i="53"/>
  <c r="N279" i="53"/>
  <c r="W279" i="53"/>
  <c r="O276" i="53"/>
  <c r="Y276" i="53"/>
  <c r="X276" i="53"/>
  <c r="X695" i="53"/>
  <c r="Y695" i="53"/>
  <c r="U694" i="53"/>
  <c r="W692" i="53"/>
  <c r="O137" i="15"/>
  <c r="O141" i="15"/>
  <c r="O145" i="15"/>
  <c r="O149" i="15"/>
  <c r="O153" i="15"/>
  <c r="O157" i="15"/>
  <c r="O161" i="15"/>
  <c r="O165" i="15"/>
  <c r="K608" i="53"/>
  <c r="U608" i="53"/>
  <c r="L81" i="15"/>
  <c r="M576" i="53"/>
  <c r="Y570" i="53"/>
  <c r="V570" i="53"/>
  <c r="X567" i="53"/>
  <c r="V556" i="53"/>
  <c r="X572" i="53"/>
  <c r="L584" i="53"/>
  <c r="L89" i="15"/>
  <c r="M584" i="53"/>
  <c r="V566" i="53"/>
  <c r="Y583" i="53"/>
  <c r="M544" i="53"/>
  <c r="L49" i="15"/>
  <c r="L544" i="53"/>
  <c r="O606" i="53"/>
  <c r="Y606" i="53"/>
  <c r="R111" i="15"/>
  <c r="K606" i="53"/>
  <c r="W556" i="53"/>
  <c r="U527" i="53"/>
  <c r="V553" i="53"/>
  <c r="U590" i="53"/>
  <c r="U566" i="53"/>
  <c r="W572" i="53"/>
  <c r="X583" i="53"/>
  <c r="X591" i="53"/>
  <c r="V593" i="53"/>
  <c r="Y594" i="53"/>
  <c r="X606" i="53"/>
  <c r="X614" i="53"/>
  <c r="U593" i="53"/>
  <c r="W527" i="53"/>
  <c r="W591" i="53"/>
  <c r="W614" i="53"/>
  <c r="V572" i="53"/>
  <c r="W611" i="53"/>
  <c r="X611" i="53"/>
  <c r="V613" i="53"/>
  <c r="Y614" i="53"/>
  <c r="Y553" i="53"/>
  <c r="W560" i="53"/>
  <c r="Y566" i="53"/>
  <c r="W568" i="53"/>
  <c r="V573" i="53"/>
  <c r="X579" i="53"/>
  <c r="V581" i="53"/>
  <c r="Y590" i="53"/>
  <c r="W592" i="53"/>
  <c r="Y593" i="53"/>
  <c r="X595" i="53"/>
  <c r="R30" i="6"/>
  <c r="V605" i="53"/>
  <c r="W605" i="53"/>
  <c r="U607" i="53"/>
  <c r="W613" i="53"/>
  <c r="U615" i="53"/>
  <c r="Y537" i="53"/>
  <c r="U573" i="53"/>
  <c r="W579" i="53"/>
  <c r="U581" i="53"/>
  <c r="W595" i="53"/>
  <c r="V560" i="53"/>
  <c r="X566" i="53"/>
  <c r="V568" i="53"/>
  <c r="X590" i="53"/>
  <c r="V592" i="53"/>
  <c r="R38" i="6"/>
  <c r="R37" i="6"/>
  <c r="G121" i="15"/>
  <c r="G184" i="15"/>
  <c r="R117" i="15"/>
  <c r="C121" i="15"/>
  <c r="O109" i="15"/>
  <c r="O113" i="15"/>
  <c r="O117" i="15"/>
  <c r="E121" i="15"/>
  <c r="Q94" i="15"/>
  <c r="R42" i="15"/>
  <c r="R58" i="15"/>
  <c r="R98" i="15"/>
  <c r="R100" i="15"/>
  <c r="P101" i="15"/>
  <c r="Q47" i="15"/>
  <c r="O42" i="15"/>
  <c r="O50" i="15"/>
  <c r="O58" i="15"/>
  <c r="O66" i="15"/>
  <c r="O74" i="15"/>
  <c r="O82" i="15"/>
  <c r="O90" i="15"/>
  <c r="O98" i="15"/>
  <c r="O9" i="15"/>
  <c r="O13" i="15"/>
  <c r="O17" i="15"/>
  <c r="O21" i="15"/>
  <c r="O25" i="15"/>
  <c r="O29" i="15"/>
  <c r="P13" i="15"/>
  <c r="P21" i="15"/>
  <c r="P29" i="15"/>
  <c r="Q5" i="15"/>
  <c r="O5" i="15"/>
  <c r="W478" i="53"/>
  <c r="V468" i="53"/>
  <c r="U492" i="53"/>
  <c r="V487" i="53"/>
  <c r="Y484" i="53"/>
  <c r="S37" i="6"/>
  <c r="L467" i="53"/>
  <c r="O467" i="53"/>
  <c r="Y462" i="53"/>
  <c r="X464" i="53"/>
  <c r="W464" i="53"/>
  <c r="V466" i="53"/>
  <c r="U466" i="53"/>
  <c r="X473" i="53"/>
  <c r="W473" i="53"/>
  <c r="U491" i="53"/>
  <c r="V491" i="53"/>
  <c r="Q19" i="14"/>
  <c r="P19" i="14"/>
  <c r="E25" i="14"/>
  <c r="Q21" i="14"/>
  <c r="R24" i="14"/>
  <c r="Q28" i="14"/>
  <c r="P28" i="14"/>
  <c r="Q30" i="14"/>
  <c r="P32" i="14"/>
  <c r="R33" i="14"/>
  <c r="Q36" i="14"/>
  <c r="P36" i="14"/>
  <c r="Q38" i="14"/>
  <c r="P40" i="14"/>
  <c r="R41" i="14"/>
  <c r="Q44" i="14"/>
  <c r="P44" i="14"/>
  <c r="Q46" i="14"/>
  <c r="P48" i="14"/>
  <c r="R49" i="14"/>
  <c r="P6" i="14"/>
  <c r="P14" i="14"/>
  <c r="Q14" i="14"/>
  <c r="Q16" i="14"/>
  <c r="P16" i="14"/>
  <c r="C17" i="14"/>
  <c r="R28" i="14"/>
  <c r="R36" i="14"/>
  <c r="R44" i="14"/>
  <c r="F25" i="14"/>
  <c r="W481" i="53"/>
  <c r="X484" i="53"/>
  <c r="V486" i="53"/>
  <c r="Y487" i="53"/>
  <c r="X492" i="53"/>
  <c r="Q5" i="14"/>
  <c r="Q22" i="14"/>
  <c r="X462" i="53"/>
  <c r="D17" i="14"/>
  <c r="P10" i="14"/>
  <c r="P27" i="14"/>
  <c r="P35" i="14"/>
  <c r="P43" i="14"/>
  <c r="P51" i="14"/>
  <c r="Q7" i="14"/>
  <c r="Q32" i="14"/>
  <c r="Q40" i="14"/>
  <c r="Q48" i="14"/>
  <c r="R6" i="14"/>
  <c r="R23" i="14"/>
  <c r="R31" i="14"/>
  <c r="R39" i="14"/>
  <c r="R47" i="14"/>
  <c r="S38" i="6"/>
  <c r="M467" i="53"/>
  <c r="D25" i="14"/>
  <c r="G25" i="14"/>
  <c r="S25" i="14"/>
  <c r="Q8" i="14"/>
  <c r="Q33" i="14"/>
  <c r="Q41" i="14"/>
  <c r="Q49" i="14"/>
  <c r="R16" i="14"/>
  <c r="G17" i="14"/>
  <c r="F17" i="14"/>
  <c r="P13" i="14"/>
  <c r="P21" i="14"/>
  <c r="Q9" i="14"/>
  <c r="Q26" i="14"/>
  <c r="Q34" i="14"/>
  <c r="Q42" i="14"/>
  <c r="Q50" i="14"/>
  <c r="R8" i="14"/>
  <c r="C25" i="14"/>
  <c r="P22" i="14"/>
  <c r="P30" i="14"/>
  <c r="P38" i="14"/>
  <c r="P46" i="14"/>
  <c r="R18" i="14"/>
  <c r="V481" i="53"/>
  <c r="P15" i="14"/>
  <c r="P31" i="14"/>
  <c r="P39" i="14"/>
  <c r="P47" i="14"/>
  <c r="R19" i="14"/>
  <c r="S30" i="6"/>
  <c r="U478" i="53"/>
  <c r="W484" i="53"/>
  <c r="U486" i="53"/>
  <c r="W492" i="53"/>
  <c r="V478" i="53"/>
  <c r="Y470" i="53"/>
  <c r="H170" i="24"/>
  <c r="I170" i="24"/>
  <c r="H9" i="24"/>
  <c r="F20" i="114"/>
  <c r="G20" i="114"/>
  <c r="H20" i="114"/>
  <c r="I20" i="114"/>
  <c r="J20" i="114"/>
  <c r="F24" i="54"/>
  <c r="F28" i="54"/>
  <c r="E24" i="54"/>
  <c r="E31" i="54"/>
  <c r="K536" i="53"/>
  <c r="U536" i="53"/>
  <c r="F174" i="18"/>
  <c r="F170" i="18"/>
  <c r="I170" i="18"/>
  <c r="F176" i="18"/>
  <c r="F177" i="18"/>
  <c r="I177" i="18"/>
  <c r="F173" i="18"/>
  <c r="F171" i="18"/>
  <c r="I171" i="18"/>
  <c r="F172" i="18"/>
  <c r="I172" i="18"/>
  <c r="F169" i="18"/>
  <c r="F168" i="18"/>
  <c r="I38" i="54"/>
  <c r="J35" i="54"/>
  <c r="K35" i="54"/>
  <c r="L35" i="54"/>
  <c r="M35" i="54"/>
  <c r="N35" i="54"/>
  <c r="C67" i="14"/>
  <c r="C68" i="14"/>
  <c r="C91" i="14"/>
  <c r="E67" i="14"/>
  <c r="E68" i="14"/>
  <c r="E69" i="14"/>
  <c r="E65" i="14"/>
  <c r="E92" i="14"/>
  <c r="E91" i="14"/>
  <c r="D67" i="14"/>
  <c r="D68" i="14"/>
  <c r="D69" i="14"/>
  <c r="D70" i="14"/>
  <c r="D71" i="14"/>
  <c r="D72" i="14"/>
  <c r="D91" i="14"/>
  <c r="D65" i="14"/>
  <c r="D92" i="14"/>
  <c r="F67" i="14"/>
  <c r="F68" i="14"/>
  <c r="F69" i="14"/>
  <c r="F91" i="14"/>
  <c r="F65" i="14"/>
  <c r="F92" i="14"/>
  <c r="G65" i="14"/>
  <c r="G92" i="14"/>
  <c r="R64" i="14"/>
  <c r="Q64" i="14"/>
  <c r="P64" i="14"/>
  <c r="G7" i="54"/>
  <c r="G35" i="54"/>
  <c r="U11" i="14"/>
  <c r="T102" i="15"/>
  <c r="T107" i="15"/>
  <c r="T106" i="15"/>
  <c r="T104" i="15"/>
  <c r="T35" i="15"/>
  <c r="T33" i="15"/>
  <c r="T34" i="15"/>
  <c r="T36" i="15"/>
  <c r="T169" i="15"/>
  <c r="T37" i="15"/>
  <c r="T38" i="15"/>
  <c r="T105" i="15"/>
  <c r="T103" i="15"/>
  <c r="W11" i="14"/>
  <c r="V169" i="15"/>
  <c r="V107" i="15"/>
  <c r="V36" i="15"/>
  <c r="V34" i="15"/>
  <c r="V33" i="15"/>
  <c r="V103" i="15"/>
  <c r="V106" i="15"/>
  <c r="V35" i="15"/>
  <c r="V105" i="15"/>
  <c r="V104" i="15"/>
  <c r="V102" i="15"/>
  <c r="V37" i="15"/>
  <c r="V38" i="15"/>
  <c r="U33" i="15"/>
  <c r="U106" i="15"/>
  <c r="U105" i="15"/>
  <c r="U102" i="15"/>
  <c r="U169" i="15"/>
  <c r="U35" i="15"/>
  <c r="U37" i="15"/>
  <c r="U36" i="15"/>
  <c r="U103" i="15"/>
  <c r="U34" i="15"/>
  <c r="U104" i="15"/>
  <c r="U38" i="15"/>
  <c r="V11" i="14"/>
  <c r="U107" i="15"/>
  <c r="W105" i="15"/>
  <c r="W107" i="15"/>
  <c r="W36" i="15"/>
  <c r="W103" i="15"/>
  <c r="W169" i="15"/>
  <c r="W33" i="15"/>
  <c r="W34" i="15"/>
  <c r="W37" i="15"/>
  <c r="W104" i="15"/>
  <c r="W38" i="15"/>
  <c r="W35" i="15"/>
  <c r="W106" i="15"/>
  <c r="W102" i="15"/>
  <c r="X11" i="14"/>
  <c r="X105" i="15"/>
  <c r="X34" i="15"/>
  <c r="Y11" i="14"/>
  <c r="X107" i="15"/>
  <c r="X38" i="15"/>
  <c r="X37" i="15"/>
  <c r="X35" i="15"/>
  <c r="X169" i="15"/>
  <c r="X106" i="15"/>
  <c r="X33" i="15"/>
  <c r="X104" i="15"/>
  <c r="X103" i="15"/>
  <c r="X36" i="15"/>
  <c r="X102" i="15"/>
  <c r="K132" i="15"/>
  <c r="L132" i="15"/>
  <c r="V64" i="14"/>
  <c r="V52" i="14"/>
  <c r="W10" i="54"/>
  <c r="W52" i="14"/>
  <c r="T79" i="15"/>
  <c r="U52" i="14"/>
  <c r="X32" i="14"/>
  <c r="X52" i="14"/>
  <c r="F173" i="15"/>
  <c r="F174" i="15"/>
  <c r="F182" i="15"/>
  <c r="G173" i="15"/>
  <c r="G174" i="15"/>
  <c r="G182" i="15"/>
  <c r="G19" i="54"/>
  <c r="G17" i="54"/>
  <c r="G12" i="54"/>
  <c r="V69" i="14"/>
  <c r="U68" i="14"/>
  <c r="U64" i="14"/>
  <c r="P39" i="54"/>
  <c r="K39" i="54"/>
  <c r="Y64" i="14"/>
  <c r="X64" i="14"/>
  <c r="W64" i="14"/>
  <c r="V12" i="54"/>
  <c r="F38" i="54"/>
  <c r="V544" i="53"/>
  <c r="P7" i="54"/>
  <c r="H27" i="54"/>
  <c r="Q7" i="54"/>
  <c r="H30" i="54"/>
  <c r="W270" i="53"/>
  <c r="N270" i="53"/>
  <c r="N27" i="7"/>
  <c r="H32" i="54"/>
  <c r="H31" i="54"/>
  <c r="V584" i="53"/>
  <c r="AL503" i="53"/>
  <c r="AL470" i="53"/>
  <c r="R7" i="54"/>
  <c r="R17" i="14"/>
  <c r="C21" i="54"/>
  <c r="U21" i="54"/>
  <c r="H25" i="54"/>
  <c r="T68" i="15"/>
  <c r="W12" i="54"/>
  <c r="V11" i="54"/>
  <c r="H26" i="54"/>
  <c r="H28" i="54"/>
  <c r="R53" i="14"/>
  <c r="AL509" i="53"/>
  <c r="W48" i="15"/>
  <c r="X5" i="54"/>
  <c r="X16" i="54"/>
  <c r="AL539" i="53"/>
  <c r="E21" i="54"/>
  <c r="W21" i="54"/>
  <c r="U19" i="54"/>
  <c r="X14" i="54"/>
  <c r="U18" i="54"/>
  <c r="X19" i="54"/>
  <c r="X9" i="54"/>
  <c r="X7" i="54"/>
  <c r="D54" i="14"/>
  <c r="D55" i="14"/>
  <c r="AG144" i="15"/>
  <c r="AL466" i="53"/>
  <c r="X13" i="54"/>
  <c r="W15" i="54"/>
  <c r="V13" i="54"/>
  <c r="X10" i="54"/>
  <c r="W17" i="54"/>
  <c r="W18" i="54"/>
  <c r="U16" i="54"/>
  <c r="U8" i="54"/>
  <c r="AL527" i="53"/>
  <c r="X11" i="54"/>
  <c r="X8" i="54"/>
  <c r="Q12" i="54"/>
  <c r="P12" i="54"/>
  <c r="W16" i="54"/>
  <c r="V19" i="54"/>
  <c r="U10" i="54"/>
  <c r="X17" i="54"/>
  <c r="W7" i="54"/>
  <c r="AL537" i="53"/>
  <c r="V15" i="54"/>
  <c r="U13" i="54"/>
  <c r="U15" i="54"/>
  <c r="X6" i="54"/>
  <c r="V7" i="54"/>
  <c r="W14" i="54"/>
  <c r="H21" i="54"/>
  <c r="H22" i="54"/>
  <c r="Q19" i="54"/>
  <c r="P19" i="54"/>
  <c r="V9" i="54"/>
  <c r="U14" i="54"/>
  <c r="AL623" i="53"/>
  <c r="W13" i="54"/>
  <c r="U11" i="54"/>
  <c r="V5" i="54"/>
  <c r="D21" i="54"/>
  <c r="V21" i="54"/>
  <c r="V17" i="54"/>
  <c r="U17" i="54"/>
  <c r="W68" i="15"/>
  <c r="V53" i="15"/>
  <c r="W5" i="54"/>
  <c r="R15" i="54"/>
  <c r="X15" i="54"/>
  <c r="W11" i="54"/>
  <c r="U9" i="54"/>
  <c r="W8" i="54"/>
  <c r="R12" i="54"/>
  <c r="X12" i="54"/>
  <c r="W19" i="54"/>
  <c r="U6" i="54"/>
  <c r="T12" i="15"/>
  <c r="U95" i="15"/>
  <c r="V18" i="54"/>
  <c r="V14" i="54"/>
  <c r="V10" i="54"/>
  <c r="V8" i="54"/>
  <c r="V6" i="54"/>
  <c r="X40" i="14"/>
  <c r="AL505" i="53"/>
  <c r="AL450" i="53"/>
  <c r="U5" i="54"/>
  <c r="Q15" i="54"/>
  <c r="P15" i="54"/>
  <c r="U12" i="54"/>
  <c r="W9" i="54"/>
  <c r="R19" i="54"/>
  <c r="X18" i="54"/>
  <c r="W6" i="54"/>
  <c r="U7" i="54"/>
  <c r="V16" i="54"/>
  <c r="F21" i="54"/>
  <c r="F22" i="54"/>
  <c r="D38" i="54"/>
  <c r="AL516" i="53"/>
  <c r="X20" i="15"/>
  <c r="Y18" i="54"/>
  <c r="Y15" i="54"/>
  <c r="Y6" i="54"/>
  <c r="Y12" i="54"/>
  <c r="Y9" i="54"/>
  <c r="Y19" i="54"/>
  <c r="Y16" i="54"/>
  <c r="Y13" i="54"/>
  <c r="Y7" i="54"/>
  <c r="Y10" i="54"/>
  <c r="Y14" i="54"/>
  <c r="Y17" i="54"/>
  <c r="Y11" i="54"/>
  <c r="Y8" i="54"/>
  <c r="Y5" i="54"/>
  <c r="W274" i="53"/>
  <c r="N274" i="53"/>
  <c r="N28" i="7"/>
  <c r="Y23" i="14"/>
  <c r="X10" i="14"/>
  <c r="AH144" i="15"/>
  <c r="AL475" i="53"/>
  <c r="AL461" i="53"/>
  <c r="W21" i="14"/>
  <c r="AL536" i="53"/>
  <c r="AL586" i="53"/>
  <c r="J134" i="15"/>
  <c r="K663" i="53"/>
  <c r="U663" i="53"/>
  <c r="AL544" i="53"/>
  <c r="AL520" i="53"/>
  <c r="X165" i="15"/>
  <c r="X114" i="15"/>
  <c r="X78" i="15"/>
  <c r="V25" i="15"/>
  <c r="X76" i="15"/>
  <c r="W52" i="15"/>
  <c r="V58" i="15"/>
  <c r="W17" i="15"/>
  <c r="V109" i="15"/>
  <c r="AL695" i="53"/>
  <c r="AL635" i="53"/>
  <c r="AL546" i="53"/>
  <c r="AL473" i="53"/>
  <c r="AL488" i="53"/>
  <c r="AL570" i="53"/>
  <c r="AL554" i="53"/>
  <c r="AL668" i="53"/>
  <c r="AL567" i="53"/>
  <c r="AL582" i="53"/>
  <c r="AL692" i="53"/>
  <c r="AL648" i="53"/>
  <c r="AL588" i="53"/>
  <c r="AL675" i="53"/>
  <c r="AL629" i="53"/>
  <c r="AL721" i="53"/>
  <c r="AL669" i="53"/>
  <c r="AL733" i="53"/>
  <c r="AL606" i="53"/>
  <c r="AL519" i="53"/>
  <c r="AL568" i="53"/>
  <c r="AL480" i="53"/>
  <c r="AL463" i="53"/>
  <c r="X149" i="15"/>
  <c r="V161" i="15"/>
  <c r="X120" i="15"/>
  <c r="X32" i="15"/>
  <c r="X67" i="15"/>
  <c r="AL752" i="53"/>
  <c r="AL502" i="53"/>
  <c r="AL581" i="53"/>
  <c r="AL673" i="53"/>
  <c r="AL591" i="53"/>
  <c r="AL677" i="53"/>
  <c r="AL755" i="53"/>
  <c r="AL555" i="53"/>
  <c r="AL512" i="53"/>
  <c r="AL491" i="53"/>
  <c r="AL595" i="53"/>
  <c r="AL478" i="53"/>
  <c r="W49" i="14"/>
  <c r="V148" i="15"/>
  <c r="V67" i="15"/>
  <c r="X113" i="15"/>
  <c r="X48" i="15"/>
  <c r="V85" i="15"/>
  <c r="K153" i="15"/>
  <c r="L682" i="53"/>
  <c r="V682" i="53"/>
  <c r="V121" i="15"/>
  <c r="W584" i="53"/>
  <c r="U156" i="15"/>
  <c r="V7" i="15"/>
  <c r="X27" i="15"/>
  <c r="W50" i="15"/>
  <c r="AL604" i="53"/>
  <c r="AL545" i="53"/>
  <c r="AL511" i="53"/>
  <c r="AL472" i="53"/>
  <c r="AL447" i="53"/>
  <c r="F54" i="14"/>
  <c r="F55" i="14"/>
  <c r="X116" i="15"/>
  <c r="U29" i="15"/>
  <c r="W42" i="14"/>
  <c r="V87" i="15"/>
  <c r="V82" i="15"/>
  <c r="V16" i="15"/>
  <c r="X91" i="15"/>
  <c r="X28" i="15"/>
  <c r="V28" i="15"/>
  <c r="AL508" i="53"/>
  <c r="AL547" i="53"/>
  <c r="AL522" i="53"/>
  <c r="V162" i="15"/>
  <c r="C54" i="14"/>
  <c r="C55" i="14"/>
  <c r="C56" i="14"/>
  <c r="W30" i="14"/>
  <c r="W20" i="14"/>
  <c r="V100" i="15"/>
  <c r="X118" i="15"/>
  <c r="V71" i="15"/>
  <c r="X10" i="15"/>
  <c r="U121" i="15"/>
  <c r="AE144" i="15"/>
  <c r="T101" i="15"/>
  <c r="T15" i="15"/>
  <c r="X41" i="14"/>
  <c r="U133" i="15"/>
  <c r="W67" i="15"/>
  <c r="W86" i="15"/>
  <c r="T20" i="15"/>
  <c r="U100" i="15"/>
  <c r="W111" i="15"/>
  <c r="W72" i="15"/>
  <c r="AL486" i="53"/>
  <c r="AL640" i="53"/>
  <c r="AL727" i="53"/>
  <c r="V24" i="14"/>
  <c r="T165" i="15"/>
  <c r="W95" i="15"/>
  <c r="U7" i="15"/>
  <c r="AL492" i="53"/>
  <c r="T56" i="15"/>
  <c r="J50" i="15"/>
  <c r="K545" i="53"/>
  <c r="U545" i="53"/>
  <c r="X48" i="14"/>
  <c r="X45" i="14"/>
  <c r="W170" i="15"/>
  <c r="W59" i="15"/>
  <c r="U73" i="15"/>
  <c r="T115" i="15"/>
  <c r="J59" i="15"/>
  <c r="K554" i="53"/>
  <c r="U554" i="53"/>
  <c r="AL575" i="53"/>
  <c r="U138" i="15"/>
  <c r="K604" i="53"/>
  <c r="J109" i="15"/>
  <c r="U45" i="15"/>
  <c r="T64" i="15"/>
  <c r="T48" i="15"/>
  <c r="T99" i="15"/>
  <c r="U57" i="15"/>
  <c r="T29" i="15"/>
  <c r="U30" i="14"/>
  <c r="T160" i="15"/>
  <c r="T149" i="15"/>
  <c r="T141" i="15"/>
  <c r="T139" i="15"/>
  <c r="T167" i="15"/>
  <c r="T147" i="15"/>
  <c r="T154" i="15"/>
  <c r="T163" i="15"/>
  <c r="T152" i="15"/>
  <c r="T136" i="15"/>
  <c r="T162" i="15"/>
  <c r="T151" i="15"/>
  <c r="T135" i="15"/>
  <c r="T168" i="15"/>
  <c r="T157" i="15"/>
  <c r="T146" i="15"/>
  <c r="T133" i="15"/>
  <c r="T155" i="15"/>
  <c r="T131" i="15"/>
  <c r="T159" i="15"/>
  <c r="T144" i="15"/>
  <c r="T166" i="15"/>
  <c r="T53" i="15"/>
  <c r="T77" i="15"/>
  <c r="T67" i="15"/>
  <c r="T6" i="15"/>
  <c r="T45" i="15"/>
  <c r="T140" i="15"/>
  <c r="T111" i="15"/>
  <c r="T14" i="15"/>
  <c r="T30" i="15"/>
  <c r="T55" i="15"/>
  <c r="T18" i="15"/>
  <c r="T5" i="15"/>
  <c r="T60" i="15"/>
  <c r="T84" i="15"/>
  <c r="T73" i="15"/>
  <c r="T69" i="15"/>
  <c r="T27" i="15"/>
  <c r="T150" i="15"/>
  <c r="T158" i="15"/>
  <c r="T143" i="15"/>
  <c r="T164" i="15"/>
  <c r="T8" i="15"/>
  <c r="T87" i="15"/>
  <c r="T31" i="15"/>
  <c r="T117" i="15"/>
  <c r="T43" i="15"/>
  <c r="T9" i="15"/>
  <c r="T40" i="15"/>
  <c r="T80" i="15"/>
  <c r="T50" i="15"/>
  <c r="T120" i="15"/>
  <c r="T82" i="15"/>
  <c r="T118" i="15"/>
  <c r="T137" i="15"/>
  <c r="T153" i="15"/>
  <c r="T63" i="15"/>
  <c r="T41" i="15"/>
  <c r="T57" i="15"/>
  <c r="T21" i="15"/>
  <c r="T52" i="15"/>
  <c r="T100" i="15"/>
  <c r="T65" i="15"/>
  <c r="T7" i="15"/>
  <c r="T46" i="15"/>
  <c r="T75" i="15"/>
  <c r="T91" i="15"/>
  <c r="T62" i="15"/>
  <c r="T17" i="15"/>
  <c r="T25" i="15"/>
  <c r="T93" i="15"/>
  <c r="T96" i="15"/>
  <c r="T138" i="15"/>
  <c r="T148" i="15"/>
  <c r="T24" i="15"/>
  <c r="T32" i="15"/>
  <c r="T10" i="15"/>
  <c r="T76" i="15"/>
  <c r="T59" i="15"/>
  <c r="T72" i="15"/>
  <c r="T119" i="15"/>
  <c r="T19" i="15"/>
  <c r="T98" i="15"/>
  <c r="T86" i="15"/>
  <c r="T132" i="15"/>
  <c r="U5" i="14"/>
  <c r="T22" i="15"/>
  <c r="T95" i="15"/>
  <c r="T44" i="15"/>
  <c r="T81" i="15"/>
  <c r="T23" i="15"/>
  <c r="T54" i="15"/>
  <c r="T70" i="15"/>
  <c r="T78" i="15"/>
  <c r="T109" i="15"/>
  <c r="T28" i="15"/>
  <c r="T114" i="15"/>
  <c r="T61" i="15"/>
  <c r="T116" i="15"/>
  <c r="T112" i="15"/>
  <c r="T74" i="15"/>
  <c r="T113" i="15"/>
  <c r="T156" i="15"/>
  <c r="T47" i="15"/>
  <c r="T71" i="15"/>
  <c r="T110" i="15"/>
  <c r="T26" i="15"/>
  <c r="T13" i="15"/>
  <c r="T92" i="15"/>
  <c r="T97" i="15"/>
  <c r="T42" i="15"/>
  <c r="T130" i="15"/>
  <c r="T145" i="15"/>
  <c r="T161" i="15"/>
  <c r="T16" i="15"/>
  <c r="T49" i="15"/>
  <c r="T51" i="15"/>
  <c r="T83" i="15"/>
  <c r="T88" i="15"/>
  <c r="T85" i="15"/>
  <c r="T11" i="15"/>
  <c r="T58" i="15"/>
  <c r="T66" i="15"/>
  <c r="T90" i="15"/>
  <c r="T94" i="15"/>
  <c r="V34" i="14"/>
  <c r="U158" i="15"/>
  <c r="U147" i="15"/>
  <c r="U165" i="15"/>
  <c r="U163" i="15"/>
  <c r="U150" i="15"/>
  <c r="U139" i="15"/>
  <c r="U168" i="15"/>
  <c r="U157" i="15"/>
  <c r="U146" i="15"/>
  <c r="U142" i="15"/>
  <c r="U155" i="15"/>
  <c r="U131" i="15"/>
  <c r="U162" i="15"/>
  <c r="U160" i="15"/>
  <c r="U137" i="15"/>
  <c r="U144" i="15"/>
  <c r="U166" i="15"/>
  <c r="U149" i="15"/>
  <c r="U86" i="15"/>
  <c r="U64" i="15"/>
  <c r="U56" i="15"/>
  <c r="U48" i="15"/>
  <c r="U99" i="15"/>
  <c r="U25" i="15"/>
  <c r="U19" i="15"/>
  <c r="U42" i="15"/>
  <c r="U98" i="15"/>
  <c r="U5" i="15"/>
  <c r="U52" i="15"/>
  <c r="U71" i="15"/>
  <c r="U60" i="15"/>
  <c r="U54" i="15"/>
  <c r="U70" i="15"/>
  <c r="U67" i="15"/>
  <c r="U88" i="15"/>
  <c r="U14" i="15"/>
  <c r="U164" i="15"/>
  <c r="U69" i="15"/>
  <c r="U93" i="15"/>
  <c r="U116" i="15"/>
  <c r="U135" i="15"/>
  <c r="U40" i="15"/>
  <c r="U50" i="15"/>
  <c r="U74" i="15"/>
  <c r="U32" i="15"/>
  <c r="U118" i="15"/>
  <c r="U92" i="15"/>
  <c r="U18" i="15"/>
  <c r="U23" i="15"/>
  <c r="U109" i="15"/>
  <c r="U51" i="15"/>
  <c r="U59" i="15"/>
  <c r="U72" i="15"/>
  <c r="U111" i="15"/>
  <c r="U140" i="15"/>
  <c r="U136" i="15"/>
  <c r="U159" i="15"/>
  <c r="U91" i="15"/>
  <c r="U114" i="15"/>
  <c r="U17" i="15"/>
  <c r="U21" i="15"/>
  <c r="U8" i="15"/>
  <c r="U63" i="15"/>
  <c r="U87" i="15"/>
  <c r="U89" i="15"/>
  <c r="U30" i="15"/>
  <c r="U153" i="15"/>
  <c r="U154" i="15"/>
  <c r="U134" i="15"/>
  <c r="U143" i="15"/>
  <c r="U11" i="15"/>
  <c r="U82" i="15"/>
  <c r="U97" i="15"/>
  <c r="U120" i="15"/>
  <c r="U46" i="15"/>
  <c r="U43" i="15"/>
  <c r="U83" i="15"/>
  <c r="U6" i="15"/>
  <c r="U53" i="15"/>
  <c r="U145" i="15"/>
  <c r="U161" i="15"/>
  <c r="U61" i="15"/>
  <c r="U85" i="15"/>
  <c r="U58" i="15"/>
  <c r="U44" i="15"/>
  <c r="U24" i="15"/>
  <c r="U55" i="15"/>
  <c r="U110" i="15"/>
  <c r="U68" i="15"/>
  <c r="U10" i="15"/>
  <c r="U41" i="15"/>
  <c r="U15" i="15"/>
  <c r="U62" i="15"/>
  <c r="U78" i="15"/>
  <c r="U94" i="15"/>
  <c r="U96" i="15"/>
  <c r="U132" i="15"/>
  <c r="U148" i="15"/>
  <c r="U141" i="15"/>
  <c r="V8" i="14"/>
  <c r="U81" i="15"/>
  <c r="U90" i="15"/>
  <c r="U13" i="15"/>
  <c r="U76" i="15"/>
  <c r="U79" i="15"/>
  <c r="U84" i="15"/>
  <c r="U49" i="15"/>
  <c r="U12" i="15"/>
  <c r="U20" i="15"/>
  <c r="U28" i="15"/>
  <c r="U75" i="15"/>
  <c r="U80" i="15"/>
  <c r="U22" i="15"/>
  <c r="U101" i="15"/>
  <c r="U113" i="15"/>
  <c r="U130" i="15"/>
  <c r="U167" i="15"/>
  <c r="U151" i="15"/>
  <c r="U9" i="15"/>
  <c r="U27" i="15"/>
  <c r="U66" i="15"/>
  <c r="U47" i="15"/>
  <c r="U26" i="15"/>
  <c r="U65" i="15"/>
  <c r="U112" i="15"/>
  <c r="U31" i="15"/>
  <c r="U117" i="15"/>
  <c r="U119" i="15"/>
  <c r="U115" i="15"/>
  <c r="U77" i="15"/>
  <c r="U152" i="15"/>
  <c r="W163" i="15"/>
  <c r="W134" i="15"/>
  <c r="W132" i="15"/>
  <c r="W161" i="15"/>
  <c r="W150" i="15"/>
  <c r="W166" i="15"/>
  <c r="W155" i="15"/>
  <c r="W164" i="15"/>
  <c r="W153" i="15"/>
  <c r="W160" i="15"/>
  <c r="W137" i="15"/>
  <c r="W147" i="15"/>
  <c r="W167" i="15"/>
  <c r="W145" i="15"/>
  <c r="W151" i="15"/>
  <c r="W135" i="15"/>
  <c r="W158" i="15"/>
  <c r="W156" i="15"/>
  <c r="W54" i="15"/>
  <c r="W70" i="15"/>
  <c r="W46" i="15"/>
  <c r="W87" i="15"/>
  <c r="W31" i="15"/>
  <c r="W120" i="15"/>
  <c r="W133" i="15"/>
  <c r="W157" i="15"/>
  <c r="W65" i="15"/>
  <c r="W121" i="15"/>
  <c r="W30" i="15"/>
  <c r="W116" i="15"/>
  <c r="W90" i="15"/>
  <c r="W16" i="15"/>
  <c r="W21" i="15"/>
  <c r="W100" i="15"/>
  <c r="W49" i="15"/>
  <c r="W57" i="15"/>
  <c r="W109" i="15"/>
  <c r="X23" i="14"/>
  <c r="X39" i="14"/>
  <c r="X49" i="14"/>
  <c r="X8" i="14"/>
  <c r="X19" i="14"/>
  <c r="W112" i="15"/>
  <c r="W15" i="15"/>
  <c r="W80" i="15"/>
  <c r="W19" i="15"/>
  <c r="W6" i="15"/>
  <c r="W61" i="15"/>
  <c r="W85" i="15"/>
  <c r="W74" i="15"/>
  <c r="W28" i="15"/>
  <c r="W143" i="15"/>
  <c r="W159" i="15"/>
  <c r="W152" i="15"/>
  <c r="X29" i="14"/>
  <c r="W141" i="15"/>
  <c r="W9" i="15"/>
  <c r="W56" i="15"/>
  <c r="W32" i="15"/>
  <c r="W118" i="15"/>
  <c r="W44" i="15"/>
  <c r="W41" i="15"/>
  <c r="W81" i="15"/>
  <c r="W51" i="15"/>
  <c r="W130" i="15"/>
  <c r="W83" i="15"/>
  <c r="W119" i="15"/>
  <c r="W138" i="15"/>
  <c r="W154" i="15"/>
  <c r="W88" i="15"/>
  <c r="W42" i="15"/>
  <c r="W58" i="15"/>
  <c r="W22" i="15"/>
  <c r="W53" i="15"/>
  <c r="W101" i="15"/>
  <c r="W66" i="15"/>
  <c r="W8" i="15"/>
  <c r="W13" i="15"/>
  <c r="W76" i="15"/>
  <c r="W92" i="15"/>
  <c r="W10" i="15"/>
  <c r="W94" i="15"/>
  <c r="W140" i="15"/>
  <c r="W139" i="15"/>
  <c r="W165" i="15"/>
  <c r="W64" i="15"/>
  <c r="W11" i="15"/>
  <c r="W77" i="15"/>
  <c r="W47" i="15"/>
  <c r="W18" i="15"/>
  <c r="W26" i="15"/>
  <c r="W73" i="15"/>
  <c r="W78" i="15"/>
  <c r="W20" i="15"/>
  <c r="W99" i="15"/>
  <c r="W148" i="15"/>
  <c r="W142" i="15"/>
  <c r="W168" i="15"/>
  <c r="X33" i="14"/>
  <c r="W149" i="15"/>
  <c r="W60" i="15"/>
  <c r="W97" i="15"/>
  <c r="W7" i="15"/>
  <c r="W23" i="15"/>
  <c r="W25" i="15"/>
  <c r="W45" i="15"/>
  <c r="W24" i="15"/>
  <c r="W63" i="15"/>
  <c r="W110" i="15"/>
  <c r="W29" i="15"/>
  <c r="W115" i="15"/>
  <c r="W62" i="15"/>
  <c r="W117" i="15"/>
  <c r="W113" i="15"/>
  <c r="W75" i="15"/>
  <c r="X24" i="14"/>
  <c r="W40" i="15"/>
  <c r="W96" i="15"/>
  <c r="W27" i="15"/>
  <c r="W82" i="15"/>
  <c r="W14" i="15"/>
  <c r="W93" i="15"/>
  <c r="W98" i="15"/>
  <c r="W55" i="15"/>
  <c r="W71" i="15"/>
  <c r="W79" i="15"/>
  <c r="W5" i="15"/>
  <c r="W43" i="15"/>
  <c r="W114" i="15"/>
  <c r="W136" i="15"/>
  <c r="W144" i="15"/>
  <c r="W131" i="15"/>
  <c r="W146" i="15"/>
  <c r="W162" i="15"/>
  <c r="X36" i="14"/>
  <c r="W576" i="53"/>
  <c r="V576" i="53"/>
  <c r="T134" i="15"/>
  <c r="W84" i="15"/>
  <c r="U16" i="15"/>
  <c r="W91" i="15"/>
  <c r="W12" i="15"/>
  <c r="W89" i="15"/>
  <c r="W69" i="15"/>
  <c r="T89" i="15"/>
  <c r="T142" i="15"/>
  <c r="AL671" i="53"/>
  <c r="AL689" i="53"/>
  <c r="AL493" i="53"/>
  <c r="AL471" i="53"/>
  <c r="AL587" i="53"/>
  <c r="AL465" i="53"/>
  <c r="AL542" i="53"/>
  <c r="J152" i="15"/>
  <c r="K681" i="53"/>
  <c r="U681" i="53"/>
  <c r="W39" i="15"/>
  <c r="V144" i="15"/>
  <c r="K151" i="15"/>
  <c r="L680" i="53"/>
  <c r="V680" i="53"/>
  <c r="X168" i="15"/>
  <c r="X46" i="15"/>
  <c r="V92" i="15"/>
  <c r="J133" i="15"/>
  <c r="K662" i="53"/>
  <c r="X23" i="15"/>
  <c r="V99" i="15"/>
  <c r="X65" i="15"/>
  <c r="V46" i="15"/>
  <c r="X29" i="15"/>
  <c r="X21" i="15"/>
  <c r="X13" i="15"/>
  <c r="V97" i="15"/>
  <c r="V65" i="15"/>
  <c r="V18" i="15"/>
  <c r="X42" i="15"/>
  <c r="V13" i="15"/>
  <c r="X85" i="15"/>
  <c r="V113" i="15"/>
  <c r="X80" i="15"/>
  <c r="X56" i="15"/>
  <c r="V27" i="15"/>
  <c r="X14" i="15"/>
  <c r="K586" i="53"/>
  <c r="U586" i="53"/>
  <c r="J91" i="15"/>
  <c r="V77" i="15"/>
  <c r="X26" i="15"/>
  <c r="X100" i="15"/>
  <c r="AL608" i="53"/>
  <c r="AL563" i="53"/>
  <c r="AL676" i="53"/>
  <c r="AL569" i="53"/>
  <c r="AL694" i="53"/>
  <c r="AL697" i="53"/>
  <c r="AL706" i="53"/>
  <c r="AL596" i="53"/>
  <c r="AL683" i="53"/>
  <c r="AL642" i="53"/>
  <c r="AL729" i="53"/>
  <c r="AL526" i="53"/>
  <c r="X144" i="15"/>
  <c r="W29" i="14"/>
  <c r="V145" i="15"/>
  <c r="V163" i="15"/>
  <c r="V152" i="15"/>
  <c r="V134" i="15"/>
  <c r="V150" i="15"/>
  <c r="V168" i="15"/>
  <c r="V142" i="15"/>
  <c r="V158" i="15"/>
  <c r="V147" i="15"/>
  <c r="V153" i="15"/>
  <c r="V133" i="15"/>
  <c r="V160" i="15"/>
  <c r="V149" i="15"/>
  <c r="V137" i="15"/>
  <c r="V139" i="15"/>
  <c r="V166" i="15"/>
  <c r="V141" i="15"/>
  <c r="V83" i="15"/>
  <c r="V73" i="15"/>
  <c r="V155" i="15"/>
  <c r="V59" i="15"/>
  <c r="V131" i="15"/>
  <c r="V12" i="15"/>
  <c r="V51" i="15"/>
  <c r="X142" i="15"/>
  <c r="X131" i="15"/>
  <c r="X90" i="15"/>
  <c r="V88" i="15"/>
  <c r="V64" i="15"/>
  <c r="J87" i="15"/>
  <c r="K582" i="53"/>
  <c r="U582" i="53"/>
  <c r="V156" i="15"/>
  <c r="V140" i="15"/>
  <c r="V84" i="15"/>
  <c r="V56" i="15"/>
  <c r="V9" i="15"/>
  <c r="X97" i="15"/>
  <c r="V62" i="15"/>
  <c r="V54" i="15"/>
  <c r="X44" i="15"/>
  <c r="X5" i="15"/>
  <c r="X95" i="15"/>
  <c r="V81" i="15"/>
  <c r="X63" i="15"/>
  <c r="V49" i="15"/>
  <c r="X16" i="15"/>
  <c r="K569" i="53"/>
  <c r="U569" i="53"/>
  <c r="J74" i="15"/>
  <c r="X11" i="15"/>
  <c r="K69" i="15"/>
  <c r="L564" i="53"/>
  <c r="V564" i="53"/>
  <c r="X111" i="15"/>
  <c r="V66" i="15"/>
  <c r="K551" i="53"/>
  <c r="U551" i="53"/>
  <c r="X25" i="15"/>
  <c r="V47" i="15"/>
  <c r="K578" i="53"/>
  <c r="U578" i="53"/>
  <c r="J83" i="15"/>
  <c r="X59" i="15"/>
  <c r="V14" i="15"/>
  <c r="AL515" i="53"/>
  <c r="AL592" i="53"/>
  <c r="AL574" i="53"/>
  <c r="AL678" i="53"/>
  <c r="AL681" i="53"/>
  <c r="AL578" i="53"/>
  <c r="AL722" i="53"/>
  <c r="AL593" i="53"/>
  <c r="AL714" i="53"/>
  <c r="AL719" i="53"/>
  <c r="AL611" i="53"/>
  <c r="AL691" i="53"/>
  <c r="AL651" i="53"/>
  <c r="AL753" i="53"/>
  <c r="AL685" i="53"/>
  <c r="AL725" i="53"/>
  <c r="AL510" i="53"/>
  <c r="AL476" i="53"/>
  <c r="AL562" i="53"/>
  <c r="AL551" i="53"/>
  <c r="AL590" i="53"/>
  <c r="AL500" i="53"/>
  <c r="AL477" i="53"/>
  <c r="AL452" i="53"/>
  <c r="X160" i="15"/>
  <c r="V138" i="15"/>
  <c r="W544" i="53"/>
  <c r="V159" i="15"/>
  <c r="V143" i="15"/>
  <c r="V165" i="15"/>
  <c r="U170" i="15"/>
  <c r="M665" i="53"/>
  <c r="V119" i="15"/>
  <c r="X86" i="15"/>
  <c r="X62" i="15"/>
  <c r="X81" i="15"/>
  <c r="X154" i="15"/>
  <c r="X146" i="15"/>
  <c r="V132" i="15"/>
  <c r="X54" i="15"/>
  <c r="V40" i="15"/>
  <c r="X7" i="15"/>
  <c r="V86" i="15"/>
  <c r="X60" i="15"/>
  <c r="X52" i="15"/>
  <c r="K539" i="53"/>
  <c r="U539" i="53"/>
  <c r="U39" i="15"/>
  <c r="X47" i="15"/>
  <c r="X53" i="15"/>
  <c r="V95" i="15"/>
  <c r="K45" i="15"/>
  <c r="L540" i="53"/>
  <c r="V540" i="53"/>
  <c r="V90" i="15"/>
  <c r="X64" i="15"/>
  <c r="V11" i="15"/>
  <c r="V63" i="15"/>
  <c r="V24" i="15"/>
  <c r="V101" i="15"/>
  <c r="X83" i="15"/>
  <c r="X12" i="15"/>
  <c r="V117" i="15"/>
  <c r="V94" i="15"/>
  <c r="V68" i="15"/>
  <c r="AL490" i="53"/>
  <c r="AL514" i="53"/>
  <c r="AL464" i="53"/>
  <c r="AL523" i="53"/>
  <c r="AL644" i="53"/>
  <c r="AL583" i="53"/>
  <c r="AL754" i="53"/>
  <c r="AL686" i="53"/>
  <c r="AL589" i="53"/>
  <c r="AL612" i="53"/>
  <c r="AL751" i="53"/>
  <c r="AL728" i="53"/>
  <c r="AL622" i="53"/>
  <c r="AL711" i="53"/>
  <c r="AL664" i="53"/>
  <c r="AL613" i="53"/>
  <c r="AL693" i="53"/>
  <c r="AL743" i="53"/>
  <c r="AL631" i="53"/>
  <c r="AL577" i="53"/>
  <c r="AL535" i="53"/>
  <c r="AL479" i="53"/>
  <c r="AL576" i="53"/>
  <c r="AL487" i="53"/>
  <c r="AL474" i="53"/>
  <c r="AL557" i="53"/>
  <c r="AL513" i="53"/>
  <c r="X157" i="15"/>
  <c r="X141" i="15"/>
  <c r="K137" i="15"/>
  <c r="L666" i="53"/>
  <c r="V666" i="53"/>
  <c r="V157" i="15"/>
  <c r="L665" i="53"/>
  <c r="V665" i="53"/>
  <c r="N665" i="53"/>
  <c r="V72" i="15"/>
  <c r="X167" i="15"/>
  <c r="N272" i="53"/>
  <c r="W272" i="53"/>
  <c r="V110" i="15"/>
  <c r="X31" i="15"/>
  <c r="V114" i="15"/>
  <c r="V75" i="15"/>
  <c r="V70" i="15"/>
  <c r="J60" i="15"/>
  <c r="K555" i="53"/>
  <c r="U555" i="53"/>
  <c r="V112" i="15"/>
  <c r="V26" i="15"/>
  <c r="V60" i="15"/>
  <c r="W108" i="15"/>
  <c r="U108" i="15"/>
  <c r="V21" i="15"/>
  <c r="X93" i="15"/>
  <c r="V79" i="15"/>
  <c r="X45" i="15"/>
  <c r="X88" i="15"/>
  <c r="K559" i="53"/>
  <c r="U559" i="53"/>
  <c r="J64" i="15"/>
  <c r="V42" i="15"/>
  <c r="X9" i="15"/>
  <c r="X22" i="15"/>
  <c r="V69" i="15"/>
  <c r="X51" i="15"/>
  <c r="V45" i="15"/>
  <c r="V20" i="15"/>
  <c r="X115" i="15"/>
  <c r="X92" i="15"/>
  <c r="AL550" i="53"/>
  <c r="AL541" i="53"/>
  <c r="AL649" i="53"/>
  <c r="AL585" i="53"/>
  <c r="AL605" i="53"/>
  <c r="AL730" i="53"/>
  <c r="AL614" i="53"/>
  <c r="AL619" i="53"/>
  <c r="AL621" i="53"/>
  <c r="AL556" i="53"/>
  <c r="AL636" i="53"/>
  <c r="AL724" i="53"/>
  <c r="AL672" i="53"/>
  <c r="AL624" i="53"/>
  <c r="AL713" i="53"/>
  <c r="AL615" i="53"/>
  <c r="AL521" i="53"/>
  <c r="AL451" i="53"/>
  <c r="AL584" i="53"/>
  <c r="AL656" i="53"/>
  <c r="V154" i="15"/>
  <c r="X108" i="15"/>
  <c r="T121" i="15"/>
  <c r="X155" i="15"/>
  <c r="X117" i="15"/>
  <c r="V111" i="15"/>
  <c r="V96" i="15"/>
  <c r="X70" i="15"/>
  <c r="K46" i="15"/>
  <c r="L541" i="53"/>
  <c r="V541" i="53"/>
  <c r="X130" i="15"/>
  <c r="X101" i="15"/>
  <c r="V17" i="15"/>
  <c r="X112" i="15"/>
  <c r="X73" i="15"/>
  <c r="X68" i="15"/>
  <c r="X110" i="15"/>
  <c r="V57" i="15"/>
  <c r="X24" i="15"/>
  <c r="V76" i="15"/>
  <c r="V52" i="15"/>
  <c r="X19" i="15"/>
  <c r="J93" i="15"/>
  <c r="K588" i="53"/>
  <c r="U588" i="53"/>
  <c r="X77" i="15"/>
  <c r="X119" i="15"/>
  <c r="V74" i="15"/>
  <c r="X40" i="15"/>
  <c r="V8" i="15"/>
  <c r="V93" i="15"/>
  <c r="X75" i="15"/>
  <c r="K546" i="53"/>
  <c r="U546" i="53"/>
  <c r="J51" i="15"/>
  <c r="X43" i="15"/>
  <c r="V22" i="15"/>
  <c r="V43" i="15"/>
  <c r="AL507" i="53"/>
  <c r="AL481" i="53"/>
  <c r="AL549" i="53"/>
  <c r="AL660" i="53"/>
  <c r="AL594" i="53"/>
  <c r="AL607" i="53"/>
  <c r="AL540" i="53"/>
  <c r="AL674" i="53"/>
  <c r="AL553" i="53"/>
  <c r="AL626" i="53"/>
  <c r="AL627" i="53"/>
  <c r="AL564" i="53"/>
  <c r="AL645" i="53"/>
  <c r="AL742" i="53"/>
  <c r="AL680" i="53"/>
  <c r="AL639" i="53"/>
  <c r="AL726" i="53"/>
  <c r="AL543" i="53"/>
  <c r="AL484" i="53"/>
  <c r="AL489" i="53"/>
  <c r="AL462" i="53"/>
  <c r="AL712" i="53"/>
  <c r="AL504" i="53"/>
  <c r="AL449" i="53"/>
  <c r="AL641" i="53"/>
  <c r="AL579" i="53"/>
  <c r="AL524" i="53"/>
  <c r="X152" i="15"/>
  <c r="X136" i="15"/>
  <c r="V170" i="15"/>
  <c r="AF144" i="15"/>
  <c r="V108" i="15"/>
  <c r="V136" i="15"/>
  <c r="L669" i="53"/>
  <c r="V669" i="53"/>
  <c r="X94" i="15"/>
  <c r="K565" i="53"/>
  <c r="U565" i="53"/>
  <c r="J70" i="15"/>
  <c r="X138" i="15"/>
  <c r="X15" i="15"/>
  <c r="X84" i="15"/>
  <c r="V91" i="15"/>
  <c r="J92" i="15"/>
  <c r="K587" i="53"/>
  <c r="U587" i="53"/>
  <c r="X41" i="15"/>
  <c r="V89" i="15"/>
  <c r="X71" i="15"/>
  <c r="X55" i="15"/>
  <c r="V10" i="15"/>
  <c r="K577" i="53"/>
  <c r="U577" i="53"/>
  <c r="J82" i="15"/>
  <c r="X66" i="15"/>
  <c r="X58" i="15"/>
  <c r="V5" i="15"/>
  <c r="X61" i="15"/>
  <c r="V98" i="15"/>
  <c r="X72" i="15"/>
  <c r="V50" i="15"/>
  <c r="V19" i="15"/>
  <c r="V55" i="15"/>
  <c r="V32" i="15"/>
  <c r="X6" i="15"/>
  <c r="X99" i="15"/>
  <c r="K538" i="53"/>
  <c r="U538" i="53"/>
  <c r="V30" i="15"/>
  <c r="V78" i="15"/>
  <c r="AL610" i="53"/>
  <c r="AL662" i="53"/>
  <c r="AL552" i="53"/>
  <c r="AL525" i="53"/>
  <c r="AL559" i="53"/>
  <c r="AL665" i="53"/>
  <c r="AL657" i="53"/>
  <c r="AL609" i="53"/>
  <c r="AL548" i="53"/>
  <c r="AL679" i="53"/>
  <c r="AL560" i="53"/>
  <c r="AL682" i="53"/>
  <c r="AL638" i="53"/>
  <c r="AL572" i="53"/>
  <c r="AL659" i="53"/>
  <c r="AL756" i="53"/>
  <c r="AL688" i="53"/>
  <c r="AL647" i="53"/>
  <c r="AL745" i="53"/>
  <c r="AL566" i="53"/>
  <c r="AL690" i="53"/>
  <c r="AL565" i="53"/>
  <c r="AL517" i="53"/>
  <c r="AL482" i="53"/>
  <c r="AL485" i="53"/>
  <c r="AL469" i="53"/>
  <c r="V130" i="15"/>
  <c r="Y22" i="14"/>
  <c r="X161" i="15"/>
  <c r="X150" i="15"/>
  <c r="X159" i="15"/>
  <c r="X148" i="15"/>
  <c r="X140" i="15"/>
  <c r="X164" i="15"/>
  <c r="X153" i="15"/>
  <c r="X137" i="15"/>
  <c r="X156" i="15"/>
  <c r="X145" i="15"/>
  <c r="X147" i="15"/>
  <c r="X139" i="15"/>
  <c r="X151" i="15"/>
  <c r="X135" i="15"/>
  <c r="X158" i="15"/>
  <c r="X143" i="15"/>
  <c r="X163" i="15"/>
  <c r="X132" i="15"/>
  <c r="X49" i="15"/>
  <c r="X162" i="15"/>
  <c r="X89" i="15"/>
  <c r="X79" i="15"/>
  <c r="X18" i="15"/>
  <c r="X57" i="15"/>
  <c r="E54" i="14"/>
  <c r="E55" i="14"/>
  <c r="E56" i="14"/>
  <c r="T39" i="15"/>
  <c r="AB144" i="15"/>
  <c r="X121" i="15"/>
  <c r="V167" i="15"/>
  <c r="V151" i="15"/>
  <c r="X133" i="15"/>
  <c r="X134" i="15"/>
  <c r="X166" i="15"/>
  <c r="V661" i="53"/>
  <c r="V116" i="15"/>
  <c r="X109" i="15"/>
  <c r="V80" i="15"/>
  <c r="K596" i="53"/>
  <c r="U596" i="53"/>
  <c r="J101" i="15"/>
  <c r="V164" i="15"/>
  <c r="X98" i="15"/>
  <c r="K585" i="53"/>
  <c r="U585" i="53"/>
  <c r="J90" i="15"/>
  <c r="V135" i="15"/>
  <c r="V118" i="15"/>
  <c r="K94" i="15"/>
  <c r="L589" i="53"/>
  <c r="V589" i="53"/>
  <c r="V48" i="15"/>
  <c r="X74" i="15"/>
  <c r="V31" i="15"/>
  <c r="V23" i="15"/>
  <c r="V15" i="15"/>
  <c r="V120" i="15"/>
  <c r="X87" i="15"/>
  <c r="V41" i="15"/>
  <c r="X8" i="15"/>
  <c r="V115" i="15"/>
  <c r="X82" i="15"/>
  <c r="K561" i="53"/>
  <c r="U561" i="53"/>
  <c r="J66" i="15"/>
  <c r="X50" i="15"/>
  <c r="V44" i="15"/>
  <c r="V29" i="15"/>
  <c r="X69" i="15"/>
  <c r="X96" i="15"/>
  <c r="X17" i="15"/>
  <c r="X30" i="15"/>
  <c r="K562" i="53"/>
  <c r="U562" i="53"/>
  <c r="J67" i="15"/>
  <c r="V61" i="15"/>
  <c r="V6" i="15"/>
  <c r="AL518" i="53"/>
  <c r="AL483" i="53"/>
  <c r="AL646" i="53"/>
  <c r="AL501" i="53"/>
  <c r="AL448" i="53"/>
  <c r="AL561" i="53"/>
  <c r="AL670" i="53"/>
  <c r="AL663" i="53"/>
  <c r="AL666" i="53"/>
  <c r="AL558" i="53"/>
  <c r="AL684" i="53"/>
  <c r="AL571" i="53"/>
  <c r="AL687" i="53"/>
  <c r="AL643" i="53"/>
  <c r="AL580" i="53"/>
  <c r="AL667" i="53"/>
  <c r="AL618" i="53"/>
  <c r="AL696" i="53"/>
  <c r="AL661" i="53"/>
  <c r="AL723" i="53"/>
  <c r="AL538" i="53"/>
  <c r="AL468" i="53"/>
  <c r="AL573" i="53"/>
  <c r="AL506" i="53"/>
  <c r="V146" i="15"/>
  <c r="O279" i="53"/>
  <c r="Y279" i="53"/>
  <c r="X279" i="53"/>
  <c r="Q170" i="15"/>
  <c r="T170" i="15"/>
  <c r="P170" i="15"/>
  <c r="O170" i="15"/>
  <c r="X170" i="15"/>
  <c r="L608" i="53"/>
  <c r="M81" i="15"/>
  <c r="N576" i="53"/>
  <c r="X576" i="53"/>
  <c r="M89" i="15"/>
  <c r="N584" i="53"/>
  <c r="X584" i="53"/>
  <c r="N544" i="53"/>
  <c r="X544" i="53"/>
  <c r="M49" i="15"/>
  <c r="V606" i="53"/>
  <c r="U606" i="53"/>
  <c r="Q108" i="15"/>
  <c r="T108" i="15"/>
  <c r="Q121" i="15"/>
  <c r="X39" i="15"/>
  <c r="P39" i="15"/>
  <c r="V39" i="15"/>
  <c r="P121" i="15"/>
  <c r="O121" i="15"/>
  <c r="P108" i="15"/>
  <c r="O108" i="15"/>
  <c r="Q39" i="15"/>
  <c r="O39" i="15"/>
  <c r="U23" i="14"/>
  <c r="Y42" i="14"/>
  <c r="Y39" i="14"/>
  <c r="Q53" i="14"/>
  <c r="P53" i="14"/>
  <c r="G54" i="14"/>
  <c r="Y36" i="14"/>
  <c r="Y28" i="14"/>
  <c r="Y51" i="14"/>
  <c r="U7" i="14"/>
  <c r="U49" i="14"/>
  <c r="U41" i="14"/>
  <c r="U33" i="14"/>
  <c r="U24" i="14"/>
  <c r="U42" i="14"/>
  <c r="U50" i="14"/>
  <c r="U34" i="14"/>
  <c r="U26" i="14"/>
  <c r="U45" i="14"/>
  <c r="U37" i="14"/>
  <c r="U29" i="14"/>
  <c r="U20" i="14"/>
  <c r="U9" i="14"/>
  <c r="U8" i="14"/>
  <c r="U19" i="14"/>
  <c r="U13" i="14"/>
  <c r="U32" i="14"/>
  <c r="U36" i="14"/>
  <c r="U46" i="14"/>
  <c r="U43" i="14"/>
  <c r="U40" i="14"/>
  <c r="U31" i="14"/>
  <c r="U47" i="14"/>
  <c r="U21" i="14"/>
  <c r="U18" i="14"/>
  <c r="U14" i="14"/>
  <c r="U28" i="14"/>
  <c r="U38" i="14"/>
  <c r="U35" i="14"/>
  <c r="U48" i="14"/>
  <c r="U22" i="14"/>
  <c r="U44" i="14"/>
  <c r="U10" i="14"/>
  <c r="U51" i="14"/>
  <c r="U6" i="14"/>
  <c r="U39" i="14"/>
  <c r="U27" i="14"/>
  <c r="Y35" i="14"/>
  <c r="Q12" i="14"/>
  <c r="Y45" i="14"/>
  <c r="Y37" i="14"/>
  <c r="Y29" i="14"/>
  <c r="Y20" i="14"/>
  <c r="Y21" i="14"/>
  <c r="P12" i="14"/>
  <c r="Y46" i="14"/>
  <c r="Y10" i="14"/>
  <c r="Y38" i="14"/>
  <c r="Y30" i="14"/>
  <c r="Y49" i="14"/>
  <c r="Y41" i="14"/>
  <c r="Y33" i="14"/>
  <c r="Y24" i="14"/>
  <c r="Y8" i="14"/>
  <c r="Y27" i="14"/>
  <c r="Y43" i="14"/>
  <c r="Y48" i="14"/>
  <c r="Y13" i="14"/>
  <c r="Y44" i="14"/>
  <c r="Y5" i="14"/>
  <c r="Y26" i="14"/>
  <c r="Y34" i="14"/>
  <c r="Y31" i="14"/>
  <c r="Y19" i="14"/>
  <c r="Y6" i="14"/>
  <c r="Y40" i="14"/>
  <c r="Y50" i="14"/>
  <c r="Y47" i="14"/>
  <c r="Y7" i="14"/>
  <c r="Y14" i="14"/>
  <c r="Y18" i="14"/>
  <c r="Y9" i="14"/>
  <c r="Y32" i="14"/>
  <c r="X13" i="14"/>
  <c r="X50" i="14"/>
  <c r="X42" i="14"/>
  <c r="X34" i="14"/>
  <c r="X26" i="14"/>
  <c r="X35" i="14"/>
  <c r="X9" i="14"/>
  <c r="X51" i="14"/>
  <c r="X18" i="14"/>
  <c r="X43" i="14"/>
  <c r="X27" i="14"/>
  <c r="X7" i="14"/>
  <c r="X46" i="14"/>
  <c r="X38" i="14"/>
  <c r="X30" i="14"/>
  <c r="X21" i="14"/>
  <c r="X5" i="14"/>
  <c r="R12" i="14"/>
  <c r="R25" i="14"/>
  <c r="V43" i="14"/>
  <c r="X14" i="14"/>
  <c r="V38" i="14"/>
  <c r="W24" i="14"/>
  <c r="V41" i="14"/>
  <c r="W28" i="14"/>
  <c r="V31" i="14"/>
  <c r="W5" i="14"/>
  <c r="W37" i="14"/>
  <c r="V35" i="14"/>
  <c r="W9" i="14"/>
  <c r="V21" i="14"/>
  <c r="X22" i="14"/>
  <c r="V50" i="14"/>
  <c r="V5" i="14"/>
  <c r="V44" i="14"/>
  <c r="V36" i="14"/>
  <c r="V28" i="14"/>
  <c r="V19" i="14"/>
  <c r="V9" i="14"/>
  <c r="V13" i="14"/>
  <c r="V45" i="14"/>
  <c r="V37" i="14"/>
  <c r="V29" i="14"/>
  <c r="V20" i="14"/>
  <c r="V48" i="14"/>
  <c r="V40" i="14"/>
  <c r="V32" i="14"/>
  <c r="V23" i="14"/>
  <c r="V14" i="14"/>
  <c r="Q17" i="14"/>
  <c r="P17" i="14"/>
  <c r="W46" i="14"/>
  <c r="V7" i="14"/>
  <c r="V46" i="14"/>
  <c r="W33" i="14"/>
  <c r="V49" i="14"/>
  <c r="W36" i="14"/>
  <c r="V39" i="14"/>
  <c r="W26" i="14"/>
  <c r="W13" i="14"/>
  <c r="K456" i="53"/>
  <c r="V27" i="14"/>
  <c r="X44" i="14"/>
  <c r="X47" i="14"/>
  <c r="W19" i="14"/>
  <c r="W50" i="14"/>
  <c r="X37" i="14"/>
  <c r="V22" i="14"/>
  <c r="W45" i="14"/>
  <c r="X6" i="14"/>
  <c r="Q25" i="14"/>
  <c r="P25" i="14"/>
  <c r="W47" i="14"/>
  <c r="W39" i="14"/>
  <c r="W31" i="14"/>
  <c r="W22" i="14"/>
  <c r="W48" i="14"/>
  <c r="W40" i="14"/>
  <c r="W32" i="14"/>
  <c r="W23" i="14"/>
  <c r="W14" i="14"/>
  <c r="W51" i="14"/>
  <c r="W43" i="14"/>
  <c r="W35" i="14"/>
  <c r="W27" i="14"/>
  <c r="W18" i="14"/>
  <c r="W7" i="14"/>
  <c r="W38" i="14"/>
  <c r="V30" i="14"/>
  <c r="W8" i="14"/>
  <c r="V33" i="14"/>
  <c r="X20" i="14"/>
  <c r="V10" i="14"/>
  <c r="W10" i="14"/>
  <c r="V51" i="14"/>
  <c r="V18" i="14"/>
  <c r="W6" i="14"/>
  <c r="W41" i="14"/>
  <c r="X28" i="14"/>
  <c r="V6" i="14"/>
  <c r="W44" i="14"/>
  <c r="X31" i="14"/>
  <c r="V47" i="14"/>
  <c r="W34" i="14"/>
  <c r="V42" i="14"/>
  <c r="V26" i="14"/>
  <c r="C37" i="7"/>
  <c r="C32" i="7"/>
  <c r="C36" i="7"/>
  <c r="C22" i="7"/>
  <c r="C12" i="17"/>
  <c r="C21" i="7"/>
  <c r="C17" i="7"/>
  <c r="C9" i="17"/>
  <c r="C14" i="7"/>
  <c r="C35" i="7"/>
  <c r="C34" i="7"/>
  <c r="C33" i="7"/>
  <c r="C51" i="18"/>
  <c r="C29" i="7"/>
  <c r="C28" i="7"/>
  <c r="C27" i="7"/>
  <c r="C16" i="7"/>
  <c r="C13" i="7"/>
  <c r="C12" i="7"/>
  <c r="C5" i="17"/>
  <c r="C9" i="7"/>
  <c r="C8" i="7"/>
  <c r="C8" i="16"/>
  <c r="C7" i="7"/>
  <c r="C13" i="6"/>
  <c r="C41" i="6"/>
  <c r="C38" i="6"/>
  <c r="C37" i="6"/>
  <c r="C36" i="6"/>
  <c r="C31" i="6"/>
  <c r="C30" i="6"/>
  <c r="C27" i="16"/>
  <c r="C29" i="6"/>
  <c r="C9" i="16"/>
  <c r="C23" i="6"/>
  <c r="C22" i="6"/>
  <c r="C21" i="6"/>
  <c r="C20" i="6"/>
  <c r="C14" i="6"/>
  <c r="C10" i="6"/>
  <c r="C8" i="6"/>
  <c r="C7" i="6"/>
  <c r="C6" i="6"/>
  <c r="E13" i="7"/>
  <c r="E37" i="7"/>
  <c r="E32" i="7"/>
  <c r="E36" i="7"/>
  <c r="E22" i="7"/>
  <c r="E21" i="7"/>
  <c r="E17" i="7"/>
  <c r="E9" i="17"/>
  <c r="E14" i="7"/>
  <c r="E7" i="17"/>
  <c r="E35" i="7"/>
  <c r="E34" i="7"/>
  <c r="E33" i="7"/>
  <c r="F32" i="8"/>
  <c r="E29" i="7"/>
  <c r="E28" i="7"/>
  <c r="E27" i="7"/>
  <c r="E16" i="7"/>
  <c r="E12" i="7"/>
  <c r="E9" i="7"/>
  <c r="E8" i="7"/>
  <c r="E8" i="16"/>
  <c r="E7" i="7"/>
  <c r="E41" i="6"/>
  <c r="E38" i="6"/>
  <c r="E37" i="6"/>
  <c r="E36" i="6"/>
  <c r="E31" i="6"/>
  <c r="E30" i="6"/>
  <c r="E27" i="16"/>
  <c r="E29" i="6"/>
  <c r="E9" i="16"/>
  <c r="E23" i="6"/>
  <c r="E22" i="6"/>
  <c r="E21" i="6"/>
  <c r="E20" i="6"/>
  <c r="E14" i="6"/>
  <c r="E13" i="6"/>
  <c r="E10" i="6"/>
  <c r="E8" i="6"/>
  <c r="E7" i="6"/>
  <c r="E6" i="6"/>
  <c r="D32" i="7"/>
  <c r="D37" i="7"/>
  <c r="D14" i="6"/>
  <c r="D31" i="6"/>
  <c r="D34" i="7"/>
  <c r="D36" i="7"/>
  <c r="D22" i="7"/>
  <c r="D21" i="7"/>
  <c r="D17" i="7"/>
  <c r="D9" i="17"/>
  <c r="D27" i="17"/>
  <c r="D14" i="7"/>
  <c r="D35" i="7"/>
  <c r="D33" i="7"/>
  <c r="D29" i="7"/>
  <c r="D28" i="7"/>
  <c r="D27" i="7"/>
  <c r="D16" i="7"/>
  <c r="D13" i="7"/>
  <c r="D12" i="7"/>
  <c r="D5" i="17"/>
  <c r="D9" i="7"/>
  <c r="D8" i="7"/>
  <c r="D8" i="16"/>
  <c r="D7" i="7"/>
  <c r="D41" i="6"/>
  <c r="D38" i="6"/>
  <c r="D37" i="6"/>
  <c r="D36" i="6"/>
  <c r="D30" i="6"/>
  <c r="D27" i="16"/>
  <c r="D29" i="6"/>
  <c r="D9" i="16"/>
  <c r="D23" i="6"/>
  <c r="D22" i="6"/>
  <c r="D21" i="6"/>
  <c r="D20" i="6"/>
  <c r="D13" i="6"/>
  <c r="D10" i="6"/>
  <c r="D8" i="6"/>
  <c r="D7" i="6"/>
  <c r="D6" i="6"/>
  <c r="V41" i="6"/>
  <c r="AH41" i="6"/>
  <c r="V38" i="6"/>
  <c r="AH38" i="6"/>
  <c r="V37" i="6"/>
  <c r="AH37" i="6"/>
  <c r="V36" i="6"/>
  <c r="AH36" i="6"/>
  <c r="V31" i="6"/>
  <c r="AH31" i="6"/>
  <c r="V30" i="6"/>
  <c r="AH30" i="6"/>
  <c r="V29" i="6"/>
  <c r="AH29" i="6"/>
  <c r="V23" i="6"/>
  <c r="AH23" i="6"/>
  <c r="V22" i="6"/>
  <c r="AH22" i="6"/>
  <c r="V21" i="6"/>
  <c r="AH21" i="6"/>
  <c r="V20" i="6"/>
  <c r="AH20" i="6"/>
  <c r="V14" i="6"/>
  <c r="AH14" i="6"/>
  <c r="V13" i="6"/>
  <c r="AH13" i="6"/>
  <c r="V10" i="6"/>
  <c r="AH10" i="6"/>
  <c r="V8" i="6"/>
  <c r="AH8" i="6"/>
  <c r="V7" i="6"/>
  <c r="AH7" i="6"/>
  <c r="V6" i="6"/>
  <c r="AH6" i="6"/>
  <c r="I37" i="7"/>
  <c r="I36" i="7"/>
  <c r="I22" i="7"/>
  <c r="I21" i="7"/>
  <c r="I17" i="7"/>
  <c r="I14" i="7"/>
  <c r="I35" i="7"/>
  <c r="I34" i="7"/>
  <c r="I33" i="7"/>
  <c r="I32" i="7"/>
  <c r="I28" i="7"/>
  <c r="I27" i="7"/>
  <c r="I16" i="7"/>
  <c r="I13" i="7"/>
  <c r="I12" i="7"/>
  <c r="I9" i="7"/>
  <c r="I8" i="7"/>
  <c r="I7" i="7"/>
  <c r="F37" i="7"/>
  <c r="G37" i="7"/>
  <c r="F36" i="7"/>
  <c r="F22" i="7"/>
  <c r="H22" i="7"/>
  <c r="F21" i="7"/>
  <c r="G21" i="7"/>
  <c r="F17" i="7"/>
  <c r="G17" i="7"/>
  <c r="F14" i="7"/>
  <c r="H14" i="7"/>
  <c r="F35" i="7"/>
  <c r="H35" i="7"/>
  <c r="F34" i="7"/>
  <c r="F33" i="7"/>
  <c r="F32" i="7"/>
  <c r="F30" i="7"/>
  <c r="F29" i="7"/>
  <c r="F27" i="7"/>
  <c r="H27" i="7"/>
  <c r="F16" i="7"/>
  <c r="F13" i="7"/>
  <c r="F195" i="15"/>
  <c r="F196" i="15"/>
  <c r="F12" i="7"/>
  <c r="F9" i="7"/>
  <c r="F8" i="7"/>
  <c r="F7" i="7"/>
  <c r="G7" i="7"/>
  <c r="I41" i="6"/>
  <c r="I38" i="6"/>
  <c r="I37" i="6"/>
  <c r="I36" i="6"/>
  <c r="I31" i="6"/>
  <c r="I30" i="6"/>
  <c r="I29" i="6"/>
  <c r="I23" i="6"/>
  <c r="I22" i="6"/>
  <c r="I21" i="6"/>
  <c r="I20" i="6"/>
  <c r="I14" i="6"/>
  <c r="I13" i="6"/>
  <c r="I10" i="6"/>
  <c r="I8" i="6"/>
  <c r="I7" i="6"/>
  <c r="I6" i="6"/>
  <c r="F41" i="6"/>
  <c r="F38" i="6"/>
  <c r="F37" i="6"/>
  <c r="F36" i="6"/>
  <c r="H36" i="6"/>
  <c r="F31" i="6"/>
  <c r="H31" i="6"/>
  <c r="F30" i="6"/>
  <c r="F29" i="6"/>
  <c r="F23" i="6"/>
  <c r="H23" i="6"/>
  <c r="H81" i="6"/>
  <c r="F22" i="6"/>
  <c r="H22" i="6"/>
  <c r="H80" i="6"/>
  <c r="F21" i="6"/>
  <c r="H21" i="6"/>
  <c r="H79" i="6"/>
  <c r="F20" i="6"/>
  <c r="G20" i="6"/>
  <c r="F14" i="6"/>
  <c r="H14" i="6"/>
  <c r="F13" i="6"/>
  <c r="F10" i="6"/>
  <c r="H10" i="6"/>
  <c r="F8" i="6"/>
  <c r="H8" i="6"/>
  <c r="F7" i="6"/>
  <c r="H7" i="6"/>
  <c r="F6" i="6"/>
  <c r="I9" i="6"/>
  <c r="I11" i="6"/>
  <c r="E9" i="6"/>
  <c r="E11" i="6"/>
  <c r="F43" i="54"/>
  <c r="F9" i="6"/>
  <c r="F11" i="6"/>
  <c r="D9" i="6"/>
  <c r="D11" i="6"/>
  <c r="C9" i="6"/>
  <c r="C11" i="6"/>
  <c r="T30" i="17"/>
  <c r="E28" i="54"/>
  <c r="E30" i="54"/>
  <c r="E25" i="54"/>
  <c r="E32" i="54"/>
  <c r="E27" i="54"/>
  <c r="E26" i="54"/>
  <c r="E29" i="54"/>
  <c r="F32" i="54"/>
  <c r="F30" i="54"/>
  <c r="G9" i="17"/>
  <c r="G27" i="17"/>
  <c r="X27" i="17"/>
  <c r="G9" i="16"/>
  <c r="H16" i="8"/>
  <c r="H17" i="8"/>
  <c r="H12" i="8"/>
  <c r="H32" i="8"/>
  <c r="H19" i="8"/>
  <c r="H33" i="8"/>
  <c r="G8" i="16"/>
  <c r="H11" i="16"/>
  <c r="H12" i="16"/>
  <c r="H10" i="8"/>
  <c r="H34" i="8"/>
  <c r="F29" i="54"/>
  <c r="F27" i="54"/>
  <c r="H35" i="8"/>
  <c r="F31" i="8"/>
  <c r="AL6" i="6"/>
  <c r="U6" i="6"/>
  <c r="F26" i="54"/>
  <c r="F25" i="54"/>
  <c r="F31" i="54"/>
  <c r="T9" i="17"/>
  <c r="G24" i="54"/>
  <c r="G26" i="54"/>
  <c r="AA114" i="15"/>
  <c r="O174" i="15"/>
  <c r="AB68" i="15"/>
  <c r="AB41" i="14"/>
  <c r="AA30" i="15"/>
  <c r="AB12" i="15"/>
  <c r="AB10" i="15"/>
  <c r="AB7" i="14"/>
  <c r="V29" i="17"/>
  <c r="D18" i="7"/>
  <c r="W29" i="17"/>
  <c r="T29" i="17"/>
  <c r="C27" i="17"/>
  <c r="T27" i="17"/>
  <c r="X29" i="17"/>
  <c r="V9" i="17"/>
  <c r="E27" i="17"/>
  <c r="V27" i="17"/>
  <c r="U29" i="17"/>
  <c r="U27" i="17"/>
  <c r="F18" i="7"/>
  <c r="C18" i="7"/>
  <c r="E18" i="7"/>
  <c r="I18" i="7"/>
  <c r="D15" i="6"/>
  <c r="D60" i="6"/>
  <c r="M661" i="53"/>
  <c r="W661" i="53"/>
  <c r="C8" i="17"/>
  <c r="C26" i="17"/>
  <c r="D8" i="17"/>
  <c r="D26" i="17"/>
  <c r="H16" i="7"/>
  <c r="H18" i="7"/>
  <c r="O9" i="17"/>
  <c r="Q68" i="14"/>
  <c r="C190" i="15"/>
  <c r="C191" i="15"/>
  <c r="C195" i="15"/>
  <c r="C196" i="15"/>
  <c r="G190" i="15"/>
  <c r="G191" i="15"/>
  <c r="G195" i="15"/>
  <c r="G196" i="15"/>
  <c r="E190" i="15"/>
  <c r="E191" i="15"/>
  <c r="E195" i="15"/>
  <c r="E196" i="15"/>
  <c r="D190" i="15"/>
  <c r="D191" i="15"/>
  <c r="D195" i="15"/>
  <c r="D196" i="15"/>
  <c r="I15" i="6"/>
  <c r="E15" i="6"/>
  <c r="E60" i="6"/>
  <c r="H43" i="54"/>
  <c r="C43" i="54"/>
  <c r="C15" i="6"/>
  <c r="C60" i="6"/>
  <c r="H13" i="7"/>
  <c r="F11" i="8"/>
  <c r="F190" i="15"/>
  <c r="F191" i="15"/>
  <c r="H13" i="6"/>
  <c r="H15" i="6"/>
  <c r="F15" i="6"/>
  <c r="F60" i="6"/>
  <c r="E43" i="54"/>
  <c r="AA53" i="15"/>
  <c r="AA76" i="15"/>
  <c r="AA20" i="15"/>
  <c r="AB20" i="15"/>
  <c r="P67" i="14"/>
  <c r="Q67" i="14"/>
  <c r="H11" i="8"/>
  <c r="AB33" i="14"/>
  <c r="R67" i="14"/>
  <c r="AA104" i="15"/>
  <c r="AB11" i="14"/>
  <c r="AA169" i="15"/>
  <c r="G38" i="54"/>
  <c r="H38" i="54"/>
  <c r="P35" i="54"/>
  <c r="AA103" i="15"/>
  <c r="M536" i="53"/>
  <c r="AA38" i="15"/>
  <c r="AA34" i="15"/>
  <c r="AA35" i="15"/>
  <c r="AA33" i="15"/>
  <c r="AA105" i="15"/>
  <c r="AA107" i="15"/>
  <c r="AA106" i="15"/>
  <c r="AA37" i="15"/>
  <c r="AA36" i="15"/>
  <c r="AA102" i="15"/>
  <c r="AB52" i="14"/>
  <c r="H37" i="6"/>
  <c r="K37" i="6"/>
  <c r="H38" i="6"/>
  <c r="K38" i="6"/>
  <c r="H14" i="8"/>
  <c r="G31" i="8"/>
  <c r="H31" i="8"/>
  <c r="H20" i="8"/>
  <c r="G37" i="6"/>
  <c r="J37" i="6"/>
  <c r="G38" i="6"/>
  <c r="J38" i="6"/>
  <c r="G34" i="8"/>
  <c r="E21" i="17"/>
  <c r="H6" i="6"/>
  <c r="H9" i="6"/>
  <c r="H11" i="6"/>
  <c r="H29" i="7"/>
  <c r="G29" i="7"/>
  <c r="G51" i="18"/>
  <c r="G32" i="8"/>
  <c r="F9" i="16"/>
  <c r="H29" i="6"/>
  <c r="G41" i="6"/>
  <c r="G105" i="6"/>
  <c r="G12" i="8"/>
  <c r="G14" i="7"/>
  <c r="F27" i="16"/>
  <c r="G30" i="6"/>
  <c r="H30" i="6"/>
  <c r="F8" i="16"/>
  <c r="G11" i="16"/>
  <c r="G12" i="16"/>
  <c r="H8" i="7"/>
  <c r="G22" i="7"/>
  <c r="G24" i="7"/>
  <c r="G17" i="8"/>
  <c r="H24" i="7"/>
  <c r="F22" i="18"/>
  <c r="G32" i="7"/>
  <c r="H69" i="6"/>
  <c r="H12" i="7"/>
  <c r="G12" i="7"/>
  <c r="F51" i="18"/>
  <c r="G33" i="7"/>
  <c r="H9" i="7"/>
  <c r="G19" i="8"/>
  <c r="H20" i="6"/>
  <c r="G78" i="6"/>
  <c r="G82" i="6"/>
  <c r="G24" i="6"/>
  <c r="G11" i="8"/>
  <c r="G13" i="7"/>
  <c r="H34" i="7"/>
  <c r="G16" i="8"/>
  <c r="F12" i="8"/>
  <c r="G21" i="54"/>
  <c r="H36" i="7"/>
  <c r="G35" i="7"/>
  <c r="F34" i="8"/>
  <c r="F16" i="8"/>
  <c r="F17" i="8"/>
  <c r="F6" i="17"/>
  <c r="F54" i="17"/>
  <c r="G6" i="17"/>
  <c r="G54" i="17"/>
  <c r="L536" i="53"/>
  <c r="V536" i="53"/>
  <c r="U9" i="17"/>
  <c r="V68" i="14"/>
  <c r="W68" i="14"/>
  <c r="X68" i="14"/>
  <c r="Y68" i="14"/>
  <c r="Z68" i="14"/>
  <c r="J68" i="14"/>
  <c r="C69" i="14"/>
  <c r="R69" i="14"/>
  <c r="P68" i="14"/>
  <c r="C6" i="17"/>
  <c r="C20" i="17"/>
  <c r="W69" i="14"/>
  <c r="X69" i="14"/>
  <c r="Y69" i="14"/>
  <c r="Z69" i="14"/>
  <c r="K69" i="14"/>
  <c r="D6" i="17"/>
  <c r="D20" i="17"/>
  <c r="Y21" i="54"/>
  <c r="E70" i="14"/>
  <c r="Q69" i="14"/>
  <c r="R68" i="14"/>
  <c r="F70" i="14"/>
  <c r="AB64" i="14"/>
  <c r="G7" i="17"/>
  <c r="G55" i="17"/>
  <c r="AB35" i="14"/>
  <c r="X270" i="53"/>
  <c r="O270" i="53"/>
  <c r="O27" i="7"/>
  <c r="D7" i="17"/>
  <c r="F7" i="17"/>
  <c r="F55" i="17"/>
  <c r="D11" i="16"/>
  <c r="C7" i="17"/>
  <c r="G22" i="18"/>
  <c r="D35" i="8"/>
  <c r="G27" i="16"/>
  <c r="D33" i="8"/>
  <c r="D31" i="8"/>
  <c r="X274" i="53"/>
  <c r="O274" i="53"/>
  <c r="O28" i="7"/>
  <c r="U55" i="14"/>
  <c r="E32" i="8"/>
  <c r="E51" i="18"/>
  <c r="E31" i="8"/>
  <c r="D32" i="8"/>
  <c r="D51" i="18"/>
  <c r="AI34" i="7"/>
  <c r="G26" i="16"/>
  <c r="H30" i="16"/>
  <c r="H31" i="16"/>
  <c r="E33" i="8"/>
  <c r="F5" i="17"/>
  <c r="F19" i="17"/>
  <c r="AI35" i="7"/>
  <c r="G13" i="17"/>
  <c r="E5" i="17"/>
  <c r="E34" i="8"/>
  <c r="E6" i="17"/>
  <c r="E20" i="17"/>
  <c r="C105" i="6"/>
  <c r="C8" i="8"/>
  <c r="E20" i="8"/>
  <c r="D26" i="16"/>
  <c r="I19" i="8"/>
  <c r="G12" i="17"/>
  <c r="D34" i="8"/>
  <c r="E8" i="17"/>
  <c r="E26" i="17"/>
  <c r="C13" i="17"/>
  <c r="D16" i="8"/>
  <c r="I105" i="6"/>
  <c r="G8" i="8"/>
  <c r="G5" i="17"/>
  <c r="G19" i="17"/>
  <c r="I35" i="8"/>
  <c r="D20" i="8"/>
  <c r="C26" i="16"/>
  <c r="F26" i="16"/>
  <c r="E13" i="17"/>
  <c r="AI33" i="7"/>
  <c r="G8" i="17"/>
  <c r="G26" i="17"/>
  <c r="I33" i="8"/>
  <c r="D13" i="17"/>
  <c r="E16" i="8"/>
  <c r="E105" i="6"/>
  <c r="E8" i="8"/>
  <c r="E12" i="17"/>
  <c r="AI36" i="7"/>
  <c r="I34" i="8"/>
  <c r="D105" i="6"/>
  <c r="D8" i="8"/>
  <c r="E26" i="16"/>
  <c r="E35" i="8"/>
  <c r="E11" i="16"/>
  <c r="P9" i="17"/>
  <c r="AK6" i="6"/>
  <c r="AK22" i="6"/>
  <c r="AG9" i="7"/>
  <c r="AG33" i="7"/>
  <c r="AI31" i="6"/>
  <c r="AI29" i="7"/>
  <c r="AI10" i="6"/>
  <c r="AG32" i="7"/>
  <c r="AB11" i="54"/>
  <c r="L39" i="54"/>
  <c r="M39" i="54"/>
  <c r="C19" i="17"/>
  <c r="N39" i="54"/>
  <c r="J39" i="54"/>
  <c r="AB10" i="54"/>
  <c r="AB12" i="54"/>
  <c r="AB5" i="54"/>
  <c r="AG34" i="7"/>
  <c r="AI14" i="6"/>
  <c r="AB7" i="54"/>
  <c r="AI7" i="7"/>
  <c r="AI36" i="6"/>
  <c r="AG37" i="7"/>
  <c r="AB13" i="54"/>
  <c r="AK7" i="6"/>
  <c r="AK23" i="6"/>
  <c r="AI21" i="7"/>
  <c r="F13" i="17"/>
  <c r="AB14" i="54"/>
  <c r="AB6" i="54"/>
  <c r="AI22" i="7"/>
  <c r="F12" i="17"/>
  <c r="AB15" i="54"/>
  <c r="AG22" i="7"/>
  <c r="D12" i="17"/>
  <c r="AB18" i="54"/>
  <c r="D30" i="54"/>
  <c r="D26" i="54"/>
  <c r="D25" i="54"/>
  <c r="D31" i="54"/>
  <c r="D28" i="54"/>
  <c r="D27" i="54"/>
  <c r="D32" i="54"/>
  <c r="D29" i="54"/>
  <c r="R21" i="54"/>
  <c r="X21" i="54"/>
  <c r="AG7" i="7"/>
  <c r="AG29" i="7"/>
  <c r="C28" i="54"/>
  <c r="C29" i="54"/>
  <c r="C32" i="54"/>
  <c r="C27" i="54"/>
  <c r="C31" i="54"/>
  <c r="C26" i="54"/>
  <c r="C30" i="54"/>
  <c r="AB8" i="54"/>
  <c r="AB16" i="54"/>
  <c r="Q21" i="54"/>
  <c r="P21" i="54"/>
  <c r="AK20" i="6"/>
  <c r="AK37" i="6"/>
  <c r="AI27" i="7"/>
  <c r="R54" i="14"/>
  <c r="AB19" i="54"/>
  <c r="D19" i="17"/>
  <c r="AB17" i="54"/>
  <c r="AB9" i="54"/>
  <c r="AI7" i="6"/>
  <c r="AI29" i="6"/>
  <c r="AI17" i="7"/>
  <c r="F9" i="17"/>
  <c r="AI13" i="6"/>
  <c r="AG21" i="7"/>
  <c r="AK14" i="6"/>
  <c r="AK36" i="6"/>
  <c r="AI16" i="7"/>
  <c r="F8" i="17"/>
  <c r="F26" i="17"/>
  <c r="AI6" i="6"/>
  <c r="AI23" i="6"/>
  <c r="AI14" i="7"/>
  <c r="AA25" i="15"/>
  <c r="AA26" i="15"/>
  <c r="AG35" i="7"/>
  <c r="AG13" i="7"/>
  <c r="AI8" i="7"/>
  <c r="AA51" i="15"/>
  <c r="AI32" i="7"/>
  <c r="K134" i="15"/>
  <c r="L663" i="53"/>
  <c r="V663" i="53"/>
  <c r="AA94" i="15"/>
  <c r="AA156" i="15"/>
  <c r="AA109" i="15"/>
  <c r="AA22" i="15"/>
  <c r="AA59" i="15"/>
  <c r="AA7" i="15"/>
  <c r="AA9" i="15"/>
  <c r="AA158" i="15"/>
  <c r="AA18" i="15"/>
  <c r="AA67" i="15"/>
  <c r="AA152" i="15"/>
  <c r="L153" i="15"/>
  <c r="M682" i="53"/>
  <c r="W682" i="53"/>
  <c r="AA108" i="15"/>
  <c r="AA29" i="15"/>
  <c r="AA89" i="15"/>
  <c r="AA134" i="15"/>
  <c r="AG14" i="7"/>
  <c r="AA159" i="15"/>
  <c r="AG16" i="7"/>
  <c r="W55" i="14"/>
  <c r="AB48" i="14"/>
  <c r="AI9" i="7"/>
  <c r="AI38" i="6"/>
  <c r="AA135" i="15"/>
  <c r="AA167" i="15"/>
  <c r="AK10" i="6"/>
  <c r="AK30" i="6"/>
  <c r="AI21" i="6"/>
  <c r="AA121" i="15"/>
  <c r="W665" i="53"/>
  <c r="AI37" i="7"/>
  <c r="AA79" i="15"/>
  <c r="AA42" i="15"/>
  <c r="AA93" i="15"/>
  <c r="AI144" i="15"/>
  <c r="R136" i="15"/>
  <c r="O665" i="53"/>
  <c r="Y665" i="53"/>
  <c r="AA21" i="15"/>
  <c r="AA90" i="15"/>
  <c r="AA68" i="15"/>
  <c r="AA97" i="15"/>
  <c r="AA113" i="15"/>
  <c r="AA78" i="15"/>
  <c r="AA65" i="15"/>
  <c r="AA137" i="15"/>
  <c r="AA43" i="15"/>
  <c r="AA150" i="15"/>
  <c r="AA55" i="15"/>
  <c r="AA77" i="15"/>
  <c r="AA146" i="15"/>
  <c r="AA163" i="15"/>
  <c r="K109" i="15"/>
  <c r="L604" i="53"/>
  <c r="V604" i="53"/>
  <c r="K50" i="15"/>
  <c r="L545" i="53"/>
  <c r="V545" i="53"/>
  <c r="L137" i="15"/>
  <c r="M666" i="53"/>
  <c r="W666" i="53"/>
  <c r="L539" i="53"/>
  <c r="V539" i="53"/>
  <c r="K74" i="15"/>
  <c r="L569" i="53"/>
  <c r="V569" i="53"/>
  <c r="AA66" i="15"/>
  <c r="AA49" i="15"/>
  <c r="AA92" i="15"/>
  <c r="AA74" i="15"/>
  <c r="AA70" i="15"/>
  <c r="AA132" i="15"/>
  <c r="AA10" i="15"/>
  <c r="AA17" i="15"/>
  <c r="AA100" i="15"/>
  <c r="AA118" i="15"/>
  <c r="AA117" i="15"/>
  <c r="AA27" i="15"/>
  <c r="AA157" i="15"/>
  <c r="AA154" i="15"/>
  <c r="U604" i="53"/>
  <c r="AA56" i="15"/>
  <c r="K92" i="15"/>
  <c r="L587" i="53"/>
  <c r="V587" i="53"/>
  <c r="AG36" i="7"/>
  <c r="AB29" i="14"/>
  <c r="L562" i="53"/>
  <c r="V562" i="53"/>
  <c r="K67" i="15"/>
  <c r="K101" i="15"/>
  <c r="L596" i="53"/>
  <c r="V596" i="53"/>
  <c r="L538" i="53"/>
  <c r="V538" i="53"/>
  <c r="K60" i="15"/>
  <c r="L555" i="53"/>
  <c r="V555" i="53"/>
  <c r="O272" i="53"/>
  <c r="X272" i="53"/>
  <c r="L551" i="53"/>
  <c r="V551" i="53"/>
  <c r="U662" i="53"/>
  <c r="L151" i="15"/>
  <c r="M680" i="53"/>
  <c r="W680" i="53"/>
  <c r="AA58" i="15"/>
  <c r="AA16" i="15"/>
  <c r="AA112" i="15"/>
  <c r="AA54" i="15"/>
  <c r="AA86" i="15"/>
  <c r="AA32" i="15"/>
  <c r="AA62" i="15"/>
  <c r="AA52" i="15"/>
  <c r="AA82" i="15"/>
  <c r="AA31" i="15"/>
  <c r="AA69" i="15"/>
  <c r="AA14" i="15"/>
  <c r="AA166" i="15"/>
  <c r="AA168" i="15"/>
  <c r="AA147" i="15"/>
  <c r="AA15" i="15"/>
  <c r="L69" i="15"/>
  <c r="M564" i="53"/>
  <c r="W564" i="53"/>
  <c r="AG8" i="7"/>
  <c r="AB30" i="14"/>
  <c r="L94" i="15"/>
  <c r="M589" i="53"/>
  <c r="W589" i="53"/>
  <c r="K64" i="15"/>
  <c r="L559" i="53"/>
  <c r="V559" i="53"/>
  <c r="L45" i="15"/>
  <c r="M540" i="53"/>
  <c r="W540" i="53"/>
  <c r="AA143" i="15"/>
  <c r="K87" i="15"/>
  <c r="L582" i="53"/>
  <c r="V582" i="53"/>
  <c r="K133" i="15"/>
  <c r="L662" i="53"/>
  <c r="AA11" i="15"/>
  <c r="AA116" i="15"/>
  <c r="AA23" i="15"/>
  <c r="AA98" i="15"/>
  <c r="AA24" i="15"/>
  <c r="AA91" i="15"/>
  <c r="AA120" i="15"/>
  <c r="AA87" i="15"/>
  <c r="AA73" i="15"/>
  <c r="AA144" i="15"/>
  <c r="AA99" i="15"/>
  <c r="M132" i="15"/>
  <c r="N661" i="53"/>
  <c r="AA101" i="15"/>
  <c r="AA160" i="15"/>
  <c r="AJ13" i="6"/>
  <c r="AH35" i="7"/>
  <c r="AH13" i="7"/>
  <c r="AB32" i="14"/>
  <c r="AB45" i="14"/>
  <c r="AA133" i="15"/>
  <c r="L565" i="53"/>
  <c r="V565" i="53"/>
  <c r="K70" i="15"/>
  <c r="AA119" i="15"/>
  <c r="K91" i="15"/>
  <c r="L586" i="53"/>
  <c r="V586" i="53"/>
  <c r="AA85" i="15"/>
  <c r="AA161" i="15"/>
  <c r="AA110" i="15"/>
  <c r="AA61" i="15"/>
  <c r="AA81" i="15"/>
  <c r="AA19" i="15"/>
  <c r="AA148" i="15"/>
  <c r="AA75" i="15"/>
  <c r="AA57" i="15"/>
  <c r="AA50" i="15"/>
  <c r="AA8" i="15"/>
  <c r="AA84" i="15"/>
  <c r="AA140" i="15"/>
  <c r="AA139" i="15"/>
  <c r="AA48" i="15"/>
  <c r="L577" i="53"/>
  <c r="K82" i="15"/>
  <c r="M669" i="53"/>
  <c r="W669" i="53"/>
  <c r="L588" i="53"/>
  <c r="V588" i="53"/>
  <c r="K93" i="15"/>
  <c r="AA153" i="15"/>
  <c r="AK21" i="6"/>
  <c r="AK38" i="6"/>
  <c r="AI8" i="6"/>
  <c r="AI30" i="6"/>
  <c r="AB21" i="14"/>
  <c r="AA39" i="15"/>
  <c r="L561" i="53"/>
  <c r="K66" i="15"/>
  <c r="AA151" i="15"/>
  <c r="K51" i="15"/>
  <c r="L546" i="53"/>
  <c r="V546" i="53"/>
  <c r="L46" i="15"/>
  <c r="M541" i="53"/>
  <c r="W541" i="53"/>
  <c r="X665" i="53"/>
  <c r="AA111" i="15"/>
  <c r="AA88" i="15"/>
  <c r="AA145" i="15"/>
  <c r="AA71" i="15"/>
  <c r="AA44" i="15"/>
  <c r="AA138" i="15"/>
  <c r="AA12" i="15"/>
  <c r="AA41" i="15"/>
  <c r="AA80" i="15"/>
  <c r="AA164" i="15"/>
  <c r="AA60" i="15"/>
  <c r="AA45" i="15"/>
  <c r="AA131" i="15"/>
  <c r="AA162" i="15"/>
  <c r="AA141" i="15"/>
  <c r="AA64" i="15"/>
  <c r="K59" i="15"/>
  <c r="L554" i="53"/>
  <c r="V554" i="53"/>
  <c r="AA165" i="15"/>
  <c r="K90" i="15"/>
  <c r="L585" i="53"/>
  <c r="V585" i="53"/>
  <c r="L578" i="53"/>
  <c r="V578" i="53"/>
  <c r="K83" i="15"/>
  <c r="K152" i="15"/>
  <c r="L681" i="53"/>
  <c r="V681" i="53"/>
  <c r="AA142" i="15"/>
  <c r="AA13" i="15"/>
  <c r="AA83" i="15"/>
  <c r="AA130" i="15"/>
  <c r="AA47" i="15"/>
  <c r="AA28" i="15"/>
  <c r="AA95" i="15"/>
  <c r="AA72" i="15"/>
  <c r="AA96" i="15"/>
  <c r="AA46" i="15"/>
  <c r="AA63" i="15"/>
  <c r="AA40" i="15"/>
  <c r="AA5" i="15"/>
  <c r="AA6" i="15"/>
  <c r="AA155" i="15"/>
  <c r="AA136" i="15"/>
  <c r="AA149" i="15"/>
  <c r="AA115" i="15"/>
  <c r="AH16" i="7"/>
  <c r="AH14" i="7"/>
  <c r="AH27" i="7"/>
  <c r="AH17" i="7"/>
  <c r="AK41" i="6"/>
  <c r="F105" i="6"/>
  <c r="AG17" i="7"/>
  <c r="AH21" i="7"/>
  <c r="AG27" i="7"/>
  <c r="AH29" i="7"/>
  <c r="AH22" i="7"/>
  <c r="AJ23" i="6"/>
  <c r="AH7" i="7"/>
  <c r="AH36" i="7"/>
  <c r="AI13" i="7"/>
  <c r="AI22" i="6"/>
  <c r="AJ8" i="6"/>
  <c r="AJ29" i="6"/>
  <c r="AH8" i="7"/>
  <c r="AH33" i="7"/>
  <c r="AH32" i="7"/>
  <c r="AH9" i="7"/>
  <c r="AH34" i="7"/>
  <c r="AH37" i="7"/>
  <c r="T30" i="6"/>
  <c r="AL30" i="6"/>
  <c r="T13" i="6"/>
  <c r="AL13" i="6"/>
  <c r="T31" i="6"/>
  <c r="AL31" i="6"/>
  <c r="AJ10" i="6"/>
  <c r="AJ30" i="6"/>
  <c r="T20" i="6"/>
  <c r="AL20" i="6"/>
  <c r="AL37" i="6"/>
  <c r="T37" i="6"/>
  <c r="AJ14" i="6"/>
  <c r="AJ36" i="6"/>
  <c r="T36" i="6"/>
  <c r="AL36" i="6"/>
  <c r="T21" i="6"/>
  <c r="AL21" i="6"/>
  <c r="T38" i="6"/>
  <c r="AL38" i="6"/>
  <c r="AJ20" i="6"/>
  <c r="AJ37" i="6"/>
  <c r="T10" i="6"/>
  <c r="AL10" i="6"/>
  <c r="T14" i="6"/>
  <c r="AL14" i="6"/>
  <c r="AK8" i="6"/>
  <c r="AK29" i="6"/>
  <c r="T6" i="6"/>
  <c r="T22" i="6"/>
  <c r="AL22" i="6"/>
  <c r="T41" i="6"/>
  <c r="AL41" i="6"/>
  <c r="AI37" i="6"/>
  <c r="AJ21" i="6"/>
  <c r="AJ38" i="6"/>
  <c r="T7" i="6"/>
  <c r="AL7" i="6"/>
  <c r="AL23" i="6"/>
  <c r="T23" i="6"/>
  <c r="AI20" i="6"/>
  <c r="AJ6" i="6"/>
  <c r="AJ22" i="6"/>
  <c r="AJ41" i="6"/>
  <c r="AJ31" i="6"/>
  <c r="AK13" i="6"/>
  <c r="AK31" i="6"/>
  <c r="T8" i="6"/>
  <c r="AL8" i="6"/>
  <c r="T29" i="6"/>
  <c r="AL29" i="6"/>
  <c r="AI41" i="6"/>
  <c r="AJ7" i="6"/>
  <c r="AA170" i="15"/>
  <c r="V608" i="53"/>
  <c r="M608" i="53"/>
  <c r="O576" i="53"/>
  <c r="Y576" i="53"/>
  <c r="R81" i="15"/>
  <c r="R89" i="15"/>
  <c r="O584" i="53"/>
  <c r="Y584" i="53"/>
  <c r="N536" i="53"/>
  <c r="O544" i="53"/>
  <c r="Y544" i="53"/>
  <c r="R49" i="15"/>
  <c r="AB10" i="14"/>
  <c r="AB14" i="14"/>
  <c r="AB46" i="14"/>
  <c r="AB44" i="14"/>
  <c r="AB18" i="14"/>
  <c r="AB36" i="14"/>
  <c r="AB37" i="14"/>
  <c r="AB16" i="14"/>
  <c r="AB47" i="14"/>
  <c r="AB13" i="14"/>
  <c r="AB26" i="14"/>
  <c r="AB27" i="14"/>
  <c r="AB49" i="14"/>
  <c r="D56" i="14"/>
  <c r="V55" i="14"/>
  <c r="AB31" i="14"/>
  <c r="AB19" i="14"/>
  <c r="AB34" i="14"/>
  <c r="AB23" i="14"/>
  <c r="AB22" i="14"/>
  <c r="AB39" i="14"/>
  <c r="AB40" i="14"/>
  <c r="AB8" i="14"/>
  <c r="AB50" i="14"/>
  <c r="AB6" i="14"/>
  <c r="AB38" i="14"/>
  <c r="AB5" i="14"/>
  <c r="AB9" i="14"/>
  <c r="AB42" i="14"/>
  <c r="F56" i="14"/>
  <c r="X55" i="14"/>
  <c r="R55" i="14"/>
  <c r="AB51" i="14"/>
  <c r="AB28" i="14"/>
  <c r="AB43" i="14"/>
  <c r="AB20" i="14"/>
  <c r="AB24" i="14"/>
  <c r="G55" i="14"/>
  <c r="P54" i="14"/>
  <c r="Q54" i="14"/>
  <c r="AJ16" i="7"/>
  <c r="AJ34" i="7"/>
  <c r="AK34" i="7"/>
  <c r="AJ13" i="7"/>
  <c r="AJ27" i="7"/>
  <c r="AK27" i="7"/>
  <c r="AK35" i="7"/>
  <c r="AJ35" i="7"/>
  <c r="AJ33" i="7"/>
  <c r="AJ14" i="7"/>
  <c r="C41" i="8"/>
  <c r="AJ7" i="7"/>
  <c r="AK7" i="7"/>
  <c r="AJ29" i="7"/>
  <c r="AJ17" i="7"/>
  <c r="AJ8" i="7"/>
  <c r="AK8" i="7"/>
  <c r="AJ21" i="7"/>
  <c r="AJ9" i="7"/>
  <c r="AJ22" i="7"/>
  <c r="AJ37" i="7"/>
  <c r="AJ32" i="7"/>
  <c r="AJ36" i="7"/>
  <c r="AK36" i="7"/>
  <c r="I69" i="6"/>
  <c r="AM37" i="6"/>
  <c r="D68" i="6"/>
  <c r="AM38" i="6"/>
  <c r="C69" i="6"/>
  <c r="F68" i="6"/>
  <c r="AM29" i="6"/>
  <c r="F69" i="6"/>
  <c r="AM30" i="6"/>
  <c r="E68" i="6"/>
  <c r="I68" i="6"/>
  <c r="D69" i="6"/>
  <c r="E69" i="6"/>
  <c r="C68" i="6"/>
  <c r="E11" i="8"/>
  <c r="E10" i="8"/>
  <c r="E12" i="8"/>
  <c r="E14" i="8"/>
  <c r="D14" i="8"/>
  <c r="D12" i="8"/>
  <c r="E19" i="8"/>
  <c r="E17" i="8"/>
  <c r="D19" i="8"/>
  <c r="E22" i="8"/>
  <c r="D10" i="8"/>
  <c r="D11" i="8"/>
  <c r="D22" i="8"/>
  <c r="D17" i="8"/>
  <c r="G22" i="8"/>
  <c r="X9" i="17"/>
  <c r="H13" i="8"/>
  <c r="H15" i="8"/>
  <c r="H18" i="8"/>
  <c r="H21" i="8"/>
  <c r="I60" i="6"/>
  <c r="C45" i="54"/>
  <c r="I70" i="6"/>
  <c r="I72" i="6"/>
  <c r="G27" i="54"/>
  <c r="G31" i="54"/>
  <c r="G28" i="54"/>
  <c r="G25" i="54"/>
  <c r="C70" i="6"/>
  <c r="C72" i="6"/>
  <c r="G30" i="54"/>
  <c r="G32" i="54"/>
  <c r="D70" i="6"/>
  <c r="D72" i="6"/>
  <c r="E70" i="6"/>
  <c r="E72" i="6"/>
  <c r="F35" i="8"/>
  <c r="G34" i="7"/>
  <c r="G14" i="8"/>
  <c r="H94" i="6"/>
  <c r="H60" i="6"/>
  <c r="H61" i="6"/>
  <c r="T26" i="17"/>
  <c r="F70" i="6"/>
  <c r="F72" i="6"/>
  <c r="X661" i="53"/>
  <c r="H191" i="15"/>
  <c r="AB157" i="15"/>
  <c r="G16" i="7"/>
  <c r="G18" i="7"/>
  <c r="Y29" i="17"/>
  <c r="F27" i="17"/>
  <c r="W27" i="17"/>
  <c r="Y27" i="17"/>
  <c r="W9" i="17"/>
  <c r="O8" i="17"/>
  <c r="H68" i="6"/>
  <c r="H70" i="6"/>
  <c r="H72" i="6"/>
  <c r="F14" i="8"/>
  <c r="P8" i="17"/>
  <c r="C16" i="6"/>
  <c r="H196" i="15"/>
  <c r="AB158" i="15"/>
  <c r="R9" i="17"/>
  <c r="G36" i="54"/>
  <c r="G43" i="54"/>
  <c r="F22" i="8"/>
  <c r="X536" i="53"/>
  <c r="K40" i="6"/>
  <c r="H13" i="16"/>
  <c r="H22" i="8"/>
  <c r="J40" i="6"/>
  <c r="F11" i="16"/>
  <c r="F12" i="16"/>
  <c r="P26" i="54"/>
  <c r="N26" i="54"/>
  <c r="P28" i="54"/>
  <c r="G36" i="7"/>
  <c r="F10" i="8"/>
  <c r="D21" i="17"/>
  <c r="C21" i="17"/>
  <c r="C22" i="17"/>
  <c r="P27" i="54"/>
  <c r="P25" i="54"/>
  <c r="J25" i="54"/>
  <c r="G22" i="54"/>
  <c r="H41" i="6"/>
  <c r="F8" i="8"/>
  <c r="G9" i="7"/>
  <c r="G15" i="7"/>
  <c r="P32" i="54"/>
  <c r="J32" i="54"/>
  <c r="F33" i="8"/>
  <c r="H39" i="7"/>
  <c r="H77" i="7"/>
  <c r="H11" i="7"/>
  <c r="G20" i="8"/>
  <c r="G8" i="7"/>
  <c r="F20" i="8"/>
  <c r="G95" i="6"/>
  <c r="G97" i="6"/>
  <c r="G98" i="6"/>
  <c r="G26" i="6"/>
  <c r="G33" i="6"/>
  <c r="G40" i="6"/>
  <c r="G33" i="8"/>
  <c r="P30" i="54"/>
  <c r="M30" i="54"/>
  <c r="G87" i="6"/>
  <c r="G35" i="8"/>
  <c r="H78" i="6"/>
  <c r="H24" i="6"/>
  <c r="H95" i="6"/>
  <c r="P31" i="54"/>
  <c r="M31" i="54"/>
  <c r="F19" i="8"/>
  <c r="H15" i="7"/>
  <c r="H20" i="7"/>
  <c r="G10" i="8"/>
  <c r="W536" i="53"/>
  <c r="K68" i="14"/>
  <c r="L68" i="14"/>
  <c r="M68" i="14"/>
  <c r="N68" i="14"/>
  <c r="S68" i="14"/>
  <c r="D10" i="17"/>
  <c r="D14" i="17"/>
  <c r="C10" i="17"/>
  <c r="C14" i="17"/>
  <c r="AB21" i="54"/>
  <c r="F71" i="14"/>
  <c r="F72" i="14"/>
  <c r="C70" i="14"/>
  <c r="R70" i="14"/>
  <c r="P69" i="14"/>
  <c r="L69" i="14"/>
  <c r="M69" i="14"/>
  <c r="N69" i="14"/>
  <c r="S69" i="14"/>
  <c r="E71" i="14"/>
  <c r="Q70" i="14"/>
  <c r="E19" i="17"/>
  <c r="C36" i="54"/>
  <c r="C95" i="87"/>
  <c r="Y270" i="53"/>
  <c r="E12" i="16"/>
  <c r="D12" i="16"/>
  <c r="AK9" i="7"/>
  <c r="Y274" i="53"/>
  <c r="F30" i="16"/>
  <c r="F31" i="16"/>
  <c r="D30" i="16"/>
  <c r="D31" i="16"/>
  <c r="G10" i="17"/>
  <c r="G14" i="17"/>
  <c r="H16" i="17"/>
  <c r="R8" i="17"/>
  <c r="E10" i="17"/>
  <c r="E14" i="17"/>
  <c r="G30" i="16"/>
  <c r="G31" i="16"/>
  <c r="E30" i="16"/>
  <c r="E31" i="16"/>
  <c r="L9" i="7"/>
  <c r="T8" i="17"/>
  <c r="Q9" i="17"/>
  <c r="Q8" i="17"/>
  <c r="F10" i="17"/>
  <c r="F14" i="17"/>
  <c r="L134" i="15"/>
  <c r="M663" i="53"/>
  <c r="W663" i="53"/>
  <c r="M153" i="15"/>
  <c r="N682" i="53"/>
  <c r="X682" i="53"/>
  <c r="L59" i="15"/>
  <c r="M554" i="53"/>
  <c r="W554" i="53"/>
  <c r="L82" i="15"/>
  <c r="M577" i="53"/>
  <c r="W577" i="53"/>
  <c r="V662" i="53"/>
  <c r="L64" i="15"/>
  <c r="M559" i="53"/>
  <c r="W559" i="53"/>
  <c r="L60" i="15"/>
  <c r="M555" i="53"/>
  <c r="W555" i="53"/>
  <c r="N669" i="53"/>
  <c r="X669" i="53"/>
  <c r="M545" i="53"/>
  <c r="W545" i="53"/>
  <c r="L50" i="15"/>
  <c r="L66" i="15"/>
  <c r="M561" i="53"/>
  <c r="W561" i="53"/>
  <c r="V577" i="53"/>
  <c r="L133" i="15"/>
  <c r="M662" i="53"/>
  <c r="L74" i="15"/>
  <c r="M569" i="53"/>
  <c r="W569" i="53"/>
  <c r="L109" i="15"/>
  <c r="M604" i="53"/>
  <c r="W604" i="53"/>
  <c r="M546" i="53"/>
  <c r="W546" i="53"/>
  <c r="L51" i="15"/>
  <c r="L90" i="15"/>
  <c r="M585" i="53"/>
  <c r="W585" i="53"/>
  <c r="V561" i="53"/>
  <c r="O661" i="53"/>
  <c r="Y661" i="53"/>
  <c r="R132" i="15"/>
  <c r="M94" i="15"/>
  <c r="N589" i="53"/>
  <c r="X589" i="53"/>
  <c r="M538" i="53"/>
  <c r="W538" i="53"/>
  <c r="L83" i="15"/>
  <c r="M578" i="53"/>
  <c r="W578" i="53"/>
  <c r="M151" i="15"/>
  <c r="N680" i="53"/>
  <c r="X680" i="53"/>
  <c r="L87" i="15"/>
  <c r="M582" i="53"/>
  <c r="W582" i="53"/>
  <c r="M551" i="53"/>
  <c r="W551" i="53"/>
  <c r="L92" i="15"/>
  <c r="M587" i="53"/>
  <c r="W587" i="53"/>
  <c r="M539" i="53"/>
  <c r="W539" i="53"/>
  <c r="L152" i="15"/>
  <c r="M681" i="53"/>
  <c r="W681" i="53"/>
  <c r="M588" i="53"/>
  <c r="W588" i="53"/>
  <c r="L93" i="15"/>
  <c r="L91" i="15"/>
  <c r="M586" i="53"/>
  <c r="W586" i="53"/>
  <c r="M69" i="15"/>
  <c r="N564" i="53"/>
  <c r="X564" i="53"/>
  <c r="L101" i="15"/>
  <c r="M596" i="53"/>
  <c r="W596" i="53"/>
  <c r="M46" i="15"/>
  <c r="N541" i="53"/>
  <c r="X541" i="53"/>
  <c r="Y272" i="53"/>
  <c r="L67" i="15"/>
  <c r="M562" i="53"/>
  <c r="W562" i="53"/>
  <c r="M137" i="15"/>
  <c r="N666" i="53"/>
  <c r="X666" i="53"/>
  <c r="L70" i="15"/>
  <c r="M565" i="53"/>
  <c r="W565" i="53"/>
  <c r="M45" i="15"/>
  <c r="N540" i="53"/>
  <c r="X540" i="53"/>
  <c r="N608" i="53"/>
  <c r="W608" i="53"/>
  <c r="R41" i="15"/>
  <c r="O536" i="53"/>
  <c r="Y536" i="53"/>
  <c r="G56" i="14"/>
  <c r="P55" i="14"/>
  <c r="Q55" i="14"/>
  <c r="Y55" i="14"/>
  <c r="AB55" i="14"/>
  <c r="W6" i="6"/>
  <c r="W20" i="6"/>
  <c r="W30" i="6"/>
  <c r="W21" i="6"/>
  <c r="W41" i="6"/>
  <c r="W7" i="6"/>
  <c r="W37" i="6"/>
  <c r="W22" i="6"/>
  <c r="W36" i="6"/>
  <c r="W14" i="6"/>
  <c r="W8" i="6"/>
  <c r="W13" i="6"/>
  <c r="W10" i="6"/>
  <c r="W23" i="6"/>
  <c r="W38" i="6"/>
  <c r="W31" i="6"/>
  <c r="W29" i="6"/>
  <c r="G35" i="16"/>
  <c r="Y9" i="17"/>
  <c r="K42" i="6"/>
  <c r="J19" i="8"/>
  <c r="J42" i="6"/>
  <c r="J43" i="6"/>
  <c r="G39" i="7"/>
  <c r="G20" i="7"/>
  <c r="H17" i="6"/>
  <c r="H18" i="6"/>
  <c r="H93" i="6"/>
  <c r="H97" i="6"/>
  <c r="H98" i="6"/>
  <c r="F22" i="17"/>
  <c r="H16" i="6"/>
  <c r="H105" i="6"/>
  <c r="K25" i="54"/>
  <c r="Q71" i="14"/>
  <c r="E72" i="14"/>
  <c r="Q72" i="14"/>
  <c r="G11" i="7"/>
  <c r="H26" i="7"/>
  <c r="G42" i="6"/>
  <c r="G104" i="6"/>
  <c r="G106" i="6"/>
  <c r="G83" i="6"/>
  <c r="C71" i="14"/>
  <c r="P70" i="14"/>
  <c r="D13" i="16"/>
  <c r="E13" i="16"/>
  <c r="G13" i="16"/>
  <c r="F13" i="16"/>
  <c r="J26" i="54"/>
  <c r="L32" i="54"/>
  <c r="M32" i="54"/>
  <c r="K26" i="54"/>
  <c r="N30" i="54"/>
  <c r="N32" i="54"/>
  <c r="D16" i="17"/>
  <c r="K32" i="54"/>
  <c r="K30" i="54"/>
  <c r="F16" i="17"/>
  <c r="L25" i="54"/>
  <c r="M9" i="7"/>
  <c r="J30" i="54"/>
  <c r="M26" i="54"/>
  <c r="L30" i="54"/>
  <c r="L26" i="54"/>
  <c r="E16" i="17"/>
  <c r="G16" i="17"/>
  <c r="M25" i="54"/>
  <c r="N25" i="54"/>
  <c r="K31" i="54"/>
  <c r="N31" i="54"/>
  <c r="J31" i="54"/>
  <c r="L31" i="54"/>
  <c r="M28" i="54"/>
  <c r="L28" i="54"/>
  <c r="K28" i="54"/>
  <c r="J28" i="54"/>
  <c r="N28" i="54"/>
  <c r="N29" i="54"/>
  <c r="M29" i="54"/>
  <c r="L29" i="54"/>
  <c r="K29" i="54"/>
  <c r="J27" i="54"/>
  <c r="N27" i="54"/>
  <c r="M27" i="54"/>
  <c r="L27" i="54"/>
  <c r="K27" i="54"/>
  <c r="N663" i="53"/>
  <c r="X663" i="53"/>
  <c r="M134" i="15"/>
  <c r="R153" i="15"/>
  <c r="O682" i="53"/>
  <c r="Y682" i="53"/>
  <c r="M152" i="15"/>
  <c r="N681" i="53"/>
  <c r="X681" i="53"/>
  <c r="M90" i="15"/>
  <c r="N585" i="53"/>
  <c r="X585" i="53"/>
  <c r="O666" i="53"/>
  <c r="Y666" i="53"/>
  <c r="R137" i="15"/>
  <c r="M59" i="15"/>
  <c r="N554" i="53"/>
  <c r="X554" i="53"/>
  <c r="O540" i="53"/>
  <c r="Y540" i="53"/>
  <c r="R45" i="15"/>
  <c r="M74" i="15"/>
  <c r="N569" i="53"/>
  <c r="X569" i="53"/>
  <c r="O564" i="53"/>
  <c r="Y564" i="53"/>
  <c r="R69" i="15"/>
  <c r="M91" i="15"/>
  <c r="N586" i="53"/>
  <c r="X586" i="53"/>
  <c r="M87" i="15"/>
  <c r="N582" i="53"/>
  <c r="X582" i="53"/>
  <c r="N546" i="53"/>
  <c r="X546" i="53"/>
  <c r="M51" i="15"/>
  <c r="W662" i="53"/>
  <c r="M60" i="15"/>
  <c r="N555" i="53"/>
  <c r="X555" i="53"/>
  <c r="N565" i="53"/>
  <c r="X565" i="53"/>
  <c r="M70" i="15"/>
  <c r="M67" i="15"/>
  <c r="N562" i="53"/>
  <c r="X562" i="53"/>
  <c r="O541" i="53"/>
  <c r="Y541" i="53"/>
  <c r="R46" i="15"/>
  <c r="N588" i="53"/>
  <c r="X588" i="53"/>
  <c r="M93" i="15"/>
  <c r="N539" i="53"/>
  <c r="X539" i="53"/>
  <c r="O680" i="53"/>
  <c r="Y680" i="53"/>
  <c r="R151" i="15"/>
  <c r="N578" i="53"/>
  <c r="X578" i="53"/>
  <c r="M83" i="15"/>
  <c r="O589" i="53"/>
  <c r="Y589" i="53"/>
  <c r="R94" i="15"/>
  <c r="M133" i="15"/>
  <c r="N662" i="53"/>
  <c r="M50" i="15"/>
  <c r="N545" i="53"/>
  <c r="X545" i="53"/>
  <c r="N538" i="53"/>
  <c r="X538" i="53"/>
  <c r="M64" i="15"/>
  <c r="N559" i="53"/>
  <c r="X559" i="53"/>
  <c r="N587" i="53"/>
  <c r="X587" i="53"/>
  <c r="M92" i="15"/>
  <c r="M82" i="15"/>
  <c r="N577" i="53"/>
  <c r="X577" i="53"/>
  <c r="M109" i="15"/>
  <c r="N604" i="53"/>
  <c r="X604" i="53"/>
  <c r="R140" i="15"/>
  <c r="O669" i="53"/>
  <c r="Y669" i="53"/>
  <c r="N596" i="53"/>
  <c r="X596" i="53"/>
  <c r="M101" i="15"/>
  <c r="N551" i="53"/>
  <c r="X551" i="53"/>
  <c r="M66" i="15"/>
  <c r="N561" i="53"/>
  <c r="X561" i="53"/>
  <c r="W11" i="6"/>
  <c r="R113" i="15"/>
  <c r="O608" i="53"/>
  <c r="X608" i="53"/>
  <c r="K19" i="8"/>
  <c r="G26" i="7"/>
  <c r="H26" i="6"/>
  <c r="H78" i="7"/>
  <c r="H79" i="7"/>
  <c r="H81" i="7"/>
  <c r="H77" i="6"/>
  <c r="H82" i="6"/>
  <c r="H87" i="6"/>
  <c r="H88" i="6"/>
  <c r="P71" i="14"/>
  <c r="U71" i="14"/>
  <c r="J71" i="14"/>
  <c r="K71" i="14"/>
  <c r="L71" i="14"/>
  <c r="M71" i="14"/>
  <c r="N71" i="14"/>
  <c r="S71" i="14"/>
  <c r="C72" i="14"/>
  <c r="R71" i="14"/>
  <c r="I41" i="16"/>
  <c r="N9" i="7"/>
  <c r="R134" i="15"/>
  <c r="O663" i="53"/>
  <c r="Y663" i="53"/>
  <c r="O587" i="53"/>
  <c r="Y587" i="53"/>
  <c r="R92" i="15"/>
  <c r="O539" i="53"/>
  <c r="Y539" i="53"/>
  <c r="R44" i="15"/>
  <c r="O585" i="53"/>
  <c r="Y585" i="53"/>
  <c r="R90" i="15"/>
  <c r="O588" i="53"/>
  <c r="Y588" i="53"/>
  <c r="R93" i="15"/>
  <c r="M674" i="53"/>
  <c r="O561" i="53"/>
  <c r="Y561" i="53"/>
  <c r="R66" i="15"/>
  <c r="O604" i="53"/>
  <c r="Y604" i="53"/>
  <c r="R109" i="15"/>
  <c r="R43" i="15"/>
  <c r="O538" i="53"/>
  <c r="Y538" i="53"/>
  <c r="O578" i="53"/>
  <c r="Y578" i="53"/>
  <c r="R83" i="15"/>
  <c r="R60" i="15"/>
  <c r="O555" i="53"/>
  <c r="Y555" i="53"/>
  <c r="O582" i="53"/>
  <c r="Y582" i="53"/>
  <c r="R87" i="15"/>
  <c r="O551" i="53"/>
  <c r="Y551" i="53"/>
  <c r="R56" i="15"/>
  <c r="R50" i="15"/>
  <c r="O545" i="53"/>
  <c r="Y545" i="53"/>
  <c r="O577" i="53"/>
  <c r="Y577" i="53"/>
  <c r="R82" i="15"/>
  <c r="X662" i="53"/>
  <c r="R67" i="15"/>
  <c r="O562" i="53"/>
  <c r="Y562" i="53"/>
  <c r="O586" i="53"/>
  <c r="Y586" i="53"/>
  <c r="R91" i="15"/>
  <c r="R152" i="15"/>
  <c r="O681" i="53"/>
  <c r="Y681" i="53"/>
  <c r="N674" i="53"/>
  <c r="O662" i="53"/>
  <c r="R133" i="15"/>
  <c r="R51" i="15"/>
  <c r="O546" i="53"/>
  <c r="Y546" i="53"/>
  <c r="O569" i="53"/>
  <c r="Y569" i="53"/>
  <c r="R74" i="15"/>
  <c r="O554" i="53"/>
  <c r="Y554" i="53"/>
  <c r="R59" i="15"/>
  <c r="L674" i="53"/>
  <c r="O596" i="53"/>
  <c r="Y596" i="53"/>
  <c r="R101" i="15"/>
  <c r="K674" i="53"/>
  <c r="O559" i="53"/>
  <c r="Y559" i="53"/>
  <c r="R64" i="15"/>
  <c r="R70" i="15"/>
  <c r="O565" i="53"/>
  <c r="Y565" i="53"/>
  <c r="Y608" i="53"/>
  <c r="L19" i="8"/>
  <c r="H27" i="6"/>
  <c r="F7" i="8"/>
  <c r="H33" i="6"/>
  <c r="H83" i="6"/>
  <c r="P72" i="14"/>
  <c r="R72" i="14"/>
  <c r="I43" i="16"/>
  <c r="J49" i="16"/>
  <c r="J5" i="14"/>
  <c r="J15" i="14"/>
  <c r="O674" i="53"/>
  <c r="Y674" i="53"/>
  <c r="O9" i="7"/>
  <c r="X674" i="53"/>
  <c r="W674" i="53"/>
  <c r="Y662" i="53"/>
  <c r="V674" i="53"/>
  <c r="U674" i="53"/>
  <c r="W66" i="30"/>
  <c r="I66" i="30"/>
  <c r="G66" i="30"/>
  <c r="K63" i="30"/>
  <c r="J63" i="30"/>
  <c r="F63" i="30"/>
  <c r="J62" i="30"/>
  <c r="K62" i="30"/>
  <c r="F62" i="30"/>
  <c r="K61" i="30"/>
  <c r="J61" i="30"/>
  <c r="F61" i="30"/>
  <c r="J60" i="30"/>
  <c r="K60" i="30"/>
  <c r="F60" i="30"/>
  <c r="K59" i="30"/>
  <c r="J59" i="30"/>
  <c r="F59" i="30"/>
  <c r="K58" i="30"/>
  <c r="J58" i="30"/>
  <c r="F58" i="30"/>
  <c r="K57" i="30"/>
  <c r="J57" i="30"/>
  <c r="F57" i="30"/>
  <c r="J56" i="30"/>
  <c r="K56" i="30"/>
  <c r="F56" i="30"/>
  <c r="K55" i="30"/>
  <c r="J55" i="30"/>
  <c r="F55" i="30"/>
  <c r="K54" i="30"/>
  <c r="J54" i="30"/>
  <c r="F54" i="30"/>
  <c r="K53" i="30"/>
  <c r="J53" i="30"/>
  <c r="F53" i="30"/>
  <c r="J52" i="30"/>
  <c r="K52" i="30"/>
  <c r="F52" i="30"/>
  <c r="K51" i="30"/>
  <c r="J51" i="30"/>
  <c r="F51" i="30"/>
  <c r="K50" i="30"/>
  <c r="J50" i="30"/>
  <c r="F50" i="30"/>
  <c r="K49" i="30"/>
  <c r="J49" i="30"/>
  <c r="F49" i="30"/>
  <c r="J48" i="30"/>
  <c r="K48" i="30"/>
  <c r="F48" i="30"/>
  <c r="K47" i="30"/>
  <c r="J47" i="30"/>
  <c r="F47" i="30"/>
  <c r="K46" i="30"/>
  <c r="J46" i="30"/>
  <c r="F46" i="30"/>
  <c r="K45" i="30"/>
  <c r="J45" i="30"/>
  <c r="F45" i="30"/>
  <c r="J44" i="30"/>
  <c r="K44" i="30"/>
  <c r="F44" i="30"/>
  <c r="K43" i="30"/>
  <c r="J43" i="30"/>
  <c r="F43" i="30"/>
  <c r="K42" i="30"/>
  <c r="J42" i="30"/>
  <c r="F42" i="30"/>
  <c r="K41" i="30"/>
  <c r="J41" i="30"/>
  <c r="F41" i="30"/>
  <c r="J40" i="30"/>
  <c r="K40" i="30"/>
  <c r="F40" i="30"/>
  <c r="K39" i="30"/>
  <c r="J39" i="30"/>
  <c r="F39" i="30"/>
  <c r="K38" i="30"/>
  <c r="J38" i="30"/>
  <c r="F38" i="30"/>
  <c r="K37" i="30"/>
  <c r="J37" i="30"/>
  <c r="F37" i="30"/>
  <c r="J36" i="30"/>
  <c r="K36" i="30"/>
  <c r="F36" i="30"/>
  <c r="K35" i="30"/>
  <c r="J35" i="30"/>
  <c r="F35" i="30"/>
  <c r="K34" i="30"/>
  <c r="J34" i="30"/>
  <c r="F34" i="30"/>
  <c r="K33" i="30"/>
  <c r="J33" i="30"/>
  <c r="F33" i="30"/>
  <c r="J32" i="30"/>
  <c r="K32" i="30"/>
  <c r="F32" i="30"/>
  <c r="K31" i="30"/>
  <c r="J31" i="30"/>
  <c r="F31" i="30"/>
  <c r="K30" i="30"/>
  <c r="J30" i="30"/>
  <c r="F30" i="30"/>
  <c r="K29" i="30"/>
  <c r="J29" i="30"/>
  <c r="F29" i="30"/>
  <c r="J28" i="30"/>
  <c r="K28" i="30"/>
  <c r="F28" i="30"/>
  <c r="K27" i="30"/>
  <c r="J27" i="30"/>
  <c r="F27" i="30"/>
  <c r="K26" i="30"/>
  <c r="J26" i="30"/>
  <c r="F26" i="30"/>
  <c r="K25" i="30"/>
  <c r="J25" i="30"/>
  <c r="F25" i="30"/>
  <c r="J24" i="30"/>
  <c r="K24" i="30"/>
  <c r="F24" i="30"/>
  <c r="K23" i="30"/>
  <c r="J23" i="30"/>
  <c r="F23" i="30"/>
  <c r="K22" i="30"/>
  <c r="J22" i="30"/>
  <c r="F22" i="30"/>
  <c r="K21" i="30"/>
  <c r="J21" i="30"/>
  <c r="F21" i="30"/>
  <c r="J20" i="30"/>
  <c r="K20" i="30"/>
  <c r="F20" i="30"/>
  <c r="K19" i="30"/>
  <c r="J19" i="30"/>
  <c r="F19" i="30"/>
  <c r="J18" i="30"/>
  <c r="K18" i="30"/>
  <c r="F18" i="30"/>
  <c r="K17" i="30"/>
  <c r="J17" i="30"/>
  <c r="F17" i="30"/>
  <c r="J16" i="30"/>
  <c r="K16" i="30"/>
  <c r="F16" i="30"/>
  <c r="K15" i="30"/>
  <c r="J15" i="30"/>
  <c r="F15" i="30"/>
  <c r="K14" i="30"/>
  <c r="J14" i="30"/>
  <c r="F14" i="30"/>
  <c r="K13" i="30"/>
  <c r="J13" i="30"/>
  <c r="F13" i="30"/>
  <c r="J12" i="30"/>
  <c r="K12" i="30"/>
  <c r="F12" i="30"/>
  <c r="K11" i="30"/>
  <c r="J11" i="30"/>
  <c r="F11" i="30"/>
  <c r="K10" i="30"/>
  <c r="J10" i="30"/>
  <c r="F10" i="30"/>
  <c r="K9" i="30"/>
  <c r="J9" i="30"/>
  <c r="F9" i="30"/>
  <c r="J8" i="30"/>
  <c r="K8" i="30"/>
  <c r="F8" i="30"/>
  <c r="K7" i="30"/>
  <c r="J7" i="30"/>
  <c r="F7" i="30"/>
  <c r="K6" i="30"/>
  <c r="J6" i="30"/>
  <c r="F6" i="30"/>
  <c r="J5" i="30"/>
  <c r="J66" i="30"/>
  <c r="F5" i="30"/>
  <c r="D2" i="30"/>
  <c r="Q50" i="30" s="1"/>
  <c r="R50" i="30" s="1"/>
  <c r="S62" i="29"/>
  <c r="Q62" i="29"/>
  <c r="O62" i="29"/>
  <c r="M62" i="29"/>
  <c r="K62" i="29"/>
  <c r="R60" i="29"/>
  <c r="P60" i="29"/>
  <c r="N60" i="29"/>
  <c r="L60" i="29"/>
  <c r="J60" i="29"/>
  <c r="N59" i="29"/>
  <c r="L59" i="29"/>
  <c r="J59" i="29"/>
  <c r="P58" i="29"/>
  <c r="N58" i="29"/>
  <c r="L58" i="29"/>
  <c r="J58" i="29"/>
  <c r="P57" i="29"/>
  <c r="N57" i="29"/>
  <c r="L57" i="29"/>
  <c r="J57" i="29"/>
  <c r="P56" i="29"/>
  <c r="N56" i="29"/>
  <c r="L56" i="29"/>
  <c r="J56" i="29"/>
  <c r="P55" i="29"/>
  <c r="N55" i="29"/>
  <c r="L55" i="29"/>
  <c r="J55" i="29"/>
  <c r="R54" i="29"/>
  <c r="P54" i="29"/>
  <c r="N54" i="29"/>
  <c r="L54" i="29"/>
  <c r="J54" i="29"/>
  <c r="P53" i="29"/>
  <c r="N53" i="29"/>
  <c r="L53" i="29"/>
  <c r="J53" i="29"/>
  <c r="R52" i="29"/>
  <c r="P52" i="29"/>
  <c r="N52" i="29"/>
  <c r="L52" i="29"/>
  <c r="J52" i="29"/>
  <c r="P51" i="29"/>
  <c r="N51" i="29"/>
  <c r="L51" i="29"/>
  <c r="J51" i="29"/>
  <c r="L50" i="29"/>
  <c r="J50" i="29"/>
  <c r="L49" i="29"/>
  <c r="J49" i="29"/>
  <c r="P48" i="29"/>
  <c r="N48" i="29"/>
  <c r="L48" i="29"/>
  <c r="J48" i="29"/>
  <c r="N47" i="29"/>
  <c r="L47" i="29"/>
  <c r="J47" i="29"/>
  <c r="P46" i="29"/>
  <c r="N46" i="29"/>
  <c r="L46" i="29"/>
  <c r="J46" i="29"/>
  <c r="P45" i="29"/>
  <c r="N45" i="29"/>
  <c r="L45" i="29"/>
  <c r="J45" i="29"/>
  <c r="N44" i="29"/>
  <c r="L44" i="29"/>
  <c r="J44" i="29"/>
  <c r="N43" i="29"/>
  <c r="L43" i="29"/>
  <c r="J43" i="29"/>
  <c r="J42" i="29"/>
  <c r="J41" i="29"/>
  <c r="J40" i="29"/>
  <c r="L39" i="29"/>
  <c r="J39" i="29"/>
  <c r="L38" i="29"/>
  <c r="J38" i="29"/>
  <c r="N37" i="29"/>
  <c r="L37" i="29"/>
  <c r="J37" i="29"/>
  <c r="L36" i="29"/>
  <c r="J36" i="29"/>
  <c r="N35" i="29"/>
  <c r="L35" i="29"/>
  <c r="J35" i="29"/>
  <c r="N34" i="29"/>
  <c r="L34" i="29"/>
  <c r="J34" i="29"/>
  <c r="N33" i="29"/>
  <c r="L33" i="29"/>
  <c r="J33" i="29"/>
  <c r="N32" i="29"/>
  <c r="L32" i="29"/>
  <c r="J32" i="29"/>
  <c r="J31" i="29"/>
  <c r="J30" i="29"/>
  <c r="J29" i="29"/>
  <c r="J28" i="29"/>
  <c r="N27" i="29"/>
  <c r="L27" i="29"/>
  <c r="J27" i="29"/>
  <c r="J26" i="29"/>
  <c r="J25" i="29"/>
  <c r="N24" i="29"/>
  <c r="L24" i="29"/>
  <c r="J24" i="29"/>
  <c r="J23" i="29"/>
  <c r="J22" i="29"/>
  <c r="J21" i="29"/>
  <c r="J20" i="29"/>
  <c r="J19" i="29"/>
  <c r="N18" i="29"/>
  <c r="L18" i="29"/>
  <c r="L62" i="29"/>
  <c r="J18" i="29"/>
  <c r="L17" i="29"/>
  <c r="J17" i="29"/>
  <c r="J16" i="29"/>
  <c r="L15" i="29"/>
  <c r="J15" i="29"/>
  <c r="L14" i="29"/>
  <c r="J14" i="29"/>
  <c r="J13" i="29"/>
  <c r="J12" i="29"/>
  <c r="J11" i="29"/>
  <c r="R10" i="29"/>
  <c r="R62" i="29"/>
  <c r="P10" i="29"/>
  <c r="P62" i="29"/>
  <c r="N10" i="29"/>
  <c r="N62" i="29"/>
  <c r="L10" i="29"/>
  <c r="J10" i="29"/>
  <c r="N9" i="29"/>
  <c r="L9" i="29"/>
  <c r="J9" i="29"/>
  <c r="J8" i="29"/>
  <c r="L7" i="29"/>
  <c r="J7" i="29"/>
  <c r="L6" i="29"/>
  <c r="J6" i="29"/>
  <c r="L5" i="29"/>
  <c r="J5" i="29"/>
  <c r="J4" i="29"/>
  <c r="J16" i="14"/>
  <c r="I37" i="17"/>
  <c r="L31" i="6"/>
  <c r="AM31" i="6"/>
  <c r="M19" i="8"/>
  <c r="H34" i="6"/>
  <c r="I114" i="15"/>
  <c r="J32" i="14"/>
  <c r="K474" i="53"/>
  <c r="U474" i="53"/>
  <c r="J47" i="14"/>
  <c r="K489" i="53"/>
  <c r="J41" i="14"/>
  <c r="K483" i="53"/>
  <c r="F18" i="114"/>
  <c r="H40" i="6"/>
  <c r="J7" i="14"/>
  <c r="J33" i="14"/>
  <c r="K475" i="53"/>
  <c r="J30" i="14"/>
  <c r="K472" i="53"/>
  <c r="J35" i="14"/>
  <c r="K477" i="53"/>
  <c r="J11" i="14"/>
  <c r="K447" i="53"/>
  <c r="J8" i="14"/>
  <c r="K450" i="53"/>
  <c r="J10" i="14"/>
  <c r="K452" i="53"/>
  <c r="J9" i="14"/>
  <c r="K451" i="53"/>
  <c r="J27" i="14"/>
  <c r="J46" i="14"/>
  <c r="K488" i="53"/>
  <c r="J37" i="14"/>
  <c r="K479" i="53"/>
  <c r="K5" i="14"/>
  <c r="R145" i="15"/>
  <c r="K66" i="30"/>
  <c r="Q62" i="30"/>
  <c r="R62" i="30" s="1"/>
  <c r="Q54" i="30"/>
  <c r="R54" i="30" s="1"/>
  <c r="Q46" i="30"/>
  <c r="R46" i="30" s="1"/>
  <c r="Q38" i="30"/>
  <c r="R38" i="30" s="1"/>
  <c r="S38" i="30" s="1"/>
  <c r="Q30" i="30"/>
  <c r="R30" i="30" s="1"/>
  <c r="Q22" i="30"/>
  <c r="R22" i="30" s="1"/>
  <c r="Q14" i="30"/>
  <c r="R14" i="30" s="1"/>
  <c r="Q6" i="30"/>
  <c r="R6" i="30" s="1"/>
  <c r="S6" i="30" s="1"/>
  <c r="Q31" i="30"/>
  <c r="T31" i="30" s="1"/>
  <c r="Q61" i="30"/>
  <c r="T61" i="30" s="1"/>
  <c r="Q53" i="30"/>
  <c r="T53" i="30" s="1"/>
  <c r="Q49" i="30"/>
  <c r="T49" i="30" s="1"/>
  <c r="U49" i="30" s="1"/>
  <c r="Q45" i="30"/>
  <c r="T45" i="30" s="1"/>
  <c r="Q37" i="30"/>
  <c r="T37" i="30" s="1"/>
  <c r="Q33" i="30"/>
  <c r="T33" i="30" s="1"/>
  <c r="Q29" i="30"/>
  <c r="T29" i="30" s="1"/>
  <c r="Q21" i="30"/>
  <c r="T21" i="30" s="1"/>
  <c r="Q17" i="30"/>
  <c r="T17" i="30" s="1"/>
  <c r="Q13" i="30"/>
  <c r="T13" i="30" s="1"/>
  <c r="Q5" i="30"/>
  <c r="R5" i="30" s="1"/>
  <c r="S5" i="30" s="1"/>
  <c r="Q11" i="30"/>
  <c r="R11" i="30" s="1"/>
  <c r="Q56" i="30"/>
  <c r="T56" i="30" s="1"/>
  <c r="Q52" i="30"/>
  <c r="T52" i="30" s="1"/>
  <c r="Q48" i="30"/>
  <c r="T48" i="30" s="1"/>
  <c r="Q40" i="30"/>
  <c r="T40" i="30" s="1"/>
  <c r="Q36" i="30"/>
  <c r="R36" i="30" s="1"/>
  <c r="Q32" i="30"/>
  <c r="T32" i="30" s="1"/>
  <c r="Q24" i="30"/>
  <c r="T24" i="30" s="1"/>
  <c r="Q20" i="30"/>
  <c r="T20" i="30" s="1"/>
  <c r="Q16" i="30"/>
  <c r="T16" i="30" s="1"/>
  <c r="Q8" i="30"/>
  <c r="T8" i="30" s="1"/>
  <c r="U8" i="30" s="1"/>
  <c r="Q59" i="30"/>
  <c r="R59" i="30" s="1"/>
  <c r="S59" i="30" s="1"/>
  <c r="Q47" i="30"/>
  <c r="T47" i="30" s="1"/>
  <c r="Q35" i="30"/>
  <c r="T35" i="30" s="1"/>
  <c r="Q27" i="30"/>
  <c r="T27" i="30" s="1"/>
  <c r="Q23" i="30"/>
  <c r="T23" i="30" s="1"/>
  <c r="U23" i="30" s="1"/>
  <c r="Q55" i="30"/>
  <c r="T55" i="30" s="1"/>
  <c r="Q51" i="30"/>
  <c r="R51" i="30" s="1"/>
  <c r="Q43" i="30"/>
  <c r="T43" i="30" s="1"/>
  <c r="Q15" i="30"/>
  <c r="T15" i="30" s="1"/>
  <c r="K16" i="14"/>
  <c r="J37" i="17"/>
  <c r="M31" i="6"/>
  <c r="F19" i="114"/>
  <c r="F36" i="114"/>
  <c r="F37" i="114"/>
  <c r="J114" i="15"/>
  <c r="L609" i="53"/>
  <c r="K15" i="14"/>
  <c r="G18" i="114"/>
  <c r="G19" i="114"/>
  <c r="G36" i="114"/>
  <c r="G37" i="114"/>
  <c r="H42" i="6"/>
  <c r="H104" i="6"/>
  <c r="H106" i="6"/>
  <c r="K609" i="53"/>
  <c r="I121" i="15"/>
  <c r="I7" i="18"/>
  <c r="K32" i="14"/>
  <c r="L474" i="53"/>
  <c r="V474" i="53"/>
  <c r="K11" i="14"/>
  <c r="J53" i="14"/>
  <c r="J54" i="14"/>
  <c r="K449" i="53"/>
  <c r="K454" i="53"/>
  <c r="AF475" i="53"/>
  <c r="J12" i="14"/>
  <c r="I10" i="15"/>
  <c r="L447" i="53"/>
  <c r="K30" i="14"/>
  <c r="L472" i="53"/>
  <c r="K37" i="14"/>
  <c r="L479" i="53"/>
  <c r="K10" i="14"/>
  <c r="L452" i="53"/>
  <c r="K35" i="14"/>
  <c r="L477" i="53"/>
  <c r="K33" i="14"/>
  <c r="L475" i="53"/>
  <c r="K8" i="14"/>
  <c r="L450" i="53"/>
  <c r="K7" i="14"/>
  <c r="K9" i="14"/>
  <c r="L451" i="53"/>
  <c r="K27" i="14"/>
  <c r="K41" i="14"/>
  <c r="L483" i="53"/>
  <c r="K47" i="14"/>
  <c r="L489" i="53"/>
  <c r="K46" i="14"/>
  <c r="L488" i="53"/>
  <c r="L5" i="14"/>
  <c r="U451" i="53"/>
  <c r="U475" i="53"/>
  <c r="U479" i="53"/>
  <c r="U452" i="53"/>
  <c r="U488" i="53"/>
  <c r="U450" i="53"/>
  <c r="U489" i="53"/>
  <c r="U477" i="53"/>
  <c r="U483" i="53"/>
  <c r="L6" i="6"/>
  <c r="U447" i="53"/>
  <c r="K469" i="53"/>
  <c r="U472" i="53"/>
  <c r="T11" i="30"/>
  <c r="U11" i="30" s="1"/>
  <c r="S11" i="30"/>
  <c r="T51" i="30"/>
  <c r="U51" i="30" s="1"/>
  <c r="S51" i="30"/>
  <c r="T59" i="30"/>
  <c r="U59" i="30" s="1"/>
  <c r="T36" i="30"/>
  <c r="U36" i="30"/>
  <c r="V36" i="30" s="1"/>
  <c r="S36" i="30"/>
  <c r="U37" i="30"/>
  <c r="X37" i="30" s="1"/>
  <c r="R37" i="30"/>
  <c r="S37" i="30" s="1"/>
  <c r="T6" i="30"/>
  <c r="U6" i="30" s="1"/>
  <c r="U47" i="30"/>
  <c r="R47" i="30"/>
  <c r="S47" i="30" s="1"/>
  <c r="U55" i="30"/>
  <c r="V55" i="30" s="1"/>
  <c r="R55" i="30"/>
  <c r="S55" i="30" s="1"/>
  <c r="R8" i="30"/>
  <c r="S8" i="30" s="1"/>
  <c r="U40" i="30"/>
  <c r="V40" i="30" s="1"/>
  <c r="R40" i="30"/>
  <c r="S40" i="30"/>
  <c r="U13" i="30"/>
  <c r="R13" i="30"/>
  <c r="S13" i="30" s="1"/>
  <c r="U45" i="30"/>
  <c r="X45" i="30" s="1"/>
  <c r="R45" i="30"/>
  <c r="S45" i="30" s="1"/>
  <c r="S14" i="30"/>
  <c r="T14" i="30"/>
  <c r="U14" i="30" s="1"/>
  <c r="S46" i="30"/>
  <c r="T46" i="30"/>
  <c r="U46" i="30"/>
  <c r="X46" i="30" s="1"/>
  <c r="U43" i="30"/>
  <c r="R43" i="30"/>
  <c r="S43" i="30" s="1"/>
  <c r="U31" i="30"/>
  <c r="V31" i="30" s="1"/>
  <c r="R31" i="30"/>
  <c r="S31" i="30" s="1"/>
  <c r="R23" i="30"/>
  <c r="S23" i="30" s="1"/>
  <c r="U16" i="30"/>
  <c r="R16" i="30"/>
  <c r="S16" i="30"/>
  <c r="U48" i="30"/>
  <c r="R48" i="30"/>
  <c r="S48" i="30" s="1"/>
  <c r="U17" i="30"/>
  <c r="X17" i="30" s="1"/>
  <c r="R17" i="30"/>
  <c r="S17" i="30" s="1"/>
  <c r="R49" i="30"/>
  <c r="S49" i="30" s="1"/>
  <c r="S50" i="30"/>
  <c r="T50" i="30"/>
  <c r="U50" i="30" s="1"/>
  <c r="U27" i="30"/>
  <c r="V27" i="30" s="1"/>
  <c r="R27" i="30"/>
  <c r="S27" i="30" s="1"/>
  <c r="U20" i="30"/>
  <c r="V20" i="30" s="1"/>
  <c r="R20" i="30"/>
  <c r="S20" i="30" s="1"/>
  <c r="U52" i="30"/>
  <c r="R52" i="30"/>
  <c r="S52" i="30"/>
  <c r="U21" i="30"/>
  <c r="R21" i="30"/>
  <c r="S21" i="30" s="1"/>
  <c r="U53" i="30"/>
  <c r="X53" i="30" s="1"/>
  <c r="R53" i="30"/>
  <c r="S53" i="30" s="1"/>
  <c r="S22" i="30"/>
  <c r="T22" i="30"/>
  <c r="U22" i="30" s="1"/>
  <c r="S54" i="30"/>
  <c r="T54" i="30"/>
  <c r="U54" i="30"/>
  <c r="V54" i="30" s="1"/>
  <c r="U32" i="30"/>
  <c r="R32" i="30"/>
  <c r="S32" i="30" s="1"/>
  <c r="U15" i="30"/>
  <c r="V15" i="30" s="1"/>
  <c r="R15" i="30"/>
  <c r="S15" i="30" s="1"/>
  <c r="U35" i="30"/>
  <c r="R35" i="30"/>
  <c r="S35" i="30" s="1"/>
  <c r="U24" i="30"/>
  <c r="R24" i="30"/>
  <c r="S24" i="30"/>
  <c r="U56" i="30"/>
  <c r="R56" i="30"/>
  <c r="S56" i="30" s="1"/>
  <c r="U33" i="30"/>
  <c r="V33" i="30" s="1"/>
  <c r="R33" i="30"/>
  <c r="S33" i="30" s="1"/>
  <c r="U29" i="30"/>
  <c r="V29" i="30" s="1"/>
  <c r="R29" i="30"/>
  <c r="S29" i="30" s="1"/>
  <c r="U61" i="30"/>
  <c r="R61" i="30"/>
  <c r="S61" i="30"/>
  <c r="S30" i="30"/>
  <c r="T30" i="30"/>
  <c r="U30" i="30" s="1"/>
  <c r="S62" i="30"/>
  <c r="T62" i="30"/>
  <c r="U62" i="30" s="1"/>
  <c r="L16" i="14"/>
  <c r="K37" i="17"/>
  <c r="N31" i="6"/>
  <c r="S31" i="6"/>
  <c r="H30" i="7"/>
  <c r="G30" i="7"/>
  <c r="I76" i="15"/>
  <c r="K571" i="53"/>
  <c r="I68" i="15"/>
  <c r="K563" i="53"/>
  <c r="I53" i="15"/>
  <c r="K548" i="53"/>
  <c r="U548" i="53"/>
  <c r="J121" i="15"/>
  <c r="I6" i="17"/>
  <c r="I31" i="15"/>
  <c r="K526" i="53"/>
  <c r="I30" i="15"/>
  <c r="K525" i="53"/>
  <c r="I20" i="15"/>
  <c r="K515" i="53"/>
  <c r="I26" i="15"/>
  <c r="K521" i="53"/>
  <c r="K505" i="53"/>
  <c r="I48" i="15"/>
  <c r="K543" i="53"/>
  <c r="U543" i="53"/>
  <c r="I47" i="15"/>
  <c r="K542" i="53"/>
  <c r="I40" i="15"/>
  <c r="K114" i="15"/>
  <c r="K121" i="15"/>
  <c r="L15" i="14"/>
  <c r="H18" i="114"/>
  <c r="H19" i="114"/>
  <c r="H36" i="114"/>
  <c r="H37" i="114"/>
  <c r="U609" i="53"/>
  <c r="L22" i="6"/>
  <c r="V609" i="53"/>
  <c r="M22" i="6"/>
  <c r="I147" i="15"/>
  <c r="K676" i="53"/>
  <c r="I21" i="18"/>
  <c r="I53" i="18"/>
  <c r="J7" i="18"/>
  <c r="L32" i="14"/>
  <c r="M474" i="53"/>
  <c r="W474" i="53"/>
  <c r="L8" i="6"/>
  <c r="I12" i="15"/>
  <c r="K507" i="53"/>
  <c r="I15" i="15"/>
  <c r="K510" i="53"/>
  <c r="I52" i="15"/>
  <c r="K547" i="53"/>
  <c r="U547" i="53"/>
  <c r="I5" i="15"/>
  <c r="U449" i="53"/>
  <c r="L11" i="14"/>
  <c r="L449" i="53"/>
  <c r="V449" i="53"/>
  <c r="K12" i="14"/>
  <c r="K53" i="14"/>
  <c r="K54" i="14"/>
  <c r="AM6" i="6"/>
  <c r="AF450" i="53"/>
  <c r="V450" i="53"/>
  <c r="AF449" i="53"/>
  <c r="AF468" i="53"/>
  <c r="AF559" i="53"/>
  <c r="AF751" i="53"/>
  <c r="AF464" i="53"/>
  <c r="AF566" i="53"/>
  <c r="AF690" i="53"/>
  <c r="AF485" i="53"/>
  <c r="AF605" i="53"/>
  <c r="AF755" i="53"/>
  <c r="AF573" i="53"/>
  <c r="AF466" i="53"/>
  <c r="AF671" i="53"/>
  <c r="AF669" i="53"/>
  <c r="AF540" i="53"/>
  <c r="AF474" i="53"/>
  <c r="AF742" i="53"/>
  <c r="AF551" i="53"/>
  <c r="AF554" i="53"/>
  <c r="AF688" i="53"/>
  <c r="AF680" i="53"/>
  <c r="AF695" i="53"/>
  <c r="AF541" i="53"/>
  <c r="AF753" i="53"/>
  <c r="AF591" i="53"/>
  <c r="AF721" i="53"/>
  <c r="AF564" i="53"/>
  <c r="AF640" i="53"/>
  <c r="AF536" i="53"/>
  <c r="AF647" i="53"/>
  <c r="AF480" i="53"/>
  <c r="AF463" i="53"/>
  <c r="AF527" i="53"/>
  <c r="AF685" i="53"/>
  <c r="AF636" i="53"/>
  <c r="AF585" i="53"/>
  <c r="AF580" i="53"/>
  <c r="AF645" i="53"/>
  <c r="AF646" i="53"/>
  <c r="AF644" i="53"/>
  <c r="AF672" i="53"/>
  <c r="AF577" i="53"/>
  <c r="AF733" i="53"/>
  <c r="AF662" i="53"/>
  <c r="AF593" i="53"/>
  <c r="AF660" i="53"/>
  <c r="AF582" i="53"/>
  <c r="AF586" i="53"/>
  <c r="AF678" i="53"/>
  <c r="AF588" i="53"/>
  <c r="AF664" i="53"/>
  <c r="AF579" i="53"/>
  <c r="AF727" i="53"/>
  <c r="AF544" i="53"/>
  <c r="AF594" i="53"/>
  <c r="AF545" i="53"/>
  <c r="AF569" i="53"/>
  <c r="AF570" i="53"/>
  <c r="AF614" i="53"/>
  <c r="AF583" i="53"/>
  <c r="AF476" i="53"/>
  <c r="AF448" i="53"/>
  <c r="AF689" i="53"/>
  <c r="AF553" i="53"/>
  <c r="AF493" i="53"/>
  <c r="AF696" i="53"/>
  <c r="AF683" i="53"/>
  <c r="AF661" i="53"/>
  <c r="AF562" i="53"/>
  <c r="AF595" i="53"/>
  <c r="AF641" i="53"/>
  <c r="AF651" i="53"/>
  <c r="AF484" i="53"/>
  <c r="AF581" i="53"/>
  <c r="AF611" i="53"/>
  <c r="AF578" i="53"/>
  <c r="AF612" i="53"/>
  <c r="AF691" i="53"/>
  <c r="AF681" i="53"/>
  <c r="AF756" i="53"/>
  <c r="AF639" i="53"/>
  <c r="AF556" i="53"/>
  <c r="AF752" i="53"/>
  <c r="AF546" i="53"/>
  <c r="AF481" i="53"/>
  <c r="AF537" i="53"/>
  <c r="AF726" i="53"/>
  <c r="AF722" i="53"/>
  <c r="AF607" i="53"/>
  <c r="AF693" i="53"/>
  <c r="AF492" i="53"/>
  <c r="AF565" i="53"/>
  <c r="AF697" i="53"/>
  <c r="AF723" i="53"/>
  <c r="AF712" i="53"/>
  <c r="AF590" i="53"/>
  <c r="AF679" i="53"/>
  <c r="AF461" i="53"/>
  <c r="AF478" i="53"/>
  <c r="AF609" i="53"/>
  <c r="AF649" i="53"/>
  <c r="AF694" i="53"/>
  <c r="AF538" i="53"/>
  <c r="AF615" i="53"/>
  <c r="AF667" i="53"/>
  <c r="AF730" i="53"/>
  <c r="AF725" i="53"/>
  <c r="AF584" i="53"/>
  <c r="AF490" i="53"/>
  <c r="AF666" i="53"/>
  <c r="AF465" i="53"/>
  <c r="AF610" i="53"/>
  <c r="AF604" i="53"/>
  <c r="AF670" i="53"/>
  <c r="AF724" i="53"/>
  <c r="AF754" i="53"/>
  <c r="AF642" i="53"/>
  <c r="AF572" i="53"/>
  <c r="AF491" i="53"/>
  <c r="AF729" i="53"/>
  <c r="AF682" i="53"/>
  <c r="AF482" i="53"/>
  <c r="AF659" i="53"/>
  <c r="AF589" i="53"/>
  <c r="AF462" i="53"/>
  <c r="AF567" i="53"/>
  <c r="AF745" i="53"/>
  <c r="AF592" i="53"/>
  <c r="AF486" i="53"/>
  <c r="AF674" i="53"/>
  <c r="AF665" i="53"/>
  <c r="AF473" i="53"/>
  <c r="AF656" i="53"/>
  <c r="AF576" i="53"/>
  <c r="AF568" i="53"/>
  <c r="AF560" i="53"/>
  <c r="AF711" i="53"/>
  <c r="AF561" i="53"/>
  <c r="AF706" i="53"/>
  <c r="AF487" i="53"/>
  <c r="AF713" i="53"/>
  <c r="AF606" i="53"/>
  <c r="AF638" i="53"/>
  <c r="AF613" i="53"/>
  <c r="AF668" i="53"/>
  <c r="AF608" i="53"/>
  <c r="AF663" i="53"/>
  <c r="AF470" i="53"/>
  <c r="AF555" i="53"/>
  <c r="AF714" i="53"/>
  <c r="AF587" i="53"/>
  <c r="AF596" i="53"/>
  <c r="AF539" i="53"/>
  <c r="AF643" i="53"/>
  <c r="AF648" i="53"/>
  <c r="AF677" i="53"/>
  <c r="AF692" i="53"/>
  <c r="AF635" i="53"/>
  <c r="AF728" i="53"/>
  <c r="AF743" i="53"/>
  <c r="AF471" i="53"/>
  <c r="V475" i="53"/>
  <c r="AF472" i="53"/>
  <c r="AF483" i="53"/>
  <c r="AF488" i="53"/>
  <c r="I21" i="15"/>
  <c r="K516" i="53"/>
  <c r="I11" i="15"/>
  <c r="K506" i="53"/>
  <c r="I17" i="15"/>
  <c r="K512" i="53"/>
  <c r="I55" i="15"/>
  <c r="K550" i="53"/>
  <c r="I8" i="15"/>
  <c r="K503" i="53"/>
  <c r="I13" i="15"/>
  <c r="K508" i="53"/>
  <c r="I9" i="15"/>
  <c r="K504" i="53"/>
  <c r="I57" i="15"/>
  <c r="K552" i="53"/>
  <c r="K684" i="53"/>
  <c r="I29" i="15"/>
  <c r="K524" i="53"/>
  <c r="I7" i="15"/>
  <c r="K502" i="53"/>
  <c r="I23" i="15"/>
  <c r="K518" i="53"/>
  <c r="I16" i="15"/>
  <c r="K511" i="53"/>
  <c r="I24" i="15"/>
  <c r="K519" i="53"/>
  <c r="I62" i="15"/>
  <c r="K557" i="53"/>
  <c r="I28" i="15"/>
  <c r="K523" i="53"/>
  <c r="I6" i="15"/>
  <c r="K501" i="53"/>
  <c r="I63" i="15"/>
  <c r="K558" i="53"/>
  <c r="I14" i="15"/>
  <c r="K509" i="53"/>
  <c r="I54" i="15"/>
  <c r="K549" i="53"/>
  <c r="I25" i="15"/>
  <c r="K520" i="53"/>
  <c r="I144" i="15"/>
  <c r="I18" i="15"/>
  <c r="K513" i="53"/>
  <c r="I27" i="15"/>
  <c r="K522" i="53"/>
  <c r="I22" i="15"/>
  <c r="K517" i="53"/>
  <c r="I146" i="15"/>
  <c r="K675" i="53"/>
  <c r="I19" i="15"/>
  <c r="K514" i="53"/>
  <c r="V488" i="53"/>
  <c r="V477" i="53"/>
  <c r="AF451" i="53"/>
  <c r="V489" i="53"/>
  <c r="V452" i="53"/>
  <c r="AF477" i="53"/>
  <c r="AF452" i="53"/>
  <c r="V483" i="53"/>
  <c r="V479" i="53"/>
  <c r="U469" i="53"/>
  <c r="K495" i="53"/>
  <c r="K496" i="53"/>
  <c r="L10" i="6"/>
  <c r="AF469" i="53"/>
  <c r="M447" i="53"/>
  <c r="N6" i="6"/>
  <c r="L9" i="14"/>
  <c r="M451" i="53"/>
  <c r="L8" i="14"/>
  <c r="M450" i="53"/>
  <c r="L27" i="14"/>
  <c r="L41" i="14"/>
  <c r="M483" i="53"/>
  <c r="W483" i="53"/>
  <c r="L35" i="14"/>
  <c r="M477" i="53"/>
  <c r="L7" i="14"/>
  <c r="L33" i="14"/>
  <c r="M475" i="53"/>
  <c r="L47" i="14"/>
  <c r="M489" i="53"/>
  <c r="L30" i="14"/>
  <c r="M472" i="53"/>
  <c r="L46" i="14"/>
  <c r="M488" i="53"/>
  <c r="L10" i="14"/>
  <c r="M452" i="53"/>
  <c r="W452" i="53"/>
  <c r="L37" i="14"/>
  <c r="M479" i="53"/>
  <c r="W479" i="53"/>
  <c r="L469" i="53"/>
  <c r="V472" i="53"/>
  <c r="AF447" i="53"/>
  <c r="AF489" i="53"/>
  <c r="AF479" i="53"/>
  <c r="M5" i="14"/>
  <c r="V451" i="53"/>
  <c r="M6" i="6"/>
  <c r="E41" i="16"/>
  <c r="V447" i="53"/>
  <c r="V16" i="30"/>
  <c r="X16" i="30"/>
  <c r="X40" i="30"/>
  <c r="V46" i="30"/>
  <c r="X29" i="30"/>
  <c r="V35" i="30"/>
  <c r="X35" i="30"/>
  <c r="X20" i="30"/>
  <c r="V52" i="30"/>
  <c r="X52" i="30"/>
  <c r="V61" i="30"/>
  <c r="X61" i="30"/>
  <c r="V53" i="30"/>
  <c r="V17" i="30"/>
  <c r="V45" i="30"/>
  <c r="V37" i="30"/>
  <c r="V24" i="30"/>
  <c r="X24" i="30"/>
  <c r="V56" i="30"/>
  <c r="X56" i="30"/>
  <c r="V32" i="30"/>
  <c r="X32" i="30"/>
  <c r="V21" i="30"/>
  <c r="X21" i="30"/>
  <c r="V48" i="30"/>
  <c r="X48" i="30"/>
  <c r="V43" i="30"/>
  <c r="X43" i="30"/>
  <c r="V13" i="30"/>
  <c r="X13" i="30"/>
  <c r="V47" i="30"/>
  <c r="X47" i="30"/>
  <c r="L454" i="53"/>
  <c r="AG450" i="53"/>
  <c r="M16" i="14"/>
  <c r="L37" i="17"/>
  <c r="O31" i="6"/>
  <c r="I55" i="18"/>
  <c r="I144" i="18"/>
  <c r="K719" i="53"/>
  <c r="M8" i="6"/>
  <c r="K32" i="7"/>
  <c r="AK32" i="7"/>
  <c r="AM10" i="6"/>
  <c r="AM22" i="6"/>
  <c r="H45" i="16"/>
  <c r="AM8" i="6"/>
  <c r="AF543" i="53"/>
  <c r="J31" i="15"/>
  <c r="L526" i="53"/>
  <c r="J30" i="15"/>
  <c r="L525" i="53"/>
  <c r="J48" i="15"/>
  <c r="L543" i="53"/>
  <c r="V543" i="53"/>
  <c r="J40" i="15"/>
  <c r="L114" i="15"/>
  <c r="N609" i="53"/>
  <c r="M15" i="14"/>
  <c r="I18" i="114"/>
  <c r="I19" i="114"/>
  <c r="I36" i="114"/>
  <c r="I37" i="114"/>
  <c r="M609" i="53"/>
  <c r="W609" i="53"/>
  <c r="J20" i="15"/>
  <c r="L515" i="53"/>
  <c r="M32" i="14"/>
  <c r="N474" i="53"/>
  <c r="X474" i="53"/>
  <c r="K7" i="18"/>
  <c r="J21" i="18"/>
  <c r="AF547" i="53"/>
  <c r="AF548" i="53"/>
  <c r="J53" i="15"/>
  <c r="L548" i="53"/>
  <c r="V548" i="53"/>
  <c r="J15" i="15"/>
  <c r="L510" i="53"/>
  <c r="J10" i="15"/>
  <c r="L505" i="53"/>
  <c r="J52" i="15"/>
  <c r="L547" i="53"/>
  <c r="V547" i="53"/>
  <c r="J76" i="15"/>
  <c r="L571" i="53"/>
  <c r="J12" i="15"/>
  <c r="L507" i="53"/>
  <c r="I39" i="15"/>
  <c r="I173" i="15"/>
  <c r="I172" i="15"/>
  <c r="M11" i="14"/>
  <c r="M449" i="53"/>
  <c r="W449" i="53"/>
  <c r="L12" i="14"/>
  <c r="L53" i="14"/>
  <c r="L54" i="14"/>
  <c r="J6" i="17"/>
  <c r="AG472" i="53"/>
  <c r="U512" i="53"/>
  <c r="AF512" i="53"/>
  <c r="W472" i="53"/>
  <c r="W451" i="53"/>
  <c r="AF514" i="53"/>
  <c r="U514" i="53"/>
  <c r="K673" i="53"/>
  <c r="U557" i="53"/>
  <c r="AF557" i="53"/>
  <c r="U524" i="53"/>
  <c r="AF524" i="53"/>
  <c r="K14" i="14"/>
  <c r="L456" i="53"/>
  <c r="K458" i="53"/>
  <c r="K73" i="53"/>
  <c r="U73" i="53"/>
  <c r="U506" i="53"/>
  <c r="AF506" i="53"/>
  <c r="U508" i="53"/>
  <c r="AF508" i="53"/>
  <c r="W489" i="53"/>
  <c r="W447" i="53"/>
  <c r="AF515" i="53"/>
  <c r="U515" i="53"/>
  <c r="U520" i="53"/>
  <c r="AF520" i="53"/>
  <c r="AF519" i="53"/>
  <c r="U519" i="53"/>
  <c r="U684" i="53"/>
  <c r="AF684" i="53"/>
  <c r="AF525" i="53"/>
  <c r="U525" i="53"/>
  <c r="U516" i="53"/>
  <c r="AF516" i="53"/>
  <c r="W450" i="53"/>
  <c r="U521" i="53"/>
  <c r="AF521" i="53"/>
  <c r="M10" i="6"/>
  <c r="L495" i="53"/>
  <c r="L496" i="53"/>
  <c r="V469" i="53"/>
  <c r="W475" i="53"/>
  <c r="U507" i="53"/>
  <c r="AF507" i="53"/>
  <c r="U549" i="53"/>
  <c r="AF549" i="53"/>
  <c r="U511" i="53"/>
  <c r="AF511" i="53"/>
  <c r="AF552" i="53"/>
  <c r="U552" i="53"/>
  <c r="K13" i="14"/>
  <c r="K457" i="53"/>
  <c r="L7" i="6"/>
  <c r="J17" i="14"/>
  <c r="J55" i="14"/>
  <c r="J56" i="14"/>
  <c r="L684" i="53"/>
  <c r="J23" i="15"/>
  <c r="L518" i="53"/>
  <c r="J7" i="15"/>
  <c r="L502" i="53"/>
  <c r="J26" i="15"/>
  <c r="L521" i="53"/>
  <c r="J63" i="15"/>
  <c r="L558" i="53"/>
  <c r="J11" i="15"/>
  <c r="L506" i="53"/>
  <c r="J14" i="15"/>
  <c r="L509" i="53"/>
  <c r="J57" i="15"/>
  <c r="L552" i="53"/>
  <c r="J68" i="15"/>
  <c r="L563" i="53"/>
  <c r="J19" i="15"/>
  <c r="L514" i="53"/>
  <c r="J47" i="15"/>
  <c r="L542" i="53"/>
  <c r="J9" i="15"/>
  <c r="L504" i="53"/>
  <c r="J6" i="15"/>
  <c r="L501" i="53"/>
  <c r="J55" i="15"/>
  <c r="L550" i="53"/>
  <c r="L580" i="53"/>
  <c r="J29" i="15"/>
  <c r="L524" i="53"/>
  <c r="J54" i="15"/>
  <c r="L549" i="53"/>
  <c r="J25" i="15"/>
  <c r="L520" i="53"/>
  <c r="J62" i="15"/>
  <c r="L557" i="53"/>
  <c r="J13" i="15"/>
  <c r="L508" i="53"/>
  <c r="J22" i="15"/>
  <c r="L517" i="53"/>
  <c r="J144" i="15"/>
  <c r="J147" i="15"/>
  <c r="L676" i="53"/>
  <c r="J5" i="15"/>
  <c r="J146" i="15"/>
  <c r="L675" i="53"/>
  <c r="J16" i="15"/>
  <c r="L511" i="53"/>
  <c r="J27" i="15"/>
  <c r="L522" i="53"/>
  <c r="J21" i="15"/>
  <c r="L516" i="53"/>
  <c r="J18" i="15"/>
  <c r="L513" i="53"/>
  <c r="J8" i="15"/>
  <c r="L503" i="53"/>
  <c r="J28" i="15"/>
  <c r="L523" i="53"/>
  <c r="J24" i="15"/>
  <c r="L519" i="53"/>
  <c r="J17" i="15"/>
  <c r="L512" i="53"/>
  <c r="W488" i="53"/>
  <c r="U502" i="53"/>
  <c r="AF502" i="53"/>
  <c r="U509" i="53"/>
  <c r="AF509" i="53"/>
  <c r="U503" i="53"/>
  <c r="AF503" i="53"/>
  <c r="U505" i="53"/>
  <c r="AF505" i="53"/>
  <c r="N5" i="14"/>
  <c r="S64" i="14"/>
  <c r="W477" i="53"/>
  <c r="AG477" i="53"/>
  <c r="AF517" i="53"/>
  <c r="U517" i="53"/>
  <c r="U558" i="53"/>
  <c r="AF558" i="53"/>
  <c r="U571" i="53"/>
  <c r="AF571" i="53"/>
  <c r="AF504" i="53"/>
  <c r="U504" i="53"/>
  <c r="U526" i="53"/>
  <c r="AF526" i="53"/>
  <c r="M35" i="14"/>
  <c r="N477" i="53"/>
  <c r="M47" i="14"/>
  <c r="N489" i="53"/>
  <c r="M8" i="14"/>
  <c r="N450" i="53"/>
  <c r="M10" i="14"/>
  <c r="N452" i="53"/>
  <c r="M46" i="14"/>
  <c r="N488" i="53"/>
  <c r="M7" i="14"/>
  <c r="N447" i="53"/>
  <c r="M30" i="14"/>
  <c r="N472" i="53"/>
  <c r="M33" i="14"/>
  <c r="N475" i="53"/>
  <c r="M37" i="14"/>
  <c r="N479" i="53"/>
  <c r="M41" i="14"/>
  <c r="N483" i="53"/>
  <c r="M9" i="14"/>
  <c r="N451" i="53"/>
  <c r="M27" i="14"/>
  <c r="U675" i="53"/>
  <c r="AF675" i="53"/>
  <c r="U522" i="53"/>
  <c r="AF522" i="53"/>
  <c r="U501" i="53"/>
  <c r="AF501" i="53"/>
  <c r="U518" i="53"/>
  <c r="AF518" i="53"/>
  <c r="K500" i="53"/>
  <c r="K535" i="53"/>
  <c r="U563" i="53"/>
  <c r="AF563" i="53"/>
  <c r="AF510" i="53"/>
  <c r="U510" i="53"/>
  <c r="AG587" i="53"/>
  <c r="AG555" i="53"/>
  <c r="AG576" i="53"/>
  <c r="AG694" i="53"/>
  <c r="AG682" i="53"/>
  <c r="AG670" i="53"/>
  <c r="AG593" i="53"/>
  <c r="AG665" i="53"/>
  <c r="AG605" i="53"/>
  <c r="AG663" i="53"/>
  <c r="AG493" i="53"/>
  <c r="AG659" i="53"/>
  <c r="AG693" i="53"/>
  <c r="AG666" i="53"/>
  <c r="AG727" i="53"/>
  <c r="AG614" i="53"/>
  <c r="AG579" i="53"/>
  <c r="AG540" i="53"/>
  <c r="AG714" i="53"/>
  <c r="AG647" i="53"/>
  <c r="AG752" i="53"/>
  <c r="AG646" i="53"/>
  <c r="AG544" i="53"/>
  <c r="AG672" i="53"/>
  <c r="AG692" i="53"/>
  <c r="AG638" i="53"/>
  <c r="AG604" i="53"/>
  <c r="AG696" i="53"/>
  <c r="AG556" i="53"/>
  <c r="AG724" i="53"/>
  <c r="AG689" i="53"/>
  <c r="AG536" i="53"/>
  <c r="AG671" i="53"/>
  <c r="AG481" i="53"/>
  <c r="AG590" i="53"/>
  <c r="AG725" i="53"/>
  <c r="AG470" i="53"/>
  <c r="AG485" i="53"/>
  <c r="AG567" i="53"/>
  <c r="AG480" i="53"/>
  <c r="AG644" i="53"/>
  <c r="AG492" i="53"/>
  <c r="AG561" i="53"/>
  <c r="AG565" i="53"/>
  <c r="AG742" i="53"/>
  <c r="AG577" i="53"/>
  <c r="AG545" i="53"/>
  <c r="AG553" i="53"/>
  <c r="AG641" i="53"/>
  <c r="AG685" i="53"/>
  <c r="AG679" i="53"/>
  <c r="AG729" i="53"/>
  <c r="AG648" i="53"/>
  <c r="AG690" i="53"/>
  <c r="AG588" i="53"/>
  <c r="AG468" i="53"/>
  <c r="AG674" i="53"/>
  <c r="AG651" i="53"/>
  <c r="AG581" i="53"/>
  <c r="AG486" i="53"/>
  <c r="AG569" i="53"/>
  <c r="AG564" i="53"/>
  <c r="AG645" i="53"/>
  <c r="AG661" i="53"/>
  <c r="AG609" i="53"/>
  <c r="AG677" i="53"/>
  <c r="AG756" i="53"/>
  <c r="AG487" i="53"/>
  <c r="AG681" i="53"/>
  <c r="AG573" i="53"/>
  <c r="AG635" i="53"/>
  <c r="AG572" i="53"/>
  <c r="AG463" i="53"/>
  <c r="AG680" i="53"/>
  <c r="AG462" i="53"/>
  <c r="AG649" i="53"/>
  <c r="AG728" i="53"/>
  <c r="AG683" i="53"/>
  <c r="AG639" i="53"/>
  <c r="AG570" i="53"/>
  <c r="AG615" i="53"/>
  <c r="AG464" i="53"/>
  <c r="AG753" i="53"/>
  <c r="AG660" i="53"/>
  <c r="AG667" i="53"/>
  <c r="AG640" i="53"/>
  <c r="AG711" i="53"/>
  <c r="AG722" i="53"/>
  <c r="AG539" i="53"/>
  <c r="AG678" i="53"/>
  <c r="AG755" i="53"/>
  <c r="AG613" i="53"/>
  <c r="AG465" i="53"/>
  <c r="AG669" i="53"/>
  <c r="AG610" i="53"/>
  <c r="AG537" i="53"/>
  <c r="AG568" i="53"/>
  <c r="AG688" i="53"/>
  <c r="AG490" i="53"/>
  <c r="AG664" i="53"/>
  <c r="AG706" i="53"/>
  <c r="AG586" i="53"/>
  <c r="AG668" i="53"/>
  <c r="AG721" i="53"/>
  <c r="AG730" i="53"/>
  <c r="AG562" i="53"/>
  <c r="AG491" i="53"/>
  <c r="AG474" i="53"/>
  <c r="AG484" i="53"/>
  <c r="AG482" i="53"/>
  <c r="AG726" i="53"/>
  <c r="AG723" i="53"/>
  <c r="AG538" i="53"/>
  <c r="AG589" i="53"/>
  <c r="AG584" i="53"/>
  <c r="AG448" i="53"/>
  <c r="AG612" i="53"/>
  <c r="AG478" i="53"/>
  <c r="AG595" i="53"/>
  <c r="AG546" i="53"/>
  <c r="AG608" i="53"/>
  <c r="AG636" i="53"/>
  <c r="AG662" i="53"/>
  <c r="AG745" i="53"/>
  <c r="AG594" i="53"/>
  <c r="AG606" i="53"/>
  <c r="AG643" i="53"/>
  <c r="AG566" i="53"/>
  <c r="AG733" i="53"/>
  <c r="AG751" i="53"/>
  <c r="AG583" i="53"/>
  <c r="AG607" i="53"/>
  <c r="AG471" i="53"/>
  <c r="AG697" i="53"/>
  <c r="AG592" i="53"/>
  <c r="AG551" i="53"/>
  <c r="AG476" i="53"/>
  <c r="AG712" i="53"/>
  <c r="AG461" i="53"/>
  <c r="AG754" i="53"/>
  <c r="AG559" i="53"/>
  <c r="AG713" i="53"/>
  <c r="AG591" i="53"/>
  <c r="AG554" i="53"/>
  <c r="AG691" i="53"/>
  <c r="AG582" i="53"/>
  <c r="AG743" i="53"/>
  <c r="AG585" i="53"/>
  <c r="AG695" i="53"/>
  <c r="AG473" i="53"/>
  <c r="AG578" i="53"/>
  <c r="AG596" i="53"/>
  <c r="AG466" i="53"/>
  <c r="AG560" i="53"/>
  <c r="AG527" i="53"/>
  <c r="AG642" i="53"/>
  <c r="AG611" i="53"/>
  <c r="M469" i="53"/>
  <c r="AG479" i="53"/>
  <c r="AG452" i="53"/>
  <c r="AG488" i="53"/>
  <c r="U513" i="53"/>
  <c r="AF513" i="53"/>
  <c r="U523" i="53"/>
  <c r="AF523" i="53"/>
  <c r="AF676" i="53"/>
  <c r="U676" i="53"/>
  <c r="AF542" i="53"/>
  <c r="U542" i="53"/>
  <c r="U550" i="53"/>
  <c r="AF550" i="53"/>
  <c r="V18" i="23"/>
  <c r="V24" i="23"/>
  <c r="V23" i="23"/>
  <c r="T18" i="23"/>
  <c r="S18" i="23"/>
  <c r="V17" i="23"/>
  <c r="V15" i="23"/>
  <c r="V14" i="23"/>
  <c r="V13" i="23"/>
  <c r="Q12" i="23"/>
  <c r="V12" i="23"/>
  <c r="P12" i="23"/>
  <c r="V11" i="23"/>
  <c r="U10" i="23"/>
  <c r="U18" i="23"/>
  <c r="T10" i="23"/>
  <c r="S10" i="23"/>
  <c r="R10" i="23"/>
  <c r="Q10" i="23"/>
  <c r="V10" i="23"/>
  <c r="V9" i="23"/>
  <c r="V8" i="23"/>
  <c r="V7" i="23"/>
  <c r="V6" i="23"/>
  <c r="V5" i="23"/>
  <c r="S5" i="23"/>
  <c r="R5" i="23"/>
  <c r="R18" i="23"/>
  <c r="Q5" i="23"/>
  <c r="Q18" i="23"/>
  <c r="P5" i="23"/>
  <c r="O5" i="23"/>
  <c r="M5" i="23"/>
  <c r="V4" i="23"/>
  <c r="F4" i="23"/>
  <c r="M3" i="23"/>
  <c r="L3" i="23"/>
  <c r="K3" i="23"/>
  <c r="AG451" i="53"/>
  <c r="AG541" i="53"/>
  <c r="AG449" i="53"/>
  <c r="AG469" i="53"/>
  <c r="AG475" i="53"/>
  <c r="AG489" i="53"/>
  <c r="AG447" i="53"/>
  <c r="AG483" i="53"/>
  <c r="N16" i="14"/>
  <c r="M37" i="17"/>
  <c r="P31" i="6"/>
  <c r="R31" i="6"/>
  <c r="AG543" i="53"/>
  <c r="N22" i="6"/>
  <c r="K48" i="15"/>
  <c r="M543" i="53"/>
  <c r="W543" i="53"/>
  <c r="K30" i="15"/>
  <c r="M525" i="53"/>
  <c r="K31" i="15"/>
  <c r="I31" i="8"/>
  <c r="M114" i="15"/>
  <c r="M121" i="15"/>
  <c r="R121" i="15"/>
  <c r="N15" i="14"/>
  <c r="J18" i="114"/>
  <c r="J19" i="114"/>
  <c r="J36" i="114"/>
  <c r="J37" i="114"/>
  <c r="I148" i="18"/>
  <c r="L121" i="15"/>
  <c r="J31" i="8"/>
  <c r="J144" i="18"/>
  <c r="J148" i="18"/>
  <c r="X609" i="53"/>
  <c r="O22" i="6"/>
  <c r="AG548" i="53"/>
  <c r="K20" i="15"/>
  <c r="M515" i="53"/>
  <c r="K40" i="15"/>
  <c r="U719" i="53"/>
  <c r="L36" i="6"/>
  <c r="AF719" i="53"/>
  <c r="AG547" i="53"/>
  <c r="N32" i="14"/>
  <c r="O474" i="53"/>
  <c r="Y474" i="53"/>
  <c r="K21" i="18"/>
  <c r="L7" i="18"/>
  <c r="K76" i="15"/>
  <c r="M571" i="53"/>
  <c r="K53" i="15"/>
  <c r="M548" i="53"/>
  <c r="W548" i="53"/>
  <c r="K15" i="15"/>
  <c r="M510" i="53"/>
  <c r="K12" i="15"/>
  <c r="M507" i="53"/>
  <c r="K52" i="15"/>
  <c r="M547" i="53"/>
  <c r="W547" i="53"/>
  <c r="K10" i="15"/>
  <c r="M505" i="53"/>
  <c r="K6" i="17"/>
  <c r="M454" i="53"/>
  <c r="AH483" i="53"/>
  <c r="N8" i="6"/>
  <c r="K657" i="53"/>
  <c r="I5" i="17"/>
  <c r="J39" i="15"/>
  <c r="J173" i="15"/>
  <c r="J172" i="15"/>
  <c r="L657" i="53"/>
  <c r="N11" i="14"/>
  <c r="S11" i="14"/>
  <c r="N449" i="53"/>
  <c r="N454" i="53"/>
  <c r="AI452" i="53"/>
  <c r="M12" i="14"/>
  <c r="M53" i="14"/>
  <c r="M54" i="14"/>
  <c r="I45" i="16"/>
  <c r="E43" i="16"/>
  <c r="E51" i="16"/>
  <c r="J16" i="16"/>
  <c r="J21" i="16"/>
  <c r="L8" i="7"/>
  <c r="F45" i="16"/>
  <c r="G45" i="16"/>
  <c r="J45" i="16"/>
  <c r="O8" i="6"/>
  <c r="V503" i="53"/>
  <c r="AG503" i="53"/>
  <c r="AG515" i="53"/>
  <c r="V515" i="53"/>
  <c r="V520" i="53"/>
  <c r="AG520" i="53"/>
  <c r="V501" i="53"/>
  <c r="AG501" i="53"/>
  <c r="AG509" i="53"/>
  <c r="V509" i="53"/>
  <c r="AG505" i="53"/>
  <c r="V505" i="53"/>
  <c r="S6" i="6"/>
  <c r="F41" i="16"/>
  <c r="V557" i="53"/>
  <c r="AG557" i="53"/>
  <c r="V684" i="53"/>
  <c r="AG684" i="53"/>
  <c r="N469" i="53"/>
  <c r="X488" i="53"/>
  <c r="AG513" i="53"/>
  <c r="V513" i="53"/>
  <c r="V676" i="53"/>
  <c r="AG676" i="53"/>
  <c r="AG549" i="53"/>
  <c r="V549" i="53"/>
  <c r="AG504" i="53"/>
  <c r="V504" i="53"/>
  <c r="V506" i="53"/>
  <c r="AG506" i="53"/>
  <c r="AG571" i="53"/>
  <c r="V571" i="53"/>
  <c r="N10" i="6"/>
  <c r="M495" i="53"/>
  <c r="M496" i="53"/>
  <c r="V523" i="53"/>
  <c r="AG523" i="53"/>
  <c r="AF673" i="53"/>
  <c r="U673" i="53"/>
  <c r="X451" i="53"/>
  <c r="X452" i="53"/>
  <c r="V516" i="53"/>
  <c r="AG516" i="53"/>
  <c r="L673" i="53"/>
  <c r="L457" i="53"/>
  <c r="L13" i="14"/>
  <c r="AG558" i="53"/>
  <c r="V558" i="53"/>
  <c r="O6" i="6"/>
  <c r="X447" i="53"/>
  <c r="S5" i="14"/>
  <c r="N27" i="14"/>
  <c r="N9" i="14"/>
  <c r="N10" i="14"/>
  <c r="N7" i="14"/>
  <c r="N35" i="14"/>
  <c r="N33" i="14"/>
  <c r="N8" i="14"/>
  <c r="O447" i="53"/>
  <c r="N46" i="14"/>
  <c r="N37" i="14"/>
  <c r="N47" i="14"/>
  <c r="N30" i="14"/>
  <c r="N41" i="14"/>
  <c r="L500" i="53"/>
  <c r="V507" i="53"/>
  <c r="AG507" i="53"/>
  <c r="X483" i="53"/>
  <c r="X450" i="53"/>
  <c r="V522" i="53"/>
  <c r="AG522" i="53"/>
  <c r="L535" i="53"/>
  <c r="V524" i="53"/>
  <c r="AG524" i="53"/>
  <c r="AG542" i="53"/>
  <c r="V542" i="53"/>
  <c r="V521" i="53"/>
  <c r="AG521" i="53"/>
  <c r="L9" i="6"/>
  <c r="L11" i="6"/>
  <c r="K459" i="53"/>
  <c r="K497" i="53"/>
  <c r="K498" i="53"/>
  <c r="K71" i="53"/>
  <c r="U71" i="53"/>
  <c r="AF535" i="53"/>
  <c r="U535" i="53"/>
  <c r="X479" i="53"/>
  <c r="X489" i="53"/>
  <c r="V512" i="53"/>
  <c r="AG512" i="53"/>
  <c r="AG517" i="53"/>
  <c r="V517" i="53"/>
  <c r="V580" i="53"/>
  <c r="AG580" i="53"/>
  <c r="V514" i="53"/>
  <c r="AG514" i="53"/>
  <c r="AG502" i="53"/>
  <c r="V502" i="53"/>
  <c r="L455" i="53"/>
  <c r="K17" i="14"/>
  <c r="K55" i="14"/>
  <c r="K56" i="14"/>
  <c r="X475" i="53"/>
  <c r="X477" i="53"/>
  <c r="K22" i="15"/>
  <c r="M517" i="53"/>
  <c r="K21" i="15"/>
  <c r="M516" i="53"/>
  <c r="K54" i="15"/>
  <c r="M549" i="53"/>
  <c r="K25" i="15"/>
  <c r="M520" i="53"/>
  <c r="M580" i="53"/>
  <c r="K28" i="15"/>
  <c r="M523" i="53"/>
  <c r="K6" i="15"/>
  <c r="M501" i="53"/>
  <c r="K147" i="15"/>
  <c r="M676" i="53"/>
  <c r="M684" i="53"/>
  <c r="K24" i="15"/>
  <c r="M519" i="53"/>
  <c r="K11" i="15"/>
  <c r="M506" i="53"/>
  <c r="K14" i="15"/>
  <c r="M509" i="53"/>
  <c r="K146" i="15"/>
  <c r="M675" i="53"/>
  <c r="K68" i="15"/>
  <c r="M563" i="53"/>
  <c r="K23" i="15"/>
  <c r="M518" i="53"/>
  <c r="K27" i="15"/>
  <c r="M522" i="53"/>
  <c r="K19" i="15"/>
  <c r="M514" i="53"/>
  <c r="K16" i="15"/>
  <c r="M511" i="53"/>
  <c r="K7" i="15"/>
  <c r="M502" i="53"/>
  <c r="K5" i="15"/>
  <c r="M526" i="53"/>
  <c r="K144" i="15"/>
  <c r="K18" i="15"/>
  <c r="M513" i="53"/>
  <c r="K63" i="15"/>
  <c r="M558" i="53"/>
  <c r="K8" i="15"/>
  <c r="M503" i="53"/>
  <c r="K55" i="15"/>
  <c r="M550" i="53"/>
  <c r="K17" i="15"/>
  <c r="M512" i="53"/>
  <c r="K26" i="15"/>
  <c r="M521" i="53"/>
  <c r="K13" i="15"/>
  <c r="M508" i="53"/>
  <c r="K57" i="15"/>
  <c r="M552" i="53"/>
  <c r="K9" i="15"/>
  <c r="M504" i="53"/>
  <c r="K29" i="15"/>
  <c r="M524" i="53"/>
  <c r="K62" i="15"/>
  <c r="M557" i="53"/>
  <c r="K47" i="15"/>
  <c r="M542" i="53"/>
  <c r="AG525" i="53"/>
  <c r="V525" i="53"/>
  <c r="V511" i="53"/>
  <c r="AG511" i="53"/>
  <c r="V526" i="53"/>
  <c r="AG526" i="53"/>
  <c r="L14" i="14"/>
  <c r="M456" i="53"/>
  <c r="L458" i="53"/>
  <c r="L73" i="53"/>
  <c r="V73" i="53"/>
  <c r="AG563" i="53"/>
  <c r="V563" i="53"/>
  <c r="V518" i="53"/>
  <c r="AG518" i="53"/>
  <c r="W469" i="53"/>
  <c r="U500" i="53"/>
  <c r="AF500" i="53"/>
  <c r="L13" i="6"/>
  <c r="X472" i="53"/>
  <c r="V519" i="53"/>
  <c r="AG519" i="53"/>
  <c r="V675" i="53"/>
  <c r="AG675" i="53"/>
  <c r="V508" i="53"/>
  <c r="AG508" i="53"/>
  <c r="V550" i="53"/>
  <c r="AG550" i="53"/>
  <c r="V552" i="53"/>
  <c r="AG552" i="53"/>
  <c r="V510" i="53"/>
  <c r="AG510" i="53"/>
  <c r="M7" i="6"/>
  <c r="J17" i="16"/>
  <c r="J22" i="16"/>
  <c r="M29" i="6"/>
  <c r="P12" i="7"/>
  <c r="P13" i="7"/>
  <c r="L719" i="53"/>
  <c r="V719" i="53"/>
  <c r="S10" i="6"/>
  <c r="AM7" i="6"/>
  <c r="S8" i="6"/>
  <c r="S22" i="6"/>
  <c r="R114" i="15"/>
  <c r="O609" i="53"/>
  <c r="P22" i="6"/>
  <c r="I19" i="17"/>
  <c r="L48" i="15"/>
  <c r="N543" i="53"/>
  <c r="X543" i="53"/>
  <c r="L30" i="15"/>
  <c r="N525" i="53"/>
  <c r="AI525" i="53"/>
  <c r="L31" i="15"/>
  <c r="N526" i="53"/>
  <c r="X526" i="53"/>
  <c r="K31" i="8"/>
  <c r="K144" i="18"/>
  <c r="M719" i="53"/>
  <c r="AH727" i="53"/>
  <c r="L20" i="15"/>
  <c r="N515" i="53"/>
  <c r="AI515" i="53"/>
  <c r="L40" i="15"/>
  <c r="AH582" i="53"/>
  <c r="AH579" i="53"/>
  <c r="AH662" i="53"/>
  <c r="AH540" i="53"/>
  <c r="AH681" i="53"/>
  <c r="AH593" i="53"/>
  <c r="AH564" i="53"/>
  <c r="AH481" i="53"/>
  <c r="AH539" i="53"/>
  <c r="AH636" i="53"/>
  <c r="AH546" i="53"/>
  <c r="AH572" i="53"/>
  <c r="AH725" i="53"/>
  <c r="AH756" i="53"/>
  <c r="AH493" i="53"/>
  <c r="AH584" i="53"/>
  <c r="AH536" i="53"/>
  <c r="AH722" i="53"/>
  <c r="AH648" i="53"/>
  <c r="AH470" i="53"/>
  <c r="AH474" i="53"/>
  <c r="AH679" i="53"/>
  <c r="AH677" i="53"/>
  <c r="AH565" i="53"/>
  <c r="AH742" i="53"/>
  <c r="AH556" i="53"/>
  <c r="AH642" i="53"/>
  <c r="AH674" i="53"/>
  <c r="AH665" i="53"/>
  <c r="AH567" i="53"/>
  <c r="AH538" i="53"/>
  <c r="AH678" i="53"/>
  <c r="AH614" i="53"/>
  <c r="AH605" i="53"/>
  <c r="AH753" i="53"/>
  <c r="AH615" i="53"/>
  <c r="AH537" i="53"/>
  <c r="AH465" i="53"/>
  <c r="AH641" i="53"/>
  <c r="AH721" i="53"/>
  <c r="AH551" i="53"/>
  <c r="AH447" i="53"/>
  <c r="AH472" i="53"/>
  <c r="AH570" i="53"/>
  <c r="AH706" i="53"/>
  <c r="AH610" i="53"/>
  <c r="AH694" i="53"/>
  <c r="AH463" i="53"/>
  <c r="AH733" i="53"/>
  <c r="AH723" i="53"/>
  <c r="S32" i="14"/>
  <c r="AH588" i="53"/>
  <c r="AH663" i="53"/>
  <c r="AH595" i="53"/>
  <c r="AH589" i="53"/>
  <c r="AH586" i="53"/>
  <c r="AH485" i="53"/>
  <c r="AH647" i="53"/>
  <c r="AH581" i="53"/>
  <c r="AH711" i="53"/>
  <c r="AH544" i="53"/>
  <c r="AH755" i="53"/>
  <c r="AH559" i="53"/>
  <c r="AH661" i="53"/>
  <c r="AH466" i="53"/>
  <c r="AH561" i="53"/>
  <c r="AH469" i="53"/>
  <c r="M7" i="18"/>
  <c r="AH680" i="53"/>
  <c r="AH730" i="53"/>
  <c r="AH596" i="53"/>
  <c r="AH473" i="53"/>
  <c r="AH451" i="53"/>
  <c r="AH488" i="53"/>
  <c r="AH450" i="53"/>
  <c r="AH484" i="53"/>
  <c r="AH594" i="53"/>
  <c r="AH555" i="53"/>
  <c r="AH645" i="53"/>
  <c r="AH712" i="53"/>
  <c r="AH643" i="53"/>
  <c r="AH667" i="53"/>
  <c r="AH683" i="53"/>
  <c r="AH606" i="53"/>
  <c r="AH639" i="53"/>
  <c r="AH462" i="53"/>
  <c r="AH728" i="53"/>
  <c r="AH668" i="53"/>
  <c r="AH573" i="53"/>
  <c r="AH613" i="53"/>
  <c r="AH612" i="53"/>
  <c r="AH646" i="53"/>
  <c r="AH607" i="53"/>
  <c r="AH689" i="53"/>
  <c r="AH590" i="53"/>
  <c r="AH545" i="53"/>
  <c r="AH608" i="53"/>
  <c r="AH682" i="53"/>
  <c r="AH729" i="53"/>
  <c r="AH448" i="53"/>
  <c r="AH480" i="53"/>
  <c r="AH492" i="53"/>
  <c r="AH569" i="53"/>
  <c r="AH695" i="53"/>
  <c r="AH560" i="53"/>
  <c r="AH752" i="53"/>
  <c r="AH688" i="53"/>
  <c r="AH592" i="53"/>
  <c r="AH724" i="53"/>
  <c r="AH471" i="53"/>
  <c r="AH644" i="53"/>
  <c r="AH651" i="53"/>
  <c r="AH693" i="53"/>
  <c r="AH659" i="53"/>
  <c r="AH566" i="53"/>
  <c r="AH491" i="53"/>
  <c r="AH745" i="53"/>
  <c r="AH578" i="53"/>
  <c r="AH604" i="53"/>
  <c r="AH660" i="53"/>
  <c r="AH487" i="53"/>
  <c r="AH583" i="53"/>
  <c r="AH477" i="53"/>
  <c r="AH489" i="53"/>
  <c r="L21" i="18"/>
  <c r="AH476" i="53"/>
  <c r="AH548" i="53"/>
  <c r="AH591" i="53"/>
  <c r="AH486" i="53"/>
  <c r="AH554" i="53"/>
  <c r="AH664" i="53"/>
  <c r="AH461" i="53"/>
  <c r="AH692" i="53"/>
  <c r="AH640" i="53"/>
  <c r="AH587" i="53"/>
  <c r="AH609" i="53"/>
  <c r="AH754" i="53"/>
  <c r="AH611" i="53"/>
  <c r="AH547" i="53"/>
  <c r="AH751" i="53"/>
  <c r="AH553" i="53"/>
  <c r="AH713" i="53"/>
  <c r="AH669" i="53"/>
  <c r="AH527" i="53"/>
  <c r="AH697" i="53"/>
  <c r="AH690" i="53"/>
  <c r="AH635" i="53"/>
  <c r="AH691" i="53"/>
  <c r="AH672" i="53"/>
  <c r="AH649" i="53"/>
  <c r="AH585" i="53"/>
  <c r="AH666" i="53"/>
  <c r="AH478" i="53"/>
  <c r="AH464" i="53"/>
  <c r="AH714" i="53"/>
  <c r="AH696" i="53"/>
  <c r="AH670" i="53"/>
  <c r="AH468" i="53"/>
  <c r="AH743" i="53"/>
  <c r="AH568" i="53"/>
  <c r="AH577" i="53"/>
  <c r="AH576" i="53"/>
  <c r="AH541" i="53"/>
  <c r="AH685" i="53"/>
  <c r="AH671" i="53"/>
  <c r="AH726" i="53"/>
  <c r="AH479" i="53"/>
  <c r="AH482" i="53"/>
  <c r="AH543" i="53"/>
  <c r="AH475" i="53"/>
  <c r="I22" i="8"/>
  <c r="AM36" i="6"/>
  <c r="AH562" i="53"/>
  <c r="AH638" i="53"/>
  <c r="AH490" i="53"/>
  <c r="AH449" i="53"/>
  <c r="L12" i="15"/>
  <c r="N507" i="53"/>
  <c r="X507" i="53"/>
  <c r="L52" i="15"/>
  <c r="N547" i="53"/>
  <c r="X547" i="53"/>
  <c r="L53" i="15"/>
  <c r="N548" i="53"/>
  <c r="X548" i="53"/>
  <c r="L76" i="15"/>
  <c r="N571" i="53"/>
  <c r="X571" i="53"/>
  <c r="L15" i="15"/>
  <c r="N510" i="53"/>
  <c r="X510" i="53"/>
  <c r="L10" i="15"/>
  <c r="N505" i="53"/>
  <c r="X505" i="53"/>
  <c r="AH452" i="53"/>
  <c r="L21" i="15"/>
  <c r="N516" i="53"/>
  <c r="X516" i="53"/>
  <c r="N457" i="53"/>
  <c r="N458" i="53"/>
  <c r="N73" i="53"/>
  <c r="K69" i="53"/>
  <c r="U69" i="53"/>
  <c r="K12" i="7"/>
  <c r="L14" i="6"/>
  <c r="AF657" i="53"/>
  <c r="U657" i="53"/>
  <c r="L656" i="53"/>
  <c r="M14" i="6"/>
  <c r="X449" i="53"/>
  <c r="K39" i="15"/>
  <c r="K173" i="15"/>
  <c r="K172" i="15"/>
  <c r="M657" i="53"/>
  <c r="N12" i="14"/>
  <c r="N53" i="14"/>
  <c r="AI472" i="53"/>
  <c r="AI477" i="53"/>
  <c r="L25" i="15"/>
  <c r="N520" i="53"/>
  <c r="AI520" i="53"/>
  <c r="L27" i="15"/>
  <c r="N522" i="53"/>
  <c r="AI522" i="53"/>
  <c r="L9" i="15"/>
  <c r="N504" i="53"/>
  <c r="AI504" i="53"/>
  <c r="L13" i="15"/>
  <c r="N508" i="53"/>
  <c r="AI508" i="53"/>
  <c r="L62" i="15"/>
  <c r="N557" i="53"/>
  <c r="X557" i="53"/>
  <c r="L8" i="15"/>
  <c r="N503" i="53"/>
  <c r="AI503" i="53"/>
  <c r="L22" i="15"/>
  <c r="N517" i="53"/>
  <c r="AI517" i="53"/>
  <c r="L29" i="15"/>
  <c r="N524" i="53"/>
  <c r="AI524" i="53"/>
  <c r="N684" i="53"/>
  <c r="X684" i="53"/>
  <c r="L17" i="15"/>
  <c r="N512" i="53"/>
  <c r="X512" i="53"/>
  <c r="L57" i="15"/>
  <c r="N552" i="53"/>
  <c r="X552" i="53"/>
  <c r="L55" i="15"/>
  <c r="N550" i="53"/>
  <c r="AI550" i="53"/>
  <c r="L23" i="15"/>
  <c r="N518" i="53"/>
  <c r="X518" i="53"/>
  <c r="L63" i="15"/>
  <c r="N558" i="53"/>
  <c r="AI558" i="53"/>
  <c r="L18" i="15"/>
  <c r="N513" i="53"/>
  <c r="AI513" i="53"/>
  <c r="L7" i="15"/>
  <c r="N502" i="53"/>
  <c r="AI502" i="53"/>
  <c r="L144" i="15"/>
  <c r="L68" i="15"/>
  <c r="N563" i="53"/>
  <c r="AI563" i="53"/>
  <c r="L24" i="15"/>
  <c r="N519" i="53"/>
  <c r="X519" i="53"/>
  <c r="L19" i="15"/>
  <c r="N514" i="53"/>
  <c r="X514" i="53"/>
  <c r="L5" i="15"/>
  <c r="AI483" i="53"/>
  <c r="AI489" i="53"/>
  <c r="L146" i="15"/>
  <c r="N675" i="53"/>
  <c r="AI675" i="53"/>
  <c r="L14" i="15"/>
  <c r="N509" i="53"/>
  <c r="AI509" i="53"/>
  <c r="L54" i="15"/>
  <c r="N549" i="53"/>
  <c r="X549" i="53"/>
  <c r="L11" i="15"/>
  <c r="N506" i="53"/>
  <c r="X506" i="53"/>
  <c r="L28" i="15"/>
  <c r="N523" i="53"/>
  <c r="X523" i="53"/>
  <c r="N580" i="53"/>
  <c r="X580" i="53"/>
  <c r="L147" i="15"/>
  <c r="N676" i="53"/>
  <c r="AI676" i="53"/>
  <c r="AI488" i="53"/>
  <c r="G41" i="16"/>
  <c r="H47" i="16"/>
  <c r="L6" i="17"/>
  <c r="L47" i="15"/>
  <c r="N542" i="53"/>
  <c r="AI542" i="53"/>
  <c r="L6" i="15"/>
  <c r="N501" i="53"/>
  <c r="X501" i="53"/>
  <c r="L26" i="15"/>
  <c r="N521" i="53"/>
  <c r="X521" i="53"/>
  <c r="L16" i="15"/>
  <c r="N511" i="53"/>
  <c r="X511" i="53"/>
  <c r="M457" i="53"/>
  <c r="M13" i="14"/>
  <c r="W501" i="53"/>
  <c r="AH501" i="53"/>
  <c r="W571" i="53"/>
  <c r="AH571" i="53"/>
  <c r="F43" i="16"/>
  <c r="F51" i="16"/>
  <c r="K17" i="16"/>
  <c r="K22" i="16"/>
  <c r="N29" i="6"/>
  <c r="J46" i="16"/>
  <c r="I46" i="16"/>
  <c r="G46" i="16"/>
  <c r="H46" i="16"/>
  <c r="AG535" i="53"/>
  <c r="V535" i="53"/>
  <c r="O489" i="53"/>
  <c r="S47" i="14"/>
  <c r="O452" i="53"/>
  <c r="S10" i="14"/>
  <c r="S30" i="14"/>
  <c r="O472" i="53"/>
  <c r="S7" i="14"/>
  <c r="O449" i="53"/>
  <c r="W526" i="53"/>
  <c r="AH526" i="53"/>
  <c r="AH525" i="53"/>
  <c r="W525" i="53"/>
  <c r="W509" i="53"/>
  <c r="AH509" i="53"/>
  <c r="W523" i="53"/>
  <c r="AH523" i="53"/>
  <c r="AH521" i="53"/>
  <c r="W521" i="53"/>
  <c r="M458" i="53"/>
  <c r="M73" i="53"/>
  <c r="W73" i="53"/>
  <c r="M14" i="14"/>
  <c r="N456" i="53"/>
  <c r="W515" i="53"/>
  <c r="AH515" i="53"/>
  <c r="W506" i="53"/>
  <c r="AH506" i="53"/>
  <c r="W580" i="53"/>
  <c r="AH580" i="53"/>
  <c r="AI479" i="53"/>
  <c r="O479" i="53"/>
  <c r="S37" i="14"/>
  <c r="S9" i="14"/>
  <c r="O451" i="53"/>
  <c r="AM13" i="6"/>
  <c r="L68" i="6"/>
  <c r="W542" i="53"/>
  <c r="AH542" i="53"/>
  <c r="W512" i="53"/>
  <c r="AH512" i="53"/>
  <c r="M500" i="53"/>
  <c r="W514" i="53"/>
  <c r="AH514" i="53"/>
  <c r="W519" i="53"/>
  <c r="AH519" i="53"/>
  <c r="AH505" i="53"/>
  <c r="W505" i="53"/>
  <c r="AI475" i="53"/>
  <c r="M9" i="6"/>
  <c r="M11" i="6"/>
  <c r="L459" i="53"/>
  <c r="L497" i="53"/>
  <c r="L498" i="53"/>
  <c r="S46" i="14"/>
  <c r="O488" i="53"/>
  <c r="O469" i="53"/>
  <c r="S27" i="14"/>
  <c r="M455" i="53"/>
  <c r="L17" i="14"/>
  <c r="L55" i="14"/>
  <c r="L56" i="14"/>
  <c r="X469" i="53"/>
  <c r="N495" i="53"/>
  <c r="N496" i="53"/>
  <c r="O10" i="6"/>
  <c r="AI469" i="53"/>
  <c r="AH508" i="53"/>
  <c r="W508" i="53"/>
  <c r="AH675" i="53"/>
  <c r="W675" i="53"/>
  <c r="AH557" i="53"/>
  <c r="W557" i="53"/>
  <c r="AH550" i="53"/>
  <c r="W550" i="53"/>
  <c r="W522" i="53"/>
  <c r="AH522" i="53"/>
  <c r="W510" i="53"/>
  <c r="AH510" i="53"/>
  <c r="W520" i="53"/>
  <c r="AH520" i="53"/>
  <c r="V500" i="53"/>
  <c r="M13" i="6"/>
  <c r="AG500" i="53"/>
  <c r="P6" i="6"/>
  <c r="Y447" i="53"/>
  <c r="J5" i="17"/>
  <c r="L71" i="53"/>
  <c r="V71" i="53"/>
  <c r="W503" i="53"/>
  <c r="AH503" i="53"/>
  <c r="W518" i="53"/>
  <c r="AH518" i="53"/>
  <c r="W684" i="53"/>
  <c r="AH684" i="53"/>
  <c r="W549" i="53"/>
  <c r="AH549" i="53"/>
  <c r="O450" i="53"/>
  <c r="S8" i="14"/>
  <c r="AI447" i="53"/>
  <c r="AI733" i="53"/>
  <c r="AI728" i="53"/>
  <c r="AI478" i="53"/>
  <c r="AI584" i="53"/>
  <c r="AI664" i="53"/>
  <c r="AI565" i="53"/>
  <c r="AI682" i="53"/>
  <c r="AI639" i="53"/>
  <c r="AI636" i="53"/>
  <c r="AI614" i="53"/>
  <c r="AI588" i="53"/>
  <c r="AI662" i="53"/>
  <c r="AI723" i="53"/>
  <c r="AI562" i="53"/>
  <c r="AI559" i="53"/>
  <c r="AI590" i="53"/>
  <c r="AI566" i="53"/>
  <c r="AI668" i="53"/>
  <c r="AI541" i="53"/>
  <c r="AI583" i="53"/>
  <c r="AI711" i="53"/>
  <c r="AI468" i="53"/>
  <c r="AI725" i="53"/>
  <c r="AI644" i="53"/>
  <c r="AI671" i="53"/>
  <c r="AI538" i="53"/>
  <c r="AI663" i="53"/>
  <c r="AI706" i="53"/>
  <c r="AI683" i="53"/>
  <c r="AI569" i="53"/>
  <c r="AI596" i="53"/>
  <c r="AI551" i="53"/>
  <c r="AI604" i="53"/>
  <c r="AI696" i="53"/>
  <c r="AI573" i="53"/>
  <c r="AI572" i="53"/>
  <c r="AI567" i="53"/>
  <c r="AI727" i="53"/>
  <c r="AI695" i="53"/>
  <c r="AI713" i="53"/>
  <c r="AI463" i="53"/>
  <c r="AI721" i="53"/>
  <c r="AI730" i="53"/>
  <c r="AI462" i="53"/>
  <c r="AI638" i="53"/>
  <c r="AI594" i="53"/>
  <c r="AI742" i="53"/>
  <c r="AI651" i="53"/>
  <c r="AI490" i="53"/>
  <c r="AI560" i="53"/>
  <c r="AI476" i="53"/>
  <c r="AI578" i="53"/>
  <c r="AI640" i="53"/>
  <c r="AI645" i="53"/>
  <c r="AI576" i="53"/>
  <c r="AI585" i="53"/>
  <c r="AI564" i="53"/>
  <c r="AI605" i="53"/>
  <c r="AI561" i="53"/>
  <c r="AI544" i="53"/>
  <c r="AI470" i="53"/>
  <c r="AI610" i="53"/>
  <c r="AI647" i="53"/>
  <c r="AI681" i="53"/>
  <c r="AI649" i="53"/>
  <c r="AI546" i="53"/>
  <c r="AI527" i="53"/>
  <c r="AI646" i="53"/>
  <c r="AI751" i="53"/>
  <c r="AI697" i="53"/>
  <c r="AI473" i="53"/>
  <c r="AI648" i="53"/>
  <c r="AI714" i="53"/>
  <c r="AI592" i="53"/>
  <c r="AI690" i="53"/>
  <c r="AI665" i="53"/>
  <c r="AI582" i="53"/>
  <c r="AI555" i="53"/>
  <c r="AI611" i="53"/>
  <c r="AI642" i="53"/>
  <c r="AI753" i="53"/>
  <c r="AI688" i="53"/>
  <c r="AI540" i="53"/>
  <c r="AI487" i="53"/>
  <c r="AI448" i="53"/>
  <c r="AI581" i="53"/>
  <c r="AI729" i="53"/>
  <c r="AI461" i="53"/>
  <c r="AI693" i="53"/>
  <c r="AI680" i="53"/>
  <c r="AI491" i="53"/>
  <c r="AI556" i="53"/>
  <c r="AI669" i="53"/>
  <c r="AI579" i="53"/>
  <c r="AI726" i="53"/>
  <c r="AI474" i="53"/>
  <c r="AI586" i="53"/>
  <c r="AI679" i="53"/>
  <c r="AI536" i="53"/>
  <c r="AI464" i="53"/>
  <c r="AI492" i="53"/>
  <c r="AI756" i="53"/>
  <c r="AI608" i="53"/>
  <c r="AI595" i="53"/>
  <c r="AI724" i="53"/>
  <c r="AI641" i="53"/>
  <c r="AI609" i="53"/>
  <c r="AI553" i="53"/>
  <c r="AI691" i="53"/>
  <c r="AI659" i="53"/>
  <c r="AI539" i="53"/>
  <c r="AI745" i="53"/>
  <c r="AI587" i="53"/>
  <c r="AI712" i="53"/>
  <c r="AI485" i="53"/>
  <c r="AI613" i="53"/>
  <c r="AI545" i="53"/>
  <c r="AI465" i="53"/>
  <c r="AI694" i="53"/>
  <c r="AI677" i="53"/>
  <c r="AI661" i="53"/>
  <c r="AI689" i="53"/>
  <c r="AI755" i="53"/>
  <c r="AI754" i="53"/>
  <c r="AI589" i="53"/>
  <c r="AI484" i="53"/>
  <c r="AI537" i="53"/>
  <c r="AI672" i="53"/>
  <c r="AI670" i="53"/>
  <c r="AI660" i="53"/>
  <c r="AI612" i="53"/>
  <c r="AI692" i="53"/>
  <c r="AI667" i="53"/>
  <c r="AI593" i="53"/>
  <c r="AI482" i="53"/>
  <c r="AI466" i="53"/>
  <c r="AI591" i="53"/>
  <c r="AI471" i="53"/>
  <c r="AI480" i="53"/>
  <c r="AI678" i="53"/>
  <c r="AI666" i="53"/>
  <c r="AI685" i="53"/>
  <c r="AI493" i="53"/>
  <c r="AI568" i="53"/>
  <c r="AI481" i="53"/>
  <c r="AI570" i="53"/>
  <c r="AI607" i="53"/>
  <c r="AI554" i="53"/>
  <c r="AI752" i="53"/>
  <c r="AI722" i="53"/>
  <c r="AI486" i="53"/>
  <c r="AI606" i="53"/>
  <c r="AI577" i="53"/>
  <c r="AI743" i="53"/>
  <c r="AI635" i="53"/>
  <c r="AI615" i="53"/>
  <c r="AI643" i="53"/>
  <c r="AI674" i="53"/>
  <c r="M673" i="53"/>
  <c r="W524" i="53"/>
  <c r="AH524" i="53"/>
  <c r="AG657" i="53"/>
  <c r="L69" i="53"/>
  <c r="M656" i="53"/>
  <c r="V657" i="53"/>
  <c r="W504" i="53"/>
  <c r="AH504" i="53"/>
  <c r="W558" i="53"/>
  <c r="AH558" i="53"/>
  <c r="AH502" i="53"/>
  <c r="W502" i="53"/>
  <c r="AH563" i="53"/>
  <c r="W563" i="53"/>
  <c r="AH676" i="53"/>
  <c r="W676" i="53"/>
  <c r="W516" i="53"/>
  <c r="AH516" i="53"/>
  <c r="AI450" i="53"/>
  <c r="O475" i="53"/>
  <c r="S33" i="14"/>
  <c r="AI451" i="53"/>
  <c r="W552" i="53"/>
  <c r="AH552" i="53"/>
  <c r="W513" i="53"/>
  <c r="AH513" i="53"/>
  <c r="W511" i="53"/>
  <c r="AH511" i="53"/>
  <c r="AH507" i="53"/>
  <c r="W507" i="53"/>
  <c r="M535" i="53"/>
  <c r="W517" i="53"/>
  <c r="AH517" i="53"/>
  <c r="S41" i="14"/>
  <c r="O483" i="53"/>
  <c r="O477" i="53"/>
  <c r="S35" i="14"/>
  <c r="V673" i="53"/>
  <c r="AG673" i="53"/>
  <c r="AI449" i="53"/>
  <c r="N7" i="6"/>
  <c r="AG719" i="53"/>
  <c r="M36" i="6"/>
  <c r="J22" i="8"/>
  <c r="Y609" i="53"/>
  <c r="M69" i="6"/>
  <c r="L69" i="6"/>
  <c r="I10" i="8"/>
  <c r="J20" i="8"/>
  <c r="R22" i="6"/>
  <c r="K148" i="18"/>
  <c r="AI543" i="53"/>
  <c r="M48" i="15"/>
  <c r="R48" i="15"/>
  <c r="M31" i="15"/>
  <c r="M30" i="15"/>
  <c r="L31" i="8"/>
  <c r="L144" i="18"/>
  <c r="L148" i="18"/>
  <c r="M20" i="15"/>
  <c r="M40" i="15"/>
  <c r="AI547" i="53"/>
  <c r="AG656" i="53"/>
  <c r="N36" i="6"/>
  <c r="W719" i="53"/>
  <c r="AH719" i="53"/>
  <c r="M21" i="18"/>
  <c r="AI548" i="53"/>
  <c r="V656" i="53"/>
  <c r="AI516" i="53"/>
  <c r="M15" i="6"/>
  <c r="M53" i="15"/>
  <c r="M52" i="15"/>
  <c r="M15" i="15"/>
  <c r="M10" i="15"/>
  <c r="M76" i="15"/>
  <c r="M12" i="15"/>
  <c r="M6" i="17"/>
  <c r="L15" i="6"/>
  <c r="V69" i="53"/>
  <c r="AM14" i="6"/>
  <c r="N673" i="53"/>
  <c r="X673" i="53"/>
  <c r="N535" i="53"/>
  <c r="AI535" i="53"/>
  <c r="N500" i="53"/>
  <c r="AI500" i="53"/>
  <c r="L39" i="15"/>
  <c r="L173" i="15"/>
  <c r="L172" i="15"/>
  <c r="N657" i="53"/>
  <c r="AI657" i="53"/>
  <c r="AI505" i="53"/>
  <c r="AI512" i="53"/>
  <c r="X522" i="53"/>
  <c r="X520" i="53"/>
  <c r="X509" i="53"/>
  <c r="X558" i="53"/>
  <c r="AI523" i="53"/>
  <c r="AI510" i="53"/>
  <c r="X517" i="53"/>
  <c r="X676" i="53"/>
  <c r="X675" i="53"/>
  <c r="X550" i="53"/>
  <c r="X508" i="53"/>
  <c r="AI549" i="53"/>
  <c r="AI580" i="53"/>
  <c r="AI557" i="53"/>
  <c r="AI514" i="53"/>
  <c r="AI519" i="53"/>
  <c r="AI507" i="53"/>
  <c r="X503" i="53"/>
  <c r="X504" i="53"/>
  <c r="N13" i="14"/>
  <c r="S13" i="14"/>
  <c r="X513" i="53"/>
  <c r="X515" i="53"/>
  <c r="AI506" i="53"/>
  <c r="X73" i="53"/>
  <c r="AI521" i="53"/>
  <c r="AI571" i="53"/>
  <c r="AI552" i="53"/>
  <c r="AI518" i="53"/>
  <c r="AI684" i="53"/>
  <c r="X542" i="53"/>
  <c r="N14" i="14"/>
  <c r="O456" i="53"/>
  <c r="X524" i="53"/>
  <c r="X502" i="53"/>
  <c r="J47" i="16"/>
  <c r="G43" i="16"/>
  <c r="G51" i="16"/>
  <c r="L17" i="16"/>
  <c r="L22" i="16"/>
  <c r="O29" i="6"/>
  <c r="I47" i="16"/>
  <c r="AI501" i="53"/>
  <c r="X525" i="53"/>
  <c r="X563" i="53"/>
  <c r="AI526" i="53"/>
  <c r="AI511" i="53"/>
  <c r="O454" i="53"/>
  <c r="AJ527" i="53"/>
  <c r="K16" i="16"/>
  <c r="K21" i="16"/>
  <c r="M8" i="7"/>
  <c r="M68" i="6"/>
  <c r="O495" i="53"/>
  <c r="O496" i="53"/>
  <c r="P10" i="6"/>
  <c r="Y469" i="53"/>
  <c r="Y451" i="53"/>
  <c r="Y483" i="53"/>
  <c r="Y450" i="53"/>
  <c r="Y488" i="53"/>
  <c r="S29" i="6"/>
  <c r="W657" i="53"/>
  <c r="N656" i="53"/>
  <c r="AH657" i="53"/>
  <c r="M69" i="53"/>
  <c r="W69" i="53"/>
  <c r="Y452" i="53"/>
  <c r="Y475" i="53"/>
  <c r="N14" i="6"/>
  <c r="AH656" i="53"/>
  <c r="W656" i="53"/>
  <c r="N9" i="6"/>
  <c r="N11" i="6"/>
  <c r="M459" i="53"/>
  <c r="M497" i="53"/>
  <c r="M498" i="53"/>
  <c r="AH500" i="53"/>
  <c r="W500" i="53"/>
  <c r="N13" i="6"/>
  <c r="Y472" i="53"/>
  <c r="L12" i="7"/>
  <c r="J19" i="17"/>
  <c r="Y479" i="53"/>
  <c r="Y449" i="53"/>
  <c r="P8" i="6"/>
  <c r="M25" i="15"/>
  <c r="M6" i="15"/>
  <c r="M9" i="15"/>
  <c r="M26" i="15"/>
  <c r="M28" i="15"/>
  <c r="M23" i="15"/>
  <c r="M144" i="15"/>
  <c r="M63" i="15"/>
  <c r="M54" i="15"/>
  <c r="M7" i="15"/>
  <c r="M24" i="15"/>
  <c r="M17" i="15"/>
  <c r="M147" i="15"/>
  <c r="M18" i="15"/>
  <c r="M11" i="15"/>
  <c r="M19" i="15"/>
  <c r="M27" i="15"/>
  <c r="M8" i="15"/>
  <c r="M21" i="15"/>
  <c r="M22" i="15"/>
  <c r="M68" i="15"/>
  <c r="M47" i="15"/>
  <c r="M62" i="15"/>
  <c r="M55" i="15"/>
  <c r="M146" i="15"/>
  <c r="M5" i="15"/>
  <c r="M13" i="15"/>
  <c r="M14" i="15"/>
  <c r="M16" i="15"/>
  <c r="M29" i="15"/>
  <c r="M57" i="15"/>
  <c r="S12" i="14"/>
  <c r="R6" i="6"/>
  <c r="H41" i="16"/>
  <c r="N54" i="14"/>
  <c r="S53" i="14"/>
  <c r="Y489" i="53"/>
  <c r="AH535" i="53"/>
  <c r="W535" i="53"/>
  <c r="N71" i="53"/>
  <c r="W673" i="53"/>
  <c r="AH673" i="53"/>
  <c r="N455" i="53"/>
  <c r="M17" i="14"/>
  <c r="M55" i="14"/>
  <c r="M56" i="14"/>
  <c r="Y477" i="53"/>
  <c r="M71" i="53"/>
  <c r="W71" i="53"/>
  <c r="K5" i="17"/>
  <c r="R8" i="6"/>
  <c r="L60" i="6"/>
  <c r="S7" i="6"/>
  <c r="O543" i="53"/>
  <c r="Y543" i="53"/>
  <c r="N719" i="53"/>
  <c r="X719" i="53"/>
  <c r="M31" i="8"/>
  <c r="M144" i="18"/>
  <c r="M148" i="18"/>
  <c r="AI673" i="53"/>
  <c r="S36" i="6"/>
  <c r="K22" i="8"/>
  <c r="O547" i="53"/>
  <c r="Y547" i="53"/>
  <c r="R52" i="15"/>
  <c r="R53" i="15"/>
  <c r="O548" i="53"/>
  <c r="Y548" i="53"/>
  <c r="N15" i="6"/>
  <c r="X535" i="53"/>
  <c r="X500" i="53"/>
  <c r="O13" i="6"/>
  <c r="M39" i="15"/>
  <c r="O656" i="53"/>
  <c r="AJ656" i="53"/>
  <c r="AJ477" i="53"/>
  <c r="AJ449" i="53"/>
  <c r="AJ489" i="53"/>
  <c r="AJ730" i="53"/>
  <c r="AJ479" i="53"/>
  <c r="AJ464" i="53"/>
  <c r="AJ678" i="53"/>
  <c r="AJ570" i="53"/>
  <c r="AJ474" i="53"/>
  <c r="AJ638" i="53"/>
  <c r="AJ612" i="53"/>
  <c r="AJ572" i="53"/>
  <c r="AJ560" i="53"/>
  <c r="O455" i="53"/>
  <c r="AJ482" i="53"/>
  <c r="X657" i="53"/>
  <c r="N17" i="14"/>
  <c r="S17" i="14"/>
  <c r="S14" i="14"/>
  <c r="AJ593" i="53"/>
  <c r="AJ462" i="53"/>
  <c r="AJ745" i="53"/>
  <c r="AJ450" i="53"/>
  <c r="AJ636" i="53"/>
  <c r="AJ569" i="53"/>
  <c r="AJ679" i="53"/>
  <c r="AJ672" i="53"/>
  <c r="AJ706" i="53"/>
  <c r="AJ461" i="53"/>
  <c r="AJ641" i="53"/>
  <c r="AJ537" i="53"/>
  <c r="AJ671" i="53"/>
  <c r="AJ610" i="53"/>
  <c r="AJ589" i="53"/>
  <c r="AJ692" i="53"/>
  <c r="AJ583" i="53"/>
  <c r="AJ483" i="53"/>
  <c r="AJ595" i="53"/>
  <c r="AJ596" i="53"/>
  <c r="AJ647" i="53"/>
  <c r="AJ667" i="53"/>
  <c r="AJ592" i="53"/>
  <c r="AJ712" i="53"/>
  <c r="AJ670" i="53"/>
  <c r="AJ568" i="53"/>
  <c r="AJ588" i="53"/>
  <c r="AJ743" i="53"/>
  <c r="AJ475" i="53"/>
  <c r="AJ590" i="53"/>
  <c r="AJ540" i="53"/>
  <c r="AJ546" i="53"/>
  <c r="AJ473" i="53"/>
  <c r="AJ466" i="53"/>
  <c r="AJ584" i="53"/>
  <c r="L16" i="16"/>
  <c r="L21" i="16"/>
  <c r="N8" i="7"/>
  <c r="AJ566" i="53"/>
  <c r="AJ669" i="53"/>
  <c r="L5" i="17"/>
  <c r="N69" i="53"/>
  <c r="X69" i="53"/>
  <c r="AJ452" i="53"/>
  <c r="AJ463" i="53"/>
  <c r="AJ468" i="53"/>
  <c r="AJ649" i="53"/>
  <c r="AJ664" i="53"/>
  <c r="AJ685" i="53"/>
  <c r="AJ465" i="53"/>
  <c r="AJ545" i="53"/>
  <c r="AJ755" i="53"/>
  <c r="AJ742" i="53"/>
  <c r="AJ682" i="53"/>
  <c r="AJ491" i="53"/>
  <c r="AJ611" i="53"/>
  <c r="AJ478" i="53"/>
  <c r="AJ690" i="53"/>
  <c r="AJ536" i="53"/>
  <c r="AJ713" i="53"/>
  <c r="AJ727" i="53"/>
  <c r="AJ561" i="53"/>
  <c r="AJ541" i="53"/>
  <c r="AJ448" i="53"/>
  <c r="AJ643" i="53"/>
  <c r="AJ579" i="53"/>
  <c r="AJ697" i="53"/>
  <c r="AJ726" i="53"/>
  <c r="AJ565" i="53"/>
  <c r="AJ582" i="53"/>
  <c r="AJ754" i="53"/>
  <c r="AJ481" i="53"/>
  <c r="AJ604" i="53"/>
  <c r="AJ644" i="53"/>
  <c r="AJ472" i="53"/>
  <c r="AJ451" i="53"/>
  <c r="AJ668" i="53"/>
  <c r="AJ642" i="53"/>
  <c r="AJ693" i="53"/>
  <c r="AJ591" i="53"/>
  <c r="AJ680" i="53"/>
  <c r="AJ724" i="53"/>
  <c r="AJ694" i="53"/>
  <c r="AJ662" i="53"/>
  <c r="AJ683" i="53"/>
  <c r="AJ614" i="53"/>
  <c r="AJ714" i="53"/>
  <c r="AJ660" i="53"/>
  <c r="AJ609" i="53"/>
  <c r="AJ553" i="53"/>
  <c r="AJ493" i="53"/>
  <c r="AJ606" i="53"/>
  <c r="AJ555" i="53"/>
  <c r="AJ665" i="53"/>
  <c r="AJ485" i="53"/>
  <c r="AJ721" i="53"/>
  <c r="AJ486" i="53"/>
  <c r="AJ564" i="53"/>
  <c r="AJ696" i="53"/>
  <c r="AJ484" i="53"/>
  <c r="AJ615" i="53"/>
  <c r="AJ722" i="53"/>
  <c r="AJ661" i="53"/>
  <c r="AJ539" i="53"/>
  <c r="AJ585" i="53"/>
  <c r="AJ666" i="53"/>
  <c r="AJ646" i="53"/>
  <c r="AJ640" i="53"/>
  <c r="AJ544" i="53"/>
  <c r="AJ476" i="53"/>
  <c r="AJ562" i="53"/>
  <c r="AJ608" i="53"/>
  <c r="AJ488" i="53"/>
  <c r="AJ469" i="53"/>
  <c r="AJ587" i="53"/>
  <c r="AJ751" i="53"/>
  <c r="AJ756" i="53"/>
  <c r="AJ594" i="53"/>
  <c r="AJ711" i="53"/>
  <c r="AJ567" i="53"/>
  <c r="AJ559" i="53"/>
  <c r="AJ576" i="53"/>
  <c r="AJ639" i="53"/>
  <c r="AJ663" i="53"/>
  <c r="AJ551" i="53"/>
  <c r="AJ677" i="53"/>
  <c r="AJ607" i="53"/>
  <c r="AJ538" i="53"/>
  <c r="AJ648" i="53"/>
  <c r="AJ753" i="53"/>
  <c r="AJ480" i="53"/>
  <c r="AJ659" i="53"/>
  <c r="AJ578" i="53"/>
  <c r="AJ471" i="53"/>
  <c r="AJ733" i="53"/>
  <c r="AJ577" i="53"/>
  <c r="AJ470" i="53"/>
  <c r="AJ573" i="53"/>
  <c r="AJ674" i="53"/>
  <c r="AJ723" i="53"/>
  <c r="AJ490" i="53"/>
  <c r="AJ635" i="53"/>
  <c r="AJ689" i="53"/>
  <c r="AJ729" i="53"/>
  <c r="AJ695" i="53"/>
  <c r="AJ487" i="53"/>
  <c r="AJ613" i="53"/>
  <c r="AJ586" i="53"/>
  <c r="AJ492" i="53"/>
  <c r="AJ645" i="53"/>
  <c r="AJ581" i="53"/>
  <c r="AJ688" i="53"/>
  <c r="AJ728" i="53"/>
  <c r="AJ447" i="53"/>
  <c r="AJ556" i="53"/>
  <c r="AJ725" i="53"/>
  <c r="AJ605" i="53"/>
  <c r="AJ691" i="53"/>
  <c r="AJ651" i="53"/>
  <c r="AJ681" i="53"/>
  <c r="AJ752" i="53"/>
  <c r="AJ554" i="53"/>
  <c r="O523" i="53"/>
  <c r="R28" i="15"/>
  <c r="O510" i="53"/>
  <c r="R15" i="15"/>
  <c r="R76" i="15"/>
  <c r="O571" i="53"/>
  <c r="O552" i="53"/>
  <c r="R57" i="15"/>
  <c r="R146" i="15"/>
  <c r="O675" i="53"/>
  <c r="O506" i="53"/>
  <c r="R11" i="15"/>
  <c r="O558" i="53"/>
  <c r="R63" i="15"/>
  <c r="R25" i="15"/>
  <c r="O520" i="53"/>
  <c r="J10" i="8"/>
  <c r="M12" i="7"/>
  <c r="K19" i="17"/>
  <c r="X71" i="53"/>
  <c r="O524" i="53"/>
  <c r="R29" i="15"/>
  <c r="O550" i="53"/>
  <c r="R55" i="15"/>
  <c r="O522" i="53"/>
  <c r="R27" i="15"/>
  <c r="R18" i="15"/>
  <c r="O513" i="53"/>
  <c r="O673" i="53"/>
  <c r="R144" i="15"/>
  <c r="O526" i="53"/>
  <c r="R31" i="15"/>
  <c r="O519" i="53"/>
  <c r="R24" i="15"/>
  <c r="R40" i="15"/>
  <c r="O535" i="53"/>
  <c r="S54" i="14"/>
  <c r="R16" i="15"/>
  <c r="O511" i="53"/>
  <c r="O557" i="53"/>
  <c r="R62" i="15"/>
  <c r="O684" i="53"/>
  <c r="R155" i="15"/>
  <c r="O676" i="53"/>
  <c r="R147" i="15"/>
  <c r="O518" i="53"/>
  <c r="R23" i="15"/>
  <c r="O458" i="53"/>
  <c r="O73" i="53"/>
  <c r="Y73" i="53"/>
  <c r="S16" i="14"/>
  <c r="J48" i="16"/>
  <c r="J51" i="16"/>
  <c r="I48" i="16"/>
  <c r="I51" i="16"/>
  <c r="H43" i="16"/>
  <c r="H51" i="16"/>
  <c r="M17" i="16"/>
  <c r="R14" i="15"/>
  <c r="O509" i="53"/>
  <c r="R47" i="15"/>
  <c r="O542" i="53"/>
  <c r="O507" i="53"/>
  <c r="R12" i="15"/>
  <c r="R17" i="15"/>
  <c r="O512" i="53"/>
  <c r="O525" i="53"/>
  <c r="R30" i="15"/>
  <c r="N69" i="6"/>
  <c r="S14" i="6"/>
  <c r="S13" i="6"/>
  <c r="N68" i="6"/>
  <c r="S15" i="14"/>
  <c r="O457" i="53"/>
  <c r="O505" i="53"/>
  <c r="R10" i="15"/>
  <c r="R68" i="15"/>
  <c r="O563" i="53"/>
  <c r="O521" i="53"/>
  <c r="R26" i="15"/>
  <c r="N459" i="53"/>
  <c r="N497" i="53"/>
  <c r="N498" i="53"/>
  <c r="O7" i="6"/>
  <c r="O9" i="6"/>
  <c r="O11" i="6"/>
  <c r="O508" i="53"/>
  <c r="R13" i="15"/>
  <c r="O517" i="53"/>
  <c r="R22" i="15"/>
  <c r="O515" i="53"/>
  <c r="R20" i="15"/>
  <c r="R7" i="15"/>
  <c r="O502" i="53"/>
  <c r="O504" i="53"/>
  <c r="R9" i="15"/>
  <c r="K20" i="8"/>
  <c r="R5" i="15"/>
  <c r="O500" i="53"/>
  <c r="O516" i="53"/>
  <c r="R21" i="15"/>
  <c r="O580" i="53"/>
  <c r="R85" i="15"/>
  <c r="R54" i="15"/>
  <c r="O549" i="53"/>
  <c r="R6" i="15"/>
  <c r="O501" i="53"/>
  <c r="O14" i="6"/>
  <c r="AI656" i="53"/>
  <c r="X656" i="53"/>
  <c r="R19" i="15"/>
  <c r="O514" i="53"/>
  <c r="R8" i="15"/>
  <c r="O503" i="53"/>
  <c r="AJ543" i="53"/>
  <c r="L20" i="8"/>
  <c r="O69" i="6"/>
  <c r="K10" i="8"/>
  <c r="O36" i="6"/>
  <c r="AJ548" i="53"/>
  <c r="O719" i="53"/>
  <c r="AJ719" i="53"/>
  <c r="AI719" i="53"/>
  <c r="AJ547" i="53"/>
  <c r="O15" i="6"/>
  <c r="O68" i="6"/>
  <c r="L19" i="17"/>
  <c r="Y656" i="53"/>
  <c r="N55" i="14"/>
  <c r="S55" i="14"/>
  <c r="N12" i="7"/>
  <c r="O459" i="53"/>
  <c r="O497" i="53"/>
  <c r="M16" i="16"/>
  <c r="Y517" i="53"/>
  <c r="AJ517" i="53"/>
  <c r="P7" i="6"/>
  <c r="P9" i="6"/>
  <c r="P11" i="6"/>
  <c r="Y557" i="53"/>
  <c r="AJ557" i="53"/>
  <c r="Y513" i="53"/>
  <c r="AJ513" i="53"/>
  <c r="Y558" i="53"/>
  <c r="AJ558" i="53"/>
  <c r="Y508" i="53"/>
  <c r="AJ508" i="53"/>
  <c r="Y516" i="53"/>
  <c r="AJ516" i="53"/>
  <c r="Y514" i="53"/>
  <c r="AJ514" i="53"/>
  <c r="AJ500" i="53"/>
  <c r="P13" i="6"/>
  <c r="Y500" i="53"/>
  <c r="Y542" i="53"/>
  <c r="AJ542" i="53"/>
  <c r="Y511" i="53"/>
  <c r="AJ511" i="53"/>
  <c r="Y519" i="53"/>
  <c r="AJ519" i="53"/>
  <c r="Y571" i="53"/>
  <c r="AJ571" i="53"/>
  <c r="Y503" i="53"/>
  <c r="AJ503" i="53"/>
  <c r="Y504" i="53"/>
  <c r="AJ504" i="53"/>
  <c r="Y505" i="53"/>
  <c r="AJ505" i="53"/>
  <c r="Y535" i="53"/>
  <c r="AJ535" i="53"/>
  <c r="Y502" i="53"/>
  <c r="AJ502" i="53"/>
  <c r="O71" i="53"/>
  <c r="Y71" i="53"/>
  <c r="AJ673" i="53"/>
  <c r="Y673" i="53"/>
  <c r="Y524" i="53"/>
  <c r="AJ524" i="53"/>
  <c r="Y507" i="53"/>
  <c r="AJ507" i="53"/>
  <c r="Y549" i="53"/>
  <c r="AJ549" i="53"/>
  <c r="Y515" i="53"/>
  <c r="AJ515" i="53"/>
  <c r="Y521" i="53"/>
  <c r="AJ521" i="53"/>
  <c r="Y525" i="53"/>
  <c r="AJ525" i="53"/>
  <c r="Y518" i="53"/>
  <c r="AJ518" i="53"/>
  <c r="Y506" i="53"/>
  <c r="AJ506" i="53"/>
  <c r="Y501" i="53"/>
  <c r="AJ501" i="53"/>
  <c r="M173" i="15"/>
  <c r="M172" i="15"/>
  <c r="O657" i="53"/>
  <c r="M5" i="17"/>
  <c r="R39" i="15"/>
  <c r="Y563" i="53"/>
  <c r="AJ563" i="53"/>
  <c r="Y509" i="53"/>
  <c r="AJ509" i="53"/>
  <c r="Y522" i="53"/>
  <c r="AJ522" i="53"/>
  <c r="Y675" i="53"/>
  <c r="AJ675" i="53"/>
  <c r="Y676" i="53"/>
  <c r="AJ676" i="53"/>
  <c r="Y526" i="53"/>
  <c r="AJ526" i="53"/>
  <c r="Y510" i="53"/>
  <c r="AJ510" i="53"/>
  <c r="Y580" i="53"/>
  <c r="AJ580" i="53"/>
  <c r="Y512" i="53"/>
  <c r="AJ512" i="53"/>
  <c r="Y550" i="53"/>
  <c r="AJ550" i="53"/>
  <c r="Y520" i="53"/>
  <c r="AJ520" i="53"/>
  <c r="Y684" i="53"/>
  <c r="AJ684" i="53"/>
  <c r="Y552" i="53"/>
  <c r="AJ552" i="53"/>
  <c r="Y523" i="53"/>
  <c r="AJ523" i="53"/>
  <c r="I4" i="8"/>
  <c r="J4" i="8"/>
  <c r="K4" i="8"/>
  <c r="L4" i="8"/>
  <c r="M4" i="8"/>
  <c r="I76" i="7"/>
  <c r="F76" i="7"/>
  <c r="E76" i="7"/>
  <c r="D76" i="7"/>
  <c r="C76" i="7"/>
  <c r="I63" i="7"/>
  <c r="F63" i="7"/>
  <c r="E63" i="7"/>
  <c r="D63" i="7"/>
  <c r="C63" i="7"/>
  <c r="I57" i="7"/>
  <c r="F57" i="7"/>
  <c r="E57" i="7"/>
  <c r="D57" i="7"/>
  <c r="C57" i="7"/>
  <c r="I49" i="7"/>
  <c r="F49" i="7"/>
  <c r="E49" i="7"/>
  <c r="D49" i="7"/>
  <c r="C49" i="7"/>
  <c r="AJ4" i="7"/>
  <c r="K4" i="7"/>
  <c r="K49" i="7"/>
  <c r="I50" i="6"/>
  <c r="I58" i="6"/>
  <c r="F50" i="6"/>
  <c r="F58" i="6"/>
  <c r="F103" i="6"/>
  <c r="E50" i="6"/>
  <c r="E58" i="6"/>
  <c r="E103" i="6"/>
  <c r="D50" i="6"/>
  <c r="D58" i="6"/>
  <c r="D103" i="6"/>
  <c r="C50" i="6"/>
  <c r="C58" i="6"/>
  <c r="C103" i="6"/>
  <c r="L4" i="6"/>
  <c r="C37" i="8"/>
  <c r="G13" i="8"/>
  <c r="G15" i="8"/>
  <c r="F13" i="8"/>
  <c r="F15" i="8"/>
  <c r="E13" i="8"/>
  <c r="E15" i="8"/>
  <c r="D13" i="8"/>
  <c r="D15" i="8"/>
  <c r="C13" i="8"/>
  <c r="C15" i="8"/>
  <c r="B58" i="7"/>
  <c r="B50" i="7"/>
  <c r="I39" i="7"/>
  <c r="F39" i="7"/>
  <c r="E39" i="7"/>
  <c r="D39" i="7"/>
  <c r="C39" i="7"/>
  <c r="AO36" i="7"/>
  <c r="AN36" i="7"/>
  <c r="AM36" i="7"/>
  <c r="AL36" i="7"/>
  <c r="AO35" i="7"/>
  <c r="AN35" i="7"/>
  <c r="AM35" i="7"/>
  <c r="AL35" i="7"/>
  <c r="AO34" i="7"/>
  <c r="AN34" i="7"/>
  <c r="AM34" i="7"/>
  <c r="AL34" i="7"/>
  <c r="AO32" i="7"/>
  <c r="AN32" i="7"/>
  <c r="AM32" i="7"/>
  <c r="AL32" i="7"/>
  <c r="I24" i="7"/>
  <c r="F24" i="7"/>
  <c r="E24" i="7"/>
  <c r="D24" i="7"/>
  <c r="C24" i="7"/>
  <c r="I68" i="7"/>
  <c r="F68" i="7"/>
  <c r="E68" i="7"/>
  <c r="D68" i="7"/>
  <c r="C68" i="7"/>
  <c r="I67" i="7"/>
  <c r="F67" i="7"/>
  <c r="E67" i="7"/>
  <c r="D67" i="7"/>
  <c r="C67" i="7"/>
  <c r="M64" i="7"/>
  <c r="L64" i="7"/>
  <c r="K64" i="7"/>
  <c r="I64" i="7"/>
  <c r="F64" i="7"/>
  <c r="E64" i="7"/>
  <c r="D64" i="7"/>
  <c r="C64" i="7"/>
  <c r="AO9" i="7"/>
  <c r="AN9" i="7"/>
  <c r="AM9" i="7"/>
  <c r="AL9" i="7"/>
  <c r="I11" i="7"/>
  <c r="AN8" i="7"/>
  <c r="AM8" i="7"/>
  <c r="AL8" i="7"/>
  <c r="AO7" i="7"/>
  <c r="AN7" i="7"/>
  <c r="M11" i="7"/>
  <c r="L11" i="7"/>
  <c r="K11" i="7"/>
  <c r="D79" i="6"/>
  <c r="AQ38" i="6"/>
  <c r="AP38" i="6"/>
  <c r="AO38" i="6"/>
  <c r="AN38" i="6"/>
  <c r="AQ37" i="6"/>
  <c r="AP37" i="6"/>
  <c r="AO37" i="6"/>
  <c r="AN37" i="6"/>
  <c r="AO36" i="6"/>
  <c r="AN36" i="6"/>
  <c r="AQ31" i="6"/>
  <c r="AP31" i="6"/>
  <c r="AO31" i="6"/>
  <c r="AN31" i="6"/>
  <c r="AQ30" i="6"/>
  <c r="AO30" i="6"/>
  <c r="AP30" i="6"/>
  <c r="AN30" i="6"/>
  <c r="AO29" i="6"/>
  <c r="AP29" i="6"/>
  <c r="AN29" i="6"/>
  <c r="I81" i="6"/>
  <c r="F81" i="6"/>
  <c r="E81" i="6"/>
  <c r="D81" i="6"/>
  <c r="C81" i="6"/>
  <c r="P80" i="6"/>
  <c r="N80" i="6"/>
  <c r="L80" i="6"/>
  <c r="I80" i="6"/>
  <c r="F80" i="6"/>
  <c r="E80" i="6"/>
  <c r="D80" i="6"/>
  <c r="C80" i="6"/>
  <c r="I79" i="6"/>
  <c r="F79" i="6"/>
  <c r="E79" i="6"/>
  <c r="C79" i="6"/>
  <c r="I78" i="6"/>
  <c r="F78" i="6"/>
  <c r="E78" i="6"/>
  <c r="D78" i="6"/>
  <c r="C78" i="6"/>
  <c r="AN14" i="6"/>
  <c r="N70" i="6"/>
  <c r="AQ10" i="6"/>
  <c r="AP10" i="6"/>
  <c r="AO10" i="6"/>
  <c r="AN10" i="6"/>
  <c r="AQ8" i="6"/>
  <c r="AP8" i="6"/>
  <c r="AO8" i="6"/>
  <c r="AN8" i="6"/>
  <c r="AO7" i="6"/>
  <c r="AN7" i="6"/>
  <c r="AQ6" i="6"/>
  <c r="AP6" i="6"/>
  <c r="AO6" i="6"/>
  <c r="AN6" i="6"/>
  <c r="W26" i="17"/>
  <c r="P11" i="7"/>
  <c r="P14" i="7"/>
  <c r="L22" i="8"/>
  <c r="R7" i="6"/>
  <c r="N64" i="7"/>
  <c r="AP36" i="6"/>
  <c r="P36" i="6"/>
  <c r="Y719" i="53"/>
  <c r="W30" i="17"/>
  <c r="V30" i="17"/>
  <c r="V26" i="17"/>
  <c r="U30" i="17"/>
  <c r="U26" i="17"/>
  <c r="I16" i="6"/>
  <c r="X30" i="17"/>
  <c r="X26" i="17"/>
  <c r="E22" i="17"/>
  <c r="E16" i="6"/>
  <c r="D22" i="17"/>
  <c r="D16" i="6"/>
  <c r="L12" i="6"/>
  <c r="L10" i="8"/>
  <c r="G22" i="17"/>
  <c r="H36" i="54"/>
  <c r="N56" i="14"/>
  <c r="O498" i="53"/>
  <c r="M19" i="17"/>
  <c r="O12" i="7"/>
  <c r="R13" i="6"/>
  <c r="P68" i="6"/>
  <c r="AJ657" i="53"/>
  <c r="O69" i="53"/>
  <c r="Y69" i="53"/>
  <c r="Y657" i="53"/>
  <c r="P14" i="6"/>
  <c r="E36" i="54"/>
  <c r="E95" i="87"/>
  <c r="D36" i="54"/>
  <c r="D95" i="87"/>
  <c r="D98" i="87"/>
  <c r="F36" i="54"/>
  <c r="F95" i="87"/>
  <c r="G95" i="87"/>
  <c r="AL11" i="6"/>
  <c r="AM11" i="6"/>
  <c r="AA30" i="6"/>
  <c r="U8" i="17"/>
  <c r="X8" i="17"/>
  <c r="AH24" i="7"/>
  <c r="W8" i="17"/>
  <c r="V8" i="17"/>
  <c r="AI11" i="6"/>
  <c r="AI39" i="7"/>
  <c r="AG24" i="7"/>
  <c r="AH39" i="7"/>
  <c r="AI24" i="7"/>
  <c r="AG39" i="7"/>
  <c r="AK11" i="7"/>
  <c r="AJ11" i="6"/>
  <c r="I67" i="6"/>
  <c r="I103" i="6"/>
  <c r="AK11" i="6"/>
  <c r="T11" i="6"/>
  <c r="O12" i="6"/>
  <c r="M12" i="6"/>
  <c r="L16" i="6"/>
  <c r="AJ24" i="7"/>
  <c r="E77" i="7"/>
  <c r="F77" i="7"/>
  <c r="I77" i="7"/>
  <c r="AJ39" i="7"/>
  <c r="Y6" i="6"/>
  <c r="Y10" i="6"/>
  <c r="Y21" i="6"/>
  <c r="Y13" i="6"/>
  <c r="Y14" i="6"/>
  <c r="Y38" i="6"/>
  <c r="Y31" i="6"/>
  <c r="Y8" i="6"/>
  <c r="Y20" i="6"/>
  <c r="Y7" i="6"/>
  <c r="Y41" i="6"/>
  <c r="Y29" i="6"/>
  <c r="Y37" i="6"/>
  <c r="Y23" i="6"/>
  <c r="Y30" i="6"/>
  <c r="Y36" i="6"/>
  <c r="Y22" i="6"/>
  <c r="Z23" i="6"/>
  <c r="Z22" i="6"/>
  <c r="Z36" i="6"/>
  <c r="Z29" i="6"/>
  <c r="Z7" i="6"/>
  <c r="Z21" i="6"/>
  <c r="Z13" i="6"/>
  <c r="Z41" i="6"/>
  <c r="Z20" i="6"/>
  <c r="Z8" i="6"/>
  <c r="Z37" i="6"/>
  <c r="Z10" i="6"/>
  <c r="Z30" i="6"/>
  <c r="Z38" i="6"/>
  <c r="Z31" i="6"/>
  <c r="Z6" i="6"/>
  <c r="Z14" i="6"/>
  <c r="AA14" i="6"/>
  <c r="AA8" i="6"/>
  <c r="AA22" i="6"/>
  <c r="AA23" i="6"/>
  <c r="AA36" i="6"/>
  <c r="AA41" i="6"/>
  <c r="AA29" i="6"/>
  <c r="AA10" i="6"/>
  <c r="AA37" i="6"/>
  <c r="AA13" i="6"/>
  <c r="AA6" i="6"/>
  <c r="AA20" i="6"/>
  <c r="AA38" i="6"/>
  <c r="AA7" i="6"/>
  <c r="AA21" i="6"/>
  <c r="AA31" i="6"/>
  <c r="X37" i="6"/>
  <c r="X8" i="6"/>
  <c r="X21" i="6"/>
  <c r="X30" i="6"/>
  <c r="X41" i="6"/>
  <c r="X22" i="6"/>
  <c r="X38" i="6"/>
  <c r="X7" i="6"/>
  <c r="X10" i="6"/>
  <c r="X6" i="6"/>
  <c r="X14" i="6"/>
  <c r="X36" i="6"/>
  <c r="X23" i="6"/>
  <c r="X29" i="6"/>
  <c r="X13" i="6"/>
  <c r="X20" i="6"/>
  <c r="X31" i="6"/>
  <c r="AN11" i="6"/>
  <c r="D86" i="6"/>
  <c r="D67" i="6"/>
  <c r="D92" i="6"/>
  <c r="D76" i="6"/>
  <c r="C86" i="6"/>
  <c r="C67" i="6"/>
  <c r="C92" i="6"/>
  <c r="C76" i="6"/>
  <c r="E86" i="6"/>
  <c r="E67" i="6"/>
  <c r="E76" i="6"/>
  <c r="E92" i="6"/>
  <c r="F67" i="6"/>
  <c r="F92" i="6"/>
  <c r="F76" i="6"/>
  <c r="F86" i="6"/>
  <c r="I86" i="6"/>
  <c r="I76" i="6"/>
  <c r="I92" i="6"/>
  <c r="D77" i="7"/>
  <c r="C77" i="7"/>
  <c r="C11" i="7"/>
  <c r="E11" i="7"/>
  <c r="AL11" i="7"/>
  <c r="AM11" i="7"/>
  <c r="D11" i="7"/>
  <c r="F11" i="7"/>
  <c r="N11" i="7"/>
  <c r="E65" i="7"/>
  <c r="E50" i="7"/>
  <c r="E58" i="7"/>
  <c r="E66" i="7"/>
  <c r="E15" i="7"/>
  <c r="AL7" i="7"/>
  <c r="F50" i="7"/>
  <c r="F65" i="7"/>
  <c r="F66" i="7"/>
  <c r="F58" i="7"/>
  <c r="F15" i="7"/>
  <c r="AM7" i="7"/>
  <c r="I50" i="7"/>
  <c r="I65" i="7"/>
  <c r="I66" i="7"/>
  <c r="I58" i="7"/>
  <c r="I15" i="7"/>
  <c r="C65" i="7"/>
  <c r="C50" i="7"/>
  <c r="C58" i="7"/>
  <c r="C66" i="7"/>
  <c r="C15" i="7"/>
  <c r="D65" i="7"/>
  <c r="D50" i="7"/>
  <c r="D58" i="7"/>
  <c r="D66" i="7"/>
  <c r="D15" i="7"/>
  <c r="I51" i="6"/>
  <c r="I93" i="6"/>
  <c r="O51" i="6"/>
  <c r="O93" i="6"/>
  <c r="AE37" i="6"/>
  <c r="AE38" i="6"/>
  <c r="AE36" i="6"/>
  <c r="AE31" i="6"/>
  <c r="AE29" i="6"/>
  <c r="AE10" i="6"/>
  <c r="AE8" i="6"/>
  <c r="AE6" i="6"/>
  <c r="E93" i="6"/>
  <c r="E51" i="6"/>
  <c r="AB38" i="6"/>
  <c r="L51" i="6"/>
  <c r="L93" i="6"/>
  <c r="AB14" i="6"/>
  <c r="AB30" i="6"/>
  <c r="AB29" i="6"/>
  <c r="AB37" i="6"/>
  <c r="AB31" i="6"/>
  <c r="AB7" i="6"/>
  <c r="AB22" i="6"/>
  <c r="AB6" i="6"/>
  <c r="AB36" i="6"/>
  <c r="AB10" i="6"/>
  <c r="AB8" i="6"/>
  <c r="C51" i="6"/>
  <c r="C59" i="6"/>
  <c r="C93" i="6"/>
  <c r="AE7" i="6"/>
  <c r="F93" i="6"/>
  <c r="F51" i="6"/>
  <c r="AC38" i="6"/>
  <c r="M51" i="6"/>
  <c r="M93" i="6"/>
  <c r="AC37" i="6"/>
  <c r="AC36" i="6"/>
  <c r="AC31" i="6"/>
  <c r="AP7" i="6"/>
  <c r="AQ7" i="6"/>
  <c r="AC8" i="6"/>
  <c r="AC10" i="6"/>
  <c r="O70" i="6"/>
  <c r="AE13" i="6"/>
  <c r="D93" i="6"/>
  <c r="D51" i="6"/>
  <c r="AO13" i="6"/>
  <c r="AN13" i="6"/>
  <c r="AC13" i="6"/>
  <c r="AP14" i="6"/>
  <c r="M80" i="6"/>
  <c r="AN22" i="6"/>
  <c r="AC22" i="6"/>
  <c r="C24" i="6"/>
  <c r="AC14" i="6"/>
  <c r="O80" i="6"/>
  <c r="AQ22" i="6"/>
  <c r="AP22" i="6"/>
  <c r="AE22" i="6"/>
  <c r="AC6" i="6"/>
  <c r="AC7" i="6"/>
  <c r="AP13" i="6"/>
  <c r="M17" i="6"/>
  <c r="AE14" i="6"/>
  <c r="L70" i="6"/>
  <c r="AB13" i="6"/>
  <c r="AQ13" i="6"/>
  <c r="F16" i="6"/>
  <c r="AO14" i="6"/>
  <c r="AE30" i="6"/>
  <c r="D24" i="6"/>
  <c r="AO22" i="6"/>
  <c r="E24" i="6"/>
  <c r="F24" i="6"/>
  <c r="I24" i="6"/>
  <c r="AC29" i="6"/>
  <c r="AC30" i="6"/>
  <c r="P36" i="54"/>
  <c r="J36" i="54"/>
  <c r="J5" i="54"/>
  <c r="AQ36" i="6"/>
  <c r="P12" i="6"/>
  <c r="P15" i="6"/>
  <c r="Y26" i="17"/>
  <c r="I26" i="17"/>
  <c r="M22" i="8"/>
  <c r="R36" i="6"/>
  <c r="Y30" i="17"/>
  <c r="M30" i="17"/>
  <c r="R11" i="6"/>
  <c r="AF8" i="6"/>
  <c r="AQ11" i="6"/>
  <c r="P51" i="6"/>
  <c r="P59" i="6"/>
  <c r="AF7" i="6"/>
  <c r="AF6" i="6"/>
  <c r="AF37" i="6"/>
  <c r="AF30" i="6"/>
  <c r="AF38" i="6"/>
  <c r="AF31" i="6"/>
  <c r="P93" i="6"/>
  <c r="AF10" i="6"/>
  <c r="AF36" i="6"/>
  <c r="AF22" i="6"/>
  <c r="AF13" i="6"/>
  <c r="AQ14" i="6"/>
  <c r="AF14" i="6"/>
  <c r="Y8" i="17"/>
  <c r="R14" i="6"/>
  <c r="P69" i="6"/>
  <c r="P70" i="6"/>
  <c r="M10" i="8"/>
  <c r="O64" i="7"/>
  <c r="L95" i="87"/>
  <c r="F98" i="87"/>
  <c r="E98" i="87"/>
  <c r="I95" i="87"/>
  <c r="J95" i="87"/>
  <c r="G98" i="87"/>
  <c r="K95" i="87"/>
  <c r="K13" i="7"/>
  <c r="N12" i="6"/>
  <c r="AB15" i="6"/>
  <c r="AI15" i="7"/>
  <c r="AH18" i="7"/>
  <c r="AG11" i="7"/>
  <c r="AG18" i="7"/>
  <c r="AG15" i="7"/>
  <c r="AJ11" i="7"/>
  <c r="AI11" i="7"/>
  <c r="AJ15" i="6"/>
  <c r="AH11" i="7"/>
  <c r="AH15" i="7"/>
  <c r="AJ24" i="6"/>
  <c r="AI18" i="7"/>
  <c r="F17" i="6"/>
  <c r="F18" i="6"/>
  <c r="AK15" i="6"/>
  <c r="AA24" i="6"/>
  <c r="T24" i="6"/>
  <c r="AL24" i="6"/>
  <c r="AI24" i="6"/>
  <c r="AK24" i="6"/>
  <c r="L17" i="6"/>
  <c r="L94" i="6"/>
  <c r="L72" i="6"/>
  <c r="S15" i="6"/>
  <c r="S11" i="6"/>
  <c r="AJ18" i="7"/>
  <c r="AJ15" i="7"/>
  <c r="Z11" i="6"/>
  <c r="D95" i="6"/>
  <c r="X24" i="6"/>
  <c r="F95" i="6"/>
  <c r="Z24" i="6"/>
  <c r="C95" i="6"/>
  <c r="W24" i="6"/>
  <c r="F94" i="6"/>
  <c r="Z15" i="6"/>
  <c r="E95" i="6"/>
  <c r="Y24" i="6"/>
  <c r="AA11" i="6"/>
  <c r="D94" i="6"/>
  <c r="X15" i="6"/>
  <c r="X11" i="6"/>
  <c r="E94" i="6"/>
  <c r="Y15" i="6"/>
  <c r="Y11" i="6"/>
  <c r="AD7" i="6"/>
  <c r="AD6" i="6"/>
  <c r="M52" i="6"/>
  <c r="I95" i="6"/>
  <c r="L52" i="6"/>
  <c r="F59" i="6"/>
  <c r="F61" i="6"/>
  <c r="F52" i="6"/>
  <c r="D59" i="6"/>
  <c r="D61" i="6"/>
  <c r="D52" i="6"/>
  <c r="I59" i="6"/>
  <c r="I52" i="6"/>
  <c r="E59" i="6"/>
  <c r="E61" i="6"/>
  <c r="E52" i="6"/>
  <c r="E69" i="7"/>
  <c r="I69" i="7"/>
  <c r="C69" i="7"/>
  <c r="D69" i="7"/>
  <c r="I20" i="7"/>
  <c r="F69" i="7"/>
  <c r="AD13" i="6"/>
  <c r="AB11" i="6"/>
  <c r="AE11" i="6"/>
  <c r="D39" i="8"/>
  <c r="AN11" i="7"/>
  <c r="D20" i="7"/>
  <c r="D11" i="17"/>
  <c r="C20" i="7"/>
  <c r="C11" i="17"/>
  <c r="F20" i="7"/>
  <c r="F11" i="17"/>
  <c r="K57" i="7"/>
  <c r="K63" i="7"/>
  <c r="K76" i="7"/>
  <c r="Z4" i="7"/>
  <c r="AK4" i="7"/>
  <c r="L4" i="7"/>
  <c r="L49" i="7"/>
  <c r="E20" i="7"/>
  <c r="E11" i="17"/>
  <c r="M94" i="6"/>
  <c r="M16" i="6"/>
  <c r="M60" i="6"/>
  <c r="AC15" i="6"/>
  <c r="AN15" i="6"/>
  <c r="AC11" i="6"/>
  <c r="L50" i="6"/>
  <c r="L58" i="6"/>
  <c r="AB4" i="6"/>
  <c r="AM4" i="6"/>
  <c r="M4" i="6"/>
  <c r="C61" i="6"/>
  <c r="O59" i="6"/>
  <c r="AD14" i="6"/>
  <c r="N94" i="6"/>
  <c r="N60" i="6"/>
  <c r="N16" i="6"/>
  <c r="AO15" i="6"/>
  <c r="AD15" i="6"/>
  <c r="M59" i="6"/>
  <c r="E17" i="6"/>
  <c r="AP11" i="6"/>
  <c r="AD22" i="6"/>
  <c r="W15" i="6"/>
  <c r="N72" i="6"/>
  <c r="AD38" i="6"/>
  <c r="N51" i="6"/>
  <c r="N52" i="6"/>
  <c r="N93" i="6"/>
  <c r="AD37" i="6"/>
  <c r="N17" i="6"/>
  <c r="AD31" i="6"/>
  <c r="AD29" i="6"/>
  <c r="AD36" i="6"/>
  <c r="AD10" i="6"/>
  <c r="AD8" i="6"/>
  <c r="AD30" i="6"/>
  <c r="AO11" i="6"/>
  <c r="M70" i="6"/>
  <c r="M72" i="6"/>
  <c r="L59" i="6"/>
  <c r="M77" i="6"/>
  <c r="AC17" i="6"/>
  <c r="M18" i="6"/>
  <c r="D17" i="6"/>
  <c r="G11" i="17"/>
  <c r="I157" i="15"/>
  <c r="P94" i="6"/>
  <c r="L26" i="17"/>
  <c r="J34" i="54"/>
  <c r="I30" i="17"/>
  <c r="J30" i="17"/>
  <c r="L30" i="17"/>
  <c r="K30" i="17"/>
  <c r="L18" i="6"/>
  <c r="AB17" i="6"/>
  <c r="I158" i="15"/>
  <c r="M26" i="17"/>
  <c r="J26" i="17"/>
  <c r="K26" i="17"/>
  <c r="P52" i="6"/>
  <c r="AF11" i="6"/>
  <c r="P16" i="6"/>
  <c r="P72" i="6"/>
  <c r="R15" i="6"/>
  <c r="AF15" i="6"/>
  <c r="P17" i="6"/>
  <c r="P60" i="6"/>
  <c r="P61" i="6"/>
  <c r="AN17" i="6"/>
  <c r="AH20" i="7"/>
  <c r="D97" i="6"/>
  <c r="D98" i="6"/>
  <c r="F26" i="6"/>
  <c r="F77" i="6"/>
  <c r="F82" i="6"/>
  <c r="F87" i="6"/>
  <c r="G88" i="6"/>
  <c r="AI20" i="7"/>
  <c r="F97" i="6"/>
  <c r="F98" i="6"/>
  <c r="AG20" i="7"/>
  <c r="T15" i="6"/>
  <c r="AL15" i="6"/>
  <c r="Z17" i="6"/>
  <c r="AK17" i="6"/>
  <c r="Y17" i="6"/>
  <c r="AJ17" i="6"/>
  <c r="AI15" i="6"/>
  <c r="X17" i="6"/>
  <c r="L67" i="6"/>
  <c r="L76" i="6"/>
  <c r="L86" i="6"/>
  <c r="L92" i="6"/>
  <c r="L103" i="6"/>
  <c r="S17" i="6"/>
  <c r="L77" i="6"/>
  <c r="L61" i="6"/>
  <c r="F26" i="7"/>
  <c r="I26" i="7"/>
  <c r="AJ20" i="7"/>
  <c r="D26" i="7"/>
  <c r="E26" i="7"/>
  <c r="C26" i="7"/>
  <c r="U20" i="7"/>
  <c r="E97" i="6"/>
  <c r="E98" i="6"/>
  <c r="I17" i="6"/>
  <c r="AA15" i="6"/>
  <c r="I61" i="6"/>
  <c r="I94" i="6"/>
  <c r="I97" i="6"/>
  <c r="I98" i="6"/>
  <c r="AM15" i="6"/>
  <c r="O52" i="6"/>
  <c r="L57" i="7"/>
  <c r="L63" i="7"/>
  <c r="L76" i="7"/>
  <c r="AA4" i="7"/>
  <c r="AL4" i="7"/>
  <c r="M4" i="7"/>
  <c r="M49" i="7"/>
  <c r="AL27" i="7"/>
  <c r="C94" i="6"/>
  <c r="C97" i="6"/>
  <c r="C98" i="6"/>
  <c r="C17" i="6"/>
  <c r="W17" i="6"/>
  <c r="O94" i="6"/>
  <c r="O16" i="6"/>
  <c r="O60" i="6"/>
  <c r="O61" i="6"/>
  <c r="AP15" i="6"/>
  <c r="AE15" i="6"/>
  <c r="O17" i="6"/>
  <c r="AD11" i="6"/>
  <c r="N59" i="6"/>
  <c r="N61" i="6"/>
  <c r="E77" i="6"/>
  <c r="E82" i="6"/>
  <c r="E18" i="6"/>
  <c r="E26" i="6"/>
  <c r="M61" i="6"/>
  <c r="D77" i="6"/>
  <c r="D82" i="6"/>
  <c r="D18" i="6"/>
  <c r="D26" i="6"/>
  <c r="AQ15" i="6"/>
  <c r="N77" i="6"/>
  <c r="AO17" i="6"/>
  <c r="AD17" i="6"/>
  <c r="N18" i="6"/>
  <c r="M50" i="6"/>
  <c r="M58" i="6"/>
  <c r="AC4" i="6"/>
  <c r="AN4" i="6"/>
  <c r="N4" i="6"/>
  <c r="O72" i="6"/>
  <c r="I36" i="17"/>
  <c r="I38" i="17"/>
  <c r="I13" i="17"/>
  <c r="K21" i="7"/>
  <c r="Y20" i="7"/>
  <c r="AF17" i="6"/>
  <c r="AD5" i="54"/>
  <c r="J6" i="54"/>
  <c r="J50" i="54"/>
  <c r="I79" i="15"/>
  <c r="K574" i="53"/>
  <c r="J43" i="54"/>
  <c r="J51" i="54"/>
  <c r="I80" i="15"/>
  <c r="K575" i="53"/>
  <c r="U575" i="53"/>
  <c r="I170" i="15"/>
  <c r="K687" i="53"/>
  <c r="U687" i="53"/>
  <c r="K686" i="53"/>
  <c r="J37" i="54"/>
  <c r="P77" i="6"/>
  <c r="P18" i="6"/>
  <c r="R17" i="6"/>
  <c r="K36" i="54"/>
  <c r="F78" i="7"/>
  <c r="F79" i="7"/>
  <c r="F81" i="7"/>
  <c r="E78" i="7"/>
  <c r="E79" i="7"/>
  <c r="E81" i="7"/>
  <c r="I18" i="6"/>
  <c r="U17" i="6"/>
  <c r="D7" i="8"/>
  <c r="D9" i="8"/>
  <c r="D18" i="8"/>
  <c r="D21" i="8"/>
  <c r="D78" i="7"/>
  <c r="D79" i="7"/>
  <c r="D81" i="7"/>
  <c r="M62" i="6"/>
  <c r="E7" i="8"/>
  <c r="E9" i="8"/>
  <c r="E18" i="8"/>
  <c r="E21" i="8"/>
  <c r="F9" i="8"/>
  <c r="F18" i="8"/>
  <c r="F21" i="8"/>
  <c r="AH26" i="7"/>
  <c r="F27" i="6"/>
  <c r="F33" i="6"/>
  <c r="F40" i="6"/>
  <c r="Z26" i="6"/>
  <c r="F83" i="6"/>
  <c r="W20" i="7"/>
  <c r="X20" i="7"/>
  <c r="AI26" i="7"/>
  <c r="AJ26" i="6"/>
  <c r="V20" i="7"/>
  <c r="AG26" i="7"/>
  <c r="I26" i="6"/>
  <c r="T17" i="6"/>
  <c r="AL17" i="6"/>
  <c r="AK26" i="6"/>
  <c r="M67" i="6"/>
  <c r="M76" i="6"/>
  <c r="M86" i="6"/>
  <c r="M92" i="6"/>
  <c r="M103" i="6"/>
  <c r="I77" i="6"/>
  <c r="I82" i="6"/>
  <c r="AI17" i="6"/>
  <c r="V10" i="7"/>
  <c r="V26" i="7"/>
  <c r="V21" i="7"/>
  <c r="V7" i="7"/>
  <c r="V13" i="7"/>
  <c r="V12" i="7"/>
  <c r="V16" i="7"/>
  <c r="V17" i="7"/>
  <c r="V22" i="7"/>
  <c r="V9" i="7"/>
  <c r="V14" i="7"/>
  <c r="V8" i="7"/>
  <c r="V24" i="7"/>
  <c r="V15" i="7"/>
  <c r="V11" i="7"/>
  <c r="V18" i="7"/>
  <c r="Y10" i="7"/>
  <c r="AJ26" i="7"/>
  <c r="Y26" i="7"/>
  <c r="Y17" i="7"/>
  <c r="Y14" i="7"/>
  <c r="Y7" i="7"/>
  <c r="Y21" i="7"/>
  <c r="Y22" i="7"/>
  <c r="Y12" i="7"/>
  <c r="Y8" i="7"/>
  <c r="Y9" i="7"/>
  <c r="Y13" i="7"/>
  <c r="Y16" i="7"/>
  <c r="Y24" i="7"/>
  <c r="Y11" i="7"/>
  <c r="Y18" i="7"/>
  <c r="Y15" i="7"/>
  <c r="U10" i="7"/>
  <c r="U26" i="7"/>
  <c r="U8" i="7"/>
  <c r="U13" i="7"/>
  <c r="U21" i="7"/>
  <c r="U12" i="7"/>
  <c r="U7" i="7"/>
  <c r="U17" i="7"/>
  <c r="U16" i="7"/>
  <c r="U9" i="7"/>
  <c r="U14" i="7"/>
  <c r="U22" i="7"/>
  <c r="U24" i="7"/>
  <c r="U11" i="7"/>
  <c r="U18" i="7"/>
  <c r="U15" i="7"/>
  <c r="X10" i="7"/>
  <c r="X26" i="7"/>
  <c r="X8" i="7"/>
  <c r="X12" i="7"/>
  <c r="X14" i="7"/>
  <c r="X17" i="7"/>
  <c r="X9" i="7"/>
  <c r="X16" i="7"/>
  <c r="X7" i="7"/>
  <c r="X22" i="7"/>
  <c r="X21" i="7"/>
  <c r="X24" i="7"/>
  <c r="X15" i="7"/>
  <c r="X18" i="7"/>
  <c r="X11" i="7"/>
  <c r="W10" i="7"/>
  <c r="W26" i="7"/>
  <c r="W9" i="7"/>
  <c r="W13" i="7"/>
  <c r="W22" i="7"/>
  <c r="W16" i="7"/>
  <c r="W21" i="7"/>
  <c r="W8" i="7"/>
  <c r="W14" i="7"/>
  <c r="W7" i="7"/>
  <c r="W17" i="7"/>
  <c r="W12" i="7"/>
  <c r="W24" i="7"/>
  <c r="W11" i="7"/>
  <c r="W18" i="7"/>
  <c r="W15" i="7"/>
  <c r="X26" i="6"/>
  <c r="Y26" i="6"/>
  <c r="AM17" i="6"/>
  <c r="AA17" i="6"/>
  <c r="N62" i="6"/>
  <c r="P62" i="6"/>
  <c r="M57" i="7"/>
  <c r="M63" i="7"/>
  <c r="M76" i="7"/>
  <c r="AB4" i="7"/>
  <c r="AM4" i="7"/>
  <c r="N4" i="7"/>
  <c r="N49" i="7"/>
  <c r="AM27" i="7"/>
  <c r="O77" i="6"/>
  <c r="AP17" i="6"/>
  <c r="AE17" i="6"/>
  <c r="O18" i="6"/>
  <c r="D33" i="6"/>
  <c r="D27" i="6"/>
  <c r="O62" i="6"/>
  <c r="E27" i="6"/>
  <c r="E33" i="6"/>
  <c r="N50" i="6"/>
  <c r="N58" i="6"/>
  <c r="AD4" i="6"/>
  <c r="AO4" i="6"/>
  <c r="O4" i="6"/>
  <c r="D83" i="6"/>
  <c r="D87" i="6"/>
  <c r="E83" i="6"/>
  <c r="E87" i="6"/>
  <c r="F88" i="6"/>
  <c r="C77" i="6"/>
  <c r="C82" i="6"/>
  <c r="C18" i="6"/>
  <c r="C26" i="6"/>
  <c r="AQ17" i="6"/>
  <c r="AK21" i="7"/>
  <c r="I16" i="8"/>
  <c r="I108" i="15"/>
  <c r="AF575" i="53"/>
  <c r="AF687" i="53"/>
  <c r="U686" i="53"/>
  <c r="AF686" i="53"/>
  <c r="L23" i="6"/>
  <c r="AF574" i="53"/>
  <c r="U574" i="53"/>
  <c r="L21" i="6"/>
  <c r="L36" i="54"/>
  <c r="K5" i="54"/>
  <c r="C78" i="7"/>
  <c r="C79" i="7"/>
  <c r="C81" i="7"/>
  <c r="U26" i="6"/>
  <c r="F104" i="6"/>
  <c r="F106" i="6"/>
  <c r="I78" i="7"/>
  <c r="I79" i="7"/>
  <c r="I81" i="7"/>
  <c r="Z33" i="6"/>
  <c r="G7" i="8"/>
  <c r="G9" i="8"/>
  <c r="G18" i="8"/>
  <c r="G21" i="8"/>
  <c r="AI26" i="6"/>
  <c r="C7" i="8"/>
  <c r="C9" i="8"/>
  <c r="C18" i="8"/>
  <c r="C21" i="8"/>
  <c r="I11" i="8"/>
  <c r="AK13" i="7"/>
  <c r="K65" i="7"/>
  <c r="K50" i="7"/>
  <c r="I83" i="6"/>
  <c r="I87" i="6"/>
  <c r="I88" i="6"/>
  <c r="AK33" i="6"/>
  <c r="F34" i="6"/>
  <c r="I33" i="6"/>
  <c r="I27" i="6"/>
  <c r="N67" i="6"/>
  <c r="N76" i="6"/>
  <c r="N86" i="6"/>
  <c r="N92" i="6"/>
  <c r="N103" i="6"/>
  <c r="Y33" i="6"/>
  <c r="AJ33" i="6"/>
  <c r="X33" i="6"/>
  <c r="AA26" i="6"/>
  <c r="T26" i="6"/>
  <c r="AL26" i="6"/>
  <c r="W26" i="6"/>
  <c r="F42" i="6"/>
  <c r="Z40" i="6"/>
  <c r="E88" i="6"/>
  <c r="N57" i="7"/>
  <c r="N63" i="7"/>
  <c r="N76" i="7"/>
  <c r="AC4" i="7"/>
  <c r="AN4" i="7"/>
  <c r="O4" i="7"/>
  <c r="O49" i="7"/>
  <c r="AN27" i="7"/>
  <c r="D40" i="6"/>
  <c r="D34" i="6"/>
  <c r="O50" i="6"/>
  <c r="O58" i="6"/>
  <c r="AE4" i="6"/>
  <c r="AP4" i="6"/>
  <c r="P4" i="6"/>
  <c r="C83" i="6"/>
  <c r="C87" i="6"/>
  <c r="D88" i="6"/>
  <c r="E40" i="6"/>
  <c r="E34" i="6"/>
  <c r="C27" i="6"/>
  <c r="C33" i="6"/>
  <c r="I7" i="17"/>
  <c r="W33" i="6"/>
  <c r="AM23" i="6"/>
  <c r="L81" i="6"/>
  <c r="AB23" i="6"/>
  <c r="AM21" i="6"/>
  <c r="L79" i="6"/>
  <c r="AB21" i="6"/>
  <c r="M36" i="54"/>
  <c r="L5" i="54"/>
  <c r="L13" i="7"/>
  <c r="U33" i="6"/>
  <c r="T27" i="6"/>
  <c r="U27" i="6"/>
  <c r="D104" i="6"/>
  <c r="D106" i="6"/>
  <c r="AL33" i="6"/>
  <c r="AA33" i="6"/>
  <c r="I34" i="6"/>
  <c r="T33" i="6"/>
  <c r="I40" i="6"/>
  <c r="AJ40" i="6"/>
  <c r="E104" i="6"/>
  <c r="E106" i="6"/>
  <c r="AK40" i="6"/>
  <c r="O67" i="6"/>
  <c r="O76" i="6"/>
  <c r="O86" i="6"/>
  <c r="O92" i="6"/>
  <c r="O103" i="6"/>
  <c r="AI33" i="6"/>
  <c r="F43" i="6"/>
  <c r="Z42" i="6"/>
  <c r="E42" i="6"/>
  <c r="Y40" i="6"/>
  <c r="D42" i="6"/>
  <c r="X40" i="6"/>
  <c r="AO27" i="7"/>
  <c r="O57" i="7"/>
  <c r="O63" i="7"/>
  <c r="O76" i="7"/>
  <c r="AD4" i="7"/>
  <c r="AO4" i="7"/>
  <c r="P50" i="6"/>
  <c r="P58" i="6"/>
  <c r="AF4" i="6"/>
  <c r="AQ4" i="6"/>
  <c r="C40" i="6"/>
  <c r="C34" i="6"/>
  <c r="J158" i="15"/>
  <c r="J157" i="15"/>
  <c r="L686" i="53"/>
  <c r="K14" i="7"/>
  <c r="I22" i="17"/>
  <c r="N36" i="54"/>
  <c r="N5" i="54"/>
  <c r="M5" i="54"/>
  <c r="AL13" i="7"/>
  <c r="L50" i="7"/>
  <c r="J11" i="8"/>
  <c r="L65" i="7"/>
  <c r="M13" i="7"/>
  <c r="I104" i="6"/>
  <c r="I106" i="6"/>
  <c r="U34" i="6"/>
  <c r="AA40" i="6"/>
  <c r="I42" i="6"/>
  <c r="AL40" i="6"/>
  <c r="T40" i="6"/>
  <c r="AI40" i="6"/>
  <c r="C104" i="6"/>
  <c r="C106" i="6"/>
  <c r="P67" i="6"/>
  <c r="P76" i="6"/>
  <c r="P86" i="6"/>
  <c r="P92" i="6"/>
  <c r="P103" i="6"/>
  <c r="AJ42" i="6"/>
  <c r="AK42" i="6"/>
  <c r="C42" i="6"/>
  <c r="W40" i="6"/>
  <c r="D30" i="7"/>
  <c r="X42" i="6"/>
  <c r="E30" i="7"/>
  <c r="Y42" i="6"/>
  <c r="J36" i="17"/>
  <c r="J38" i="17"/>
  <c r="J13" i="17"/>
  <c r="L21" i="7"/>
  <c r="L687" i="53"/>
  <c r="AG687" i="53"/>
  <c r="K158" i="15"/>
  <c r="AI42" i="6"/>
  <c r="K157" i="15"/>
  <c r="M686" i="53"/>
  <c r="J170" i="15"/>
  <c r="AG686" i="53"/>
  <c r="M23" i="6"/>
  <c r="V686" i="53"/>
  <c r="I12" i="8"/>
  <c r="I13" i="8"/>
  <c r="AK14" i="7"/>
  <c r="K58" i="7"/>
  <c r="K66" i="7"/>
  <c r="K15" i="7"/>
  <c r="L106" i="6"/>
  <c r="M50" i="7"/>
  <c r="AM13" i="7"/>
  <c r="K11" i="8"/>
  <c r="M65" i="7"/>
  <c r="N13" i="7"/>
  <c r="AA42" i="6"/>
  <c r="U42" i="6"/>
  <c r="AL42" i="6"/>
  <c r="T42" i="6"/>
  <c r="AH30" i="7"/>
  <c r="AI30" i="7"/>
  <c r="C30" i="7"/>
  <c r="AG30" i="7"/>
  <c r="W42" i="6"/>
  <c r="J16" i="8"/>
  <c r="AL21" i="7"/>
  <c r="K36" i="17"/>
  <c r="K38" i="17"/>
  <c r="K13" i="17"/>
  <c r="M21" i="7"/>
  <c r="V687" i="53"/>
  <c r="M687" i="53"/>
  <c r="W687" i="53"/>
  <c r="AK15" i="7"/>
  <c r="L158" i="15"/>
  <c r="L36" i="17"/>
  <c r="L38" i="17"/>
  <c r="K170" i="15"/>
  <c r="AC23" i="6"/>
  <c r="M81" i="6"/>
  <c r="AN23" i="6"/>
  <c r="L157" i="15"/>
  <c r="W686" i="53"/>
  <c r="AH686" i="53"/>
  <c r="N23" i="6"/>
  <c r="M106" i="6"/>
  <c r="N106" i="6"/>
  <c r="O13" i="7"/>
  <c r="N50" i="7"/>
  <c r="N65" i="7"/>
  <c r="L11" i="8"/>
  <c r="AN13" i="7"/>
  <c r="C31" i="7"/>
  <c r="AM21" i="7"/>
  <c r="K16" i="8"/>
  <c r="AH687" i="53"/>
  <c r="M158" i="15"/>
  <c r="M36" i="17"/>
  <c r="M38" i="17"/>
  <c r="N687" i="53"/>
  <c r="X687" i="53"/>
  <c r="M157" i="15"/>
  <c r="R157" i="15"/>
  <c r="N81" i="6"/>
  <c r="AO23" i="6"/>
  <c r="AD23" i="6"/>
  <c r="S23" i="6"/>
  <c r="N686" i="53"/>
  <c r="L170" i="15"/>
  <c r="M11" i="8"/>
  <c r="O65" i="7"/>
  <c r="O50" i="7"/>
  <c r="AO13" i="7"/>
  <c r="O106" i="6"/>
  <c r="C41" i="7"/>
  <c r="D31" i="7"/>
  <c r="D30" i="8"/>
  <c r="AI687" i="53"/>
  <c r="M170" i="15"/>
  <c r="R170" i="15"/>
  <c r="M13" i="17"/>
  <c r="O21" i="7"/>
  <c r="L13" i="17"/>
  <c r="N21" i="7"/>
  <c r="O686" i="53"/>
  <c r="Y686" i="53"/>
  <c r="O687" i="53"/>
  <c r="R158" i="15"/>
  <c r="P23" i="6"/>
  <c r="AI686" i="53"/>
  <c r="X686" i="53"/>
  <c r="O23" i="6"/>
  <c r="AG31" i="7"/>
  <c r="D37" i="8"/>
  <c r="P106" i="6"/>
  <c r="C42" i="7"/>
  <c r="U41" i="7"/>
  <c r="U35" i="7"/>
  <c r="U32" i="7"/>
  <c r="U36" i="7"/>
  <c r="U34" i="7"/>
  <c r="U27" i="7"/>
  <c r="U29" i="7"/>
  <c r="U37" i="7"/>
  <c r="U33" i="7"/>
  <c r="U28" i="7"/>
  <c r="U39" i="7"/>
  <c r="U30" i="7"/>
  <c r="U31" i="7"/>
  <c r="D41" i="7"/>
  <c r="AG41" i="7"/>
  <c r="E31" i="7"/>
  <c r="E30" i="8"/>
  <c r="E37" i="8"/>
  <c r="L16" i="8"/>
  <c r="AN21" i="7"/>
  <c r="M16" i="8"/>
  <c r="AO21" i="7"/>
  <c r="AJ686" i="53"/>
  <c r="Y687" i="53"/>
  <c r="AJ687" i="53"/>
  <c r="O81" i="6"/>
  <c r="AE23" i="6"/>
  <c r="AP23" i="6"/>
  <c r="P81" i="6"/>
  <c r="AQ23" i="6"/>
  <c r="AF23" i="6"/>
  <c r="R23" i="6"/>
  <c r="D40" i="8"/>
  <c r="D41" i="8"/>
  <c r="AH31" i="7"/>
  <c r="D42" i="7"/>
  <c r="V41" i="7"/>
  <c r="V34" i="7"/>
  <c r="V37" i="7"/>
  <c r="V27" i="7"/>
  <c r="V29" i="7"/>
  <c r="V35" i="7"/>
  <c r="V28" i="7"/>
  <c r="V36" i="7"/>
  <c r="V32" i="7"/>
  <c r="V33" i="7"/>
  <c r="V39" i="7"/>
  <c r="V30" i="7"/>
  <c r="V31" i="7"/>
  <c r="E41" i="7"/>
  <c r="E40" i="8"/>
  <c r="F31" i="7"/>
  <c r="AI31" i="7"/>
  <c r="D42" i="8"/>
  <c r="E39" i="8"/>
  <c r="E41" i="8"/>
  <c r="E42" i="8"/>
  <c r="AH41" i="7"/>
  <c r="E42" i="7"/>
  <c r="W41" i="7"/>
  <c r="W36" i="7"/>
  <c r="W35" i="7"/>
  <c r="W34" i="7"/>
  <c r="W32" i="7"/>
  <c r="W29" i="7"/>
  <c r="W37" i="7"/>
  <c r="W27" i="7"/>
  <c r="W28" i="7"/>
  <c r="W33" i="7"/>
  <c r="W39" i="7"/>
  <c r="W30" i="7"/>
  <c r="W31" i="7"/>
  <c r="F41" i="7"/>
  <c r="AI41" i="7"/>
  <c r="F39" i="8"/>
  <c r="F42" i="7"/>
  <c r="X41" i="7"/>
  <c r="X34" i="7"/>
  <c r="X28" i="7"/>
  <c r="X29" i="7"/>
  <c r="X32" i="7"/>
  <c r="X36" i="7"/>
  <c r="X30" i="7"/>
  <c r="X27" i="7"/>
  <c r="X33" i="7"/>
  <c r="X35" i="7"/>
  <c r="X37" i="7"/>
  <c r="X39" i="7"/>
  <c r="X31" i="7"/>
  <c r="P1345" i="72"/>
  <c r="Q25" i="72"/>
  <c r="R25" i="72"/>
  <c r="S25" i="72"/>
  <c r="S1358" i="72"/>
  <c r="S1381" i="72"/>
  <c r="S1383" i="72"/>
  <c r="Q1358" i="72"/>
  <c r="P1346" i="72"/>
  <c r="P1356" i="72"/>
  <c r="P1361" i="72"/>
  <c r="Q1345" i="72"/>
  <c r="Q1381" i="72"/>
  <c r="Q1346" i="72"/>
  <c r="R1345" i="72"/>
  <c r="R1358" i="72"/>
  <c r="S1345" i="72"/>
  <c r="S1360" i="72"/>
  <c r="Q1360" i="72"/>
  <c r="Q1361" i="72"/>
  <c r="Q1353" i="72"/>
  <c r="T25" i="72"/>
  <c r="R1360" i="72"/>
  <c r="R1381" i="72"/>
  <c r="R1383" i="72"/>
  <c r="Q1376" i="72"/>
  <c r="Q1383" i="72"/>
  <c r="M9" i="16"/>
  <c r="M22" i="16"/>
  <c r="P29" i="6"/>
  <c r="R1361" i="72"/>
  <c r="R1346" i="72"/>
  <c r="S1346" i="72"/>
  <c r="R1353" i="72"/>
  <c r="S1361" i="72"/>
  <c r="T1345" i="72"/>
  <c r="T1358" i="72"/>
  <c r="Q1355" i="72"/>
  <c r="Q1356" i="72"/>
  <c r="U25" i="72"/>
  <c r="AQ29" i="6"/>
  <c r="R29" i="6"/>
  <c r="AF29" i="6"/>
  <c r="S1353" i="72"/>
  <c r="S1376" i="72"/>
  <c r="S1378" i="72"/>
  <c r="R1376" i="72"/>
  <c r="R1378" i="72"/>
  <c r="M8" i="16"/>
  <c r="M21" i="16"/>
  <c r="O8" i="7"/>
  <c r="Q1378" i="72"/>
  <c r="T1360" i="72"/>
  <c r="T1361" i="72"/>
  <c r="T1381" i="72"/>
  <c r="T1383" i="72"/>
  <c r="T1346" i="72"/>
  <c r="U1345" i="72"/>
  <c r="U1346" i="72"/>
  <c r="U1358" i="72"/>
  <c r="S1355" i="72"/>
  <c r="S1356" i="72"/>
  <c r="R1355" i="72"/>
  <c r="R1356" i="72"/>
  <c r="V25" i="72"/>
  <c r="M20" i="8"/>
  <c r="AO8" i="7"/>
  <c r="O11" i="7"/>
  <c r="AO11" i="7"/>
  <c r="U1360" i="72"/>
  <c r="U1381" i="72"/>
  <c r="U1383" i="72"/>
  <c r="U1361" i="72"/>
  <c r="V1345" i="72"/>
  <c r="V1346" i="72"/>
  <c r="V1358" i="72"/>
  <c r="T1353" i="72"/>
  <c r="T1376" i="72"/>
  <c r="T1378" i="72"/>
  <c r="W25" i="72"/>
  <c r="Y25" i="72"/>
  <c r="V1360" i="72"/>
  <c r="V1361" i="72"/>
  <c r="V1381" i="72"/>
  <c r="V1383" i="72"/>
  <c r="W1345" i="72"/>
  <c r="W1346" i="72"/>
  <c r="W1358" i="72"/>
  <c r="U1353" i="72"/>
  <c r="U1376" i="72"/>
  <c r="U1378" i="72"/>
  <c r="T1355" i="72"/>
  <c r="T1356" i="72"/>
  <c r="W1360" i="72"/>
  <c r="W1361" i="72"/>
  <c r="W1381" i="72"/>
  <c r="W1383" i="72"/>
  <c r="V1353" i="72"/>
  <c r="U1355" i="72"/>
  <c r="U1356" i="72"/>
  <c r="W1353" i="72"/>
  <c r="W1376" i="72"/>
  <c r="W1378" i="72"/>
  <c r="V1376" i="72"/>
  <c r="V1378" i="72"/>
  <c r="W1355" i="72"/>
  <c r="W1356" i="72"/>
  <c r="V1355" i="72"/>
  <c r="V1356" i="72"/>
  <c r="J66" i="18"/>
  <c r="P67" i="18"/>
  <c r="P68" i="18"/>
  <c r="P69" i="18"/>
  <c r="K66" i="18"/>
  <c r="Q67" i="18"/>
  <c r="Q68" i="18"/>
  <c r="Q69" i="18"/>
  <c r="J26" i="18"/>
  <c r="J50" i="18"/>
  <c r="Q140" i="18"/>
  <c r="J55" i="18"/>
  <c r="L66" i="18"/>
  <c r="R67" i="18"/>
  <c r="R68" i="18"/>
  <c r="R69" i="18"/>
  <c r="K26" i="18"/>
  <c r="K50" i="18"/>
  <c r="R140" i="18"/>
  <c r="K55" i="18"/>
  <c r="M66" i="18"/>
  <c r="L26" i="18"/>
  <c r="L50" i="18"/>
  <c r="S140" i="18"/>
  <c r="L55" i="18"/>
  <c r="M26" i="18"/>
  <c r="M50" i="18"/>
  <c r="S67" i="18"/>
  <c r="S68" i="18"/>
  <c r="S69" i="18"/>
  <c r="T69" i="18"/>
  <c r="K32" i="8"/>
  <c r="AM33" i="7"/>
  <c r="L32" i="8"/>
  <c r="T140" i="18"/>
  <c r="M55" i="18"/>
  <c r="M32" i="8"/>
  <c r="AO33" i="7"/>
  <c r="AN33" i="7"/>
  <c r="AK33" i="7"/>
  <c r="AL33" i="7"/>
  <c r="I32" i="8"/>
  <c r="J32" i="8"/>
  <c r="L6" i="54"/>
  <c r="AF6" i="54"/>
  <c r="K34" i="54"/>
  <c r="M6" i="54"/>
  <c r="N34" i="54"/>
  <c r="K51" i="54"/>
  <c r="J80" i="15"/>
  <c r="L575" i="53"/>
  <c r="K50" i="54"/>
  <c r="J79" i="15"/>
  <c r="N50" i="54"/>
  <c r="M79" i="15"/>
  <c r="N51" i="54"/>
  <c r="M80" i="15"/>
  <c r="K43" i="54"/>
  <c r="N43" i="54"/>
  <c r="AG5" i="54"/>
  <c r="L618" i="53"/>
  <c r="AG618" i="53"/>
  <c r="K6" i="54"/>
  <c r="L619" i="53"/>
  <c r="AG619" i="53"/>
  <c r="M618" i="53"/>
  <c r="AE5" i="54"/>
  <c r="AG6" i="54"/>
  <c r="N619" i="53"/>
  <c r="AI619" i="53"/>
  <c r="N6" i="54"/>
  <c r="AH6" i="54"/>
  <c r="AH5" i="54"/>
  <c r="S5" i="54"/>
  <c r="O618" i="53"/>
  <c r="AJ618" i="53"/>
  <c r="N618" i="53"/>
  <c r="AI618" i="53"/>
  <c r="M34" i="54"/>
  <c r="L7" i="54"/>
  <c r="L18" i="54"/>
  <c r="L34" i="54"/>
  <c r="M7" i="54"/>
  <c r="AF5" i="54"/>
  <c r="K618" i="53"/>
  <c r="M619" i="53"/>
  <c r="L50" i="54"/>
  <c r="K79" i="15"/>
  <c r="L51" i="54"/>
  <c r="K80" i="15"/>
  <c r="M575" i="53"/>
  <c r="O575" i="53"/>
  <c r="R80" i="15"/>
  <c r="M50" i="54"/>
  <c r="L79" i="15"/>
  <c r="M51" i="54"/>
  <c r="L80" i="15"/>
  <c r="N575" i="53"/>
  <c r="M108" i="15"/>
  <c r="R108" i="15"/>
  <c r="O574" i="53"/>
  <c r="R79" i="15"/>
  <c r="L574" i="53"/>
  <c r="J108" i="15"/>
  <c r="AG575" i="53"/>
  <c r="V575" i="53"/>
  <c r="M43" i="54"/>
  <c r="L43" i="54"/>
  <c r="V618" i="53"/>
  <c r="W618" i="53"/>
  <c r="K7" i="54"/>
  <c r="K8" i="54"/>
  <c r="L621" i="53"/>
  <c r="AG621" i="53"/>
  <c r="X619" i="53"/>
  <c r="AH618" i="53"/>
  <c r="AE6" i="54"/>
  <c r="S6" i="54"/>
  <c r="L24" i="54"/>
  <c r="L16" i="54"/>
  <c r="M629" i="53"/>
  <c r="N7" i="54"/>
  <c r="N16" i="54"/>
  <c r="L8" i="54"/>
  <c r="AF8" i="54"/>
  <c r="O619" i="53"/>
  <c r="Y619" i="53"/>
  <c r="L9" i="54"/>
  <c r="AF9" i="54"/>
  <c r="L14" i="54"/>
  <c r="M627" i="53"/>
  <c r="Y618" i="53"/>
  <c r="L11" i="54"/>
  <c r="M624" i="53"/>
  <c r="X618" i="53"/>
  <c r="L10" i="54"/>
  <c r="L13" i="54"/>
  <c r="M13" i="54"/>
  <c r="M18" i="54"/>
  <c r="M9" i="54"/>
  <c r="M24" i="54"/>
  <c r="M14" i="54"/>
  <c r="M11" i="54"/>
  <c r="M16" i="54"/>
  <c r="M10" i="54"/>
  <c r="M8" i="54"/>
  <c r="K619" i="53"/>
  <c r="AD6" i="54"/>
  <c r="K37" i="54"/>
  <c r="J7" i="54"/>
  <c r="J13" i="54"/>
  <c r="AH619" i="53"/>
  <c r="W619" i="53"/>
  <c r="AF618" i="53"/>
  <c r="U618" i="53"/>
  <c r="M631" i="53"/>
  <c r="L19" i="54"/>
  <c r="AF18" i="54"/>
  <c r="C46" i="54"/>
  <c r="AJ574" i="53"/>
  <c r="P21" i="6"/>
  <c r="X575" i="53"/>
  <c r="AI575" i="53"/>
  <c r="N574" i="53"/>
  <c r="L108" i="15"/>
  <c r="Y575" i="53"/>
  <c r="AJ575" i="53"/>
  <c r="AG574" i="53"/>
  <c r="M21" i="6"/>
  <c r="V574" i="53"/>
  <c r="W575" i="53"/>
  <c r="AH575" i="53"/>
  <c r="M574" i="53"/>
  <c r="K108" i="15"/>
  <c r="J8" i="54"/>
  <c r="L17" i="54"/>
  <c r="K14" i="54"/>
  <c r="L627" i="53"/>
  <c r="W627" i="53"/>
  <c r="K24" i="54"/>
  <c r="AE8" i="54"/>
  <c r="L15" i="54"/>
  <c r="AF16" i="54"/>
  <c r="K11" i="54"/>
  <c r="L624" i="53"/>
  <c r="W624" i="53"/>
  <c r="K16" i="54"/>
  <c r="L629" i="53"/>
  <c r="AG629" i="53"/>
  <c r="K9" i="54"/>
  <c r="L622" i="53"/>
  <c r="K10" i="54"/>
  <c r="L623" i="53"/>
  <c r="AG623" i="53"/>
  <c r="K18" i="54"/>
  <c r="K19" i="54"/>
  <c r="K13" i="54"/>
  <c r="L626" i="53"/>
  <c r="AG626" i="53"/>
  <c r="S7" i="54"/>
  <c r="M621" i="53"/>
  <c r="AH621" i="53"/>
  <c r="AF14" i="54"/>
  <c r="N10" i="54"/>
  <c r="S10" i="54"/>
  <c r="N14" i="54"/>
  <c r="S14" i="54"/>
  <c r="N9" i="54"/>
  <c r="AH9" i="54"/>
  <c r="N8" i="54"/>
  <c r="O621" i="53"/>
  <c r="N24" i="54"/>
  <c r="N11" i="54"/>
  <c r="N18" i="54"/>
  <c r="S18" i="54"/>
  <c r="N13" i="54"/>
  <c r="O626" i="53"/>
  <c r="M622" i="53"/>
  <c r="AH622" i="53"/>
  <c r="AJ619" i="53"/>
  <c r="AF13" i="54"/>
  <c r="L12" i="54"/>
  <c r="AF10" i="54"/>
  <c r="AF11" i="54"/>
  <c r="M623" i="53"/>
  <c r="M626" i="53"/>
  <c r="AH626" i="53"/>
  <c r="N17" i="54"/>
  <c r="S17" i="54"/>
  <c r="AH16" i="54"/>
  <c r="O629" i="53"/>
  <c r="S16" i="54"/>
  <c r="AF619" i="53"/>
  <c r="U619" i="53"/>
  <c r="V619" i="53"/>
  <c r="N627" i="53"/>
  <c r="AG14" i="54"/>
  <c r="AH629" i="53"/>
  <c r="N624" i="53"/>
  <c r="AG11" i="54"/>
  <c r="J18" i="54"/>
  <c r="J9" i="54"/>
  <c r="J10" i="54"/>
  <c r="J14" i="54"/>
  <c r="I12" i="17"/>
  <c r="J16" i="54"/>
  <c r="J24" i="54"/>
  <c r="J11" i="54"/>
  <c r="AH631" i="53"/>
  <c r="AH624" i="53"/>
  <c r="N622" i="53"/>
  <c r="AG9" i="54"/>
  <c r="L37" i="54"/>
  <c r="M15" i="54"/>
  <c r="N626" i="53"/>
  <c r="AG13" i="54"/>
  <c r="AH627" i="53"/>
  <c r="AG8" i="54"/>
  <c r="N621" i="53"/>
  <c r="M12" i="54"/>
  <c r="M19" i="54"/>
  <c r="N631" i="53"/>
  <c r="AG18" i="54"/>
  <c r="N623" i="53"/>
  <c r="AG10" i="54"/>
  <c r="AG16" i="54"/>
  <c r="N629" i="53"/>
  <c r="M17" i="54"/>
  <c r="N20" i="6"/>
  <c r="AD20" i="6"/>
  <c r="AH574" i="53"/>
  <c r="W574" i="53"/>
  <c r="N21" i="6"/>
  <c r="X574" i="53"/>
  <c r="O21" i="6"/>
  <c r="AI574" i="53"/>
  <c r="M7" i="17"/>
  <c r="P79" i="6"/>
  <c r="AF21" i="6"/>
  <c r="R21" i="6"/>
  <c r="J7" i="17"/>
  <c r="M79" i="6"/>
  <c r="AC21" i="6"/>
  <c r="AN21" i="6"/>
  <c r="Y574" i="53"/>
  <c r="AG627" i="53"/>
  <c r="AE14" i="54"/>
  <c r="W621" i="53"/>
  <c r="O623" i="53"/>
  <c r="Y623" i="53"/>
  <c r="L21" i="54"/>
  <c r="AG624" i="53"/>
  <c r="AH10" i="54"/>
  <c r="AE16" i="54"/>
  <c r="L631" i="53"/>
  <c r="W631" i="53"/>
  <c r="W629" i="53"/>
  <c r="K15" i="54"/>
  <c r="K17" i="54"/>
  <c r="W623" i="53"/>
  <c r="K12" i="54"/>
  <c r="AE10" i="54"/>
  <c r="W622" i="53"/>
  <c r="AE9" i="54"/>
  <c r="AE11" i="54"/>
  <c r="AE13" i="54"/>
  <c r="AE18" i="54"/>
  <c r="AH14" i="54"/>
  <c r="O622" i="53"/>
  <c r="Y622" i="53"/>
  <c r="O627" i="53"/>
  <c r="Y627" i="53"/>
  <c r="N12" i="54"/>
  <c r="S12" i="54"/>
  <c r="S9" i="54"/>
  <c r="S8" i="54"/>
  <c r="O624" i="53"/>
  <c r="Y624" i="53"/>
  <c r="AH11" i="54"/>
  <c r="AH8" i="54"/>
  <c r="N15" i="54"/>
  <c r="S15" i="54"/>
  <c r="AH18" i="54"/>
  <c r="S13" i="54"/>
  <c r="O631" i="53"/>
  <c r="AJ631" i="53"/>
  <c r="S11" i="54"/>
  <c r="AH13" i="54"/>
  <c r="N19" i="54"/>
  <c r="S19" i="54"/>
  <c r="W626" i="53"/>
  <c r="AH623" i="53"/>
  <c r="AG622" i="53"/>
  <c r="X629" i="53"/>
  <c r="AI629" i="53"/>
  <c r="X622" i="53"/>
  <c r="AI622" i="53"/>
  <c r="AD10" i="54"/>
  <c r="K623" i="53"/>
  <c r="AJ629" i="53"/>
  <c r="Y629" i="53"/>
  <c r="AD8" i="54"/>
  <c r="J12" i="54"/>
  <c r="K621" i="53"/>
  <c r="AI627" i="53"/>
  <c r="X627" i="53"/>
  <c r="M37" i="54"/>
  <c r="N37" i="54"/>
  <c r="AI623" i="53"/>
  <c r="X623" i="53"/>
  <c r="AD11" i="54"/>
  <c r="K624" i="53"/>
  <c r="J19" i="54"/>
  <c r="AD18" i="54"/>
  <c r="K631" i="53"/>
  <c r="AJ626" i="53"/>
  <c r="Y626" i="53"/>
  <c r="X631" i="53"/>
  <c r="AI631" i="53"/>
  <c r="Y621" i="53"/>
  <c r="AJ621" i="53"/>
  <c r="J15" i="54"/>
  <c r="K626" i="53"/>
  <c r="AD13" i="54"/>
  <c r="M21" i="54"/>
  <c r="K622" i="53"/>
  <c r="AD9" i="54"/>
  <c r="X621" i="53"/>
  <c r="AI621" i="53"/>
  <c r="O20" i="6"/>
  <c r="K629" i="53"/>
  <c r="J17" i="54"/>
  <c r="AD16" i="54"/>
  <c r="AI624" i="53"/>
  <c r="X624" i="53"/>
  <c r="X626" i="53"/>
  <c r="AI626" i="53"/>
  <c r="K627" i="53"/>
  <c r="AD14" i="54"/>
  <c r="N78" i="6"/>
  <c r="L29" i="17"/>
  <c r="L8" i="17"/>
  <c r="N16" i="7"/>
  <c r="L27" i="17"/>
  <c r="L9" i="17"/>
  <c r="N17" i="7"/>
  <c r="K27" i="17"/>
  <c r="K9" i="17"/>
  <c r="M17" i="7"/>
  <c r="K29" i="17"/>
  <c r="K8" i="17"/>
  <c r="M16" i="7"/>
  <c r="N24" i="6"/>
  <c r="O14" i="7"/>
  <c r="M22" i="17"/>
  <c r="L7" i="17"/>
  <c r="O79" i="6"/>
  <c r="AP21" i="6"/>
  <c r="AE21" i="6"/>
  <c r="L14" i="7"/>
  <c r="J22" i="17"/>
  <c r="K7" i="17"/>
  <c r="N79" i="6"/>
  <c r="AO21" i="6"/>
  <c r="AD21" i="6"/>
  <c r="S21" i="6"/>
  <c r="AQ21" i="6"/>
  <c r="M20" i="6"/>
  <c r="AJ623" i="53"/>
  <c r="AJ624" i="53"/>
  <c r="P20" i="6"/>
  <c r="AG631" i="53"/>
  <c r="K21" i="54"/>
  <c r="AJ622" i="53"/>
  <c r="AJ627" i="53"/>
  <c r="Y631" i="53"/>
  <c r="N21" i="54"/>
  <c r="S21" i="54"/>
  <c r="AF623" i="53"/>
  <c r="U623" i="53"/>
  <c r="V623" i="53"/>
  <c r="U627" i="53"/>
  <c r="AF627" i="53"/>
  <c r="V627" i="53"/>
  <c r="AF624" i="53"/>
  <c r="U624" i="53"/>
  <c r="V624" i="53"/>
  <c r="AF629" i="53"/>
  <c r="U629" i="53"/>
  <c r="V629" i="53"/>
  <c r="AF622" i="53"/>
  <c r="U622" i="53"/>
  <c r="V622" i="53"/>
  <c r="AF621" i="53"/>
  <c r="U621" i="53"/>
  <c r="L20" i="6"/>
  <c r="V621" i="53"/>
  <c r="U631" i="53"/>
  <c r="AF631" i="53"/>
  <c r="V631" i="53"/>
  <c r="K22" i="7"/>
  <c r="J12" i="17"/>
  <c r="K12" i="17"/>
  <c r="J21" i="54"/>
  <c r="O78" i="6"/>
  <c r="O24" i="6"/>
  <c r="AP20" i="6"/>
  <c r="AE20" i="6"/>
  <c r="AF626" i="53"/>
  <c r="U626" i="53"/>
  <c r="V626" i="53"/>
  <c r="N82" i="6"/>
  <c r="N87" i="6"/>
  <c r="L24" i="6"/>
  <c r="L26" i="6"/>
  <c r="AD24" i="6"/>
  <c r="N18" i="7"/>
  <c r="M18" i="7"/>
  <c r="M68" i="7"/>
  <c r="J29" i="17"/>
  <c r="J8" i="17"/>
  <c r="L16" i="7"/>
  <c r="J27" i="17"/>
  <c r="J9" i="17"/>
  <c r="L17" i="7"/>
  <c r="M67" i="7"/>
  <c r="I29" i="17"/>
  <c r="I27" i="17"/>
  <c r="I9" i="17"/>
  <c r="M29" i="17"/>
  <c r="M8" i="17"/>
  <c r="O16" i="7"/>
  <c r="M27" i="17"/>
  <c r="M9" i="17"/>
  <c r="O17" i="7"/>
  <c r="AN16" i="7"/>
  <c r="N67" i="7"/>
  <c r="L10" i="17"/>
  <c r="N95" i="6"/>
  <c r="N97" i="6"/>
  <c r="N98" i="6"/>
  <c r="N26" i="6"/>
  <c r="O82" i="6"/>
  <c r="O87" i="6"/>
  <c r="L58" i="7"/>
  <c r="L66" i="7"/>
  <c r="L15" i="7"/>
  <c r="J12" i="8"/>
  <c r="J13" i="8"/>
  <c r="AL14" i="7"/>
  <c r="N14" i="7"/>
  <c r="L22" i="17"/>
  <c r="M14" i="7"/>
  <c r="K22" i="17"/>
  <c r="K10" i="17"/>
  <c r="O58" i="7"/>
  <c r="O66" i="7"/>
  <c r="O15" i="7"/>
  <c r="AO20" i="6"/>
  <c r="M78" i="6"/>
  <c r="M82" i="6"/>
  <c r="M87" i="6"/>
  <c r="AC20" i="6"/>
  <c r="M24" i="6"/>
  <c r="P24" i="6"/>
  <c r="AQ20" i="6"/>
  <c r="AF20" i="6"/>
  <c r="P78" i="6"/>
  <c r="P82" i="6"/>
  <c r="P87" i="6"/>
  <c r="N68" i="7"/>
  <c r="AN17" i="7"/>
  <c r="L14" i="8"/>
  <c r="AB20" i="6"/>
  <c r="L78" i="6"/>
  <c r="L82" i="6"/>
  <c r="AM20" i="6"/>
  <c r="S20" i="6"/>
  <c r="AN20" i="6"/>
  <c r="L22" i="7"/>
  <c r="R20" i="6"/>
  <c r="O26" i="6"/>
  <c r="O95" i="6"/>
  <c r="O97" i="6"/>
  <c r="O98" i="6"/>
  <c r="AP24" i="6"/>
  <c r="AE24" i="6"/>
  <c r="K24" i="7"/>
  <c r="I17" i="8"/>
  <c r="AK22" i="7"/>
  <c r="O88" i="6"/>
  <c r="N88" i="6"/>
  <c r="AM16" i="7"/>
  <c r="AL15" i="7"/>
  <c r="J17" i="8"/>
  <c r="N83" i="6"/>
  <c r="AF24" i="6"/>
  <c r="M95" i="6"/>
  <c r="M97" i="6"/>
  <c r="M98" i="6"/>
  <c r="I8" i="17"/>
  <c r="K16" i="7"/>
  <c r="M10" i="17"/>
  <c r="J10" i="17"/>
  <c r="J14" i="17"/>
  <c r="L18" i="7"/>
  <c r="O83" i="6"/>
  <c r="M78" i="7"/>
  <c r="N33" i="6"/>
  <c r="O18" i="7"/>
  <c r="M14" i="8"/>
  <c r="AO17" i="7"/>
  <c r="O68" i="7"/>
  <c r="L67" i="7"/>
  <c r="O67" i="7"/>
  <c r="AO16" i="7"/>
  <c r="K7" i="8"/>
  <c r="N27" i="6"/>
  <c r="AD26" i="6"/>
  <c r="AM14" i="7"/>
  <c r="L12" i="8"/>
  <c r="L13" i="8"/>
  <c r="L15" i="8"/>
  <c r="M58" i="7"/>
  <c r="M66" i="7"/>
  <c r="M69" i="7"/>
  <c r="M15" i="7"/>
  <c r="AN14" i="7"/>
  <c r="N58" i="7"/>
  <c r="N66" i="7"/>
  <c r="N69" i="7"/>
  <c r="M12" i="8"/>
  <c r="M13" i="8"/>
  <c r="N15" i="7"/>
  <c r="AO14" i="7"/>
  <c r="K12" i="8"/>
  <c r="K13" i="8"/>
  <c r="AO24" i="6"/>
  <c r="AC24" i="6"/>
  <c r="M26" i="6"/>
  <c r="P95" i="6"/>
  <c r="P97" i="6"/>
  <c r="P98" i="6"/>
  <c r="AQ24" i="6"/>
  <c r="P26" i="6"/>
  <c r="L68" i="7"/>
  <c r="K14" i="8"/>
  <c r="AM17" i="7"/>
  <c r="AN18" i="7"/>
  <c r="K17" i="7"/>
  <c r="L87" i="6"/>
  <c r="L95" i="6"/>
  <c r="L97" i="6"/>
  <c r="L98" i="6"/>
  <c r="L83" i="6"/>
  <c r="AB24" i="6"/>
  <c r="AM24" i="6"/>
  <c r="AN24" i="6"/>
  <c r="S24" i="6"/>
  <c r="R24" i="6"/>
  <c r="AE26" i="6"/>
  <c r="L7" i="8"/>
  <c r="AP26" i="6"/>
  <c r="N78" i="7"/>
  <c r="O33" i="6"/>
  <c r="O27" i="6"/>
  <c r="P88" i="6"/>
  <c r="AL22" i="7"/>
  <c r="L24" i="7"/>
  <c r="AK24" i="7"/>
  <c r="L12" i="17"/>
  <c r="M22" i="7"/>
  <c r="K14" i="17"/>
  <c r="I10" i="17"/>
  <c r="I14" i="17"/>
  <c r="I16" i="17"/>
  <c r="P83" i="6"/>
  <c r="N20" i="7"/>
  <c r="AO18" i="7"/>
  <c r="N40" i="6"/>
  <c r="M83" i="6"/>
  <c r="K17" i="8"/>
  <c r="K67" i="7"/>
  <c r="AL16" i="7"/>
  <c r="AK16" i="7"/>
  <c r="K18" i="7"/>
  <c r="K16" i="17"/>
  <c r="AD33" i="6"/>
  <c r="O20" i="7"/>
  <c r="N34" i="6"/>
  <c r="O69" i="7"/>
  <c r="M15" i="8"/>
  <c r="L69" i="7"/>
  <c r="K15" i="8"/>
  <c r="AL17" i="7"/>
  <c r="AN15" i="7"/>
  <c r="AM15" i="7"/>
  <c r="M20" i="7"/>
  <c r="AO15" i="7"/>
  <c r="AO26" i="6"/>
  <c r="L78" i="7"/>
  <c r="AC26" i="6"/>
  <c r="M33" i="6"/>
  <c r="J7" i="8"/>
  <c r="P33" i="6"/>
  <c r="M27" i="6"/>
  <c r="M7" i="8"/>
  <c r="AF26" i="6"/>
  <c r="P27" i="6"/>
  <c r="O78" i="7"/>
  <c r="AQ26" i="6"/>
  <c r="AM18" i="7"/>
  <c r="L20" i="7"/>
  <c r="AK17" i="7"/>
  <c r="K68" i="7"/>
  <c r="I14" i="8"/>
  <c r="I15" i="8"/>
  <c r="J14" i="8"/>
  <c r="J15" i="8"/>
  <c r="J16" i="17"/>
  <c r="R26" i="6"/>
  <c r="K78" i="7"/>
  <c r="L27" i="6"/>
  <c r="AM26" i="6"/>
  <c r="L33" i="6"/>
  <c r="AB26" i="6"/>
  <c r="I7" i="8"/>
  <c r="AN26" i="6"/>
  <c r="S26" i="6"/>
  <c r="L88" i="6"/>
  <c r="M88" i="6"/>
  <c r="M24" i="7"/>
  <c r="AM22" i="7"/>
  <c r="AL24" i="7"/>
  <c r="L14" i="17"/>
  <c r="L16" i="17"/>
  <c r="M12" i="17"/>
  <c r="N22" i="7"/>
  <c r="AE33" i="6"/>
  <c r="AP33" i="6"/>
  <c r="O40" i="6"/>
  <c r="O34" i="6"/>
  <c r="K69" i="7"/>
  <c r="AD40" i="6"/>
  <c r="N104" i="6"/>
  <c r="N105" i="6"/>
  <c r="N41" i="6"/>
  <c r="K8" i="8"/>
  <c r="K9" i="8"/>
  <c r="K18" i="8"/>
  <c r="K21" i="8"/>
  <c r="AN20" i="7"/>
  <c r="L17" i="8"/>
  <c r="S27" i="6"/>
  <c r="L26" i="7"/>
  <c r="AA18" i="7"/>
  <c r="AF33" i="6"/>
  <c r="AO20" i="7"/>
  <c r="M40" i="6"/>
  <c r="AC40" i="6"/>
  <c r="M34" i="6"/>
  <c r="AO33" i="6"/>
  <c r="AC33" i="6"/>
  <c r="R33" i="6"/>
  <c r="P34" i="6"/>
  <c r="AQ33" i="6"/>
  <c r="P40" i="6"/>
  <c r="AK18" i="7"/>
  <c r="K20" i="7"/>
  <c r="AM20" i="7"/>
  <c r="AL18" i="7"/>
  <c r="L40" i="6"/>
  <c r="AB33" i="6"/>
  <c r="L34" i="6"/>
  <c r="AM33" i="6"/>
  <c r="S33" i="6"/>
  <c r="AN33" i="6"/>
  <c r="AN22" i="7"/>
  <c r="N24" i="7"/>
  <c r="O22" i="7"/>
  <c r="M14" i="17"/>
  <c r="M16" i="17"/>
  <c r="O104" i="6"/>
  <c r="O105" i="6"/>
  <c r="O41" i="6"/>
  <c r="AP40" i="6"/>
  <c r="AE40" i="6"/>
  <c r="AM24" i="7"/>
  <c r="M26" i="7"/>
  <c r="R27" i="6"/>
  <c r="N42" i="6"/>
  <c r="M30" i="7"/>
  <c r="AD41" i="6"/>
  <c r="AA14" i="7"/>
  <c r="AA22" i="7"/>
  <c r="AA24" i="7"/>
  <c r="AA9" i="7"/>
  <c r="AA17" i="7"/>
  <c r="AA8" i="7"/>
  <c r="AA26" i="7"/>
  <c r="AA12" i="7"/>
  <c r="AA7" i="7"/>
  <c r="AA21" i="7"/>
  <c r="AA13" i="7"/>
  <c r="AA11" i="7"/>
  <c r="AA20" i="7"/>
  <c r="AA15" i="7"/>
  <c r="AA10" i="7"/>
  <c r="AA16" i="7"/>
  <c r="AF40" i="6"/>
  <c r="S34" i="6"/>
  <c r="AB24" i="7"/>
  <c r="M104" i="6"/>
  <c r="M105" i="6"/>
  <c r="M41" i="6"/>
  <c r="AL20" i="7"/>
  <c r="AO40" i="6"/>
  <c r="AQ40" i="6"/>
  <c r="P104" i="6"/>
  <c r="P105" i="6"/>
  <c r="P41" i="6"/>
  <c r="R40" i="6"/>
  <c r="L104" i="6"/>
  <c r="L105" i="6"/>
  <c r="L41" i="6"/>
  <c r="AK20" i="7"/>
  <c r="K26" i="7"/>
  <c r="AO22" i="7"/>
  <c r="O24" i="7"/>
  <c r="AD42" i="6"/>
  <c r="M17" i="8"/>
  <c r="N26" i="7"/>
  <c r="AN24" i="7"/>
  <c r="L8" i="8"/>
  <c r="L9" i="8"/>
  <c r="L18" i="8"/>
  <c r="L21" i="8"/>
  <c r="AE41" i="6"/>
  <c r="AP41" i="6"/>
  <c r="AB7" i="7"/>
  <c r="AB15" i="7"/>
  <c r="AB11" i="7"/>
  <c r="AB13" i="7"/>
  <c r="AB10" i="7"/>
  <c r="AB17" i="7"/>
  <c r="AM26" i="7"/>
  <c r="AB21" i="7"/>
  <c r="AB26" i="7"/>
  <c r="AB9" i="7"/>
  <c r="AB18" i="7"/>
  <c r="AB16" i="7"/>
  <c r="AB12" i="7"/>
  <c r="AB8" i="7"/>
  <c r="AB14" i="7"/>
  <c r="AB20" i="7"/>
  <c r="AB22" i="7"/>
  <c r="O42" i="6"/>
  <c r="AM40" i="6"/>
  <c r="AB40" i="6"/>
  <c r="AN40" i="6"/>
  <c r="S40" i="6"/>
  <c r="M42" i="6"/>
  <c r="AO41" i="6"/>
  <c r="J8" i="8"/>
  <c r="J9" i="8"/>
  <c r="J18" i="8"/>
  <c r="J21" i="8"/>
  <c r="AC41" i="6"/>
  <c r="P42" i="6"/>
  <c r="AF42" i="6"/>
  <c r="AC24" i="7"/>
  <c r="Z20" i="7"/>
  <c r="M8" i="8"/>
  <c r="M9" i="8"/>
  <c r="M18" i="8"/>
  <c r="M21" i="8"/>
  <c r="AQ41" i="6"/>
  <c r="AF41" i="6"/>
  <c r="R41" i="6"/>
  <c r="Z13" i="7"/>
  <c r="Z24" i="7"/>
  <c r="Z11" i="7"/>
  <c r="Z16" i="7"/>
  <c r="Z21" i="7"/>
  <c r="AK26" i="7"/>
  <c r="Z8" i="7"/>
  <c r="Z26" i="7"/>
  <c r="Z9" i="7"/>
  <c r="Z22" i="7"/>
  <c r="Z14" i="7"/>
  <c r="Z17" i="7"/>
  <c r="Z12" i="7"/>
  <c r="Z7" i="7"/>
  <c r="Z10" i="7"/>
  <c r="Z15" i="7"/>
  <c r="Z18" i="7"/>
  <c r="AL26" i="7"/>
  <c r="AP42" i="6"/>
  <c r="N30" i="7"/>
  <c r="AE42" i="6"/>
  <c r="AC8" i="7"/>
  <c r="AC10" i="7"/>
  <c r="AC11" i="7"/>
  <c r="AC14" i="7"/>
  <c r="AC7" i="7"/>
  <c r="AC15" i="7"/>
  <c r="AN26" i="7"/>
  <c r="AC26" i="7"/>
  <c r="AC16" i="7"/>
  <c r="AC20" i="7"/>
  <c r="AC17" i="7"/>
  <c r="AC12" i="7"/>
  <c r="AC13" i="7"/>
  <c r="AC18" i="7"/>
  <c r="AC21" i="7"/>
  <c r="AC9" i="7"/>
  <c r="AC22" i="7"/>
  <c r="AO24" i="7"/>
  <c r="O26" i="7"/>
  <c r="AQ42" i="6"/>
  <c r="O30" i="7"/>
  <c r="AO30" i="7"/>
  <c r="L30" i="7"/>
  <c r="AO42" i="6"/>
  <c r="AC42" i="6"/>
  <c r="AD24" i="7"/>
  <c r="AN41" i="6"/>
  <c r="S41" i="6"/>
  <c r="AM41" i="6"/>
  <c r="L42" i="6"/>
  <c r="I8" i="8"/>
  <c r="I9" i="8"/>
  <c r="I18" i="8"/>
  <c r="I21" i="8"/>
  <c r="AB41" i="6"/>
  <c r="AN30" i="7"/>
  <c r="AD7" i="7"/>
  <c r="AD16" i="7"/>
  <c r="AD12" i="7"/>
  <c r="AD18" i="7"/>
  <c r="AD15" i="7"/>
  <c r="AD17" i="7"/>
  <c r="AD21" i="7"/>
  <c r="AD8" i="7"/>
  <c r="AO26" i="7"/>
  <c r="AD13" i="7"/>
  <c r="AD14" i="7"/>
  <c r="AD20" i="7"/>
  <c r="AD26" i="7"/>
  <c r="AD10" i="7"/>
  <c r="AD9" i="7"/>
  <c r="AD11" i="7"/>
  <c r="AD22" i="7"/>
  <c r="AM30" i="7"/>
  <c r="AN42" i="6"/>
  <c r="K30" i="7"/>
  <c r="R42" i="6"/>
  <c r="S42" i="6"/>
  <c r="AM42" i="6"/>
  <c r="AB42" i="6"/>
  <c r="AL30" i="7"/>
  <c r="I43" i="6"/>
  <c r="I30" i="7"/>
  <c r="J29" i="7"/>
  <c r="K29" i="7"/>
  <c r="AJ30" i="7"/>
  <c r="I31" i="7"/>
  <c r="AK30" i="7"/>
  <c r="J31" i="7"/>
  <c r="J41" i="7"/>
  <c r="K31" i="7"/>
  <c r="L29" i="7"/>
  <c r="AK29" i="7"/>
  <c r="AJ31" i="7"/>
  <c r="I41" i="7"/>
  <c r="H30" i="8"/>
  <c r="H37" i="8"/>
  <c r="H40" i="8"/>
  <c r="Y31" i="7"/>
  <c r="J42" i="7"/>
  <c r="I30" i="8"/>
  <c r="I37" i="8"/>
  <c r="I40" i="8"/>
  <c r="M29" i="7"/>
  <c r="AL29" i="7"/>
  <c r="L31" i="7"/>
  <c r="Y39" i="7"/>
  <c r="AJ41" i="7"/>
  <c r="Y27" i="7"/>
  <c r="Y29" i="7"/>
  <c r="Y32" i="7"/>
  <c r="Y35" i="7"/>
  <c r="Y36" i="7"/>
  <c r="Y34" i="7"/>
  <c r="I42" i="7"/>
  <c r="Y28" i="7"/>
  <c r="Y41" i="7"/>
  <c r="Y37" i="7"/>
  <c r="Y33" i="7"/>
  <c r="Y30" i="7"/>
  <c r="AK31" i="7"/>
  <c r="J30" i="8"/>
  <c r="J37" i="8"/>
  <c r="J40" i="8"/>
  <c r="N29" i="7"/>
  <c r="AM29" i="7"/>
  <c r="M31" i="7"/>
  <c r="AL31" i="7"/>
  <c r="O29" i="7"/>
  <c r="AN29" i="7"/>
  <c r="K30" i="8"/>
  <c r="K37" i="8"/>
  <c r="K40" i="8"/>
  <c r="AM31" i="7"/>
  <c r="N31" i="7"/>
  <c r="AO29" i="7"/>
  <c r="L30" i="8"/>
  <c r="L37" i="8"/>
  <c r="L40" i="8"/>
  <c r="AN31" i="7"/>
  <c r="O31" i="7"/>
  <c r="AO31" i="7"/>
  <c r="M30" i="8"/>
  <c r="M37" i="8"/>
  <c r="M40" i="8"/>
  <c r="H31" i="7"/>
  <c r="G27" i="7"/>
  <c r="G31" i="7"/>
  <c r="G41" i="7"/>
  <c r="G42" i="7"/>
  <c r="H41" i="7"/>
  <c r="H42" i="7"/>
  <c r="F30" i="8"/>
  <c r="F37" i="8"/>
  <c r="F40" i="8"/>
  <c r="F41" i="8"/>
  <c r="G30" i="8"/>
  <c r="G37" i="8"/>
  <c r="G40" i="8"/>
  <c r="F42" i="8"/>
  <c r="G39" i="8"/>
  <c r="G41" i="8"/>
  <c r="H39" i="8"/>
  <c r="H42" i="8"/>
  <c r="I39" i="8"/>
  <c r="I41" i="8"/>
  <c r="G42" i="8"/>
  <c r="J39" i="8"/>
  <c r="J41" i="8"/>
  <c r="K37" i="7"/>
  <c r="AK37" i="7"/>
  <c r="K39" i="7"/>
  <c r="I42" i="8"/>
  <c r="L37" i="7"/>
  <c r="K39" i="8"/>
  <c r="K41" i="8"/>
  <c r="L39" i="8"/>
  <c r="L41" i="8"/>
  <c r="M37" i="7"/>
  <c r="K41" i="7"/>
  <c r="AK39" i="7"/>
  <c r="K77" i="7"/>
  <c r="K79" i="7"/>
  <c r="K81" i="7"/>
  <c r="J42" i="8"/>
  <c r="AL37" i="7"/>
  <c r="L39" i="7"/>
  <c r="K42" i="8"/>
  <c r="Z39" i="7"/>
  <c r="Z28" i="7"/>
  <c r="Z27" i="7"/>
  <c r="Z32" i="7"/>
  <c r="Z36" i="7"/>
  <c r="Z33" i="7"/>
  <c r="AK41" i="7"/>
  <c r="Z31" i="7"/>
  <c r="Z41" i="7"/>
  <c r="Z30" i="7"/>
  <c r="Z35" i="7"/>
  <c r="Z34" i="7"/>
  <c r="K42" i="7"/>
  <c r="Z29" i="7"/>
  <c r="Z37" i="7"/>
  <c r="M39" i="7"/>
  <c r="AM37" i="7"/>
  <c r="L77" i="7"/>
  <c r="L79" i="7"/>
  <c r="L81" i="7"/>
  <c r="AL39" i="7"/>
  <c r="L41" i="7"/>
  <c r="N37" i="7"/>
  <c r="M39" i="8"/>
  <c r="M41" i="8"/>
  <c r="O37" i="7"/>
  <c r="M42" i="8"/>
  <c r="AO37" i="7"/>
  <c r="O39" i="7"/>
  <c r="AN37" i="7"/>
  <c r="N39" i="7"/>
  <c r="AA39" i="7"/>
  <c r="AA41" i="7"/>
  <c r="AL41" i="7"/>
  <c r="AA36" i="7"/>
  <c r="AA28" i="7"/>
  <c r="AA31" i="7"/>
  <c r="AA35" i="7"/>
  <c r="AA34" i="7"/>
  <c r="AA32" i="7"/>
  <c r="L42" i="7"/>
  <c r="AA29" i="7"/>
  <c r="AA27" i="7"/>
  <c r="AA33" i="7"/>
  <c r="AA30" i="7"/>
  <c r="AA37" i="7"/>
  <c r="L42" i="8"/>
  <c r="M77" i="7"/>
  <c r="M79" i="7"/>
  <c r="M81" i="7"/>
  <c r="M41" i="7"/>
  <c r="AM39" i="7"/>
  <c r="AN39" i="7"/>
  <c r="N77" i="7"/>
  <c r="N79" i="7"/>
  <c r="N81" i="7"/>
  <c r="N41" i="7"/>
  <c r="O77" i="7"/>
  <c r="O79" i="7"/>
  <c r="O81" i="7"/>
  <c r="O41" i="7"/>
  <c r="AO39" i="7"/>
  <c r="AB39" i="7"/>
  <c r="AB35" i="7"/>
  <c r="AB31" i="7"/>
  <c r="AM41" i="7"/>
  <c r="AB28" i="7"/>
  <c r="AB41" i="7"/>
  <c r="AB27" i="7"/>
  <c r="AB36" i="7"/>
  <c r="AB30" i="7"/>
  <c r="AB29" i="7"/>
  <c r="M42" i="7"/>
  <c r="AB34" i="7"/>
  <c r="AB33" i="7"/>
  <c r="AB37" i="7"/>
  <c r="AD39" i="7"/>
  <c r="AC39" i="7"/>
  <c r="AC30" i="7"/>
  <c r="AC31" i="7"/>
  <c r="AC27" i="7"/>
  <c r="AC33" i="7"/>
  <c r="AC35" i="7"/>
  <c r="AC29" i="7"/>
  <c r="AC28" i="7"/>
  <c r="AC36" i="7"/>
  <c r="AN41" i="7"/>
  <c r="AC32" i="7"/>
  <c r="AC34" i="7"/>
  <c r="N42" i="7"/>
  <c r="AC41" i="7"/>
  <c r="AC37" i="7"/>
  <c r="O42" i="7"/>
  <c r="AD41" i="7"/>
  <c r="AO41" i="7"/>
  <c r="AD36" i="7"/>
  <c r="AD31" i="7"/>
  <c r="AD34" i="7"/>
  <c r="AD28" i="7"/>
  <c r="AD32" i="7"/>
  <c r="AD29" i="7"/>
  <c r="AD27" i="7"/>
  <c r="AD35" i="7"/>
  <c r="AD30" i="7"/>
  <c r="AD33" i="7"/>
  <c r="AD37" i="7"/>
  <c r="J79" i="14"/>
  <c r="J80" i="14"/>
  <c r="X62" i="30" l="1"/>
  <c r="V62" i="30"/>
  <c r="V11" i="30"/>
  <c r="X11" i="30"/>
  <c r="V14" i="30"/>
  <c r="X14" i="30"/>
  <c r="V23" i="30"/>
  <c r="X23" i="30"/>
  <c r="V22" i="30"/>
  <c r="X22" i="30"/>
  <c r="V8" i="30"/>
  <c r="X8" i="30"/>
  <c r="X49" i="30"/>
  <c r="V49" i="30"/>
  <c r="V30" i="30"/>
  <c r="X30" i="30"/>
  <c r="X50" i="30"/>
  <c r="V50" i="30"/>
  <c r="X6" i="30"/>
  <c r="V6" i="30"/>
  <c r="V51" i="30"/>
  <c r="X51" i="30"/>
  <c r="V59" i="30"/>
  <c r="X59" i="30"/>
  <c r="X36" i="30"/>
  <c r="T5" i="30"/>
  <c r="U5" i="30" s="1"/>
  <c r="X55" i="30"/>
  <c r="X31" i="30"/>
  <c r="X27" i="30"/>
  <c r="X15" i="30"/>
  <c r="X33" i="30"/>
  <c r="X54" i="30"/>
  <c r="T38" i="30"/>
  <c r="U38" i="30" s="1"/>
  <c r="Q19" i="30"/>
  <c r="Q63" i="30"/>
  <c r="Q39" i="30"/>
  <c r="Q12" i="30"/>
  <c r="Q28" i="30"/>
  <c r="Q44" i="30"/>
  <c r="Q60" i="30"/>
  <c r="Q9" i="30"/>
  <c r="Q25" i="30"/>
  <c r="Q41" i="30"/>
  <c r="Q57" i="30"/>
  <c r="Q10" i="30"/>
  <c r="Q26" i="30"/>
  <c r="Q42" i="30"/>
  <c r="Q58" i="30"/>
  <c r="Q7" i="30"/>
  <c r="Q18" i="30"/>
  <c r="Q34" i="30"/>
  <c r="R58" i="30" l="1"/>
  <c r="S58" i="30" s="1"/>
  <c r="T58" i="30"/>
  <c r="U58" i="30" s="1"/>
  <c r="T57" i="30"/>
  <c r="U57" i="30" s="1"/>
  <c r="R57" i="30"/>
  <c r="S57" i="30" s="1"/>
  <c r="T60" i="30"/>
  <c r="U60" i="30" s="1"/>
  <c r="R60" i="30"/>
  <c r="S60" i="30" s="1"/>
  <c r="T39" i="30"/>
  <c r="U39" i="30" s="1"/>
  <c r="R39" i="30"/>
  <c r="S39" i="30" s="1"/>
  <c r="R42" i="30"/>
  <c r="S42" i="30" s="1"/>
  <c r="T42" i="30"/>
  <c r="U42" i="30" s="1"/>
  <c r="T41" i="30"/>
  <c r="U41" i="30" s="1"/>
  <c r="R41" i="30"/>
  <c r="S41" i="30" s="1"/>
  <c r="T44" i="30"/>
  <c r="U44" i="30" s="1"/>
  <c r="R44" i="30"/>
  <c r="S44" i="30" s="1"/>
  <c r="T63" i="30"/>
  <c r="U63" i="30" s="1"/>
  <c r="R63" i="30"/>
  <c r="S63" i="30" s="1"/>
  <c r="R18" i="30"/>
  <c r="S18" i="30" s="1"/>
  <c r="T18" i="30"/>
  <c r="U18" i="30" s="1"/>
  <c r="R26" i="30"/>
  <c r="S26" i="30" s="1"/>
  <c r="T26" i="30"/>
  <c r="U26" i="30" s="1"/>
  <c r="T25" i="30"/>
  <c r="U25" i="30" s="1"/>
  <c r="R25" i="30"/>
  <c r="S25" i="30" s="1"/>
  <c r="T28" i="30"/>
  <c r="U28" i="30" s="1"/>
  <c r="R28" i="30"/>
  <c r="S28" i="30" s="1"/>
  <c r="T19" i="30"/>
  <c r="U19" i="30" s="1"/>
  <c r="R19" i="30"/>
  <c r="S19" i="30" s="1"/>
  <c r="X5" i="30"/>
  <c r="V5" i="30"/>
  <c r="R34" i="30"/>
  <c r="S34" i="30" s="1"/>
  <c r="T34" i="30"/>
  <c r="U34" i="30" s="1"/>
  <c r="R7" i="30"/>
  <c r="S7" i="30" s="1"/>
  <c r="T7" i="30"/>
  <c r="U7" i="30" s="1"/>
  <c r="R10" i="30"/>
  <c r="S10" i="30" s="1"/>
  <c r="T10" i="30"/>
  <c r="U10" i="30" s="1"/>
  <c r="T9" i="30"/>
  <c r="U9" i="30" s="1"/>
  <c r="R9" i="30"/>
  <c r="S9" i="30" s="1"/>
  <c r="T12" i="30"/>
  <c r="U12" i="30" s="1"/>
  <c r="R12" i="30"/>
  <c r="S12" i="30" s="1"/>
  <c r="V38" i="30"/>
  <c r="X38" i="30"/>
  <c r="V34" i="30" l="1"/>
  <c r="X34" i="30"/>
  <c r="V7" i="30"/>
  <c r="V66" i="30" s="1"/>
  <c r="F69" i="30" s="1"/>
  <c r="X7" i="30"/>
  <c r="X66" i="30" s="1"/>
  <c r="G69" i="30" s="1"/>
  <c r="V26" i="30"/>
  <c r="X26" i="30"/>
  <c r="V9" i="30"/>
  <c r="X9" i="30"/>
  <c r="V28" i="30"/>
  <c r="X28" i="30"/>
  <c r="V63" i="30"/>
  <c r="X63" i="30"/>
  <c r="V41" i="30"/>
  <c r="X41" i="30"/>
  <c r="X39" i="30"/>
  <c r="V39" i="30"/>
  <c r="V57" i="30"/>
  <c r="X57" i="30"/>
  <c r="X18" i="30"/>
  <c r="V18" i="30"/>
  <c r="V42" i="30"/>
  <c r="X42" i="30"/>
  <c r="V58" i="30"/>
  <c r="X58" i="30"/>
  <c r="V10" i="30"/>
  <c r="X10" i="30"/>
  <c r="X12" i="30"/>
  <c r="V12" i="30"/>
  <c r="V19" i="30"/>
  <c r="X19" i="30"/>
  <c r="X25" i="30"/>
  <c r="V25" i="30"/>
  <c r="V44" i="30"/>
  <c r="X44" i="30"/>
  <c r="V60" i="30"/>
  <c r="X60" i="30"/>
</calcChain>
</file>

<file path=xl/comments1.xml><?xml version="1.0" encoding="utf-8"?>
<comments xmlns="http://schemas.openxmlformats.org/spreadsheetml/2006/main">
  <authors>
    <author>tc={51BDF9C2-8D4E-49D4-9CD9-FA39936D6D16}</author>
    <author>tc={A8B12917-943D-474D-9DF4-C0E3B0D5450A}</author>
  </authors>
  <commentList>
    <comment ref="F20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Inclusa la rivalutazione</t>
        </r>
      </text>
    </comment>
    <comment ref="F3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Effetto rivalutazione</t>
        </r>
      </text>
    </comment>
  </commentList>
</comments>
</file>

<file path=xl/comments2.xml><?xml version="1.0" encoding="utf-8"?>
<comments xmlns="http://schemas.openxmlformats.org/spreadsheetml/2006/main">
  <authors>
    <author>tc={2C53E0B6-E4FE-4930-BAB1-ADF711C8E102}</author>
  </authors>
  <commentList>
    <comment ref="G3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Costo straordinario… Discusso con Società e WPartners</t>
        </r>
      </text>
    </comment>
  </commentList>
</comments>
</file>

<file path=xl/comments3.xml><?xml version="1.0" encoding="utf-8"?>
<comments xmlns="http://schemas.openxmlformats.org/spreadsheetml/2006/main">
  <authors>
    <author>tc={5C8AB414-C9C1-402E-A335-682B3F8274EC}</author>
    <author>tc={9CA4F3FF-A387-4EFA-9135-507BFEE3F83B}</author>
    <author>tc={D3585ABC-5C7B-429B-93D2-F32908402BD1}</author>
  </authors>
  <commentList>
    <comment ref="G155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Straordinario</t>
        </r>
      </text>
    </comment>
    <comment ref="G170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Le sopravv pass+perdite su crediti, quali voci straordinarie di periodo fanno incrementare di molto il valore degli odg pe ril 2022</t>
        </r>
      </text>
    </comment>
    <comment ref="I170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OdG leggermente inferiori al 2022 per effetto delle sopravv. Passive del 2022</t>
        </r>
      </text>
    </comment>
  </commentList>
</comments>
</file>

<file path=xl/comments4.xml><?xml version="1.0" encoding="utf-8"?>
<comments xmlns="http://schemas.openxmlformats.org/spreadsheetml/2006/main">
  <authors>
    <author>tc={B52259B4-0CCA-448D-AA1B-5BBD630D6A7D}</author>
  </authors>
  <commentList>
    <comment ref="D4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Indicazione società, valore dimezzato per considerare circa i 1,6 mln di acquisti effettuati fino a giugno 2023</t>
        </r>
      </text>
    </comment>
  </commentList>
</comments>
</file>

<file path=xl/sharedStrings.xml><?xml version="1.0" encoding="utf-8"?>
<sst xmlns="http://schemas.openxmlformats.org/spreadsheetml/2006/main" count="14650" uniqueCount="4740">
  <si>
    <t>Totale</t>
  </si>
  <si>
    <t>Media</t>
  </si>
  <si>
    <t>Business Plan</t>
  </si>
  <si>
    <t>EBITDA</t>
  </si>
  <si>
    <t>EBITDA Margin</t>
  </si>
  <si>
    <t>EBIT</t>
  </si>
  <si>
    <t>Variazione crediti commerciali</t>
  </si>
  <si>
    <t>Variazione debiti commerciali</t>
  </si>
  <si>
    <t>Variazione rimanenze</t>
  </si>
  <si>
    <t>Capex</t>
  </si>
  <si>
    <t>Afghanistan</t>
  </si>
  <si>
    <t>no data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</si>
  <si>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</si>
  <si>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</si>
  <si>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</si>
  <si>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</si>
  <si>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</si>
  <si>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</si>
  <si>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</si>
  <si>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</si>
  <si>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</si>
  <si>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</si>
  <si>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</si>
  <si>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Bahamas, The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</si>
  <si>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</si>
  <si>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</si>
  <si>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</si>
  <si>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</si>
  <si>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</si>
  <si>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</si>
  <si>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</si>
  <si>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</si>
  <si>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</si>
  <si>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</si>
  <si>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</si>
  <si>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</si>
  <si>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</si>
  <si>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</si>
  <si>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</si>
  <si>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</si>
  <si>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</si>
  <si>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</si>
  <si>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</si>
  <si>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</si>
  <si>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</si>
  <si>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</si>
  <si>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</si>
  <si>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China, People's Republic of</t>
  </si>
  <si>
    <t>Colombia</t>
  </si>
  <si>
    <t>Comoros</t>
  </si>
  <si>
    <t>Congo, Dem. Rep. of the</t>
  </si>
  <si>
    <t xml:space="preserve">Congo, Republic of </t>
  </si>
  <si>
    <t>Costa Rica</t>
  </si>
  <si>
    <t>Croatia</t>
  </si>
  <si>
    <t>Cyprus</t>
  </si>
  <si>
    <t>Czech Republic</t>
  </si>
  <si>
    <t>Côte d'Ivoire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</si>
  <si>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</si>
  <si>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</si>
  <si>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</si>
  <si>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</si>
  <si>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</si>
  <si>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</si>
  <si>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</si>
  <si>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</si>
  <si>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</si>
  <si>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</si>
  <si>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</si>
  <si>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</si>
  <si>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</si>
  <si>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</si>
  <si>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</si>
  <si>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</si>
  <si>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Gambia, The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</si>
  <si>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</si>
  <si>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</si>
  <si>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</si>
  <si>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</si>
  <si>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</si>
  <si>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</si>
  <si>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</si>
  <si>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</si>
  <si>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</si>
  <si>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</si>
  <si>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</si>
  <si>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</si>
  <si>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</si>
  <si>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</si>
  <si>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</si>
  <si>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</si>
  <si>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</si>
  <si>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</si>
  <si>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</si>
  <si>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</si>
  <si>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</si>
  <si>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</si>
  <si>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</si>
  <si>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</si>
  <si>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</si>
  <si>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</si>
  <si>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</si>
  <si>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Republic of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</si>
  <si>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</si>
  <si>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</si>
  <si>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</si>
  <si>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</si>
  <si>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</si>
  <si>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</si>
  <si>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</si>
  <si>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</si>
  <si>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</si>
  <si>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</si>
  <si>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</si>
  <si>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</si>
  <si>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</si>
  <si>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</si>
  <si>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</si>
  <si>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</si>
  <si>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</si>
  <si>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</si>
  <si>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</si>
  <si>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</si>
  <si>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</si>
  <si>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</si>
  <si>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States of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</si>
  <si>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</si>
  <si>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</si>
  <si>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</si>
  <si>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</si>
  <si>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</si>
  <si>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</si>
  <si>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</si>
  <si>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</si>
  <si>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</si>
  <si>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</si>
  <si>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</si>
  <si>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</si>
  <si>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</si>
  <si>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</si>
  <si>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 xml:space="preserve">North Macedonia 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</si>
  <si>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</si>
  <si>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</si>
  <si>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</si>
  <si>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</si>
  <si>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</si>
  <si>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</si>
  <si>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</si>
  <si>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</si>
  <si>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</si>
  <si>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</si>
  <si>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</si>
  <si>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</si>
  <si>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</si>
  <si>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</si>
  <si>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Russian Federation</t>
  </si>
  <si>
    <t>Rwanda</t>
  </si>
  <si>
    <t>Saint Kitts and Nevis</t>
  </si>
  <si>
    <t>Saint Lucia</t>
  </si>
  <si>
    <t>Saint Vincent and the Grenadines</t>
  </si>
  <si>
    <t>Samoa</t>
  </si>
  <si>
    <t>San Marino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</si>
  <si>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</si>
  <si>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</si>
  <si>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</si>
  <si>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</si>
  <si>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</si>
  <si>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</si>
  <si>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</si>
  <si>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</si>
  <si>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</si>
  <si>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</si>
  <si>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</si>
  <si>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Sudan, Republic of</t>
  </si>
  <si>
    <t>Spain</t>
  </si>
  <si>
    <t>Sri Lanka</t>
  </si>
  <si>
    <t>Sudan</t>
  </si>
  <si>
    <t>Suriname</t>
  </si>
  <si>
    <t>Sweden</t>
  </si>
  <si>
    <t>Switzerland</t>
  </si>
  <si>
    <t>Syria</t>
  </si>
  <si>
    <t>São Tomé and Príncipe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</si>
  <si>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</si>
  <si>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</si>
  <si>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</si>
  <si>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</si>
  <si>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</si>
  <si>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</si>
  <si>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</si>
  <si>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</si>
  <si>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</si>
  <si>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</si>
  <si>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</si>
  <si>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</si>
  <si>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</si>
  <si>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</si>
  <si>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</si>
  <si>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</si>
  <si>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</si>
  <si>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</si>
  <si>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</si>
  <si>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</si>
  <si>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</si>
  <si>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</si>
  <si>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</si>
  <si>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</si>
  <si>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</si>
  <si>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Africa (Region)</t>
  </si>
  <si>
    <t>Asia and Pacific</t>
  </si>
  <si>
    <t>Australia and New Zealand</t>
  </si>
  <si>
    <t>Caribbean</t>
  </si>
  <si>
    <t>Central America</t>
  </si>
  <si>
    <t>Central Asia and the Caucasus</t>
  </si>
  <si>
    <t>East Asia</t>
  </si>
  <si>
    <t xml:space="preserve">Eastern Europe </t>
  </si>
  <si>
    <t>Europe</t>
  </si>
  <si>
    <t>Middle East (Region)</t>
  </si>
  <si>
    <t>North Africa</t>
  </si>
  <si>
    <t>North America</t>
  </si>
  <si>
    <t xml:space="preserve">Pacific Islands </t>
  </si>
  <si>
    <t>South Asia</t>
  </si>
  <si>
    <t>Southeast Asia</t>
  </si>
  <si>
    <t xml:space="preserve">Sub-Saharan Africa (Region) </t>
  </si>
  <si>
    <t>Western Europe</t>
  </si>
  <si>
    <t>Western Hemisphere (Region)</t>
  </si>
  <si>
    <t>ASEAN-5</t>
  </si>
  <si>
    <t>Advanced economies</t>
  </si>
  <si>
    <t>Emerging and Developing Asia</t>
  </si>
  <si>
    <t>Emerging and Developing Europe</t>
  </si>
  <si>
    <t>Emerging market and developing economies</t>
  </si>
  <si>
    <t>Euro area</t>
  </si>
  <si>
    <t>European Union</t>
  </si>
  <si>
    <t>Latin America and the Caribbean</t>
  </si>
  <si>
    <t>Major advanced economies (G7)</t>
  </si>
  <si>
    <t>Middle East and Central Asia</t>
  </si>
  <si>
    <t>Other advanced economies</t>
  </si>
  <si>
    <t>Sub-Saharan Africa</t>
  </si>
  <si>
    <t>World</t>
  </si>
  <si>
    <t>©IMF, 2022</t>
  </si>
  <si>
    <t>Input BP</t>
  </si>
  <si>
    <t>SP</t>
  </si>
  <si>
    <t>Inflazione attesa</t>
  </si>
  <si>
    <t>Country</t>
  </si>
  <si>
    <t>Paese</t>
  </si>
  <si>
    <t>Area</t>
  </si>
  <si>
    <t>Africa and Middle East</t>
  </si>
  <si>
    <t/>
  </si>
  <si>
    <t>Rest of Europe</t>
  </si>
  <si>
    <t>LATAM</t>
  </si>
  <si>
    <t>APAC</t>
  </si>
  <si>
    <t>Bahamas</t>
  </si>
  <si>
    <t>Baharain</t>
  </si>
  <si>
    <t>Biellorussia</t>
  </si>
  <si>
    <t>Belgio</t>
  </si>
  <si>
    <t>Bosnia ed Erzegovina</t>
  </si>
  <si>
    <t>Brasile</t>
  </si>
  <si>
    <t>Cameron</t>
  </si>
  <si>
    <t>Repubblica Centrale Africana</t>
  </si>
  <si>
    <t>Cile</t>
  </si>
  <si>
    <t>Cina</t>
  </si>
  <si>
    <t>Repubblica Democratica del Congo</t>
  </si>
  <si>
    <t>Repubblica del Congo</t>
  </si>
  <si>
    <t>Costa d'Avorio</t>
  </si>
  <si>
    <t>Croazia</t>
  </si>
  <si>
    <t>Cipro</t>
  </si>
  <si>
    <t>Rep Ceca</t>
  </si>
  <si>
    <t>Danimarca</t>
  </si>
  <si>
    <t>Rep dominicana</t>
  </si>
  <si>
    <t>Egitto</t>
  </si>
  <si>
    <t>Etiopia</t>
  </si>
  <si>
    <t>Finlandia</t>
  </si>
  <si>
    <t>Francia</t>
  </si>
  <si>
    <t>The Gambia</t>
  </si>
  <si>
    <t>Germania</t>
  </si>
  <si>
    <t>Grecia</t>
  </si>
  <si>
    <t>Ungheria</t>
  </si>
  <si>
    <t>Islanda</t>
  </si>
  <si>
    <t>Repubblica Islamica dell'Iran</t>
  </si>
  <si>
    <t>Irlanda</t>
  </si>
  <si>
    <t>Israele</t>
  </si>
  <si>
    <t>Italia</t>
  </si>
  <si>
    <t>Giappone</t>
  </si>
  <si>
    <t>Giordania</t>
  </si>
  <si>
    <t>Corea</t>
  </si>
  <si>
    <t>Lettonia</t>
  </si>
  <si>
    <t>Libano</t>
  </si>
  <si>
    <t>Libia</t>
  </si>
  <si>
    <t>Lituania</t>
  </si>
  <si>
    <t>Lussemburgo</t>
  </si>
  <si>
    <t>Malesia</t>
  </si>
  <si>
    <t>Maldive</t>
  </si>
  <si>
    <t>Messico</t>
  </si>
  <si>
    <t>Micronesia</t>
  </si>
  <si>
    <t>Marocco</t>
  </si>
  <si>
    <t>Olanda</t>
  </si>
  <si>
    <t>Nuova Zelanda</t>
  </si>
  <si>
    <t>Macedenia del Nord</t>
  </si>
  <si>
    <t>Norvegia</t>
  </si>
  <si>
    <t>Perù</t>
  </si>
  <si>
    <t>Filippine</t>
  </si>
  <si>
    <t>Polonia</t>
  </si>
  <si>
    <t>Portogallo</t>
  </si>
  <si>
    <t>Porto Rico</t>
  </si>
  <si>
    <t>Russia</t>
  </si>
  <si>
    <t>Arabia Saudita</t>
  </si>
  <si>
    <t>Repubblica Slovacca</t>
  </si>
  <si>
    <t>Sud Afrida</t>
  </si>
  <si>
    <t>Sud Sudan</t>
  </si>
  <si>
    <t>Spagna</t>
  </si>
  <si>
    <t>St. Kitts and Nevis</t>
  </si>
  <si>
    <t>St. Lucia</t>
  </si>
  <si>
    <t>St. Vincent and the Grenadines</t>
  </si>
  <si>
    <t>Svezia</t>
  </si>
  <si>
    <t>Svizzera</t>
  </si>
  <si>
    <t>Siria</t>
  </si>
  <si>
    <t>Taiwan</t>
  </si>
  <si>
    <t>Tailandia</t>
  </si>
  <si>
    <t>Turkey</t>
  </si>
  <si>
    <t>Turchia</t>
  </si>
  <si>
    <t>Ucraina</t>
  </si>
  <si>
    <t>Emirati Arabi Uniti</t>
  </si>
  <si>
    <t>Regno Unito</t>
  </si>
  <si>
    <t>Stati Uniti</t>
  </si>
  <si>
    <t>-IMPORTO (€)</t>
  </si>
  <si>
    <t>PAESE</t>
  </si>
  <si>
    <t xml:space="preserve">Ponderazione </t>
  </si>
  <si>
    <t>Pesi</t>
  </si>
  <si>
    <t>Inflazione totale</t>
  </si>
  <si>
    <t>Totale complessivo</t>
  </si>
  <si>
    <t>U.S.A.</t>
  </si>
  <si>
    <t>Korea del Sud</t>
  </si>
  <si>
    <t>Kazakistan</t>
  </si>
  <si>
    <t>Paesi Bassi</t>
  </si>
  <si>
    <t>Bahrein</t>
  </si>
  <si>
    <t>Azerbaigian</t>
  </si>
  <si>
    <t>Monaco</t>
  </si>
  <si>
    <t>Hong Kong</t>
  </si>
  <si>
    <t>Bielorussia</t>
  </si>
  <si>
    <t>Antille Olandesi</t>
  </si>
  <si>
    <t>Moldavia</t>
  </si>
  <si>
    <t>Isole Vergini Britanniche</t>
  </si>
  <si>
    <t>Saint-Barthélemy</t>
  </si>
  <si>
    <t>Rep. Ceca</t>
  </si>
  <si>
    <t>LIBANO</t>
  </si>
  <si>
    <t>TAGIKISTAN</t>
  </si>
  <si>
    <t>ANTILLE FRANCESI</t>
  </si>
  <si>
    <t>SINGAPORE</t>
  </si>
  <si>
    <t>PORTOGALLO</t>
  </si>
  <si>
    <t>Slovacchia</t>
  </si>
  <si>
    <t>FINLANDIA</t>
  </si>
  <si>
    <t>CROAZIA</t>
  </si>
  <si>
    <t>Altri paesi</t>
  </si>
  <si>
    <t>CAGR</t>
  </si>
  <si>
    <t>% Ricavi</t>
  </si>
  <si>
    <t>Crescita YoY %</t>
  </si>
  <si>
    <t>Eur/000</t>
  </si>
  <si>
    <t>PLAN</t>
  </si>
  <si>
    <t>23-27</t>
  </si>
  <si>
    <t>23-25</t>
  </si>
  <si>
    <t>26-27</t>
  </si>
  <si>
    <t>Altri Ricavi Vendite</t>
  </si>
  <si>
    <t>Altri Ricavi non vendite</t>
  </si>
  <si>
    <t>Totale Ricavi</t>
  </si>
  <si>
    <t>Totale Ricavi (YoY)</t>
  </si>
  <si>
    <t>check</t>
  </si>
  <si>
    <t>DPO</t>
  </si>
  <si>
    <t>Altri costi</t>
  </si>
  <si>
    <t>Total Cost of Goods Sold</t>
  </si>
  <si>
    <t>Gross profit</t>
  </si>
  <si>
    <t>Personale</t>
  </si>
  <si>
    <t>Servizi</t>
  </si>
  <si>
    <t>Godimento beni di terzi</t>
  </si>
  <si>
    <t>Totale Costi Fissi</t>
  </si>
  <si>
    <t>EBITDA-margin</t>
  </si>
  <si>
    <t>Ammortamenti imm. materiali</t>
  </si>
  <si>
    <t>Ammortamenti imm. immateriali</t>
  </si>
  <si>
    <t>Accantonamenti e svalutazioni</t>
  </si>
  <si>
    <t>EBIT-margin</t>
  </si>
  <si>
    <t>Oneri e proventi finanziari</t>
  </si>
  <si>
    <t>Dividendi</t>
  </si>
  <si>
    <t>Oneri e proventi straordinari</t>
  </si>
  <si>
    <t>EBT</t>
  </si>
  <si>
    <t>Taxes</t>
  </si>
  <si>
    <t>Net result</t>
  </si>
  <si>
    <t xml:space="preserve">Check </t>
  </si>
  <si>
    <t xml:space="preserve">Andamento Ricavi </t>
  </si>
  <si>
    <t>% crescite ricavi</t>
  </si>
  <si>
    <t>Ricavi vs Costi della Produzione</t>
  </si>
  <si>
    <t>Costi della Produzione</t>
  </si>
  <si>
    <t xml:space="preserve">% Costi della produzione </t>
  </si>
  <si>
    <t>Totale costi della produzione</t>
  </si>
  <si>
    <t>Gross Profit</t>
  </si>
  <si>
    <t>Oneri diversi di gestione</t>
  </si>
  <si>
    <t xml:space="preserve">Ebitda </t>
  </si>
  <si>
    <t>Andamento EBITDA</t>
  </si>
  <si>
    <t>Totale EBITDA</t>
  </si>
  <si>
    <t>% crescite EBITDA</t>
  </si>
  <si>
    <t>Ricavi</t>
  </si>
  <si>
    <t>Costi Varibili</t>
  </si>
  <si>
    <t>Costi Fissi</t>
  </si>
  <si>
    <t>EBITDA margin</t>
  </si>
  <si>
    <t>ACT</t>
  </si>
  <si>
    <t>Imm. Immateriali</t>
  </si>
  <si>
    <t>Imm. Materiali</t>
  </si>
  <si>
    <t>Imm. Finanziarie</t>
  </si>
  <si>
    <t>Totale Attivo Fisso Netto</t>
  </si>
  <si>
    <t>Check</t>
  </si>
  <si>
    <t>Inventories</t>
  </si>
  <si>
    <t>Trade receivables</t>
  </si>
  <si>
    <t>Trade Payables</t>
  </si>
  <si>
    <t>CCN Commerciale</t>
  </si>
  <si>
    <t>Other Receivables</t>
  </si>
  <si>
    <t>Other Payables</t>
  </si>
  <si>
    <t>CCN Altro</t>
  </si>
  <si>
    <t>CCN</t>
  </si>
  <si>
    <t>Fondi</t>
  </si>
  <si>
    <t>TFR</t>
  </si>
  <si>
    <t>Totale Fondi</t>
  </si>
  <si>
    <t>CIN</t>
  </si>
  <si>
    <t>Capitale sociale</t>
  </si>
  <si>
    <t>Receivables from shareholders</t>
  </si>
  <si>
    <t>Riserve</t>
  </si>
  <si>
    <t>Utile/(perdite) portati a nuovo</t>
  </si>
  <si>
    <t>Utile di esercizio</t>
  </si>
  <si>
    <t>Equity</t>
  </si>
  <si>
    <t>Debiti verso Banche a breve</t>
  </si>
  <si>
    <t>Debiti verso Banche a M/L</t>
  </si>
  <si>
    <t>Revolving RCF</t>
  </si>
  <si>
    <t>Debiti verso altri finanziatori</t>
  </si>
  <si>
    <t>Obbligazioni</t>
  </si>
  <si>
    <t>Crediti finanziari</t>
  </si>
  <si>
    <t>Conti correnti bancari (netti), Cassa e altri titoli</t>
  </si>
  <si>
    <t>Net Financial Position</t>
  </si>
  <si>
    <t>Sources</t>
  </si>
  <si>
    <t>Analisi CCN</t>
  </si>
  <si>
    <t>Receivable</t>
  </si>
  <si>
    <t>% Revenues</t>
  </si>
  <si>
    <t>DSO</t>
  </si>
  <si>
    <t>Payables</t>
  </si>
  <si>
    <t>Inventory</t>
  </si>
  <si>
    <t>PFN</t>
  </si>
  <si>
    <t>PFN/EBITDA</t>
  </si>
  <si>
    <t>Self financing</t>
  </si>
  <si>
    <t>Gross Cash flows</t>
  </si>
  <si>
    <t>Change in financial assets</t>
  </si>
  <si>
    <t>Net Cash flows</t>
  </si>
  <si>
    <t>Interest income / (expenses)</t>
  </si>
  <si>
    <t>Proventi ed oneri straordinari</t>
  </si>
  <si>
    <t>∆ Net Equity</t>
  </si>
  <si>
    <t>Cash Flow available for debt service</t>
  </si>
  <si>
    <t>Cash - BoP</t>
  </si>
  <si>
    <t>Cash flow</t>
  </si>
  <si>
    <t>Cash - EoP</t>
  </si>
  <si>
    <t>Dati Società</t>
  </si>
  <si>
    <t>PORTAFOGLIO AZIENDA AL 31/12/2022</t>
  </si>
  <si>
    <r>
      <t xml:space="preserve">PRINCIPALI LAVORI IN ESSERE ED </t>
    </r>
    <r>
      <rPr>
        <b/>
        <sz val="14"/>
        <color rgb="FFFF0000"/>
        <rFont val="Calibri"/>
        <family val="2"/>
        <scheme val="minor"/>
      </rPr>
      <t>ACQUISITI</t>
    </r>
    <r>
      <rPr>
        <b/>
        <sz val="14"/>
        <color rgb="FF00B050"/>
        <rFont val="Calibri"/>
        <family val="2"/>
        <scheme val="minor"/>
      </rPr>
      <t xml:space="preserve">  </t>
    </r>
  </si>
  <si>
    <t>COMMITTENTE</t>
  </si>
  <si>
    <t>CANTIERE</t>
  </si>
  <si>
    <t>IMPORTO APPALTO IN ESECUZIONE OD ACQUISITO</t>
  </si>
  <si>
    <t>IMPORTO FATTURATO FINO AL 31/12/2021</t>
  </si>
  <si>
    <t>IMPORTO FATTURATO AL 31/12/2022</t>
  </si>
  <si>
    <t>LAVORI ESEGUITI NON ANCORA FATTURATI DEL 2022</t>
  </si>
  <si>
    <t>IMPORTO TOTALE FATTURABILE AL 31/12/2022</t>
  </si>
  <si>
    <t>UTILE DI IMPRESA AL 2022</t>
  </si>
  <si>
    <t>PERCENTUALE UTILE</t>
  </si>
  <si>
    <t>IMPORTO PRESUNTO DA FATTURARE ANNO 2023</t>
  </si>
  <si>
    <t>IMPORTO PRESUNTO DA FATTURARE ANNO 2024</t>
  </si>
  <si>
    <t>DATA-DURATA PRESUNTA DI FINE LAVORI</t>
  </si>
  <si>
    <t xml:space="preserve">RITENUTE DI GARANZIA AL 31/12/21 (voce di bilancio" Cred. v/clienti rit. Gar.") </t>
  </si>
  <si>
    <t>CANTIERI IN ESSERE O TERMINATI NEL 2022</t>
  </si>
  <si>
    <t>Consorzio Stabile SIS Scpa</t>
  </si>
  <si>
    <t>Milano Ospedale Policlinico Mangiagalli</t>
  </si>
  <si>
    <t>31 MARZO 2023</t>
  </si>
  <si>
    <t>Cepav Due S.p.A.</t>
  </si>
  <si>
    <t>Tratta AV/AC Milano-Verona - contr. 0800083</t>
  </si>
  <si>
    <t>30 GIUGNO 2023</t>
  </si>
  <si>
    <t>Tratta AV/AC Milano-Verona - contr. 0800064</t>
  </si>
  <si>
    <t>Tratta AV/AC Milano-Verona - contr. 0800061 - Pozzi drenanti</t>
  </si>
  <si>
    <t>IMPR. MANELLI - CEPAV DUE SPA</t>
  </si>
  <si>
    <t>Tratta AV/AC Milano-Verona APPALTO 4</t>
  </si>
  <si>
    <t>31 DICEMBRE 2023</t>
  </si>
  <si>
    <t>Tratta AV/AC Milano-Verona APPALTO 6</t>
  </si>
  <si>
    <t>Itinera S.p.A.</t>
  </si>
  <si>
    <t>A6 TO-SV Miglioramento Sismico - Lotto 1</t>
  </si>
  <si>
    <t>Impresa Percassi S.p.A.</t>
  </si>
  <si>
    <t>Bergamo</t>
  </si>
  <si>
    <t>Raccordo autostradale SP19 - Travagliato (BS)</t>
  </si>
  <si>
    <t>Civelli Costruzioni S.r.l.</t>
  </si>
  <si>
    <t>Turbigo (MI)</t>
  </si>
  <si>
    <t>TERMINATO - 31 AGOSTO 2022</t>
  </si>
  <si>
    <t xml:space="preserve">Italiana Costruzioni Infrastrutture S.p.A </t>
  </si>
  <si>
    <t>Torino Metropolitana-lotto 2 Galleria</t>
  </si>
  <si>
    <t>Montecchio S.c.a.r.l.</t>
  </si>
  <si>
    <t>Montecchio Maggiore (VI)</t>
  </si>
  <si>
    <t>TERMINATO - 30 GIUGNO 2022</t>
  </si>
  <si>
    <t>Montecchio Maggiore (VI)-contr opere armonizzazione</t>
  </si>
  <si>
    <t>Valico dei Giovi S.c.a.r.l.</t>
  </si>
  <si>
    <t>COCIV - Valico dei Giovi (AL)</t>
  </si>
  <si>
    <t>Novara S.c.a.r.l.</t>
  </si>
  <si>
    <t>Novara</t>
  </si>
  <si>
    <t>SALC  SPA</t>
  </si>
  <si>
    <t>VALTROMPIA</t>
  </si>
  <si>
    <t>Colombo Severo S.p.A.</t>
  </si>
  <si>
    <t>Milano Via Serio</t>
  </si>
  <si>
    <t>TERMINATO - 31 LUGLIO 2022</t>
  </si>
  <si>
    <t>Consorzio Atlante S.C.p.A.</t>
  </si>
  <si>
    <t>Milano P.zza Lugano</t>
  </si>
  <si>
    <t>TERMINATO - 31 OTTOBRE 2022</t>
  </si>
  <si>
    <t>Ghisolfa S.c.a.r.l.</t>
  </si>
  <si>
    <t>A4 Pero</t>
  </si>
  <si>
    <t>TERMINATO - 31 MARZO 2022</t>
  </si>
  <si>
    <t>Termal Green Building S.r.l.</t>
  </si>
  <si>
    <t>Bologna Via Castelfidardo Ex Caserma Minghetti</t>
  </si>
  <si>
    <t>Impresa Aleandri</t>
  </si>
  <si>
    <t>Tangenziale Casalpusterlengo</t>
  </si>
  <si>
    <t xml:space="preserve">Neocos </t>
  </si>
  <si>
    <t>Genova Polcevera sponda sinistra</t>
  </si>
  <si>
    <t>Mattioda</t>
  </si>
  <si>
    <t>Torino Politecnico</t>
  </si>
  <si>
    <t>Manelli</t>
  </si>
  <si>
    <t>Bologna Tecnopolo</t>
  </si>
  <si>
    <t>TERMINATO - 31 MAGGIO 2022</t>
  </si>
  <si>
    <t>Agnese Costruzioni S.r.l.</t>
  </si>
  <si>
    <t>La Spezia Interconnessione</t>
  </si>
  <si>
    <t>TERMINATO - 30 SETTEMBRE 2022</t>
  </si>
  <si>
    <t>Frejus</t>
  </si>
  <si>
    <t>LEMIT S.c.a.r.l.</t>
  </si>
  <si>
    <t>A4 Lemit</t>
  </si>
  <si>
    <t>ADR Infrastrutture S.p.A.</t>
  </si>
  <si>
    <t>Fiumicino Lotto 2</t>
  </si>
  <si>
    <t>Morbio Costruzioni S.r.l.</t>
  </si>
  <si>
    <t>Gazoldo (MN)</t>
  </si>
  <si>
    <t>Armofer S.r.l.</t>
  </si>
  <si>
    <t>Milano Via Cadolini</t>
  </si>
  <si>
    <t>Genova San Benigno Lotto 2</t>
  </si>
  <si>
    <t>Pavimental S.p.A.</t>
  </si>
  <si>
    <t>PAC S.p.A.</t>
  </si>
  <si>
    <t>Firenze Isolotto</t>
  </si>
  <si>
    <t>Giudici S.p.A.</t>
  </si>
  <si>
    <t>Parabiago (MI)</t>
  </si>
  <si>
    <t>31 OTTOBRE 2023</t>
  </si>
  <si>
    <t>Costruire per Genova S.c.a.r.l.</t>
  </si>
  <si>
    <t>Genova Sbocco a mare</t>
  </si>
  <si>
    <t>TERMINATO - 31 DICEMBRE 2022</t>
  </si>
  <si>
    <t>Cogefa S.p.A.</t>
  </si>
  <si>
    <t>Nodo di Ivrea</t>
  </si>
  <si>
    <t>Strabag</t>
  </si>
  <si>
    <t>Cassa espansione Torrente Baganza</t>
  </si>
  <si>
    <t>CDS COSTRUZIONI</t>
  </si>
  <si>
    <t>GENOVA WATERFRONT Lotto 2.3</t>
  </si>
  <si>
    <t>GENOVA WATERFRONT Lotto 2.1</t>
  </si>
  <si>
    <t>Co.S.PEF. S.r.l.</t>
  </si>
  <si>
    <t>Genova Torrente Chiaravagna</t>
  </si>
  <si>
    <t>Tratta AV/AC Milano-Verona - contr. 0800175</t>
  </si>
  <si>
    <t>IRICAV ATI con SALCEF</t>
  </si>
  <si>
    <t>ALTA VELOCITA' - Montebello (VI)</t>
  </si>
  <si>
    <t>31 DICEMBRE 2024</t>
  </si>
  <si>
    <t>A.N.A.S.</t>
  </si>
  <si>
    <t>Casalecchio</t>
  </si>
  <si>
    <t>D'Addetta S.r.l.</t>
  </si>
  <si>
    <t>Viadotto Tassonaro (LU)</t>
  </si>
  <si>
    <t>30 SETTEMBRE 2023</t>
  </si>
  <si>
    <t>Arch. Paroni</t>
  </si>
  <si>
    <t>Peschiera d/G (VR</t>
  </si>
  <si>
    <t>TERMINATO - 31 GENNAIO 2022</t>
  </si>
  <si>
    <t>A6 TO-SV Viadotto Boccafolle</t>
  </si>
  <si>
    <t>Benaco Immobilare S.r.l.</t>
  </si>
  <si>
    <t>Asola (MN)</t>
  </si>
  <si>
    <t>Polis Fondi SGR.p.A.</t>
  </si>
  <si>
    <t>Milano Via Rovello</t>
  </si>
  <si>
    <t>Desenzano d/G Via Sirmione</t>
  </si>
  <si>
    <t>Grenti S.p.A.</t>
  </si>
  <si>
    <t>Parma</t>
  </si>
  <si>
    <t>Roma Via Usodimare</t>
  </si>
  <si>
    <t>Torino Metropolitana-lotto 2</t>
  </si>
  <si>
    <t>Ala Fondazioni S.r.l.</t>
  </si>
  <si>
    <t>Tavazzano (LO)</t>
  </si>
  <si>
    <t>TIBRE</t>
  </si>
  <si>
    <t>TERMINATO - 28 FEBBRAIO 2022</t>
  </si>
  <si>
    <t>Tecnicamente S.r.l.</t>
  </si>
  <si>
    <t>Milano Via Asiago</t>
  </si>
  <si>
    <t>Elios S.p.A.</t>
  </si>
  <si>
    <t>Milano Via Sbodio</t>
  </si>
  <si>
    <t>A.Ge.D. Costruzioni S.r.l.</t>
  </si>
  <si>
    <t>Milano Via Pastorelli</t>
  </si>
  <si>
    <t>Cemes S.p.A.</t>
  </si>
  <si>
    <t>Forte dei Marmi</t>
  </si>
  <si>
    <t>Ceriali Costruzioni S.p.A.</t>
  </si>
  <si>
    <t>Remedello (BS)</t>
  </si>
  <si>
    <t>Torino Metropolitana-lotto 1</t>
  </si>
  <si>
    <t>Format S.r.l.</t>
  </si>
  <si>
    <t>Viadana Mantovana (MN)</t>
  </si>
  <si>
    <t>Mantova Via 8 Marzo</t>
  </si>
  <si>
    <t>Zecca Prefabbricati S.p.A.</t>
  </si>
  <si>
    <t>Lomagna (LC)</t>
  </si>
  <si>
    <t>Preve Costruzioni S.p.A.</t>
  </si>
  <si>
    <t>A6 TO-SV Miglioramento Sismico</t>
  </si>
  <si>
    <t>C.V.L. S.p.A.</t>
  </si>
  <si>
    <t>Milano Via Assietta</t>
  </si>
  <si>
    <t>Costruzioni Generali Gilardi S.p.A.</t>
  </si>
  <si>
    <t>Milano Ospedale Buzzi</t>
  </si>
  <si>
    <t>Tavazzano (LO) - Nolo Trave</t>
  </si>
  <si>
    <t>Genova Polcevera sponda sinistra - Nolo Trave</t>
  </si>
  <si>
    <t>A1 Firenze Sud - Incisa Lotto 1 Nord</t>
  </si>
  <si>
    <t>TERMINATO - 31 OTTOBRE 2021</t>
  </si>
  <si>
    <t>Borio Mangiarotti S.p.A.</t>
  </si>
  <si>
    <t>Milano Via Arrivabene</t>
  </si>
  <si>
    <t>TERMINATO - 30 APRILE 2022</t>
  </si>
  <si>
    <t>Tecnositaf S.p.A.</t>
  </si>
  <si>
    <t>A6 TO-SV Gallerie ADF</t>
  </si>
  <si>
    <t>Asti-Cuneo Lotto 6B</t>
  </si>
  <si>
    <t>Acciaierie Venete S.p.A.</t>
  </si>
  <si>
    <t>Mura di Casto (BS)</t>
  </si>
  <si>
    <t>Fiumicino Coccio di Morto</t>
  </si>
  <si>
    <t>PAVIMENTAL S.p.A.</t>
  </si>
  <si>
    <t>Genova A7 Rio Torbella</t>
  </si>
  <si>
    <t>Ing. Ferrari S.p.A.</t>
  </si>
  <si>
    <t>Milano Via Ripamonti</t>
  </si>
  <si>
    <t>Firenze THS Belfiore</t>
  </si>
  <si>
    <t>Parma Torrente Campata 5</t>
  </si>
  <si>
    <t>Contract S.r.l.</t>
  </si>
  <si>
    <t>Stezzano (BG)</t>
  </si>
  <si>
    <t>METROGENOVA S.c.a.r.l.</t>
  </si>
  <si>
    <t>Genova</t>
  </si>
  <si>
    <t>Mantova Via Verona</t>
  </si>
  <si>
    <t>Ediltecno Restauri S.r.l.</t>
  </si>
  <si>
    <t>Varese</t>
  </si>
  <si>
    <t>Cicalese Impianti S.r.l.</t>
  </si>
  <si>
    <t>Como</t>
  </si>
  <si>
    <t>SDA Scavi S.r.l.</t>
  </si>
  <si>
    <t>Carisio (VC)</t>
  </si>
  <si>
    <t>Noldem S.p.A.</t>
  </si>
  <si>
    <t>Milano Viale Monza</t>
  </si>
  <si>
    <t>Bertini Costruzioni S.r.l.</t>
  </si>
  <si>
    <t>Borgosesia (VC)</t>
  </si>
  <si>
    <t>TERMINATO - 31 GENNAIO 2021</t>
  </si>
  <si>
    <t>Gruppo Koni S.r.l.</t>
  </si>
  <si>
    <t>Buti (PI)</t>
  </si>
  <si>
    <t>A10 Ge-Ventimiglia</t>
  </si>
  <si>
    <t>Polistrade S.p.A.</t>
  </si>
  <si>
    <t>Campi Bisenzio (FI)</t>
  </si>
  <si>
    <t>Manelli S.p.A.</t>
  </si>
  <si>
    <t>Inveruno (MI)</t>
  </si>
  <si>
    <t>Mario Neri S.p.A.</t>
  </si>
  <si>
    <t>Modena TetraPak</t>
  </si>
  <si>
    <t>Camuna Costruzioni S.r.l.</t>
  </si>
  <si>
    <t>San Zeno sul Naviglio (BS)</t>
  </si>
  <si>
    <t>General Sistem S.r.l.</t>
  </si>
  <si>
    <t>Marghera (VE)</t>
  </si>
  <si>
    <t>Semat S.p.A. - Jet Grouting e Micropali</t>
  </si>
  <si>
    <t>Semat S.p.A. - Pali CFA</t>
  </si>
  <si>
    <t>COVIVIO S.p.A.</t>
  </si>
  <si>
    <t>Milano Viale Ortles</t>
  </si>
  <si>
    <t>Margi Immobiliare S.r.l.</t>
  </si>
  <si>
    <t>Monza Viale Piave</t>
  </si>
  <si>
    <t>Tre G Investimenti Re o co. S.r.l.</t>
  </si>
  <si>
    <t>Milano Via Ponti</t>
  </si>
  <si>
    <t>Superba S.c.a.r.l.</t>
  </si>
  <si>
    <t>Genova Polcevera sponda destra</t>
  </si>
  <si>
    <t>Lugana Parco al Lago S.r.l.</t>
  </si>
  <si>
    <t>Sirmione (BS)</t>
  </si>
  <si>
    <t>Ca' Dei Frati S.r.l.</t>
  </si>
  <si>
    <t>Sirmione (BS) Via Frati</t>
  </si>
  <si>
    <t>BARESI CAVE S.r.l.</t>
  </si>
  <si>
    <t>GUSSOLA (CR)</t>
  </si>
  <si>
    <t>BENASSI S.r.l.</t>
  </si>
  <si>
    <t>LUZZARA (RE)</t>
  </si>
  <si>
    <t>TERMINATO - 30 NOVEMBRE 2022</t>
  </si>
  <si>
    <t>ZECCA PREFABBRICATI S.p.A.</t>
  </si>
  <si>
    <t>BURAGO DI MOLGORA (MB)</t>
  </si>
  <si>
    <t>GRASSOBBIO (BG)</t>
  </si>
  <si>
    <t>SELI COSTRUZIONI</t>
  </si>
  <si>
    <t>MARANELLO</t>
  </si>
  <si>
    <t>SEREGNO</t>
  </si>
  <si>
    <t xml:space="preserve">COIMA </t>
  </si>
  <si>
    <t>Via Erodoto</t>
  </si>
  <si>
    <t>31 OTTOBRE 2022</t>
  </si>
  <si>
    <t>IMACO</t>
  </si>
  <si>
    <t>SAN STEFANO A MARE (IM)</t>
  </si>
  <si>
    <t>CONTRACT SRL</t>
  </si>
  <si>
    <t>SANREMO (IM)</t>
  </si>
  <si>
    <t>30 APRILE 2023</t>
  </si>
  <si>
    <t>IRICAV DUE (in DIRETTA)</t>
  </si>
  <si>
    <t>SAN BONIFACIO (VR)</t>
  </si>
  <si>
    <t>DE SANCTIS COSTRUZIONI S.p.A.</t>
  </si>
  <si>
    <t>REGGIO EMILIA TANGENZIALE NORD</t>
  </si>
  <si>
    <t>31 MARZO 2024</t>
  </si>
  <si>
    <t>BIOINDUSTRY PARK S.p.A.</t>
  </si>
  <si>
    <t>COLLERETTO (TO)</t>
  </si>
  <si>
    <t>SALC S.p.A.</t>
  </si>
  <si>
    <t>MILANO Via Tofano</t>
  </si>
  <si>
    <t>SIS</t>
  </si>
  <si>
    <t>TIRANO (SO)</t>
  </si>
  <si>
    <t>30 GIUGNO 2024</t>
  </si>
  <si>
    <t>SIME S.r.l.</t>
  </si>
  <si>
    <t>CASARILE (MI)</t>
  </si>
  <si>
    <t>GALLARATE - MALPENSA (VA)</t>
  </si>
  <si>
    <t>Mattioda S.p.A.</t>
  </si>
  <si>
    <t>TORINO CORSO TOSCANA</t>
  </si>
  <si>
    <t>Semat S.p.A.</t>
  </si>
  <si>
    <t>SAN ZENO NAVIGLIO (BS)</t>
  </si>
  <si>
    <t>Stabili S.r.l.</t>
  </si>
  <si>
    <t>CASALE DI MEZZANI (PR)</t>
  </si>
  <si>
    <t>28 FEBBRAIO 2023</t>
  </si>
  <si>
    <t>Tratta AV/AC Milano-Verona - contr. 0800143</t>
  </si>
  <si>
    <t>Tratta AV/AC Milano-Verona - contr. 0800199</t>
  </si>
  <si>
    <t>Paderno S.c.a.r.l.</t>
  </si>
  <si>
    <t>PADERNO DUGNANO (MI)</t>
  </si>
  <si>
    <t>IRICAV con SALCEF Subappalto</t>
  </si>
  <si>
    <t>ALTA VELOCITA' - VERONA EST - BANDO 1</t>
  </si>
  <si>
    <t>31 MAGGIO 2023</t>
  </si>
  <si>
    <t>GENOVA Waterfront 2.2.a</t>
  </si>
  <si>
    <t>A1 FIRENZE SUD - INCISA</t>
  </si>
  <si>
    <t>PAL S.r.l.</t>
  </si>
  <si>
    <t>ANNONE (LC)</t>
  </si>
  <si>
    <t>VEZZOLA S.p.A. ATI con BRESCIANA</t>
  </si>
  <si>
    <t>31 GENNAIO 2023</t>
  </si>
  <si>
    <t>ING.INS.INT S.p.A.</t>
  </si>
  <si>
    <t>CAMOGLI (GE)</t>
  </si>
  <si>
    <t>GERMIGNAGA</t>
  </si>
  <si>
    <t>S.M. Edilizia S.r.l.</t>
  </si>
  <si>
    <t>ARCOLA (SP)</t>
  </si>
  <si>
    <t>CHIENES (BZ)</t>
  </si>
  <si>
    <t>Notarimpresa S.p.A.</t>
  </si>
  <si>
    <t>VARESE</t>
  </si>
  <si>
    <t>ADR INFRASTRUTTURA SPA</t>
  </si>
  <si>
    <t>FIUMICINO LOTTO 1 MOLO B PONTILI</t>
  </si>
  <si>
    <t>DE CARLI ANDREA SRL</t>
  </si>
  <si>
    <t>LUMEZZANE (BS)</t>
  </si>
  <si>
    <t>CIMOLAI S.p.A.</t>
  </si>
  <si>
    <t>GENOVA TORRE PILOTI</t>
  </si>
  <si>
    <t>IMPRESA PERCASSI S.p.A.</t>
  </si>
  <si>
    <t>BERGAMO VIA BRIANZANA CHORUS LIFE</t>
  </si>
  <si>
    <t>CANTIERI ACQUISITI</t>
  </si>
  <si>
    <t>BERGAMO</t>
  </si>
  <si>
    <t>COCIV - LOTTO POLCEVERA E INTERCONNESSIONE VOLTRI</t>
  </si>
  <si>
    <t>31 LUGLIO 2023</t>
  </si>
  <si>
    <t>A1 BARBERINO - CALENZANO</t>
  </si>
  <si>
    <t>A1 INCISA</t>
  </si>
  <si>
    <t>AMPLIA INFRASTRUTTURE S.p.A.</t>
  </si>
  <si>
    <t>A1 MILANO SUD - LODI</t>
  </si>
  <si>
    <t>TUBOSIDER S.p.A.</t>
  </si>
  <si>
    <t>A12 TRONCO LIGURE - TOSCANO LOTTO 6</t>
  </si>
  <si>
    <t>D'ADDETTA S.r.l.</t>
  </si>
  <si>
    <t>BERCETO (PR)</t>
  </si>
  <si>
    <t>Politecnico Milano</t>
  </si>
  <si>
    <t>Bonifiche S. Martina S.r.l.</t>
  </si>
  <si>
    <t>Milano Via Monti</t>
  </si>
  <si>
    <t>Banchina Eritrea S.c.ar.l.</t>
  </si>
  <si>
    <t>Genova Banchina Eritrea</t>
  </si>
  <si>
    <t xml:space="preserve">Vezzola S.p.A. </t>
  </si>
  <si>
    <t>MONTICHIARI (BS)</t>
  </si>
  <si>
    <t>Baldinucci 87 S.r.l.</t>
  </si>
  <si>
    <t xml:space="preserve">MILANO VIA BALDINUCCI </t>
  </si>
  <si>
    <t>Sparta S.r.l.</t>
  </si>
  <si>
    <t>Milano Via Livraga</t>
  </si>
  <si>
    <t>Amplia S.p.A.</t>
  </si>
  <si>
    <t>A4 Cinisello Balsamo (MI)</t>
  </si>
  <si>
    <t>A10 GE-SV Lotto 1A-1C-1D</t>
  </si>
  <si>
    <t>A10 Genova Svincolo Aeroporto</t>
  </si>
  <si>
    <t>A7 Genova Bolzaneto</t>
  </si>
  <si>
    <t>Sicurbau</t>
  </si>
  <si>
    <t>A6 TO-SV</t>
  </si>
  <si>
    <t>Edildovi</t>
  </si>
  <si>
    <t>PISA</t>
  </si>
  <si>
    <t>GENOVA BOLZANETO</t>
  </si>
  <si>
    <t>We Build S.p.A.</t>
  </si>
  <si>
    <t>CATANIA</t>
  </si>
  <si>
    <t>30 SETTEMBRE 2024</t>
  </si>
  <si>
    <t>AGRATE (MB)</t>
  </si>
  <si>
    <t xml:space="preserve">Colmeto - ITINERA S.p.A. </t>
  </si>
  <si>
    <t>TORINO</t>
  </si>
  <si>
    <t>TOTALI</t>
  </si>
  <si>
    <t>TRATTATIVE AVANZATE</t>
  </si>
  <si>
    <t xml:space="preserve"> A8 ARESE (MI)</t>
  </si>
  <si>
    <t>6 MESI</t>
  </si>
  <si>
    <t>C.002.19</t>
  </si>
  <si>
    <t>C.020.21</t>
  </si>
  <si>
    <t>Casalpusterlengo (LO)</t>
  </si>
  <si>
    <t>C.001.23</t>
  </si>
  <si>
    <t>C.003.23</t>
  </si>
  <si>
    <t>C.006.23</t>
  </si>
  <si>
    <t>C.007.23</t>
  </si>
  <si>
    <t>C.013.22</t>
  </si>
  <si>
    <t>Grassobbio (BG)</t>
  </si>
  <si>
    <t>C.053.22</t>
  </si>
  <si>
    <t>C.058.22</t>
  </si>
  <si>
    <t>C.061.21</t>
  </si>
  <si>
    <t>Genova Rio Torbella</t>
  </si>
  <si>
    <t>C.063.21</t>
  </si>
  <si>
    <t>Parma Sala Baganza</t>
  </si>
  <si>
    <t>C.072.22</t>
  </si>
  <si>
    <t>C.003.22</t>
  </si>
  <si>
    <t>C.070.22</t>
  </si>
  <si>
    <t>C.019.20</t>
  </si>
  <si>
    <t>C.042.20</t>
  </si>
  <si>
    <t>C.045.21</t>
  </si>
  <si>
    <t>AV/AC - CEPAV DUE (BS-VR) - ctr. 0800143</t>
  </si>
  <si>
    <t>C.061.22</t>
  </si>
  <si>
    <t>C.063.22</t>
  </si>
  <si>
    <t>C.026.21</t>
  </si>
  <si>
    <t>Germignaga (VA)</t>
  </si>
  <si>
    <t>C.004.22</t>
  </si>
  <si>
    <t>Montebello (VI)</t>
  </si>
  <si>
    <t>C.043.22</t>
  </si>
  <si>
    <t>C.007.20</t>
  </si>
  <si>
    <t>C.032.22</t>
  </si>
  <si>
    <t>Sanremo (IM)</t>
  </si>
  <si>
    <t>C.076.21</t>
  </si>
  <si>
    <t>C.024.22</t>
  </si>
  <si>
    <t>C.025.22</t>
  </si>
  <si>
    <t>C.001.22</t>
  </si>
  <si>
    <t>Reggio Emilia</t>
  </si>
  <si>
    <t>C.005.23</t>
  </si>
  <si>
    <t>San Zeno Naviglio (BS)</t>
  </si>
  <si>
    <t>C.008.23</t>
  </si>
  <si>
    <t>Acciaiolo (PI)</t>
  </si>
  <si>
    <t>C.023.21</t>
  </si>
  <si>
    <t>CEPAV Manelli Appalto 4 Peschiera</t>
  </si>
  <si>
    <t>C.062.22</t>
  </si>
  <si>
    <t>Lumezzane (BS)</t>
  </si>
  <si>
    <t>C.002.23</t>
  </si>
  <si>
    <t>C.064.22</t>
  </si>
  <si>
    <t>Bergamo Via Bianzana</t>
  </si>
  <si>
    <t>C.047.22</t>
  </si>
  <si>
    <t>Tirano (SO)</t>
  </si>
  <si>
    <t>INC SPA</t>
  </si>
  <si>
    <t>C.021.20</t>
  </si>
  <si>
    <t>C.014.21</t>
  </si>
  <si>
    <t>C.056.18</t>
  </si>
  <si>
    <t>C.056.21</t>
  </si>
  <si>
    <t>CEPAV Manelli Appalto 6 Peschiera</t>
  </si>
  <si>
    <t>C.004.23</t>
  </si>
  <si>
    <t>C.022.22</t>
  </si>
  <si>
    <t>Genova Metropolitana</t>
  </si>
  <si>
    <t>C.024.21</t>
  </si>
  <si>
    <t>Milano Via Stresa</t>
  </si>
  <si>
    <t>C.066.22</t>
  </si>
  <si>
    <t>C.039.21</t>
  </si>
  <si>
    <t>C.068.22</t>
  </si>
  <si>
    <t>C.073.19</t>
  </si>
  <si>
    <t>Paderno Dugnano (MI)</t>
  </si>
  <si>
    <t>C.056.22</t>
  </si>
  <si>
    <t>C.066.19</t>
  </si>
  <si>
    <t>A4 Valtrompia</t>
  </si>
  <si>
    <t>C.067.22</t>
  </si>
  <si>
    <t>C.052.22</t>
  </si>
  <si>
    <t>IRICAV DUE Bando1 Verona Est</t>
  </si>
  <si>
    <t>C.048.22</t>
  </si>
  <si>
    <t>C.074.22</t>
  </si>
  <si>
    <t>C.051.22</t>
  </si>
  <si>
    <t>Casale di Mezzani (PR)</t>
  </si>
  <si>
    <t>C.011.22</t>
  </si>
  <si>
    <t>Genova Polcevera</t>
  </si>
  <si>
    <t>C.004.21</t>
  </si>
  <si>
    <t>C.096.20</t>
  </si>
  <si>
    <t>Bologna Via Castelfidardo</t>
  </si>
  <si>
    <t>C.034.21</t>
  </si>
  <si>
    <t>CASALECCHIO DI RENO (BO)</t>
  </si>
  <si>
    <t>C.024.19</t>
  </si>
  <si>
    <t>COCIV Valico dei Giovi</t>
  </si>
  <si>
    <t>C.009.23</t>
  </si>
  <si>
    <t>C.065.22</t>
  </si>
  <si>
    <t>C.033.22</t>
  </si>
  <si>
    <t>Burago di Molgora (MB)</t>
  </si>
  <si>
    <t>Macchinari operatori ed impian</t>
  </si>
  <si>
    <t xml:space="preserve">anno </t>
  </si>
  <si>
    <t>descrizione</t>
  </si>
  <si>
    <t>%</t>
  </si>
  <si>
    <t>Costo Storico</t>
  </si>
  <si>
    <t>F.do Amm.to</t>
  </si>
  <si>
    <t>Val. Residuo</t>
  </si>
  <si>
    <t>Amm.</t>
  </si>
  <si>
    <t>ACCONTO SONDA</t>
  </si>
  <si>
    <t>MOTORE DEUTZ TIPO BF4L2011</t>
  </si>
  <si>
    <t>MOTORE A6 VM 55</t>
  </si>
  <si>
    <t>Delta</t>
  </si>
  <si>
    <t>-</t>
  </si>
  <si>
    <t>ARREDO UFFICIO</t>
  </si>
  <si>
    <t>SCAFFALI + RINGHIERA</t>
  </si>
  <si>
    <t>ACCONTO ARREDO UFFICIO</t>
  </si>
  <si>
    <t>SALDO ARREDO UFFICIO</t>
  </si>
  <si>
    <t>ARMADIO LACCATO BIANCO</t>
  </si>
  <si>
    <t>MOBILI PER UFFICIO</t>
  </si>
  <si>
    <t>ACCONTO LIBRERIA ARTIGIANALE</t>
  </si>
  <si>
    <t>LIBRERIA ARTIGIANALE</t>
  </si>
  <si>
    <t>MACCHINA PER CAFFE'</t>
  </si>
  <si>
    <t>ARREDO ZONA LIVING</t>
  </si>
  <si>
    <t>PIANTE E CESPUGLI ORNAMENTALI</t>
  </si>
  <si>
    <t>ASCIUGABIANCHERIA 8,kg MIELE</t>
  </si>
  <si>
    <t>AUTOCAD LT2002</t>
  </si>
  <si>
    <t>CPU INTEL PENTIUM 4</t>
  </si>
  <si>
    <t>NOTEBOOK SONY  VAIO</t>
  </si>
  <si>
    <t>COMPUTER 17 COMPLETO</t>
  </si>
  <si>
    <t>SERVER INTEL XEON X3420</t>
  </si>
  <si>
    <t>COMPUTER SOLUZIONE 1 + MONITOR 22'' LCD</t>
  </si>
  <si>
    <t>SERVER NAS THECUS RACK  4 HD 1,5 TD</t>
  </si>
  <si>
    <t>PERSONAL COMPUTER (Fabio) - OVERBYTE</t>
  </si>
  <si>
    <t>PERSONAL COMPUTER (Spada) - OVERBYTE</t>
  </si>
  <si>
    <t>COMPUTER 2 POST.SICUREZZA - OVERBYTE</t>
  </si>
  <si>
    <t>PC I7 4510U 8GB ITB (SGM DISTRIBUZIONE)</t>
  </si>
  <si>
    <t>PC I7 4510U 8GB (SGM DISTRIBUZIONE SRL)</t>
  </si>
  <si>
    <t>CELLULARE PRESTIGIO BIANCO 7557</t>
  </si>
  <si>
    <t>IPHONE 6 SPADA</t>
  </si>
  <si>
    <t>LG G4 32 GB FRANZONI</t>
  </si>
  <si>
    <t>CELLULARE HUAWEI P10 (FRANZONI)</t>
  </si>
  <si>
    <t>HUAWEI P10 BLACK NUOVO (VODAFONE)</t>
  </si>
  <si>
    <t>Macchine d'ufficio elettromecc</t>
  </si>
  <si>
    <t>Telefono cellulare</t>
  </si>
  <si>
    <t>FINANZIAMENTI ATTIVI</t>
  </si>
  <si>
    <t>N. FINANZ.</t>
  </si>
  <si>
    <t>CONTO MASTRO</t>
  </si>
  <si>
    <t>VALORE INIZIALE</t>
  </si>
  <si>
    <t>VALORE FINALE</t>
  </si>
  <si>
    <t>RATA/rata media</t>
  </si>
  <si>
    <t>INIZIO</t>
  </si>
  <si>
    <t>FINE</t>
  </si>
  <si>
    <t>rate</t>
  </si>
  <si>
    <t>TOTALE</t>
  </si>
  <si>
    <t>CREBERG-POP.MONT. erogato il 26/06/2017</t>
  </si>
  <si>
    <t>3705950</t>
  </si>
  <si>
    <t>150166</t>
  </si>
  <si>
    <t>FINANZIAMENTO - rata trimestrale</t>
  </si>
  <si>
    <t>INTESA erogato il 30/04/2018</t>
  </si>
  <si>
    <t>1048067620</t>
  </si>
  <si>
    <t>150121</t>
  </si>
  <si>
    <t>FINANZIAMENTO - rata mensile(+ IRS cop)</t>
  </si>
  <si>
    <t>MPS erogato il 09/04/2019</t>
  </si>
  <si>
    <t>0994009252</t>
  </si>
  <si>
    <t>150122</t>
  </si>
  <si>
    <t>FINANZIAMENTO - rata semestrale (MutuoMCC)</t>
  </si>
  <si>
    <t>SOSPESA MORATORIA GIU 2021</t>
  </si>
  <si>
    <t>CREBERG-POP.MONT. erogato il 02/11/2020</t>
  </si>
  <si>
    <t>04886613</t>
  </si>
  <si>
    <t>150174</t>
  </si>
  <si>
    <t>FIN-rata trim.- 6 anni (1 preammort)</t>
  </si>
  <si>
    <t>INTESA erogato il 28/01/2021</t>
  </si>
  <si>
    <t>0IC1011222876</t>
  </si>
  <si>
    <t>2 anni preammort+4 anni con rata mensile</t>
  </si>
  <si>
    <t>BCC BS - CREDITO ADESSO EVOLUTION EROGATO 24/02/2021</t>
  </si>
  <si>
    <t>2ANNI PREAMMORT+4 ANNI-RATA SEMESTR (320.000 BANCA - 480.000 FINLOMBARDA)</t>
  </si>
  <si>
    <t>849917,87 -46589,56 in conto interessi da FINLOMBARDA</t>
  </si>
  <si>
    <t>rimborso quota interessi pari ad €. 46589,56 incassata aprile 2021</t>
  </si>
  <si>
    <t>CREDEM erogato il 06/04/21 con garanzia MCC gratuita</t>
  </si>
  <si>
    <t>224/7563530</t>
  </si>
  <si>
    <t>5 anni di cui 10 mesi preammort.RATA MENSILE</t>
  </si>
  <si>
    <t>MPS erogato il 06/05/2021</t>
  </si>
  <si>
    <t>12 MESI PREAMM+ 60 RATE MENSILI</t>
  </si>
  <si>
    <t>INTESA - fin. Al VIA erogato 23/06/2021</t>
  </si>
  <si>
    <r>
      <t>RATE SEMESTRALI -                                     255.000 banca - 255.000 Finlombarda (</t>
    </r>
    <r>
      <rPr>
        <sz val="11"/>
        <color rgb="FFFF0000"/>
        <rFont val="Calibri"/>
        <family val="2"/>
        <scheme val="minor"/>
      </rPr>
      <t>erogato 23-06-2021 € 102.000</t>
    </r>
    <r>
      <rPr>
        <sz val="11"/>
        <color theme="1"/>
        <rFont val="Calibri"/>
        <family val="2"/>
        <scheme val="minor"/>
      </rPr>
      <t xml:space="preserve">) </t>
    </r>
  </si>
  <si>
    <t>510000 (erogato 480.250)</t>
  </si>
  <si>
    <t>MPS EROGATO 16/03/2022</t>
  </si>
  <si>
    <t>484-994186309</t>
  </si>
  <si>
    <t>13 rate di cui 4  PREAMMORT</t>
  </si>
  <si>
    <t>FCA BANK</t>
  </si>
  <si>
    <t>FIN. DOBLO' GH521AL + ACCESSORI
(rata mensile)</t>
  </si>
  <si>
    <t>FIN. DOBLO' GH498AL + ACCESSORI
(rata mensile)</t>
  </si>
  <si>
    <t>FIN. DOBLO' GH518AL + ACCESSORI
(rata mensile)</t>
  </si>
  <si>
    <t>BPM</t>
  </si>
  <si>
    <t>PRIME 7 RATE SOLO INTERESSI - POI 53 RATE MENSILI - EROGATO IL 16.06.2022</t>
  </si>
  <si>
    <t>INTESA</t>
  </si>
  <si>
    <t>48 MESI-RATA TRIMESTR. -16 RATE A DECORRERE DAL 31,03,23</t>
  </si>
  <si>
    <t>totali</t>
  </si>
  <si>
    <t>FINANZIAMENTI CON MORATORIA COVID: DA 04/2020 A 06/2021</t>
  </si>
  <si>
    <t>ESTINTI:</t>
  </si>
  <si>
    <t>CREDEM erogato il 15/03/2019</t>
  </si>
  <si>
    <t>rata mensile</t>
  </si>
  <si>
    <t>CREDEM erogato il 10/07/2017</t>
  </si>
  <si>
    <t>7150217</t>
  </si>
  <si>
    <t>150167</t>
  </si>
  <si>
    <t>FINANZIAMENTO - rata mensile</t>
  </si>
  <si>
    <t>N.</t>
  </si>
  <si>
    <t>LOCATORE</t>
  </si>
  <si>
    <t>N. CONTR.</t>
  </si>
  <si>
    <t>BENE</t>
  </si>
  <si>
    <t xml:space="preserve">VALORE DEL BENE </t>
  </si>
  <si>
    <t>RATA IVA E SERVIZI INCLUSI</t>
  </si>
  <si>
    <t>ANTICIPO</t>
  </si>
  <si>
    <t>1° CANONE</t>
  </si>
  <si>
    <t>Ultimo Canone</t>
  </si>
  <si>
    <t>RISCATTI 2023</t>
  </si>
  <si>
    <t>2024</t>
  </si>
  <si>
    <t>RISCATTI 2024</t>
  </si>
  <si>
    <t>2025</t>
  </si>
  <si>
    <t>RISCATTI 2025</t>
  </si>
  <si>
    <t>2026</t>
  </si>
  <si>
    <t>RISCATTI 2026</t>
  </si>
  <si>
    <t>2027</t>
  </si>
  <si>
    <t>RISCATTI 2027</t>
  </si>
  <si>
    <t>IFIS RENTAL SERVICES operativo trimestrale (20 can)</t>
  </si>
  <si>
    <t>UTAX 5007ci</t>
  </si>
  <si>
    <t>GRENKE LOCAZIONE S.R.L. (Intesa) operativo</t>
  </si>
  <si>
    <t xml:space="preserve">Licenza Software Flac </t>
  </si>
  <si>
    <t xml:space="preserve">DE LAGE LANDEN INTERN. (Intesa) operativo </t>
  </si>
  <si>
    <t>COMPRESSORE DOOSAN 17/245 matr.885002</t>
  </si>
  <si>
    <t>DE LAGE LANDEN INTERN. (Intesa) operativo</t>
  </si>
  <si>
    <t>COMPRESSORE DOOSAN 17/245 matr.885009</t>
  </si>
  <si>
    <t>??????</t>
  </si>
  <si>
    <t>Licenza Mida GTSNX+Midas Design</t>
  </si>
  <si>
    <t>COMPRESSORE DOOSAN 17/245 matr.885019</t>
  </si>
  <si>
    <t>GRENKE LOCAZIONE S.R.L. operativo</t>
  </si>
  <si>
    <t>Licenza Team System</t>
  </si>
  <si>
    <t>MPS LEASING</t>
  </si>
  <si>
    <t>PERFORATRICE SOILMEC R622 (ricondiz. Ciancaleoni) matr. 1965</t>
  </si>
  <si>
    <t>INTESA SAN PAOLO
MEDIOCREDITO (EX LEASINT)</t>
  </si>
  <si>
    <t>PERFORATRICE SOILMEC SR45 matr. 4837</t>
  </si>
  <si>
    <t xml:space="preserve">PERFORATRICE CASAGRANDE B360 matr. B360UX0109 </t>
  </si>
  <si>
    <t>SG LEASING</t>
  </si>
  <si>
    <t>CASAGRANDE B200 matr B200UX0153</t>
  </si>
  <si>
    <t>POMPA SPRAYMASTER TIGER 80 matr. 17010</t>
  </si>
  <si>
    <t>UNICREDIT LEASING</t>
  </si>
  <si>
    <t>IVECO STRALIS MAGIRUS FN490CB+GRU+SEMIRIM</t>
  </si>
  <si>
    <t>POMPA SPRAYMASTER TIGER 80 matr. 17013</t>
  </si>
  <si>
    <t>POMPE TECNIWELL TW600 matr M871 - TW700 matr M892</t>
  </si>
  <si>
    <r>
      <t xml:space="preserve">DE LAGE LANDEN INTERN. </t>
    </r>
    <r>
      <rPr>
        <b/>
        <sz val="14"/>
        <color rgb="FFFF0000"/>
        <rFont val="Arial"/>
        <family val="2"/>
      </rPr>
      <t>Per riscatto vedi note in velina</t>
    </r>
  </si>
  <si>
    <t>PEFORATRICE CASAGRANDE C5  matr. C5UO0132</t>
  </si>
  <si>
    <t>ALFA ROMEO STELVIO FW957SY</t>
  </si>
  <si>
    <t>DUCATO - FT155HP</t>
  </si>
  <si>
    <t>DE LAGE LANDEN INTERN.</t>
  </si>
  <si>
    <t>GENERATORE ATLAS COPCO QES120 matr ESF402229</t>
  </si>
  <si>
    <t>GENERATORE ATLAS COPCO QES120 matr. ESF402228</t>
  </si>
  <si>
    <t>POMPA TIGER 60 matr.19002 
POMPA TIGER 80 matr.19014</t>
  </si>
  <si>
    <t>DOBLO' FW144SR-FW145SR-DAILY FV511JH</t>
  </si>
  <si>
    <t>FIORINO FR522ZX</t>
  </si>
  <si>
    <t>POMPA TIGER120 matr.20016</t>
  </si>
  <si>
    <t>BNP PARIBAS</t>
  </si>
  <si>
    <t>A1C26671</t>
  </si>
  <si>
    <t>HITACHI 2X55U matr HCMAEQ5ZC00060493</t>
  </si>
  <si>
    <t>SG EQUIPMENT (CREDEM)</t>
  </si>
  <si>
    <t>LS 232163</t>
  </si>
  <si>
    <t>N. 2 TORRI HILIGHT H5+ ESF206598 - ESF206597</t>
  </si>
  <si>
    <t>FIAT DOBLO' GA434LV</t>
  </si>
  <si>
    <t>IVECO DAILY FZ686MD</t>
  </si>
  <si>
    <t>DOBLO' GA491LY</t>
  </si>
  <si>
    <t>DOBLO' GA493LY</t>
  </si>
  <si>
    <t>DOBLO' GA492LY</t>
  </si>
  <si>
    <t>DUCATO FZ937MD</t>
  </si>
  <si>
    <t>IVECO CNH INDUSTRIAL CAPITAL EUROPE</t>
  </si>
  <si>
    <t>A1C05051</t>
  </si>
  <si>
    <t>IVECO DAILY GA491MC</t>
  </si>
  <si>
    <t>PERFORATRICE GEAX EK75 matr 01310J075E</t>
  </si>
  <si>
    <t>A1C33291</t>
  </si>
  <si>
    <t>IVECO DAILY FZ995MC</t>
  </si>
  <si>
    <t>A1C33284</t>
  </si>
  <si>
    <t>IVECO DAILY FZ996MC</t>
  </si>
  <si>
    <t>TOUAREG GB084PX</t>
  </si>
  <si>
    <t>BMW BANK GmbH</t>
  </si>
  <si>
    <t>BMW X4 GA994CJ</t>
  </si>
  <si>
    <t>BMW X5 GC673EB</t>
  </si>
  <si>
    <t>A1C53284</t>
  </si>
  <si>
    <t>IVECO DAILY  GD438GX</t>
  </si>
  <si>
    <t>A1C63320</t>
  </si>
  <si>
    <t>IVECO DAILY  GD439GX</t>
  </si>
  <si>
    <t>MOTOPOMPA TECNIWELL TW 400 matr M 382</t>
  </si>
  <si>
    <t>SELMAPIBIEMME</t>
  </si>
  <si>
    <t>MANITOU MT 1335 HA EASY matr. MAN0000J01023842</t>
  </si>
  <si>
    <t>A1C92594</t>
  </si>
  <si>
    <t>IVECO DAILY  GE947ZZ IVECO DAILY  GE948ZZ</t>
  </si>
  <si>
    <t>MOTOCOMPRESSORE DOOSAN MD. 17/245 matr. 885022</t>
  </si>
  <si>
    <t>BMW X1 GE239LP</t>
  </si>
  <si>
    <t>BMW X1 GE238LP</t>
  </si>
  <si>
    <t>PERFORATRICE SOILMEC SM22 matr.1250</t>
  </si>
  <si>
    <t>IVECO AD 360X48 + GRU CORMACH E CASSONE OVID GH683AR</t>
  </si>
  <si>
    <t>PERFORATRICE CASAGRANDE C5 XP-2 matr.C5DU0174</t>
  </si>
  <si>
    <r>
      <t xml:space="preserve">FRAER LEASING          </t>
    </r>
    <r>
      <rPr>
        <sz val="14"/>
        <color rgb="FFFF0000"/>
        <rFont val="Arial"/>
        <family val="2"/>
      </rPr>
      <t>(sabatini)</t>
    </r>
  </si>
  <si>
    <t>SG93093</t>
  </si>
  <si>
    <t xml:space="preserve">ESCAVATORE CINGOLATO SANY matr. SY013XCB95958 </t>
  </si>
  <si>
    <t>FIAT SCUDO GJ356NH</t>
  </si>
  <si>
    <t>IVECO DAILY GK004VP</t>
  </si>
  <si>
    <t>IVECO DAILY GK984VS</t>
  </si>
  <si>
    <t>IVECO DAILY GK002VW</t>
  </si>
  <si>
    <t>BMW X3 GL605NG</t>
  </si>
  <si>
    <t>CREDEM LEASING</t>
  </si>
  <si>
    <t>ST 241046</t>
  </si>
  <si>
    <t>B250 XP-2</t>
  </si>
  <si>
    <t xml:space="preserve">PROIEZIONE AL </t>
  </si>
  <si>
    <t>INVIATO DOC. RISCATTO</t>
  </si>
  <si>
    <t>DA VERIFICARE</t>
  </si>
  <si>
    <t>CONTRATTI DI LEASING</t>
  </si>
  <si>
    <t>VALORE DEL BENE O MUTUO FONDIARIO NON IVATO</t>
  </si>
  <si>
    <t>AMMONTARE COMPLESSIVO DEI CANONI/RISCATTO ESCLUSO</t>
  </si>
  <si>
    <t xml:space="preserve">IMPONIBILE RATA </t>
  </si>
  <si>
    <t>SPESE SERVIZI IMPON.</t>
  </si>
  <si>
    <t>ASSIC  servizi no iva</t>
  </si>
  <si>
    <t xml:space="preserve">IVA </t>
  </si>
  <si>
    <t>N. canoni sospesi</t>
  </si>
  <si>
    <t xml:space="preserve">N° CANONI </t>
  </si>
  <si>
    <t>N° CANONI PAGATI</t>
  </si>
  <si>
    <t>% PAGATA</t>
  </si>
  <si>
    <t>% A SALDO</t>
  </si>
  <si>
    <t>N° CANONI A SALDO</t>
  </si>
  <si>
    <t>IMPONIBILE CANONI MANCANTI</t>
  </si>
  <si>
    <t>IMPORTO RISCATTO</t>
  </si>
  <si>
    <t>CANONI MANCANTI CON IVA</t>
  </si>
  <si>
    <t xml:space="preserve">BANCA </t>
  </si>
  <si>
    <t>GENERATORE ATLAS COPCO QES120JD matr. ESF400681</t>
  </si>
  <si>
    <t>GENERATORE ATLAS COPCO QES105JD matr ESF400682</t>
  </si>
  <si>
    <t>UBI</t>
  </si>
  <si>
    <t>UNICREDIT</t>
  </si>
  <si>
    <t>MPS</t>
  </si>
  <si>
    <t>IMPONIBILE</t>
  </si>
  <si>
    <t>IVATO</t>
  </si>
  <si>
    <t>IMPORTO CANONI E RISCATTI ANCORA IN ESSERE</t>
  </si>
  <si>
    <t>Autoveicoli da trasporto</t>
  </si>
  <si>
    <t>Autovetture motoveicoli e simi</t>
  </si>
  <si>
    <t>Beni di importo non superiore</t>
  </si>
  <si>
    <t>Impianti generici</t>
  </si>
  <si>
    <t>Costruzioni leggere</t>
  </si>
  <si>
    <t>Attrezz. varia e minuta e pont</t>
  </si>
  <si>
    <t>Escavatrici e pale meccaniche</t>
  </si>
  <si>
    <t>Software</t>
  </si>
  <si>
    <t>Mezzi di locomoz.interni</t>
  </si>
  <si>
    <t>Arredi e mobili d'ufficio al 1</t>
  </si>
  <si>
    <t>DIVANO 3 POSTI - POLTRONA - TAVOLO RETTANGOLARE</t>
  </si>
  <si>
    <t>ARREDO UFFICIO CAPANNONE IN VIA MEUCCI -acconto</t>
  </si>
  <si>
    <t>ARREDO UFFICIO CAPANNONE IN VIA MEUCCI -saldo</t>
  </si>
  <si>
    <t>ARMADIO RACK PER SUPPORTO SERVER E NAS UFFICIO</t>
  </si>
  <si>
    <t>STRUTTURA COMPLETA DI AGGANCI ASTERISCO - L'UFFICIO</t>
  </si>
  <si>
    <t>MOBILI VARI PER ARREDAMENTO FORESTERIA CARPENEDOLO (TOMMASI)</t>
  </si>
  <si>
    <t>ARMADIO RACK COMPLETO DI ACCESSORI (OVERBYTE)</t>
  </si>
  <si>
    <t>ARREDO UFFICIO PIANO PRIMO CARPENEDOLO (L'UFFICIO DI FERRARONI)</t>
  </si>
  <si>
    <t>ARREDAMENTO VARIO COMPRENSIVO DI N.1 DIVANO LETTO COMFY + N.1 TAVOLO D.120CM + N.1 MA</t>
  </si>
  <si>
    <t>COMPUTER HD 500GB PER POSTAZIONE AMMINISTRAZIONE</t>
  </si>
  <si>
    <t>PC STEFANIA ASSEMBLATO CON TASTIERA E MOUSE</t>
  </si>
  <si>
    <t>PERSONAL COMPUTER SOL.3 HD 500 GB CON TASTIERA E MOUSE</t>
  </si>
  <si>
    <t>COMPUTER CON MONITOR E OFFICE HB - OVERBYTE</t>
  </si>
  <si>
    <t>MACCHINA FOTOGRAFICA CANON EOS 7D MARK II (OLLOSTORE)</t>
  </si>
  <si>
    <t>COMPUTER ASUS H97M E MONITOR PHILIPS (OVERBYTE)</t>
  </si>
  <si>
    <t>SERVER NAS DI RETE COMPLETO E NOTEBOOK ASUS</t>
  </si>
  <si>
    <t>OLIVETTI MULTIFUNZIONE D-COLOR MF 2604</t>
  </si>
  <si>
    <t>PC ASSEMBLATO (POSTAZIONE GOBBO) - OVERBYTE SNC</t>
  </si>
  <si>
    <t>NOTEBOOK HP 13-D009NL PAOLO G. (EURONICS DIMO SPA)</t>
  </si>
  <si>
    <t>PC WORKSTATION COMPLETA E MONITOR 21,5 LED (OVERBYTE SNC)</t>
  </si>
  <si>
    <t>PLOTTER HP T795 (OVERBYTE SNC)</t>
  </si>
  <si>
    <t>PC RACK PER LA GESTIONE DELLE MAIL CENTRALIZZATE E FIREWALL (OVERBYTE SNC)</t>
  </si>
  <si>
    <t>NOTEBOOK HP 250 G5 CON SSD 480 COMPLETO DI BOX ESTERNO TASTIERA E MOUSE KIT (OVERBYTE</t>
  </si>
  <si>
    <t>IPADPRO10 5 256GB SP  GREY MPHG2TY/A (VODAFONE)</t>
  </si>
  <si>
    <t>PC COMPLETO (OVERBYTE SNC)</t>
  </si>
  <si>
    <t>FIREWALL DI RETE GRUPPO DI CONTINUITA' SLITTE PER RACK (OVERBYTE)</t>
  </si>
  <si>
    <t>PC PORTATILE ACER A515-51G I5  7200U (MEDIAMARKET - GADESCO P.D.)</t>
  </si>
  <si>
    <t>PC PORTATILE ACER A315 I3-6006U</t>
  </si>
  <si>
    <t>COMPUTER SOLUZIONE 3 CPU I5 8GB RAM DVDR/RW NVIDIA GT730 2GB HD 240GB+TASTIERA+MOUSE</t>
  </si>
  <si>
    <t>COMPUTER SOLUZIONE 3+MONITOR HANNS-G 22" (OVERBYTE)</t>
  </si>
  <si>
    <t>PC HP 15-BS117NL I7-855OU + BORSA E MOUSE WLES (MEDIAMARKET)</t>
  </si>
  <si>
    <t>STAMPANTE MULTIFUNZIONE EPSON WF-C5710DWF (OVERBYTE)</t>
  </si>
  <si>
    <t>NOTEBOOK ASUS + DISCO SSD (OVERBYTE)</t>
  </si>
  <si>
    <t>PC HP 15-DA0065NL I7-855OU IXXX MX130 + HP BORSA MOBILITY KIT CON MOUSE (MEDIAMARKET)</t>
  </si>
  <si>
    <t>MONITOR ASUS ROG 4K (OVERBYTE)</t>
  </si>
  <si>
    <t>PC SOLUZIONE 1" + MONITOR 24" LED HANNS-G (OVERBYTE)</t>
  </si>
  <si>
    <t>NOTEBOOK ASUS X542UA-GQ440R+HD SSD 960GB+ ADATTATORE DISCO SSD (OVERBYTE)</t>
  </si>
  <si>
    <t>PC COMPLETO POSTAZIONE SARA (OVERBYTE SNC)</t>
  </si>
  <si>
    <t>PC COMPLETO POSTAZIONE YURI (OVERBYTE SNC)</t>
  </si>
  <si>
    <t>SERVER (META INFORMATICA SRL)</t>
  </si>
  <si>
    <t>N.2 NOTEBOOK HP 250GB - MATR.CND0146JXP-CND0146CVW (META INFORMATICA)</t>
  </si>
  <si>
    <t>NOTEBOOK HP250 G7 - MATR.CND0252PH6</t>
  </si>
  <si>
    <t>IPAD 2020 WIFI 128GB SILMYLE2TY/A-APP5042P+S.PC TABLET F2 (FRANZONI SENIOR)</t>
  </si>
  <si>
    <t>NAS ASUSTOR+RAIL KIT+SCHEDA DI RETE AGGIUNTIVA+ESPANSIONE RAM A 32GB</t>
  </si>
  <si>
    <t>TV SAMSUNG SERIE Q70T MOD.Q74T QLED SMART TV 65" CON ALEXA INTEGRATA, ULTRA HD4K</t>
  </si>
  <si>
    <t>PC SALA RIUNIONI NUC I5-10210U-4GB RAM-250GB CON KIT TASTIERA E MOUSE-CAVO HDMI-MICRO</t>
  </si>
  <si>
    <t>MONITOR 24 HANNSPREE CON WEBCAM INTEGRATA + KIT TASTIERA E MOUSE MK120</t>
  </si>
  <si>
    <t>PC INTEL I7 11 GEN.16GB RAM-1TB NVME+TASTIERA E MOUSE WIRELESS+MONITOR 24 HANNS-G</t>
  </si>
  <si>
    <t>PC INTEL I7 11 GEN.16GB RAM-1TB NVME+MONITOR 27 HANNS-G</t>
  </si>
  <si>
    <t>NOTEBOOK HP 2E9H7EA CON TASTIERA+MOUSE WIRELESS+ALI ATX 500W</t>
  </si>
  <si>
    <t>TELEFONI CELLULARI IPHONE 5 N. 2 - VODAFONE</t>
  </si>
  <si>
    <t>CELLULARE IPHONE GRIGIO 16 GB (APPLE STORE IL LEONE)</t>
  </si>
  <si>
    <t>CELLULARE IPHONE 7 BLACK N.3</t>
  </si>
  <si>
    <t>IPHONE SE GRIG SID 32GB COD. MP822IP/A N. SERIE DX3X49FZHTVL (APPLE IL LEONE)</t>
  </si>
  <si>
    <t>TELEFONO CELLULARE IPHONE 12 RED 64GB+CUSTODIA+ULTRAGLASS (LIPPI G.)</t>
  </si>
  <si>
    <t>TELEFONO CELLULARE SAMSUNG SMARTPHONE GALAXY S21 ULTRA 5G ARGENTO (FRANZONI)</t>
  </si>
  <si>
    <t>APPARATI TELEFONICI NEW GENERATION (TIM)</t>
  </si>
  <si>
    <t>TERRENO IN CORTENO GOLGI - LOC.SUSET</t>
  </si>
  <si>
    <t>TERRENO IN CORTENO GOLGI - LOC.SUSET - STUDIO FATTIBILITA' IDROGEOLOGICA ACCESSI CARRAI</t>
  </si>
  <si>
    <t>TERRENO IN CORTENO GOLGI - LOC.SUSET - PRATICA ACCESSI CARRAI (LIPPI GIUSEPPINO)</t>
  </si>
  <si>
    <t>TERRENO IN CORTENO GOLGI - LOC.SUSET- REALIZZAZIONE ACCESSI CARRAI (TRENTINI SAVIO)</t>
  </si>
  <si>
    <t>TERRENO IN CORTENO GOLGI - LOC.SUSET - REALIZZAZIONE SCOGLIERA FLUVIALE</t>
  </si>
  <si>
    <t>TERRENO IN CORTENO GOLGI - LOC.SUSET - REALIZZAZIONE ACCESSI CARRAI</t>
  </si>
  <si>
    <t>APPARTAMENTO PINZOLO - VIA PIAN DEI FRARI 29 CONDOM.RIO FALZE' - MAEL</t>
  </si>
  <si>
    <t>APPARTAMENTO TEMU' - COMPLESSO PLAZZA</t>
  </si>
  <si>
    <t>MOTORE DA MONTARE SU PX 1350 (LEASING)</t>
  </si>
  <si>
    <t>RICAMBIO MOTORE PX 1500</t>
  </si>
  <si>
    <t>IMPIANTO ELETTR.LINEE COMPUTER</t>
  </si>
  <si>
    <t>PROLUNGA JET PER CASAGRANDE C6</t>
  </si>
  <si>
    <t>CUCINA COMPONIBILE E CAMERA MATRIMONIALE</t>
  </si>
  <si>
    <t>INFISSI PER ESTERNI IN LEGNO EMBLOCK</t>
  </si>
  <si>
    <t>MOTORIDUTTORE PER CANCELLO INDUSTRIALE ALTA VELOCITA' (TECNOIMPIANTI NODARI)</t>
  </si>
  <si>
    <t>N.9 TELECAMERE, N.9 ALIMENTATORI 12V, N.1 DVR IP, N.1 INTERFACCIA RETE (TECNO IMPIANT</t>
  </si>
  <si>
    <t>KIT X ALLESTIMENTO CFA SU B200 MATR. B200UX0153 (FALCHETTO CFA+TIRANTE FALCHETTO+BOZZ</t>
  </si>
  <si>
    <t>ONERI URBANIZZAZIONE PRIMARIA E SECONDARIA, SMALTIMENTO RIFIUTI E DIRITTI SEGRETERIA</t>
  </si>
  <si>
    <t>IMPIANTO TRATTAMENTO DI PRIMA PIOGGIA 4300 MQ MOD.ECOP4800/PAS MATR.2332/21 COMPRENSIVO DI N.2 VASCHE DISSABBIATORE+N.1 POZZETTO+N.1 VASCA DISOLEATORE+ACCESSORI</t>
  </si>
  <si>
    <t>IMPIANTO PRIMA PIOGGIA 2900 M2 LT. 15000 + N.2 SERBATOI INTERRO MODULARI LT 39650 + A</t>
  </si>
  <si>
    <t>LAVORI DI REALIZZAZIONE EDIFICI PREFABBRICATI IN CASALMORO (SINGEA) COME DA CONTRATTO D'APPALTO N.21116 DEL 28/09/21</t>
  </si>
  <si>
    <t>IMPIANTO ELETTRICO MAGAZZINO</t>
  </si>
  <si>
    <t>SBANCAMENTO MAGAZZINO</t>
  </si>
  <si>
    <t>ADATTAMENTO SCAFFALATURE</t>
  </si>
  <si>
    <t>LAVORI ELETTRICI QUADRI</t>
  </si>
  <si>
    <t>TETTOIA E SCANSIE MAGAZZINO</t>
  </si>
  <si>
    <t>CLIMATIZZATORE SYNTEK</t>
  </si>
  <si>
    <t>POMPA FOAM 40 COMPLETA</t>
  </si>
  <si>
    <t>REALIZZO CANCELLO</t>
  </si>
  <si>
    <t>PAVIMENTAZIONE IMMOBILE CORTENO GOLGI</t>
  </si>
  <si>
    <t>PAVIMENTO VECCHIO COTTO RIVESTIMENTO PER BAGNO CORTENO GOLGI</t>
  </si>
  <si>
    <t>RIVESTIMENTI IN MARMO</t>
  </si>
  <si>
    <t>TAVOLONI E ARMATURE SPIGOLATI SU MISURA</t>
  </si>
  <si>
    <t>POSA PAVIMENTI CANTIERE IN CARPENEDOLO</t>
  </si>
  <si>
    <t>RISTRUTTURAZIONE MAGAZZINO IN MONTICHIARI</t>
  </si>
  <si>
    <t>MATERIALE PER PAVIMENTAZIONE</t>
  </si>
  <si>
    <t>SALDO LAVORI FORMAZIONE FOSSA BIOLOGICA</t>
  </si>
  <si>
    <t>LAVORI ELETTRICI PRESSO MAGAZZINO</t>
  </si>
  <si>
    <t>ALLACCIAMENTI MODULI ABITATIVI</t>
  </si>
  <si>
    <t>ALLESTIMENTO FIAT DUCATO DE488BD</t>
  </si>
  <si>
    <t>UNITA' CENTRALE TELEFONICA</t>
  </si>
  <si>
    <t>NUOVA INTERFACCIA IMPIANTO DI ALLARME -TELECAMERE MONTICHIARI</t>
  </si>
  <si>
    <t>MOTORE E CAMBIO SU POMPA TECNIWELL 600 NON DI PROPRIETA'</t>
  </si>
  <si>
    <t>RIPARAZIONE ARGANO SU CASAGRANDE B180 KELLY MATR 0134 - PROPRIETA' DI 3P S.R.L.</t>
  </si>
  <si>
    <t>FUNE E GIREVOLE PER SOILMEC R622HD MATR. 1965 A LEASING</t>
  </si>
  <si>
    <t>PC COMPLETO PER CASAGRANDE B360XP (OVERBYTE SNC)</t>
  </si>
  <si>
    <t>TUBO DI MANOVRA D. INT 2500 X 20 MM L=8 MT COMPLETO DI FASCE DI RINFORZO (LTM COMMERCIALE SRL)</t>
  </si>
  <si>
    <t>ELEMENTO MAST (KIT PIEDE PDW 1320 SPECIALE) PER CASAGRANDE B360XP A LEASING</t>
  </si>
  <si>
    <t>ASTASTA 5X11 M A FRIZIONE, D.355, ATTACCO QUADRO 200 INSTALLATA SU SR45 A LEASING (SOILMEC SPA)</t>
  </si>
  <si>
    <t>KIT MODIFICA AUMENTO INTERASSE DA 1200 A 1500 MM SU CASAGRANDE B300XP MAT. B300UX0204</t>
  </si>
  <si>
    <t>IVECO MAGIRUS A LEASING AT440T - ACCESSORI CORMACH (CORMACH)</t>
  </si>
  <si>
    <t>KIT DOPPIA TESTA MATR. H42UO0103 PER ATTREZZ. IDRAULICA CINGOLATA B360 MATR.B360UX0109</t>
  </si>
  <si>
    <t>BENNA MATR. 07/2020 MONTATA SU ESCAVATORE HITACHI 2X55U-6 MASSUCCO A LEASING BNP PARI</t>
  </si>
  <si>
    <t>N. 25 PIANTE CILIEGIO (VIVAI ZAGNI)</t>
  </si>
  <si>
    <t>QUADRICICLO JANSHE DJ65648 CON N. 2CARRELLI ATV BOSKY-ZANIMOTOR+COSTR.MARCONI</t>
  </si>
  <si>
    <t>SPESE DI COSTITUZIONE</t>
  </si>
  <si>
    <t>MANUT.E RIPAR.CAPITAL.</t>
  </si>
  <si>
    <t>PROGRAMMA DATALOGGER</t>
  </si>
  <si>
    <t>S.DO PROGRAMMA DATALOGGER</t>
  </si>
  <si>
    <t>PROGRAMMA PAC+PLAS+CARL</t>
  </si>
  <si>
    <t>XP PROFESSIONAL OEM</t>
  </si>
  <si>
    <t>PROGRAMMI VARI</t>
  </si>
  <si>
    <t>C.D.B. WIN CALCOLO PARATIE + MODULO BERLINESI</t>
  </si>
  <si>
    <t>APPLICATIVO PARAMETRICO C.A.</t>
  </si>
  <si>
    <t>SOFTWARE EASY WIN REL ITA</t>
  </si>
  <si>
    <t>SOFTWARE GEOROCK</t>
  </si>
  <si>
    <t>LIECENZA SOFTWARE OMNIA IS PARATIE-IS PF</t>
  </si>
  <si>
    <t>AUTOCAD LT2012 N. 3 LICENZE</t>
  </si>
  <si>
    <t>SERVER FARM CANONE DI ATTIVAZIONE INIZIALE</t>
  </si>
  <si>
    <t>LICENZA OFFICE HOME AND BUSINESS</t>
  </si>
  <si>
    <t>PROGRAMMA .PAC 3D ANALISI E CALCOLO PARATIE</t>
  </si>
  <si>
    <t>PROGRAMMA FIREWALL ZYXELL ZIXUSG 100</t>
  </si>
  <si>
    <t>LICENZA WINDOWS 7 PRO</t>
  </si>
  <si>
    <t>MICROSOFT OFFICE 2010 SU PC. CESP.696</t>
  </si>
  <si>
    <t>OFFICE X PC. PORTATILE CESP.802 - EURONICS</t>
  </si>
  <si>
    <t>IMPIANTO DI MISCELAZIONE SE MOD. MIX 512EPVA</t>
  </si>
  <si>
    <t>GRUPPO ELETTR.ELCOS HUMMER 110/100 S PK KVA 110 matr.19725</t>
  </si>
  <si>
    <t>GRUPPO ELETTR.O MOTOSALDATRICE HGM DIESEL 180 D/DC A/CE</t>
  </si>
  <si>
    <t>SERBATOIO DA TRASPORTO LT.626 MATR. 15493  TIPO TFT620Z1K</t>
  </si>
  <si>
    <t>GRUPPO ELETTROGENO ATLAS COPCO QAS108 S/N AIP 394832</t>
  </si>
  <si>
    <t>GRUPPO ELETTROGENO ATLAS QAS 78 PDS KW 55 S/N AIP 406800</t>
  </si>
  <si>
    <t>GRUPPO ELETTROGENO MOSA TS400 GE22 SX KW 16 S/N 34223030085</t>
  </si>
  <si>
    <t>GRUPPO ELETTROGENO MOSA TS400 GE22 SX KW22 S/N 34222040016</t>
  </si>
  <si>
    <t>GRUPPO ELETTROGENO GEN SET MG20 TELAIO 2030342 MATR. RA077</t>
  </si>
  <si>
    <t>QUADRI DI CANTIERE N. 2</t>
  </si>
  <si>
    <t>SERBATOIO GASOLIO 3000 LT CON TETTOIA USATA FONDATER PALI</t>
  </si>
  <si>
    <t>SERBATOIO TIPO TFT0910 CAPACITA' LT. 910</t>
  </si>
  <si>
    <t>GRUPPO ELETTROGENO GREEN POWER DA 60 KVA INSONORIZZATO  GP 60 S/J COD.00509 SERIE 60036 - ELETTROMOTOR</t>
  </si>
  <si>
    <t>NUOVO IMPIANTO TELECAMERE INTERNE ESTERNE E ALLARME CARPENEDOLO - TECNOIMPIANTI</t>
  </si>
  <si>
    <t>SERBATOIO ARIA COMPRESSA DA LT 3000 TARATO 30 BAR - AR.COM SRL</t>
  </si>
  <si>
    <t>SERBATOIO ARIA COMPRESSA DA LT 3000 TARATO 30 BAR - AR.COM S.R.L.</t>
  </si>
  <si>
    <t>VASCONE DA 25 MC.PER CANTIERE - CO.DIA.FON</t>
  </si>
  <si>
    <t>VASCONI ENTECO ACCOPPIATO - CO.DIA.FON</t>
  </si>
  <si>
    <t>SERBATOIO OLIO ESAUSTO LT 2200 COMPL.BACINO CONTENIMENTO MATR.8878 E TETTOIA PROTEZ.-MOSCA</t>
  </si>
  <si>
    <t>IMPIANTO SALDATURA COMPOSTO GENERATORE REHM SYNERGIC, TORCIA, CAVO MASSA SIRIO - S.MARCO SALDATURE</t>
  </si>
  <si>
    <t>SERBATOIO TIPO TFT06 DA TRASPORTO DA LT.612 MOD.Z1K 12 VOLT MATR. 7129 USATO - MOSCA</t>
  </si>
  <si>
    <t>GRUPPO ELETTROGENO PERIN 6000 MATR.270312U - EMPORIO DELL'AUTO</t>
  </si>
  <si>
    <t>GRUPPO ELETTROGENO GREEN POWER MATR.81568 80 KVA CON MOTORE IVECO</t>
  </si>
  <si>
    <t>GRUPPO ELETTROGENO GEN SET MG111S MOT.DEUTZ</t>
  </si>
  <si>
    <t>CISTERNA GASOLIO LT. 900 - FONDAZIONI SPECIALI</t>
  </si>
  <si>
    <t>SERBATOIO GASOLIO MOBILTANK DA 900 LT - CONS.STABILE ITALTUNNEL</t>
  </si>
  <si>
    <t>SERBATOIO TANKLT.250 - MILANO FONDAZIONI</t>
  </si>
  <si>
    <t>QUADRO ELETTRICO PALAZZOLI - ELETTROMOTO</t>
  </si>
  <si>
    <t>QUADRO CANTIERE ELETTRICO - CI.TE IMPIANTI</t>
  </si>
  <si>
    <t>MOTOCOMPRESSORE ATLAS COPCO XAHS 306MD MATR.AIP469714 - AR.COM (RD Pali)</t>
  </si>
  <si>
    <t>GRUPPO ELETTROGENO MG5000 I-HE MOTOGEN 5 KVA (FERRAMENTA CIMA SRL)</t>
  </si>
  <si>
    <t>MOTOCOMPRESSORE ATLAS COPCO XAHS 365 MATR.AIP 339487 (FALLIMENTO 1 PRIMA)</t>
  </si>
  <si>
    <t>MOTOCOMPRESSORE KAESER M20-1 TEL WKA0N05009353991 TARGA AE67121 (BUZZI)</t>
  </si>
  <si>
    <t>POMPA TRIPLEX ALTA PRESSIONE 27/150 COMPL.MOTORE IDR.E DUE TUBI OLIO X INNESTI RAPIDI+ LANCIA X ACQUA - DAI PRA'</t>
  </si>
  <si>
    <t>GRUPPO ELETTROGENO ELCOS 130 MATR. 11093 (ELETTROMOTOR)</t>
  </si>
  <si>
    <t>GRUPPO ELETTROGENO AIRMEC HS9000-3E AVR</t>
  </si>
  <si>
    <t>TORRE FARO VT1 MATRICOLA 1002148 AR1179 (ARCOM SRL)</t>
  </si>
  <si>
    <t>TORRE FARO VT1 MATRICOLA 1001787 AS2823 (ARCOM SRL)</t>
  </si>
  <si>
    <t>SROTOLATORE 8 POSTI PER TUBIFLEX (FLUIDMEC SPA)</t>
  </si>
  <si>
    <t>QUADRI ELETTRICI N. 5 - N.2 A 11 PRESE, N. 3 A 7 PRESE (SELECTRIC)</t>
  </si>
  <si>
    <t>IMPIANTO PACCHIOSI USATO COMPOSTO DA INIETTORE-TURBOCOMPRESSORE-COCLEA SILOS (FEDBART)</t>
  </si>
  <si>
    <t>N. 7 VASCONI IN FERRO PER FANGHI BENTONITICI E/O LIQUIDI</t>
  </si>
  <si>
    <t>N. 6 SERBATOI MOBILI PER GASOLIO MARCA EMILIANA SERBATOI</t>
  </si>
  <si>
    <t>N. 6 CONTAINER DIM. 20" IN FERRO N. 6</t>
  </si>
  <si>
    <t>VASCONE IN FERRO PER FANGHI BENTONITICI</t>
  </si>
  <si>
    <t>CISTERNA PER GASOLIO</t>
  </si>
  <si>
    <t>TORRE FARO MODELLO HILIGHT B5+ MATR. ESF201838 RISCATTO UNICREDIT LEASING</t>
  </si>
  <si>
    <t>TORRE FARO MODELLO HILIGHT H5+ MATRICOLA ESF202529 RISCATTO UNICREDIT LEASING</t>
  </si>
  <si>
    <t>GRUPPO ELETTROGENO DIGITALE AD INVERTER PROFESSIONALE DA 3KW/6HP CON MOTORE OHV 4 TEMPI 152CC ZEUS 3500 - BOUDECH A RISPARMIO ENERGETICO 3500W</t>
  </si>
  <si>
    <t>Quadro cantiere ASC matr. QB6 _ 4IBF _ 2IBF63 _ 0.1.1 - MR</t>
  </si>
  <si>
    <t>TORRE FARO DOOSAN MOD. LT6K MATR. 367289 (RISCATTO DA SEFI SRL)</t>
  </si>
  <si>
    <t>QUADRO ELETTRICO PER IMPIANTO DI POMPAGGIO E MESCOLATORE (COMPRESI ACCESSORI) - CASALMORO</t>
  </si>
  <si>
    <t>QUADRO ELETTRICO PER CANTIERE ASC GEWISS (COMPRESI ACCESSORI)</t>
  </si>
  <si>
    <t>SERBATOIO TANK KUBE 960 CAPACITA' LT.956 MATR. TFT21493</t>
  </si>
  <si>
    <t>N. 3 VASCONI PER STOCCAGGIO ACQUA E FANGHI BENTONITICI USATI</t>
  </si>
  <si>
    <t>CONTAINER DI SICUREZZA OTTIMIZZATO PER LO STOCCAGGIO DI N.8 CISTERNETTE DA LT.1000</t>
  </si>
  <si>
    <t>CISTERNA OMOLOGATA DA LT. 5000 IN ACCIAIO - MATR. 44378 + CONTAINER DIESEL TANK VERDE- MATR. 44379+IMPIANTO ELETT.</t>
  </si>
  <si>
    <t>CONTAINER</t>
  </si>
  <si>
    <t>QUADRO ELETTRICO DA CANTIERE</t>
  </si>
  <si>
    <t>CENTRALINA IP55</t>
  </si>
  <si>
    <t>MACCHINA SEMOVENTE DUMPER</t>
  </si>
  <si>
    <t>MOTOSALDATRICE GEN SET MG45I PS MATR.2011183</t>
  </si>
  <si>
    <t>QUADRO ELETTRICO CANTIERE</t>
  </si>
  <si>
    <t>PIEDINO X TELESCOPICO JD</t>
  </si>
  <si>
    <t>SCAFFALATURE METALLICHE</t>
  </si>
  <si>
    <t>MOTOSCOPA MOD. GIOIA 70 A SCOPPIO MOTORE HONDA MATR.CEN.000.22</t>
  </si>
  <si>
    <t>MARTELLO FONDO FORO NUMA "CHAMPION 60 IR DHD360</t>
  </si>
  <si>
    <t>MARTELLO FONDO FORO NUMA "CHAMPION 60" M.6040783</t>
  </si>
  <si>
    <t>KIT SICUREZZA POMPA GEO ASTRA 5T302</t>
  </si>
  <si>
    <t>ATTREZZATURE DI PERFORAZIONE</t>
  </si>
  <si>
    <t>GRUPPO EL QAS 108 N.334513</t>
  </si>
  <si>
    <t>SILOS N. 1 CEMENTO  NS MATRICOLA IM0155</t>
  </si>
  <si>
    <t>MACCH.FOT. DIGITAL PHOTO NIKON D 70</t>
  </si>
  <si>
    <t>ACCONTO MOTOCOMPRESSORE XRHS 396</t>
  </si>
  <si>
    <t>VASCA CON TELAIO RINFORZATO</t>
  </si>
  <si>
    <t>MOTOCARIOLA OREC 250KG MAN.</t>
  </si>
  <si>
    <t>MOTOCARIOLA OREC 300 KG</t>
  </si>
  <si>
    <t>MOTOSEGA STHIL MS 280</t>
  </si>
  <si>
    <t>TRATTORINO DA GIARDINO WIKING</t>
  </si>
  <si>
    <t>PRESSATUBI POWERFLEX 080</t>
  </si>
  <si>
    <t>VASCA PER CISTERNA</t>
  </si>
  <si>
    <t>SILOS ORIZZONTALE FE LT.5000</t>
  </si>
  <si>
    <t>QUADRO ELETTRICO ASSEMBLATO MOD I4</t>
  </si>
  <si>
    <t>LIVELLA LASER AUTOL. DEWALT</t>
  </si>
  <si>
    <t>CENTRALINA</t>
  </si>
  <si>
    <t>TRATTORINO DA GIARDINO VIKING</t>
  </si>
  <si>
    <t>SOFFIATORE STHIL BR 420 N.2</t>
  </si>
  <si>
    <t>ATOMIZZATORE STHIL SR 420</t>
  </si>
  <si>
    <t>TOSAERBA VIKING MB 505</t>
  </si>
  <si>
    <t>TAGLIASIEPI STHIL HS 80</t>
  </si>
  <si>
    <t>DECESPUGLIATORE STHIL FS 55</t>
  </si>
  <si>
    <t>TELECOM.PROP.MPPNI02 MATR. 3049</t>
  </si>
  <si>
    <t>TELECOM.PROP.MPPNI03 MATR. 3048</t>
  </si>
  <si>
    <t>STUFA JESSICA 60</t>
  </si>
  <si>
    <t>TAVOLE PRISMATE E PORTE PER CONTAINER</t>
  </si>
  <si>
    <t>TRICONO AD INSERTI MEDIO LUNGHI</t>
  </si>
  <si>
    <t>POMPA HDP 30.43</t>
  </si>
  <si>
    <t>TELECOMANDO PROP.MPPN102 12V</t>
  </si>
  <si>
    <t>POMPA SOMMERSA LOWARA 12GS30T CON CAVO E GIUNTA</t>
  </si>
  <si>
    <t>MARTELLO DHD 380WP</t>
  </si>
  <si>
    <t>MARTELLO HAMMER HALCO M303</t>
  </si>
  <si>
    <t>MARTELLO DHD 360</t>
  </si>
  <si>
    <t>MARTELLO DHD 380</t>
  </si>
  <si>
    <t>POMPA PVB10LSY41CVP13</t>
  </si>
  <si>
    <t>GRUPPO ELETTROGENO  GE225X - ESSO INTONACI</t>
  </si>
  <si>
    <t>POMPA TRIPLEX C35 ACCOPPIATA A MOTORE DANFOSS OMM 12,50</t>
  </si>
  <si>
    <t>POMPA SOMMERSA LOWARA 12GS30</t>
  </si>
  <si>
    <t>IMPIANTO DI SALDATURA REHM SYNERGIC 350/4 - MATR.175608</t>
  </si>
  <si>
    <t>SCAFFALATURA MAGAZZINO CORTENO GOLGI</t>
  </si>
  <si>
    <t>MARTELLO FF TI 108</t>
  </si>
  <si>
    <t>MARTELLO FF IR DHD 3.5</t>
  </si>
  <si>
    <t>MOTOSEGA STIHL MS 361 LAMA 45</t>
  </si>
  <si>
    <t>SCALPELLO TRICONO 6" 1/4 INSERTI</t>
  </si>
  <si>
    <t>SCALPELLO TRICONO 6" 1/8 INSERTI</t>
  </si>
  <si>
    <t>SERBATOIO PER GASOLIO LITRI 3000</t>
  </si>
  <si>
    <t>SCALPELLO TRICONO AD INSERTI CON ATTACCO</t>
  </si>
  <si>
    <t>POMPA LOWARA DLG 50-51</t>
  </si>
  <si>
    <t>TONDI E TRAVI VARIE</t>
  </si>
  <si>
    <t>SUPER DOMINATOR 650 HDIR</t>
  </si>
  <si>
    <t>POMPA VICKERS PVB</t>
  </si>
  <si>
    <t>SCAFFALLATURE TRAVETTI E PIANTANE</t>
  </si>
  <si>
    <t>HAMMER SUPER DOM. 500 IR</t>
  </si>
  <si>
    <t>ELETTROPOMPA VARISCO J 4-250W - VARISCO</t>
  </si>
  <si>
    <t>ARREDO CUCINA CONTAINER</t>
  </si>
  <si>
    <t>N. 5 CASSERI IN LAMIERA</t>
  </si>
  <si>
    <t>POMPA VOAC V14-160</t>
  </si>
  <si>
    <t>HAMMER SUPER DOM. 550 IR</t>
  </si>
  <si>
    <t>CONTAINER DEPOSITO MERCI</t>
  </si>
  <si>
    <t>CENTRALINA MOD. SV193A10 A 2 LINEE CON 2 POSTI SECONDARI A TROMBA DA 8 HOM</t>
  </si>
  <si>
    <t>MOTOCOMPRESSORE TRIFASE AB.300/530TT</t>
  </si>
  <si>
    <t>GRUPPO ELETTROGENO CARRELLATO CSD KW122  MATR.01/7727/4</t>
  </si>
  <si>
    <t>CENTRALINA CARELLATA 380V MATR. C023</t>
  </si>
  <si>
    <t>MARTELLO DEMOLITORE IDR. OMAL MOD. 1050 S/N 575</t>
  </si>
  <si>
    <t>MARTELLO TD 80 4"1/2 API REG</t>
  </si>
  <si>
    <t>SERBATOIO MOBILE TRANSPO LT. 900</t>
  </si>
  <si>
    <t>SCAFFALATURA SPALLE HT. 2,00 COMPLETA DI RIPIANI</t>
  </si>
  <si>
    <t>HAMMER DOMINATOR 800 DHD 380</t>
  </si>
  <si>
    <t>INCHIDATRICE CONCAVA DHD 380 BIT</t>
  </si>
  <si>
    <t>MARTELLO FF MOD. TI 108 - DHD 380</t>
  </si>
  <si>
    <t>RILEVAT SATELL REDCO S3 KEY SIM MATR. 611294 SIM 3316222074</t>
  </si>
  <si>
    <t>MOTORE DEUTZ F6L 912 REV. ALLEGGERITO MN 8019728</t>
  </si>
  <si>
    <t>POMPA INIETTO MICROPALI TIPO DM 21/06   COMPLETA DI ACCESSORI</t>
  </si>
  <si>
    <t>TURBO MESCOLATORE TM 1200 MATR. 1043</t>
  </si>
  <si>
    <t>CELLE DI CARICO ESTENSIMETRICHE n. 5     TOROIDALI</t>
  </si>
  <si>
    <t>PRESSA MANUALE TUBOMATIC H46E</t>
  </si>
  <si>
    <t>RADIOCOMANDO TECHNO 12V POT MAT. 522355</t>
  </si>
  <si>
    <t>MOTOPOMPA SOMMERSA 6 COD. 507050040</t>
  </si>
  <si>
    <t>POMPA IDRAULICA LOWARA Z660 04-6</t>
  </si>
  <si>
    <t>MOTOPOMPA SOMMERSA 6 COD. 507050030</t>
  </si>
  <si>
    <t>POMPA IDRAULICA LOWARA Z660 05-6</t>
  </si>
  <si>
    <t>ELETTROPOMPA LOWARA DLM 90/A</t>
  </si>
  <si>
    <t>MARTELLI N. 2 MOD DHD 340</t>
  </si>
  <si>
    <t>SCALPELLO TRICONO AD INSERTI</t>
  </si>
  <si>
    <t>DAVIS VANTAGE PRO2 WIRELESS + DATALOGGER USB</t>
  </si>
  <si>
    <t>QUADRO COMANDO DISTRIBUTORE GRUPPO      ELETTROGENO 100 KVA CSD</t>
  </si>
  <si>
    <t>BENNA MECCANICA ENTECO E CASSONE DA 24MCI.P.C.</t>
  </si>
  <si>
    <t>MARTELLO FF TOTAL IMPACT MOD.TI 105     DHD 350</t>
  </si>
  <si>
    <t>MARTELLO FF TI 108 DHD 380</t>
  </si>
  <si>
    <t>MARTELLO FF TOTAL IMPACT TI 106 DHD 360 SHANK</t>
  </si>
  <si>
    <t>POMPA G.KE 20 SC26</t>
  </si>
  <si>
    <t>MARTELLO FF TOTAL IMPACT TI 106 DHD 360</t>
  </si>
  <si>
    <t>SILOS COMPLETO DI COCLEA</t>
  </si>
  <si>
    <t>MARTELLO DHD 350RP-STD</t>
  </si>
  <si>
    <t>MARTELLO PNEUMATICO J 4-250 TWGMVM      2105+HT</t>
  </si>
  <si>
    <t>N.2 UNITA' CENTRALI IN ARMADIETTO STAGNOCON ALTOPARLANTE</t>
  </si>
  <si>
    <t>CONTAINER COMPLETO DI POMPA TECNIWELL   K361 PW351VCC1 MATR. 17612/1991</t>
  </si>
  <si>
    <t>CONTAINER PER UNITA' MISCELATRICE/      INIEZIONE TWN57</t>
  </si>
  <si>
    <t>MOTORE IDRAULICO PER CAROTATORE MOD.    DM406HL HUSQVARNA</t>
  </si>
  <si>
    <t>LANCIAIMPULSI</t>
  </si>
  <si>
    <t>MARTELLO DHD-QL 60</t>
  </si>
  <si>
    <t>MARTELLO FF TOTAL IMPACT</t>
  </si>
  <si>
    <t>IDROPULITRICE MOD. SPL 200 TSI</t>
  </si>
  <si>
    <t>MARTELLO FUSION DH 80 4"1/2 API</t>
  </si>
  <si>
    <t>POMPA A LEVA DE.SERB.4200CC</t>
  </si>
  <si>
    <t>MARTELLO PUMA 44 ATT.DHD 340</t>
  </si>
  <si>
    <t>POMPA A10 V0 71 DFR 31 LP</t>
  </si>
  <si>
    <t>IDROPULITRICE MOD.SRL200TSI COMPLETA</t>
  </si>
  <si>
    <t>MOTORE A6VM 55 HD1</t>
  </si>
  <si>
    <t>CENTRALINA CARELLATA 380V - TRIFASE</t>
  </si>
  <si>
    <t>POMPA H1V 108 S L2/2 S PI</t>
  </si>
  <si>
    <t>CARRELLO KRAFTWERK 3908-4917 308 UTENS.</t>
  </si>
  <si>
    <t>POMPA TRIPLA HDP</t>
  </si>
  <si>
    <t>VASCONE PER BENTONITE</t>
  </si>
  <si>
    <t>MISCELATORE PER BENTONITE</t>
  </si>
  <si>
    <t>POMPA PER BENTONITE</t>
  </si>
  <si>
    <t>ARGANO DW 120101</t>
  </si>
  <si>
    <t>PUNTE FF RH PERFORAZIONE</t>
  </si>
  <si>
    <t>POMPA H1V 108 S F2/1 S LS+TP3 M NBR</t>
  </si>
  <si>
    <t>MANDRINO P114 E TASSELLO MANDRINO</t>
  </si>
  <si>
    <t>KIT DI PESATURA COMPOSTO DA CENTRALE ELETTR.GS10.4 E SENSORI</t>
  </si>
  <si>
    <t>MOLA COMPLETA DI MOTORE IDRAULICO E DISCO WIDIA</t>
  </si>
  <si>
    <t>SEGATRICE A NASTRO USATA</t>
  </si>
  <si>
    <t>PUNTA QL 340 ATT.DH</t>
  </si>
  <si>
    <t>SISTEMA ODEX 165 X DHD 360</t>
  </si>
  <si>
    <t>MARTELLO FF IR MOD DHD 350</t>
  </si>
  <si>
    <t>RIDUTTORE BREVINI CW20/10</t>
  </si>
  <si>
    <t>MARTELLO DI PERFORAZIONE QL80 STD MATR 1104A144</t>
  </si>
  <si>
    <t>KIT MOT.A2FM160 PER ROTAZ.TORR.B170</t>
  </si>
  <si>
    <t>POMPA A10VO HYDROMATIK</t>
  </si>
  <si>
    <t>PUNTA DI PERFORAZIONE D241</t>
  </si>
  <si>
    <t>PUNTE PERFORAZIONE QL80 STD E D241</t>
  </si>
  <si>
    <t>DISPOSITIVO SIS D140 DHD 350 E MARTELLO</t>
  </si>
  <si>
    <t>COPPIA CONICA RINVIO 200C</t>
  </si>
  <si>
    <t>POMPA CASAPPA HDP35 63/30 22S</t>
  </si>
  <si>
    <t>ELETTROPOMPA PS60 CARRELLATA CON MOTORE ELETTRICO MATR. 4843-11</t>
  </si>
  <si>
    <t>MARTELLO HALCO SUPER DOMINATOR</t>
  </si>
  <si>
    <t>N. 2 VASCHE</t>
  </si>
  <si>
    <t>MARTELLO FF IR MOD .DHD 350 R MATR. 801661</t>
  </si>
  <si>
    <t>MOTOSALDATRICE MOSA TS 200 MATR. 27272040189</t>
  </si>
  <si>
    <t>TORRE FARO TOWER LIGHT MATR.4176 300506</t>
  </si>
  <si>
    <t>MOTOSALDATRICE MOSA TS 400 SC MATR.21760050097</t>
  </si>
  <si>
    <t>MOTOSALDATRICE MOSA TS 400 SC MATR.21760050028</t>
  </si>
  <si>
    <t>ELETTROPOMPA FLYGB BIBO 2102 MATR 0410282</t>
  </si>
  <si>
    <t>ELETTROPOMPA FLYGB BIBO 2066 MATR 0410172</t>
  </si>
  <si>
    <t>MOTOSALDATRICE GEN SET MPM 10/400 S/N 2000989</t>
  </si>
  <si>
    <t>TORRE FARO MILANTRACTOR ARTH11HY61/13 S/N 618036</t>
  </si>
  <si>
    <t>MOTOSALDATRICE MOSA TS200 S/N 27292090129</t>
  </si>
  <si>
    <t>MOTOSALDATRICE MOSA TS200 S/N 27292100016</t>
  </si>
  <si>
    <t>MOTOSALDATRICE MOSA TS200 S/N 27292100001</t>
  </si>
  <si>
    <t>ELETTROPOMPA FLYGT BS2103.041 HT 234 S/N 0270191</t>
  </si>
  <si>
    <t>ELETTROPOMPA FLYGT BS2103.041 HT 234 S/N 0270193</t>
  </si>
  <si>
    <t>MOTOSALDATRICE MOSA TS200 PIU' CAVI SALDATURA</t>
  </si>
  <si>
    <t>TELAIO PORTA CAROTATRICE DS450ATS</t>
  </si>
  <si>
    <t>Elettropompa FlyGt 21.02 HT234 S/N 270190 matr RA100</t>
  </si>
  <si>
    <t>MOTOPOMPA UNIVAC SWELL l 4" matr RA005</t>
  </si>
  <si>
    <t>POMPA NM 50/19 A/B 400/690/50HZ</t>
  </si>
  <si>
    <t>TRICONI A BOTTONI N. 21 MARTELLO FF - SEFI</t>
  </si>
  <si>
    <t>ELETTROPOMPA VARISCO J4-253G10ET40 TROLLEY</t>
  </si>
  <si>
    <t>MOTOPOMPA VARISCO J70 S7N 007 MATR. RA029</t>
  </si>
  <si>
    <t>MOTOPOMPA ELETTRICA PER BENTONITE USATA FONDATER PALI</t>
  </si>
  <si>
    <t>POMPA PER CEMENTO CON MOTORE ELETTRICO USATA FONDATER</t>
  </si>
  <si>
    <t>MANOMETRO DA 250 BAR X PROVE CARICO COMP.3 MARTINETTI E 2 POMPE MANUALI USATO FONDATE</t>
  </si>
  <si>
    <t>CENTRALINA PER TESATURA TIRANTI CON DISTRIB.E 5 MARTINETTI USATA FONDATER</t>
  </si>
  <si>
    <t>PUNTE ff rh N.6 TRICONI A BOTTONI N.12 MARTELLO TOTAL IMPACT N.1-SEFI</t>
  </si>
  <si>
    <t>POMPA SERVIZI A10V - CMF DI FOGLINO E C.</t>
  </si>
  <si>
    <t>POMPA A4 VG HYDROMATIK</t>
  </si>
  <si>
    <t>MOTOCOMPRESSORE ATLAS COPCO USATO XRHS385 MATR. 239067</t>
  </si>
  <si>
    <t>TRICONI A BOTTONI MARTELLI E PUNTE SEFI</t>
  </si>
  <si>
    <t>POMPA A10VO 45 DFLR 31 HYDROMATIK MATR.31785788</t>
  </si>
  <si>
    <t>ELETTROP.SOMMERSA SQ56 35</t>
  </si>
  <si>
    <t>TRICONI A BOTTONI N.26 - SEFI</t>
  </si>
  <si>
    <t>AUTOGRU CINGOLATA LINK BELT MOD.LS 108 MATR 01/200333/MI - BRESCIANA FONDAZIONI</t>
  </si>
  <si>
    <t>GRUPPO ELETTROGENO GEN SET MG 75P MATR 2618777 - BRESCIANA FONDAZIONI</t>
  </si>
  <si>
    <t>ATTREZZATURA IDR.X JET GROUTIN USATA (CENTRO ITALIA SERV)</t>
  </si>
  <si>
    <t>CAROTIERE USATO DIAM 800 PICCHI DIAM 19 - CIANCALEONI</t>
  </si>
  <si>
    <t>ELICA ROCCIA PIANA CON PICCHI DIAM 25 A UNA SPIRA - CIANCALEONI</t>
  </si>
  <si>
    <t>POMPA H1V108 S L2/2 - C.A.M.I. SpA</t>
  </si>
  <si>
    <t>TUBO R 15 RAPISARDA RACCORDATO 1" 1/4 GAS - EMPORIO DELL'AUTO</t>
  </si>
  <si>
    <t>BUCKET DOPPIO FONDO ROCCIA SINGOLA ENTRATA DIAM 800 H 1000 - CARANDINA</t>
  </si>
  <si>
    <t>ASTE BIFLUIDO DIAM 90 LUNGH 3000 N. 12 - PRESTIA</t>
  </si>
  <si>
    <t>TRICONI A BOTTONI D. 4/5 - SEFI</t>
  </si>
  <si>
    <t>PUNTA PERFORAZIONE SF QL80/TD80-ATLAS COPCO</t>
  </si>
  <si>
    <t>CAROTATRICE CON SOSTEGNO 1900W - FERR.CIMA</t>
  </si>
  <si>
    <t>TRICONI D. 4"1/8 A BOTTONI - C.G.R.</t>
  </si>
  <si>
    <t>POMPA SOMMERSA CON MOTORE TRIFASE 4 SD 15/17- GROND PLAST</t>
  </si>
  <si>
    <t>MARTELLO PUMA 3" E BIT D.90 - C.G.R.</t>
  </si>
  <si>
    <t>MOTORI 10 KD 480CC 2"1/4 - GHISELLINI GIUSEPPE</t>
  </si>
  <si>
    <t>IMPIANTO POMPAGGIO CALCESTRUZZO - RITCHIE BROS</t>
  </si>
  <si>
    <t>CONTAINER POMPA CALCESTRUZZO CIMA 2004 JM30 - RITCHIE BROS</t>
  </si>
  <si>
    <t>IMPIANTO POMPAGGIO CALCESTRUZZO TECNIWELL TWM20 2003 - RITCHIE BROS</t>
  </si>
  <si>
    <t>CONTAINER - RITCHIE BROS</t>
  </si>
  <si>
    <t>POMPA SCHIUMOGENA COMPLETA RIDUTTORE PRESSIONE - SEFI S.R.L.</t>
  </si>
  <si>
    <t>BUCKET DOPPIO FONDO GIREVOLE DIAM. 1150 DA ROCCIA 13 DENTI PICCHI K30 - EUROMECCANICA</t>
  </si>
  <si>
    <t>DISTRIBUTORE COMPONIBILE DCV 50/5 SERIE 197861 - GHISELLINI G.</t>
  </si>
  <si>
    <t>ASTA TELESCOPICA AD INCASTRO 5X11 MT CON ATTACCO QUADRO DA 130 MM - DE BELLIS BRUNO</t>
  </si>
  <si>
    <t>POMPA BUNKER B1 MANUALE  MATR.820000190 - DAI PRA' S.R.L.</t>
  </si>
  <si>
    <t>CAROTATRICE HIDROSTRESS HCCB 24 A - ASTORI S.P.A.</t>
  </si>
  <si>
    <t>ASTA S62 4X11000 (5-2) 200 G CON SUPPORTO - CASAGRANDE</t>
  </si>
  <si>
    <t>POMPA BUNKER B100 CON CENTRALINA DIESEL MOTORE CHD E ACCESSORI MATR. N.56132/07 - DAIPRA'</t>
  </si>
  <si>
    <t>POMPA BUNKER B100 CON CENTRALINA DIESEL MOTORE CHD MATR. N. 142 - DAI PRA'</t>
  </si>
  <si>
    <t>PRESSA TUBOMATIC C H83/E - EMPORIO DELL'AUTO</t>
  </si>
  <si>
    <t>BANCO DA LAVORO 1003/PL - EMPORIO DELL'AUTO</t>
  </si>
  <si>
    <t>PELATUBI MANUALE COMPLETO - EMPORIO DELL'AUTO</t>
  </si>
  <si>
    <t>POMPA TRIPLA COMMERCIAL 3139131158 - GHISELLINI GIUSEPPE</t>
  </si>
  <si>
    <t>CELLA DI CARICO ESTENSINOMETRICA TOROIDAKE CRR1-BOVIAR</t>
  </si>
  <si>
    <t>POMPA VARISCO MATR.113247 - MAN.IMP. S.R.L.</t>
  </si>
  <si>
    <t>POMPA VARISCO MATR.113246 - MAN. IMP. S.R.L.</t>
  </si>
  <si>
    <t>POMPA VARISCO MATR.100656 - MAN.IMP.S.R.L.</t>
  </si>
  <si>
    <t>MARTINETTO T.22 ROM MATR.574 ANNO 2012 - ROM</t>
  </si>
  <si>
    <t>MARTINETTO T.22 ROM MATR.575 ANNO 2012 - ROM</t>
  </si>
  <si>
    <t>POMPA DA RESINE TK G 22000 MONOFASE 230V50 HZ CON CARRELLO- PREMATEK</t>
  </si>
  <si>
    <t>IDROPULITRICE SOCAF SRL200 TSI TUBO E LANCIA - SOCAF</t>
  </si>
  <si>
    <t>MOTOSALDATRICE HGM 180 D/DC A/CE KG.126 - ELETTROMOTOR</t>
  </si>
  <si>
    <t>ELETTROPOMPA SPERONI HG100 9,5 SP.400690 COD. 101243040-ELETTROMOTOR</t>
  </si>
  <si>
    <t>POMPA TIPO I.P.C. ELETTRICA - MAN IMP S.R.L.</t>
  </si>
  <si>
    <t>POMPA TIPO VARISCO - MAN IMP SRL</t>
  </si>
  <si>
    <t>MARTINETTI T.22 N. 4 COMPLETI DI INNESTI RACCORDI E CENTRALINA PORTATILE-R.O.M</t>
  </si>
  <si>
    <t>TURBOMESCOLATORE ELETTRICO DA 300 LT MATR.271/2014-DAI PRA'</t>
  </si>
  <si>
    <t>SALDATRICE LINEAR 300S - ASTORI SPA</t>
  </si>
  <si>
    <t>SALDATRICE LINEAR 300 S- ASTORI</t>
  </si>
  <si>
    <t>MESCOLATORI LT.100/1500 N. 4 - FONDAZIONI SPECIALI</t>
  </si>
  <si>
    <t>QUADRI ELETTRICI SELECTRIC ASC N. 3 - CONS.STAB.ITALTUNNEL</t>
  </si>
  <si>
    <t>POMPA VARISCO J100 RICOSTRUITA - MILAN SERVICE</t>
  </si>
  <si>
    <t>IMPASTATRICE O BETOMIERA PUZZ MAISTER MT 7117453 USATA - MAN.IMP</t>
  </si>
  <si>
    <t>MOTOPOMPA VARISCO LB100 CON MOTORE LOMBARDINI MATR.AVC0274-MAN IMP</t>
  </si>
  <si>
    <t>MOTOPOMPA VARISCO G156-5 CON MOTORE VM2 MATR AVC0109 - MAN IMP</t>
  </si>
  <si>
    <t>MOTOPOMPA J90-2 CON MOTORE 4LD820 MATR AVC0111 - MAN IMP</t>
  </si>
  <si>
    <t>POMPA HDP35.63 - FLUIDMEC</t>
  </si>
  <si>
    <t>POMPA NENZI - RD PALI SRL IN LIQUIDAZIONE</t>
  </si>
  <si>
    <t>DISSABBIATORE SAICI - FONDAZIONI SPECIALI</t>
  </si>
  <si>
    <t>POMPE VARISCO - FONDAZIONI SPECIALI</t>
  </si>
  <si>
    <t>MESCOLATORE IPC CON TUBI GETTO E RACCORDERIA - FONDAZIONI SPECIALI</t>
  </si>
  <si>
    <t>SILOS MONOLITICO 43 MC MATR. SIL021 - FONDAZIONI SPECIALI</t>
  </si>
  <si>
    <t>SILOS MONOLITICO 43 MC MATR SILO22 - FONDAZIONI SPECIALI</t>
  </si>
  <si>
    <t>SILOS COMPLETO COCLEA E FILTRO MATR.SILO23 - FONDAZIONI SPECIALI</t>
  </si>
  <si>
    <t>IMPIANTO MISCELAZIONE E INIEZIONE CEMENTO A 4 INIETTORI ELENA 80/200 MATR 09/16/2003+AGITATORE DA 500 ML SU SKID - FONDAZIONI SPECIALI</t>
  </si>
  <si>
    <t>IMPIANTO MISCELAZIONE CEMENTO MATR.02/017/2007 - FONDAZIONI SPECIALI</t>
  </si>
  <si>
    <t>IMPIANTO MISCELAZIONE CEMENTO MATR.JM10-015 - FONDAZIONI SPECIALI</t>
  </si>
  <si>
    <t>POMPA DUPLEX X INIEZIONE CEMENTO MATR.03/0003/2 - FONDAZIONI SPECIALI</t>
  </si>
  <si>
    <t>POMPA DUPLEX X INIEZIONE CEMENTO MATR. 03/0004/2 - FONDAZIONI SPECIALI</t>
  </si>
  <si>
    <t>POMPA HDP 30.43 - GHISELLINI</t>
  </si>
  <si>
    <t>POMPA MONOVITE BELLINI NG530LP - RD PALI</t>
  </si>
  <si>
    <t>MESCOLATORE ELETTRICO DA 750 LT CON COCLEA TUB. D.120 CARRELLATA - RD PALI</t>
  </si>
  <si>
    <t>TURBOMESCOLATORE TECNOTUNNEL DA 500 LIT MATR. 13/20040 - RD PALI</t>
  </si>
  <si>
    <t>GRUPPO ELETTROGENO MANUALE GDZ 200 - RD PALI</t>
  </si>
  <si>
    <t>CAROTATORE MANUALE DM220 - HUSQUARNA</t>
  </si>
  <si>
    <t>MARTINETTI MORSA C80 S50 CON BUSSOLA CORSA (COMACCHIO)</t>
  </si>
  <si>
    <t>POMPA VARISCO PRE ASSEMBLATA JP3 210G10 MATR.37 (MILANSERVICE)</t>
  </si>
  <si>
    <t>CENTRALINA IDRAULICA DIESEL (BUZZI PRIMO)</t>
  </si>
  <si>
    <t>CENTRALINA IDRAULICA ELETTRICA (BUZZI PRIMO)</t>
  </si>
  <si>
    <t>MANDRINI IDRAULICI COMPLETI HC100 N. 2 (FONDAZIONI SPECIALI)</t>
  </si>
  <si>
    <t>POMPA PUMP GP W (CGT)</t>
  </si>
  <si>
    <t>MARTELLO DEMO-PERFORATORE DW D25762K (ASTORI SPA)</t>
  </si>
  <si>
    <t>TESTA IDRAULICA RP200 MATR.RP200 038 (COPAR EDILE SRLS)</t>
  </si>
  <si>
    <t>MOTOCOMPRESSORE INGERSOLL 14/115 ANNO 2004 (COPAR EDILE SRLS)</t>
  </si>
  <si>
    <t>ASTA KELLY KRC 1/25</t>
  </si>
  <si>
    <t>ATTREZZATURE VARIE (SGF) - COME DA ALLEGATO</t>
  </si>
  <si>
    <t>POMPA VARISCO J6-250G10 COMPLETA (MILANSERVICE)</t>
  </si>
  <si>
    <t>MOTOPOMPE JD4-250 G10 FVM04 VARISCO</t>
  </si>
  <si>
    <t>BENNA A FUNE DIAM.400 (FUTUR SERVICE)</t>
  </si>
  <si>
    <t>SISTEMA INCLINOMETRICO FULL OPTIONAL MEMS 50 M</t>
  </si>
  <si>
    <t>POMPA PER CALCESTRUZZO CINGOLATA CIFA MOD. PC907 - 612 D8 MATR. 325 (PANCAR SRL)</t>
  </si>
  <si>
    <t>MOTOCOMPRESSORE ATLAS COPCO XAHS365 MATR. AIP307214 ANNO 2005 (PANCAR)</t>
  </si>
  <si>
    <t>INIETTORE LORENZETTO L300 MATR. 0013 (PANCAR SRL)</t>
  </si>
  <si>
    <t>BENNA PER DIAFRAMMI CASAGRANDE K2500L E 4 SCUDI (CALZOLARI PERFORAZIONI SRL)</t>
  </si>
  <si>
    <t>MOTOSALDATRICE MW7/250 I-D/GRE MATR. W160021 (MASE GENERATORS)</t>
  </si>
  <si>
    <t>MOTOSALDATRICE MW7/250 I-D/GRE MATR. W160022 (MASE GENERATORS)</t>
  </si>
  <si>
    <t>MOTOSALDATRICE MW7/250 I-D/GRE MATR. W170001 (MASE GENERATORS)</t>
  </si>
  <si>
    <t>MOTOSALDATRICE MW7/250 I-D/GRE MATR. W170002 (MASE GENERATORS)</t>
  </si>
  <si>
    <t>SILOS MOBILE TRANSILOS MS15 S/N 165 (S.G.F. I.N.C. SGF SPA)</t>
  </si>
  <si>
    <t>SALDATRICE REHM MOD. SYNERGIC PRO S.N. 286303 (TECNODUE TRADE SRL)</t>
  </si>
  <si>
    <t>POMPA PER CALCESTRUZZO MECBO MOD. CAR P4.65 APV/D ANNO 2009, MATR. 3523</t>
  </si>
  <si>
    <t>SCAFFALATURE (SCARONI SRL)</t>
  </si>
  <si>
    <t>DISSABBIATORE SOTRES D45-5 ANNO 2008 SN AI08099 USATO (ESPI ENGINEERING SRL)</t>
  </si>
  <si>
    <t>COMPARATORE BLUETOOTH SYLVAC CORSA 50 MM LETTURA 0,0-01 MM (BOCCHI SRL)</t>
  </si>
  <si>
    <t>SALDATRICE REHM SYNEGIC PRO2 450-4WS W 400V+RULLI+CAVI+RIDUTTOE+TORCIA(TECNODUE TRADE</t>
  </si>
  <si>
    <t>MOTOSALDATRICE MW400P MAT. W180020 W180021 CON ACCESSORI (MASE GENERATORS)</t>
  </si>
  <si>
    <t>IDROPULITRICE AVANT XL200/21 TST MATR. DB04467 - 182356 COMPLETA DI ACCESSORI (BD DI BONETTI)</t>
  </si>
  <si>
    <t>N. 3 QUADRI ASC 250A 11 PRESE (SELECTRIC)</t>
  </si>
  <si>
    <t>POMPA  ANNO 2011 N. 260001 (GEA MACCHINE)</t>
  </si>
  <si>
    <t>POMPA  ANNO  2011 MATR. 260002 (GEA MACCHINE)</t>
  </si>
  <si>
    <t>ELETTROPOMPA VARISCO (GEA MACCHINE)</t>
  </si>
  <si>
    <t>MOTOSPAZZATRICE AMERICAN LICON 6150 MTR. DB03740-630253+UGELLO ROTANTE 060 (BONETTI PALMIRO)</t>
  </si>
  <si>
    <t>STRUM. MISURAZ. MULTIHANDY COMPOSTO DA SET DI MISURA+MISURAT.FLUSSO A TURBINA+CAVO COLLEG.+VALIGIA (FLUIDMEC)</t>
  </si>
  <si>
    <t>TOSAERBA OREC FL500BC MATR. XP18L00105 (GHIRARDELLI LEOPOLDO)</t>
  </si>
  <si>
    <t>PRESSATUBI TUBOMATIC H83/E EL COMPLETA DI MORSETTI, PINZA E DISPENSER (FLUIDMEC SPA)</t>
  </si>
  <si>
    <t>ANALOG AND DIGITAL READOUT UNIT CENTRALINA PER LETTURE PROVE DI CARICO (GEI SRL)</t>
  </si>
  <si>
    <t>MOTOSALDATRICE MASE MW5/180 I-D/AE-YG+KIT CARR.MW 5/180 I-D/AE-YG  (MASE GENERATORS SPA)</t>
  </si>
  <si>
    <t>POMPA BALLERINI DUPLEX - MATR.03/002 CON CENTRALINA ELETTRICA  (VETTRAINO GIANPAOLO)</t>
  </si>
  <si>
    <t>BUCKET DIAMANTATO 1200 HD 200X200 - MATR.9442 (TREVI SPA)</t>
  </si>
  <si>
    <t>BUCKET DIAMANTATO 1200 ROCK 200X200 - MATR.9441 (TREVI SPA)</t>
  </si>
  <si>
    <t>CAROTATORE ROCK AUGER DIAMANTATO 1200 200X200 - MATR.9443 (TREVI SPA)</t>
  </si>
  <si>
    <t>SALDATRICE REHM MOD. SYNERGIC PRO 450-4WS SN 318189</t>
  </si>
  <si>
    <t>PLASMA INVERTER I CUT 105E SN 2009081</t>
  </si>
  <si>
    <t>MOTOSALDATRICI N.2 MW400P SUPERSILENZIATA (MASE GENERATORS)</t>
  </si>
  <si>
    <t>N. 4 POMPA BELLINI</t>
  </si>
  <si>
    <t>N. 2 SILOS COMPLETI DI COCLEA</t>
  </si>
  <si>
    <t>N. 6 MOTOPOMPA IPC VARI MODELLI</t>
  </si>
  <si>
    <t>MOTOPOMPA IPC ELETTRICA</t>
  </si>
  <si>
    <t>N. 6 BENNA A FUNE PER DIAFRAMMA CASAGRANDE COMPLETA DI VALVE</t>
  </si>
  <si>
    <t>N. 2 BENNA A FUNE PER DIAFRAMMA NEGRINI COMPLETA DI VALVE E CARENE</t>
  </si>
  <si>
    <t>MOTOSALDATRICE MOSA TIPO TS-400 SC/EC COMPLETA DI CAVI DI SALDAT.</t>
  </si>
  <si>
    <t>N. 2 TRAVI PER PROVA DI CARICO</t>
  </si>
  <si>
    <t>BENNA A FUNE TIPO CASAGRANDE PM2500 MATR. PM25.07CB.106-107 (COMPLETA DI VALVE)</t>
  </si>
  <si>
    <t>N. 2 POMPA MODELLO IPC</t>
  </si>
  <si>
    <t>FLUSSIMETRO DN100 PN16 COMPLETO DI FLANGE E MANICOTTI</t>
  </si>
  <si>
    <t>MARTINETTO T22 ROM CORSA 200 - GANASCIA 0,6 - TUBAZIONI DA MT. 4 MAT. 22/766</t>
  </si>
  <si>
    <t>MARTINETTO T.22 ROM - CORSA 200 - GANASCIA 0,6 - TUBAZIONI 4 MT - MAT. 22/767</t>
  </si>
  <si>
    <t>PINZE PER MULETTO INFORCABILE PER LA PRESA DEI FUSTI IN ACCIAIO VERNICIATO MOD.BS/85 MI N.SERIE : 585278300921</t>
  </si>
  <si>
    <t>N.3 GPS STONEX USATI MODELLO S9I CON ANTENNE (CIASCUNO CORREDATO DA 2 VALIGETTE GIALLE) E ACCESSORI</t>
  </si>
  <si>
    <t>SERBATOIO GASOLIO 600 LT TRANSPO TFT 620 MATR.1095</t>
  </si>
  <si>
    <t>CAROTATRICE HILTI MOD DD160E S/N 012321</t>
  </si>
  <si>
    <t>SERBATOIO GASOLIO LT. 3000 USATA FONDATER</t>
  </si>
  <si>
    <t>POMPA PER CEMENTO CON MOTORE A SCOPPIO USATA FONDATER</t>
  </si>
  <si>
    <t>CATENE GRU SOLLEVAMENTO DA MT. 4</t>
  </si>
  <si>
    <t>PC.PORTATILE ULTRABOOK CON MOUSE (Repetto) - UNIEURO</t>
  </si>
  <si>
    <t>CONTAINER N. 3 - RD PALI</t>
  </si>
  <si>
    <t>POMPA MONOVITE BELLINI NG530LP CARRELLATA - RD PALI</t>
  </si>
  <si>
    <t>MESCOLATORE ELETTRICO LT 500 - RD PALI</t>
  </si>
  <si>
    <t>SERBATOIO TT750 9K DC CON POMPA TRASP. - RD PALI</t>
  </si>
  <si>
    <t>IDROPULITRICE OPTIMA KDS 1814 IDAC 46210 - RD PALI</t>
  </si>
  <si>
    <t>CISTERNA GASOLIO DA 960 LT MATR.1061 - RD PALI</t>
  </si>
  <si>
    <t>QUADRI ELETTRICI-CASSETTE PORTATTREZZI - ESTINTORI A POLVERE - RD PALI</t>
  </si>
  <si>
    <t>SALDATRICI A FILO N. 2 MS 2800 T E MATR 174510  RD PALI</t>
  </si>
  <si>
    <t>MARTINETTO ENERPAC CLL 1008 - RD PALI</t>
  </si>
  <si>
    <t>ATTREZZATURA VARIA  COME DA DETTAGLIO ALLEGATO (FONDAZIONI SPECIALI)</t>
  </si>
  <si>
    <t>AUTOLIVELLO E SMERIGLIATRICE (ASTORI SPA)</t>
  </si>
  <si>
    <t>SALDATRICE, TRAPANO, COMPRESORE (ASTORI SPA)</t>
  </si>
  <si>
    <t>IVECO 35C13D - TARGA: BF799VJ</t>
  </si>
  <si>
    <t>IVECO 35S12D CL 520 LT</t>
  </si>
  <si>
    <t>TOYOTA ROMA 92429Z ORA AT017ZV</t>
  </si>
  <si>
    <t>TOYOTA LN110 AC143FT ORA CR303HB</t>
  </si>
  <si>
    <t>TORRE FARO (più NISSAN PIK UP CO B33233 Singea) - C.L.F. SRL</t>
  </si>
  <si>
    <t>IVECO MAGIRUS TARGA BT347FZ</t>
  </si>
  <si>
    <t>RIMORCHIO ZORZI TARGA PD030635</t>
  </si>
  <si>
    <t>IVECO MAGIRUS A440ST/71 TARGA: EP943RM (ex CL579VG)</t>
  </si>
  <si>
    <t>SEMIRIMORCHIO BERTOJA SR36P             TARGATO VE026293</t>
  </si>
  <si>
    <t>SEMIRIMORCHIO SCHMITZ AA 34203</t>
  </si>
  <si>
    <t>FIAT FIORINO 1.4 NATURAL POWER EB560TX</t>
  </si>
  <si>
    <t>IVECO DAILY DP032HH SUBENTRO CONTR LEASING</t>
  </si>
  <si>
    <t>CITROEN JUMPER DP613HF RISCATTO</t>
  </si>
  <si>
    <t>AUTOCARRO MERCEDES 308 CDI DOPPIA CAB CH978PM</t>
  </si>
  <si>
    <t>Fiat Ducato CC966TH doppia cabina 2.3 MJT targa CC966TH</t>
  </si>
  <si>
    <t>Fiat Ducato 2,3 JTD doppia cabina CN537LC</t>
  </si>
  <si>
    <t>FIAT DUCATO EH345LX CAB. RIPARAZIONE</t>
  </si>
  <si>
    <t>FIAT  DOBLO'COMBI ER650WD - VIVA BRESCIA DIESEL</t>
  </si>
  <si>
    <t>FIAT FIORINO ER649WD - VIVA BRESCIA DIESEL</t>
  </si>
  <si>
    <t>FIORINO 1.3 ES396PF - VIVA BRESCIA DIESEL</t>
  </si>
  <si>
    <t>IVECO DAILY ES556ZH - VIVA BRESCIA DIESEL</t>
  </si>
  <si>
    <t>IVECO DAILY CABINATO 6+1 ES721ZH - VIVA BS DIESEL</t>
  </si>
  <si>
    <t>IVECO DS383TJ RISCATTO - LEASINT</t>
  </si>
  <si>
    <t>FIAT PANDA VAN 2 POSTI BS120AB - VIVA BS DIESEL</t>
  </si>
  <si>
    <t>FIAT PANDA VAN 2 POSTI BM793FM - VIVA BS DIESEL</t>
  </si>
  <si>
    <t>AUTOCARRO NISSAN ATLEON 75 CON CASSONE CV112XV - RD PALI IN LIQUIDAZIONE</t>
  </si>
  <si>
    <t>AUTOCARRO RENAULT CLIO VAN DA051AT - RD PALI IN LIQUIDAZIONE</t>
  </si>
  <si>
    <t>AUTOCARRO NISSAN BK943HS CON GRU TELAIO WAL8024YXA414378 (FAGLIA)</t>
  </si>
  <si>
    <t>FIAT DUCATO EH345LX LEASING LEASINT - RISCATTO</t>
  </si>
  <si>
    <t>FIAT DOBLO' EJ450AK LEASINT - RISCATTO</t>
  </si>
  <si>
    <t>FIAT DOBLO' EJ451AK LEASINT - RISCATTO</t>
  </si>
  <si>
    <t>TRATTORE 54WH01- PUTZMAIST (T SERVICE PARROTTINO)</t>
  </si>
  <si>
    <t>FIAT DOBLO' CARGO EK446BW LEASINT - RISCATTO</t>
  </si>
  <si>
    <t>IVECO 150 BG819SR (CISM SRL)</t>
  </si>
  <si>
    <t>FIAT DOBLO' 1,6 MJT EK349RA UBI LEASING - RISCATTO</t>
  </si>
  <si>
    <t>IVECO DAILY 29L12 EH772LX UBI LEASING - RISCATTO</t>
  </si>
  <si>
    <t>MERCEDES TG. CB885CF (FALLIMENTO PRESSPALI S.P.A.)</t>
  </si>
  <si>
    <t>RIMORCHIO CARDI TG. AB17436 (FALLIMENTO PRESSPALI S.P.A.)</t>
  </si>
  <si>
    <t>AUTOCARRO FIAT DOBLO' CARGO 1,6 MULTIJET TARGA FG169NJ (VIVA BRESCIA DIESEL)</t>
  </si>
  <si>
    <t>AUTOCARRO FIAT DOBLO' CARGO 1,6 MULTIJET TARGA FG172NJ (VIVA BRESCIA DIESEL)</t>
  </si>
  <si>
    <t>AUTOCARRO FORD C-MAX TARGA EZ118FB (OFFICINA CANTI)</t>
  </si>
  <si>
    <t>AUTOCARRO IVECO DAILY 33S11D TARGA EW607GB (RISCATTO LEASING CNH INDUSTRIAL)</t>
  </si>
  <si>
    <t>PEUGEOT BOXER TARGA GA961LY ANNO 2009 (VIVA BRESCIA DISEL SPA) (EX TARGA DY873WR)</t>
  </si>
  <si>
    <t>AUTOCARRO IVECO 35C11 TARGA EY019CM USATO (IVECO CAPITAL)</t>
  </si>
  <si>
    <t>FIAT DUCATO DE995CP CON CASSONE USATO ANNO 2007 (V.I.V.A. BRESCIA DIESEL)</t>
  </si>
  <si>
    <t>BZ652KY AUTOCARRO IVECO MAGIRUS MOD. 410E44 CON GRU PALFINGER PK6000Z TELAIO WJMJ4CSS00C119134 (MPS LEASING)</t>
  </si>
  <si>
    <t>FIAT DOBLO' TARGATO EY569CM (FCA BANK)</t>
  </si>
  <si>
    <t>DOBLO' COMBI CR308HB EX EJ472KY</t>
  </si>
  <si>
    <t>AUTOCARRO IVECO DAILY 35S11D CABINATO TARGA EY919PZ (RISCATTO LEASING CNH)</t>
  </si>
  <si>
    <t>IVECO MAGIRUS TARGA FF912HS USATO - METALFERRO SRL</t>
  </si>
  <si>
    <t>FIAT DOBLO' CARGO TARGA FV919HV TELAIO ZFA26300006L27362 (V.I.V.A. BRESCIA DIESEL SPA)</t>
  </si>
  <si>
    <t>FIAT DOBLO CARGO TARGA FW732SV TELAIO ZFA26300006J81736 (V.I.V.A. BRESCIA DIESEL SPA)</t>
  </si>
  <si>
    <t>SEMIRIMORCHIO TARGA AA66572 TEL ZA9S36RSA12A13212 - AUTOTRASPORTI GARATTINI MAURO &amp; C. SNC</t>
  </si>
  <si>
    <t>AUTOCARRO FIAT DOBLO' FK440CB (RISCATTO UBI LEASING SPA)</t>
  </si>
  <si>
    <t>DOBLO' COMBI FK609YR (RISCATTO FCA BANK)</t>
  </si>
  <si>
    <t>DUCATO CABINA DOPPIA FL077YH (RISCATTO FCA BANK)</t>
  </si>
  <si>
    <t>SCUDO FA984ZV (RISCATTO FCA BANK)</t>
  </si>
  <si>
    <t>DOBLO' COMBI FK610YR (RISCATTO FCA BANK)</t>
  </si>
  <si>
    <t>FIAT DOBLO' CARGO 1.6 MULTIJET 105CV - TARGA: GE720EM - TELAIO: ZFA26300006T59839</t>
  </si>
  <si>
    <t>FIAT DOBLO' CARGO 1.6 MULTIJET 105CV - TARGA: GE722EM - TELAIO: ZFA26300006T55480</t>
  </si>
  <si>
    <t>FIAT DOBLO' CARGO 1.6 MULTIJET 105CV - TARGA: GE721EM - TELAIO: ZFA26300006T59115</t>
  </si>
  <si>
    <t>FIAT DOBLO' CARGO 1.6 MULTIJET 105CV - TARGA: GE719EM - TELAIO: ZFA26300006T62057</t>
  </si>
  <si>
    <t>FIAT FIORINO EURO6D CARGO SX 1.3 MULTIJET 95 CV - TARGA: GE718EM - TELAIO: ZFA22500006T45435</t>
  </si>
  <si>
    <t>FIAT DOBLO' CARGO 1.6MULTIJET 16V105CV - TARGA FD993EF - TELAIO: ZFA26300006B50489 (RISCATTO FCA BANK)</t>
  </si>
  <si>
    <t>FIAT DOBLO' CARGO 1.6MULTIJET 16V105CV - TARGA FD994EF - TELAIO: ZFA26300006B50497 (RISCATTO FCA BANK)</t>
  </si>
  <si>
    <t>FIAT DOBLO' CARGO 1.6MULTIJET 16V105CV - TARGA FD995EF - TELAIO: ZFA26300006B48916 (RISCATTO FCA BANK)</t>
  </si>
  <si>
    <t>IVECO LEGGERI 35S12 BUSINESS CON CASSONE FISSO - TARGA: GE863ZZ - TELAIO:ZCFC335860D6</t>
  </si>
  <si>
    <t>FIAT DOBLO' CARGO SERIE 2 MAXI LOUNGE 1.6 MULTIJET 105 CV - TARGA: GF129AA - TELAIO ZFA26300006U33007</t>
  </si>
  <si>
    <t>FIAT DOBLO' CARGO SERIE 2 MAXI LOUNGE 1.6 MULTIJET - TARGA: GF191AA - TELAIO ZFA26300006U15026</t>
  </si>
  <si>
    <t>FIAT DOBLO' CARGO SERIE 2 MAXI LOUNGE 1.6 MULTIJET - TARGA: GF210AA - TELAIO ZFA26300006U16216</t>
  </si>
  <si>
    <t>FIAT DOBLO' CARGA MAXI LOUNGE 1.6 MULTIJET 105 CV - TARGA: GF248AA - TELAIO ZFA26300006U32972</t>
  </si>
  <si>
    <t>FIAT DOBLO' CARGO EURO 6 COMBI - TARGA FP683TN - TELAIO 06J87345 (RISCATTO UBI LEASING)</t>
  </si>
  <si>
    <t>FIAT DOBLO' CARGO EURO 6 COMBI 1.6 16V 105CV -TARGA FP684TN - TELAIO ZFA26300006J87281 (RISCATTO UBI LEASING)</t>
  </si>
  <si>
    <t>FIAT FULLBACK CABINA DOPPIA SERIE1 2,4 150CV - TARGA FP687TN - TELAIO ZFAKVJJ20H9030198 (RISCATTO UBI LEASING)</t>
  </si>
  <si>
    <t>FIAT DOBLO' CARGO MAXI LOUNGE 1.6 MULTIJET 105CV - TARGA GF718AE - TELAIO ZFA26300006U93438</t>
  </si>
  <si>
    <t>FIAT DOBLO' CARGO MAXI LOUNGE 1.6 MULTIJET 105CV - TARGA GF717AE - TELAIO ZFA26300006U95550</t>
  </si>
  <si>
    <t>FIAT DOBLO' CARGO MAXI LOUNGE 1.6 MULTIJET 105CV - TARGA GF715AE - TELAIO ZFA26300006U95732</t>
  </si>
  <si>
    <t>FIAT DOBLO' CARGO MAXI LOUNGE 1.6 MULTIJET 105CV - TARGA GF716AE - TELAIO ZFA26300006U95540</t>
  </si>
  <si>
    <t>FIAT 500L VAN SERIE 7 URBAN 1.6 MJET - TARGA GA484LV - TELAIO ZFA19900005532488</t>
  </si>
  <si>
    <t>OPEL GRANDLAND X - TARGA: FS054AA - TELAIO:W0VZCBHZ3JS209080 (RISCATTO UBI LEASING)</t>
  </si>
  <si>
    <t>OPEL GRANDLAND X TARGA:FS055AA - TELAIO:W0VZCBHZ7JS209079 (RISCATTO DA UBI LEASING)</t>
  </si>
  <si>
    <t>FIAT LCV DUCATO 35 LH2 PASSO LUNGO TETTO ALTO 2 - TARGA:FE223RH - TELAIO:02A99807 (RISCATTO FCA BANK)</t>
  </si>
  <si>
    <t>IVECO LEGGERI 35S14 - TARGA: GG010BH - TELAIO:ZCFCG35A60D688096 - COMPRENSIVO DI OPTIONAL E IMMATRICOLAZIONE</t>
  </si>
  <si>
    <t>FIAT LCV DUCATO CABINATO 35MH1 - TARGA FF375FA - TELAIO 02A51253 (RISCATTO FCA BANK)</t>
  </si>
  <si>
    <t>FIAT 500L VAN PRO SERIE 8 MIRROR 1.6 MJT 120 CV - TARGA GG836BJ - TELAIO ZFA19900005574560 COMPRENSIVO DI IMMATRICOLAZIONE E TASSE</t>
  </si>
  <si>
    <t>IVECO LEGGERI 35S12 D - TARGA: GF613AJ TELAIO: ZCFC3358705415011 COMPRENSIVO DI OPTIONAL E IMMATRICOLAZIONE</t>
  </si>
  <si>
    <t>MITSUBISHI KJ07 KL622 KW110 - TARGA: FZ807LD - TELAIO: MMCJJKL60LH013102 USATO</t>
  </si>
  <si>
    <t>FIAT FIORINO EURO 6D CARGO SX 1.3 MULTIJET 95 CV - TARGA: GH065AH - TELAIO: ZFA22500006V62686</t>
  </si>
  <si>
    <t>FIAT FIORINO EURO 6D CARGO SX 1.3 MULTIJET 95 CV - TARGA: GH064AH - TELAIO: ZFA22500006V62678</t>
  </si>
  <si>
    <t>ANTICIPO VENDITA VEICOLO AS440X53T/P ON+</t>
  </si>
  <si>
    <t>AUTOVETTURA RENAULT SCENIC  USATA ES168EY (CANTI)</t>
  </si>
  <si>
    <t>DACIA DUSTER COMFORT 4X2 1.5 BLUE DCI 115CV - TARGA: GE580LN - TELAIO:VF1HJD20466783834</t>
  </si>
  <si>
    <t>PALA GOMMATA HITACHI LX 1700 TARGA AFL639 - HYPO ALPE ADRIA</t>
  </si>
  <si>
    <t>PALA GOMMATA FIAT HITACHI FR 90 tel.680181 targa FIAF579 - GUEMA SRL</t>
  </si>
  <si>
    <t>PALA GOMMATA VENIERI VF9013 ADD346 - MASSUCCO</t>
  </si>
  <si>
    <t>MINIESCAVATORE BOBCAT 442 S/N 522311640 -MASSUCCO</t>
  </si>
  <si>
    <t>PALA GOMMATA CATERPILLAR 924F TEL.6MN00639- GUEMA SRL</t>
  </si>
  <si>
    <t>MINIPALA GOMMATA FAI 338 P TEL.338P5439 TARGA BGAF248 - GUEMA S.R.L.</t>
  </si>
  <si>
    <t>PALA GOMMATA FIAT HITACHI W 110 A TARGA AAB816 - GUEMA</t>
  </si>
  <si>
    <t>PALA CARICATRICE GOMMATA BEMFRA NA AA941 - RD PALI</t>
  </si>
  <si>
    <t>PALA HITACHI LX170E TARGA  AFF490</t>
  </si>
  <si>
    <t>ESCAVATORE HITACHI ZX160 S/N HCMBCC00C00010710 ANNO 2005</t>
  </si>
  <si>
    <t>ESCAVATORE KOBELCO E165 ANNO 2003 MATR.ZEF108TSN3LA01106 (BRB SPA)</t>
  </si>
  <si>
    <t>PALA CATERPILLAR AHX590 MATR. 914GCPDF01409 (BRB SPA)</t>
  </si>
  <si>
    <t>PALA GOMMATA NEW HOLLAND W130 TARGA AFZ384 (NOLEGGIO MASSUCCO T.)</t>
  </si>
  <si>
    <t>ESCAVATORE CINGOLATO NEW HOLLAND E245 S/N ZEF110TNM5LA02445 ANNO 2005</t>
  </si>
  <si>
    <t>CARRO COMPLETO PER ESCAVATORE FIAT HITACHI EX 135 USATO (PRV RICAMBI)</t>
  </si>
  <si>
    <t>PALA GOMMATA CATERPILLAR 924 GZ TELAIO 3DZ00266 TARGA BSAM949 (GUEMA SRL)</t>
  </si>
  <si>
    <t>PALA GOMMATA924G-S/N 3PZ00782 CON BENNA (NOLEGGIO MASSUCCO)</t>
  </si>
  <si>
    <t>ESCAVATORE USATO ANNO 2007 CATERPILLAR MODELLO CAT 312C MATR. CAT0312CKBWH01466 (COMMERCIAL SYSTEM)</t>
  </si>
  <si>
    <t>ESCAVATORE CINGOLATO NEW HOLLAND 175 TELAIO 2F108TSN4LA02323 CON BENNA (GLOBAL MACCHINE)</t>
  </si>
  <si>
    <t>ESCAVATORE CINGOLATO FIAT KOBELCO E80 S/N02075 CON BENNE MM 300-600-900(ORICOM)</t>
  </si>
  <si>
    <t>ESCAVATORE IDRAULICO USATO KOBELCO SK135SRLC-1E MATR. YH02-01566 ANNO 202 COMPLETO DI BENNA-ATTACCO RAPIDO-LAMA (COMMERCIAL SYSTEM)</t>
  </si>
  <si>
    <t>GRU FUORISTRADA LOCATELLI GRIL 8300T S/N USATA ANNO 2008 4X4 BRAC. TELESC. (MASSUCCOT.)</t>
  </si>
  <si>
    <t>BOX IN LAMIERA</t>
  </si>
  <si>
    <t>BOX IN LAMIERA H.2400</t>
  </si>
  <si>
    <t>SERBATOIO PER GASOLIO</t>
  </si>
  <si>
    <t>BOX IN LAMIERA 3000 X 2000</t>
  </si>
  <si>
    <t>PAVIMENTAZIONE CONTAINER DORMITORI</t>
  </si>
  <si>
    <t>IMPIANTO AUTOMAZ.E DISTR.CONTAINER MATR.2001</t>
  </si>
  <si>
    <t>NUOVO IMPIANTO AUTOMAZ.E DISTRLCONTAINER MATR.2002</t>
  </si>
  <si>
    <t>NUOVO IMPIANTO AUTOMAZIONE E DISTR.CONTAINER MATR 2003</t>
  </si>
  <si>
    <t>NUOVO IMPIANTO AUTOMAZIONE E DISTR.CONTAINER MATR.2003</t>
  </si>
  <si>
    <t>VASCONI IN FERRO N. 3 PER CONTENIMENTO ACQUA - CALZOLARI</t>
  </si>
  <si>
    <t>CISTERNA PER GASOLIO LT.825 - CALZOLARI</t>
  </si>
  <si>
    <t>CONTAINER 20" USO MAGAZZINO MATR.078926 - GRUPPO PAPA</t>
  </si>
  <si>
    <t>CONTAINER - FONDAZIONI SPECIALI</t>
  </si>
  <si>
    <t>BOX START SERVICE+2 CONTAINER OFFICINA - SICOS SRL IN LIQUIDAZIONE</t>
  </si>
  <si>
    <t>VASCONI N. 2 - SICOS SRL IN LIQUIDAZIONE</t>
  </si>
  <si>
    <t>VASCA DI FERRO LUNGH.5 MT LARGH. 2 MT ALTA 2 MT - MAN.IMP.SRL</t>
  </si>
  <si>
    <t>CONTAINER DEPOSITO/OFFICINA N. 3 - FONDAZIONI SPECIALI</t>
  </si>
  <si>
    <t>CONTAINER DA 20 MN+ BOX DA 10 + CONTAINER PROD.INFIAMMABILI - SICOS</t>
  </si>
  <si>
    <t>VASCONI PER FANGHI BENTONITICI N. 3 - FONDAZIONI SPECIALI</t>
  </si>
  <si>
    <t>VASCONI IN FERRO DA MC 65 N. 3 (SCARDUELLI)</t>
  </si>
  <si>
    <t>N°3 VASCONI PER FANGHI (SGF)</t>
  </si>
  <si>
    <t>8 VASCONI ACQUA DA MC 20 (FUTUR SERVICE)</t>
  </si>
  <si>
    <t>CARROPONTE DA 10 TON - ROVELLI</t>
  </si>
  <si>
    <t>CISTERNA TANK MOD. TT SQUARE LT 990 BLU MATR. 11343 (AMA SPA)</t>
  </si>
  <si>
    <t>CISTERNA TANK MOD. TT SQUARE LT 990 BLU MATR. 11342 (AMA SPA)</t>
  </si>
  <si>
    <t>CISTERNA TANK MOD. DTO LT 3380 VERDE MATR. 40155 CON CONTAINER MATR. 1636 (AMA SPA)</t>
  </si>
  <si>
    <t>CONTAINER MOD. BC PER STOCCAGGIO 6 FUSTI OLIO MATR. 1635 (AMA SPA)</t>
  </si>
  <si>
    <t>MODULO PREFABBRICATO ANTINCENDIO PER ESTERNO CASALMORO (IDRO-ELETTRICA)</t>
  </si>
  <si>
    <t>CONTAINER MOD. BC-X-10' MATR. 1637+DIESEL TANK MOD. DTO 35-5K-220V LT 3380 MATR 40156</t>
  </si>
  <si>
    <t>CONTAINER MOD. BC-X-10' MATR. 1638+DIESEL TANK MOD. DTO 35-5K-220V LT 3380 MATR 40157</t>
  </si>
  <si>
    <t>CISTERNA LUBRI TANK MOD. DT/3/35 LITRI 3380 VERDE COMPLETA DI BACINO CONTENIMENTO E TETTOIA (AMA SPA)</t>
  </si>
  <si>
    <t>VASCONI IMPILABILI USATI N.2 (FEDBART SRLS OSIMO)</t>
  </si>
  <si>
    <t>MONOBLOCCHI (GREENBLOCK SRL)</t>
  </si>
  <si>
    <t>CONTAINER SPECIALE ART. MCOK08PSZB (SALL SRL)</t>
  </si>
  <si>
    <t>SERBATOIO TANK MOD. TT SQUARE 1000 12K/GE 12V CAP. IT 990 MATR. 11574 (AMA)</t>
  </si>
  <si>
    <t>SERBATOIO TANK MOD. TT SQUARE 1000 12K/GE 12V LT 990 (AMA)</t>
  </si>
  <si>
    <t>CONTAINER MAGAZZINO 10' (CONTAINEX)</t>
  </si>
  <si>
    <t>CISTERNA GASOLIO 400 LT MOD. TT440-12K MATR. 7240 (FEDBART)</t>
  </si>
  <si>
    <t>N. 4 VASCONI PER BENTONITE USATI + 18 FUNI DIAM. VARI + TUBAZIONE E RACCORDERIA (GEAMACCHINE)</t>
  </si>
  <si>
    <t>BOX UFFICIO USATO MT 2X2,20 (FEDBART)</t>
  </si>
  <si>
    <t>TANK MOD. TT SQUARE 1000 - 12K/GE+ GRUPPO POMA+TUBO+PISTOLA+CONTALITRI+IND. LIV+FILTRO (AMA SPA)</t>
  </si>
  <si>
    <t>TANK MOD TT SQUARE 1000-12K/GE+POMPA+TUBO+PISTOLA+CONTALITRI+IND. LIV+FILTRO (AMA SPA)</t>
  </si>
  <si>
    <t>TANK MOD TT 1000 - 12K/GE + GRUPPO POMPA+TUBO+PISTOLA+CONTALITRI+IND. LIV+FILTRO (AMASPA)</t>
  </si>
  <si>
    <t>CONTAINER UFFICIO MT 6,00X2,40X2,40 H UTILE MATR. 151851815 (CONTAINEX)</t>
  </si>
  <si>
    <t>CONTAINER UFFICIO MT 6,00X2,40X2,40 H UTILE MATR. 151851816 (CONTAINEX)</t>
  </si>
  <si>
    <t>SILOS VERTICALE PER CEMENTO SAMI N. 2 (PANCAR - SEGRATE)</t>
  </si>
  <si>
    <t>SILO ORIZZONTALE SAMI TIPO SPF26/DE MATR. 00208 ANNO 2001 (PANCAR)</t>
  </si>
  <si>
    <t>SILO ORIZZONTALE SAMI TIPO SPF26/DE MATR. 99149 ANNO 1999 (PANCAR)</t>
  </si>
  <si>
    <t>CONTAINER BM 20 USO UFFICIO USATO (CONTAINEX)</t>
  </si>
  <si>
    <t>CONTAINER BM20 USO UFFICIO USATO (CONTAINEX)</t>
  </si>
  <si>
    <t>N.2 SILI VERTICALI SAMI (PANCAR SRL)</t>
  </si>
  <si>
    <t>N.3 SERBATOI TRASPORTABILI IN METALLO - MOD.TT SQUARE ADR - 12 K - GR.POMPA 50 LT./MIN. - 960 LT. MATR. TFT20943-TFT20944-TFT20942 (EMILIANA SERBATOI SRL)</t>
  </si>
  <si>
    <t>N.2 DEPOSITI IN ACCIAIO ZINCATO BOMBOLE GAS (9-12 BOMBOLE) 930X1110XH1800 CON PORTA A BATTENTE CON CHIUSURA ANTIINTRUSIONE TETTUCCIO ZINCATO (MANGILI MACCHINE SRL)</t>
  </si>
  <si>
    <t>N.3 SERBATOI TRASPORTABILI IN METALLO MODELLO TT SQUARE ADR-12K-GR-POMPA 50 LT/MIN 440 LT MATRICOLE TFT21086 TFT21087 TFT21088 (AMA  SPA)</t>
  </si>
  <si>
    <t>N.2 SERBATOI TRASPORTABILI IN METALLO MODELLO TT SQUARE ADR-12K-GR. POMPA 50 LT/MIN 960 LT MATRICOLE TFT21118 TFT21119 (AMA SPA EMILIANA SERBATOI)</t>
  </si>
  <si>
    <t>MONOBLOCCHI N. 2 PREFABBRICATI (ACCONTO) COIBENTATI, COMPLETI DI SERRAMENTI, IMP.ELETTRICO E IDRAULICO</t>
  </si>
  <si>
    <t>N. 6 BOX UFFICIO</t>
  </si>
  <si>
    <t>BOTTOLI COSTRUZIONI SRL</t>
  </si>
  <si>
    <t>EDIL FERRI SPA</t>
  </si>
  <si>
    <t>Dati Bilancio</t>
  </si>
  <si>
    <r>
      <rPr>
        <b/>
        <sz val="8"/>
        <rFont val="Arial"/>
        <family val="2"/>
      </rPr>
      <t>S T A T O    P A T R I M O N I A L E</t>
    </r>
  </si>
  <si>
    <r>
      <rPr>
        <b/>
        <sz val="8"/>
        <rFont val="Arial"/>
        <family val="2"/>
      </rPr>
      <t>A T T I V O</t>
    </r>
  </si>
  <si>
    <r>
      <rPr>
        <b/>
        <vertAlign val="superscript"/>
        <sz val="7"/>
        <rFont val="Arial"/>
        <family val="2"/>
      </rPr>
      <t xml:space="preserve">B)  </t>
    </r>
    <r>
      <rPr>
        <b/>
        <sz val="8"/>
        <rFont val="Arial"/>
        <family val="2"/>
      </rPr>
      <t>Immobilizzazioni:</t>
    </r>
  </si>
  <si>
    <r>
      <rPr>
        <b/>
        <vertAlign val="superscript"/>
        <sz val="7"/>
        <rFont val="Arial"/>
        <family val="2"/>
      </rPr>
      <t xml:space="preserve">I   </t>
    </r>
    <r>
      <rPr>
        <b/>
        <sz val="8"/>
        <rFont val="Arial"/>
        <family val="2"/>
      </rPr>
      <t>Immobilizzazioni immateriali:</t>
    </r>
  </si>
  <si>
    <r>
      <rPr>
        <sz val="8"/>
        <rFont val="Arial MT"/>
        <family val="2"/>
      </rPr>
      <t>011000 Costituzione ed ampliamento</t>
    </r>
  </si>
  <si>
    <r>
      <rPr>
        <sz val="8"/>
        <rFont val="Arial MT"/>
        <family val="2"/>
      </rPr>
      <t>011300 Fdo amm.to costituz.e ampl.</t>
    </r>
  </si>
  <si>
    <r>
      <rPr>
        <sz val="8"/>
        <rFont val="Arial MT"/>
        <family val="2"/>
      </rPr>
      <t>013080 Licenze software</t>
    </r>
  </si>
  <si>
    <r>
      <rPr>
        <sz val="8"/>
        <rFont val="Arial MT"/>
        <family val="2"/>
      </rPr>
      <t>013380 Fdo amm.to licenze software</t>
    </r>
  </si>
  <si>
    <r>
      <rPr>
        <sz val="8"/>
        <rFont val="Arial MT"/>
        <family val="2"/>
      </rPr>
      <t>014000 Concessioni, licenze e marchi</t>
    </r>
  </si>
  <si>
    <r>
      <rPr>
        <sz val="8"/>
        <rFont val="Arial MT"/>
        <family val="2"/>
      </rPr>
      <t>014300 Fdo amm.to conc.licenze marchi</t>
    </r>
  </si>
  <si>
    <r>
      <rPr>
        <vertAlign val="superscript"/>
        <sz val="7"/>
        <rFont val="Arial MT"/>
        <family val="2"/>
      </rPr>
      <t xml:space="preserve">4)      </t>
    </r>
    <r>
      <rPr>
        <sz val="8"/>
        <rFont val="Arial MT"/>
        <family val="2"/>
      </rPr>
      <t>Concessioni, licenze, marchi e diritti simili</t>
    </r>
  </si>
  <si>
    <r>
      <rPr>
        <sz val="8"/>
        <rFont val="Arial MT"/>
        <family val="2"/>
      </rPr>
      <t>017041 Miglioramento beni di terzi</t>
    </r>
  </si>
  <si>
    <r>
      <rPr>
        <sz val="8"/>
        <rFont val="Arial MT"/>
        <family val="2"/>
      </rPr>
      <t>017341 Fdo am.to miglio.beni di terzi</t>
    </r>
  </si>
  <si>
    <r>
      <rPr>
        <vertAlign val="superscript"/>
        <sz val="7"/>
        <rFont val="Arial MT"/>
        <family val="2"/>
      </rPr>
      <t xml:space="preserve">7)      </t>
    </r>
    <r>
      <rPr>
        <sz val="8"/>
        <rFont val="Arial MT"/>
        <family val="2"/>
      </rPr>
      <t>Altre</t>
    </r>
  </si>
  <si>
    <r>
      <rPr>
        <b/>
        <sz val="8"/>
        <rFont val="Arial"/>
        <family val="2"/>
      </rPr>
      <t>Totale Immobilizzazioni immateriali</t>
    </r>
  </si>
  <si>
    <r>
      <rPr>
        <b/>
        <vertAlign val="superscript"/>
        <sz val="7"/>
        <rFont val="Arial"/>
        <family val="2"/>
      </rPr>
      <t xml:space="preserve">II   </t>
    </r>
    <r>
      <rPr>
        <b/>
        <sz val="8"/>
        <rFont val="Arial"/>
        <family val="2"/>
      </rPr>
      <t>Immobilizzazioni materiali:</t>
    </r>
  </si>
  <si>
    <r>
      <rPr>
        <sz val="8"/>
        <rFont val="Arial MT"/>
        <family val="2"/>
      </rPr>
      <t>021020 Fabbricati civili</t>
    </r>
  </si>
  <si>
    <r>
      <rPr>
        <sz val="8"/>
        <rFont val="Arial MT"/>
        <family val="2"/>
      </rPr>
      <t>021040 Costruzioni leggere</t>
    </r>
  </si>
  <si>
    <r>
      <rPr>
        <sz val="8"/>
        <rFont val="Arial MT"/>
        <family val="2"/>
      </rPr>
      <t>021060 Terreni</t>
    </r>
  </si>
  <si>
    <r>
      <rPr>
        <sz val="8"/>
        <rFont val="Arial MT"/>
        <family val="2"/>
      </rPr>
      <t>021340 Fdo amm.to costruz. leggere</t>
    </r>
  </si>
  <si>
    <r>
      <rPr>
        <vertAlign val="superscript"/>
        <sz val="7"/>
        <rFont val="Arial MT"/>
        <family val="2"/>
      </rPr>
      <t xml:space="preserve">1)      </t>
    </r>
    <r>
      <rPr>
        <sz val="8"/>
        <rFont val="Arial MT"/>
        <family val="2"/>
      </rPr>
      <t>Terreni e fabbricati</t>
    </r>
  </si>
  <si>
    <r>
      <rPr>
        <sz val="8"/>
        <rFont val="Arial MT"/>
        <family val="2"/>
      </rPr>
      <t>022001 Macchinari operatori ed imp.</t>
    </r>
  </si>
  <si>
    <r>
      <rPr>
        <sz val="8"/>
        <rFont val="Arial MT"/>
        <family val="2"/>
      </rPr>
      <t>022021 Impianti telefon.elettr.condiz</t>
    </r>
  </si>
  <si>
    <r>
      <rPr>
        <sz val="8"/>
        <rFont val="Arial MT"/>
        <family val="2"/>
      </rPr>
      <t>022040 Impianti generici</t>
    </r>
  </si>
  <si>
    <r>
      <rPr>
        <sz val="8"/>
        <rFont val="Arial MT"/>
        <family val="2"/>
      </rPr>
      <t>022043 Mezzi locom. interni</t>
    </r>
  </si>
  <si>
    <r>
      <rPr>
        <sz val="8"/>
        <rFont val="Arial MT"/>
        <family val="2"/>
      </rPr>
      <t>022044 Escavatori e pale meccaniche</t>
    </r>
  </si>
  <si>
    <r>
      <rPr>
        <sz val="8"/>
        <rFont val="Arial MT"/>
        <family val="2"/>
      </rPr>
      <t>022301 Fdo am.to macchin. operat.imp.</t>
    </r>
  </si>
  <si>
    <r>
      <rPr>
        <sz val="8"/>
        <rFont val="Arial MT"/>
        <family val="2"/>
      </rPr>
      <t>022321 Fdo am.to imp.telef.elettr.con</t>
    </r>
  </si>
  <si>
    <r>
      <rPr>
        <sz val="8"/>
        <rFont val="Arial MT"/>
        <family val="2"/>
      </rPr>
      <t>022324 Fdo am.to escavatori e pale</t>
    </r>
  </si>
  <si>
    <r>
      <rPr>
        <sz val="8"/>
        <rFont val="Arial MT"/>
        <family val="2"/>
      </rPr>
      <t>022340 Fdo amm.to impianti generici</t>
    </r>
  </si>
  <si>
    <r>
      <rPr>
        <sz val="8"/>
        <rFont val="Arial MT"/>
        <family val="2"/>
      </rPr>
      <t>022343 Fdo amm.to mezzi locom.interni</t>
    </r>
  </si>
  <si>
    <r>
      <rPr>
        <vertAlign val="superscript"/>
        <sz val="7"/>
        <rFont val="Arial MT"/>
        <family val="2"/>
      </rPr>
      <t xml:space="preserve">2)      </t>
    </r>
    <r>
      <rPr>
        <sz val="8"/>
        <rFont val="Arial MT"/>
        <family val="2"/>
      </rPr>
      <t>Impianti e macchinario</t>
    </r>
  </si>
  <si>
    <r>
      <rPr>
        <sz val="8"/>
        <rFont val="Arial MT"/>
        <family val="2"/>
      </rPr>
      <t>023020 Attrezzatura perforazione</t>
    </r>
  </si>
  <si>
    <r>
      <rPr>
        <sz val="8"/>
        <rFont val="Arial MT"/>
        <family val="2"/>
      </rPr>
      <t>023022 Attrezzatura varia e minuta</t>
    </r>
  </si>
  <si>
    <r>
      <rPr>
        <sz val="8"/>
        <rFont val="Arial MT"/>
        <family val="2"/>
      </rPr>
      <t>023320 Fdo amm.to attrezzatura varia</t>
    </r>
  </si>
  <si>
    <r>
      <rPr>
        <vertAlign val="superscript"/>
        <sz val="7"/>
        <rFont val="Arial MT"/>
        <family val="2"/>
      </rPr>
      <t xml:space="preserve">3)      </t>
    </r>
    <r>
      <rPr>
        <sz val="8"/>
        <rFont val="Arial MT"/>
        <family val="2"/>
      </rPr>
      <t>Attrezzature industriali e commerciali</t>
    </r>
  </si>
  <si>
    <r>
      <rPr>
        <sz val="8"/>
        <rFont val="Arial MT"/>
        <family val="2"/>
      </rPr>
      <t>024010 Arredamento es. commerciale</t>
    </r>
  </si>
  <si>
    <r>
      <rPr>
        <sz val="8"/>
        <rFont val="Arial MT"/>
        <family val="2"/>
      </rPr>
      <t>024020 Parco autoveicoli</t>
    </r>
  </si>
  <si>
    <r>
      <rPr>
        <sz val="8"/>
        <rFont val="Arial MT"/>
        <family val="2"/>
      </rPr>
      <t>024021 Autovetture</t>
    </r>
  </si>
  <si>
    <r>
      <rPr>
        <sz val="8"/>
        <rFont val="Arial MT"/>
        <family val="2"/>
      </rPr>
      <t>024040 Hardware e macchine ufficio</t>
    </r>
  </si>
  <si>
    <r>
      <rPr>
        <sz val="8"/>
        <rFont val="Arial MT"/>
        <family val="2"/>
      </rPr>
      <t>024061 Telefono cellulare</t>
    </r>
  </si>
  <si>
    <r>
      <rPr>
        <sz val="8"/>
        <rFont val="Arial MT"/>
        <family val="2"/>
      </rPr>
      <t>024064 Beni ammortiz.nell'esercizio</t>
    </r>
  </si>
  <si>
    <r>
      <rPr>
        <sz val="8"/>
        <rFont val="Arial MT"/>
        <family val="2"/>
      </rPr>
      <t>024310 Fdo amm.to arredi es.comm.</t>
    </r>
  </si>
  <si>
    <r>
      <rPr>
        <sz val="8"/>
        <rFont val="Arial MT"/>
        <family val="2"/>
      </rPr>
      <t>024320 Fdo amm.to parco autoveicoli</t>
    </r>
  </si>
  <si>
    <r>
      <rPr>
        <sz val="8"/>
        <rFont val="Arial MT"/>
        <family val="2"/>
      </rPr>
      <t>024321 Fdo amm.to autovetture</t>
    </r>
  </si>
  <si>
    <r>
      <rPr>
        <sz val="8"/>
        <rFont val="Arial MT"/>
        <family val="2"/>
      </rPr>
      <t>024340 Fdo amm.to hardw.e macc.uff.</t>
    </r>
  </si>
  <si>
    <r>
      <rPr>
        <sz val="8"/>
        <rFont val="Arial MT"/>
        <family val="2"/>
      </rPr>
      <t>024361 Fdo amm.to telefono cellulare</t>
    </r>
  </si>
  <si>
    <r>
      <rPr>
        <sz val="8"/>
        <rFont val="Arial MT"/>
        <family val="2"/>
      </rPr>
      <t>024364 Fdo am.to beni am.li esercizio</t>
    </r>
  </si>
  <si>
    <r>
      <rPr>
        <vertAlign val="superscript"/>
        <sz val="7"/>
        <rFont val="Arial MT"/>
        <family val="2"/>
      </rPr>
      <t xml:space="preserve">4)      </t>
    </r>
    <r>
      <rPr>
        <sz val="8"/>
        <rFont val="Arial MT"/>
        <family val="2"/>
      </rPr>
      <t>Altri beni</t>
    </r>
  </si>
  <si>
    <r>
      <rPr>
        <b/>
        <sz val="8"/>
        <rFont val="Arial"/>
        <family val="2"/>
      </rPr>
      <t>Totale Immobilizzazioni materiali</t>
    </r>
  </si>
  <si>
    <r>
      <rPr>
        <b/>
        <vertAlign val="superscript"/>
        <sz val="7"/>
        <rFont val="Arial"/>
        <family val="2"/>
      </rPr>
      <t xml:space="preserve">III   </t>
    </r>
    <r>
      <rPr>
        <b/>
        <sz val="8"/>
        <rFont val="Arial"/>
        <family val="2"/>
      </rPr>
      <t>Immobilizzazioni finanziarie:</t>
    </r>
  </si>
  <si>
    <r>
      <rPr>
        <vertAlign val="superscript"/>
        <sz val="7"/>
        <rFont val="Arial MT"/>
        <family val="2"/>
      </rPr>
      <t xml:space="preserve">1)      </t>
    </r>
    <r>
      <rPr>
        <sz val="8"/>
        <rFont val="Arial MT"/>
        <family val="2"/>
      </rPr>
      <t>Partecipazioni:</t>
    </r>
  </si>
  <si>
    <r>
      <rPr>
        <sz val="8"/>
        <rFont val="Arial MT"/>
        <family val="2"/>
      </rPr>
      <t>031000 Partecipazioni in impr.cont.te</t>
    </r>
  </si>
  <si>
    <r>
      <rPr>
        <sz val="8"/>
        <rFont val="Arial MT"/>
        <family val="2"/>
      </rPr>
      <t>a) imprese controllate</t>
    </r>
  </si>
  <si>
    <r>
      <rPr>
        <sz val="8"/>
        <rFont val="Arial MT"/>
        <family val="2"/>
      </rPr>
      <t>031020 Partecipazioni impr.coll.</t>
    </r>
  </si>
  <si>
    <r>
      <rPr>
        <sz val="8"/>
        <rFont val="Arial MT"/>
        <family val="2"/>
      </rPr>
      <t>b) imprese collegate</t>
    </r>
  </si>
  <si>
    <r>
      <rPr>
        <b/>
        <sz val="8"/>
        <rFont val="Arial"/>
        <family val="2"/>
      </rPr>
      <t>Totale partecipazioni</t>
    </r>
  </si>
  <si>
    <r>
      <rPr>
        <b/>
        <sz val="8"/>
        <rFont val="Arial"/>
        <family val="2"/>
      </rPr>
      <t>Totale Immobilizzazioni finanziarie</t>
    </r>
  </si>
  <si>
    <r>
      <rPr>
        <b/>
        <sz val="8"/>
        <rFont val="Arial"/>
        <family val="2"/>
      </rPr>
      <t>Totale immobilizzazioni (B)</t>
    </r>
  </si>
  <si>
    <r>
      <rPr>
        <b/>
        <vertAlign val="superscript"/>
        <sz val="7"/>
        <rFont val="Arial"/>
        <family val="2"/>
      </rPr>
      <t xml:space="preserve">C)  </t>
    </r>
    <r>
      <rPr>
        <b/>
        <sz val="8"/>
        <rFont val="Arial"/>
        <family val="2"/>
      </rPr>
      <t>Attivo circolante:</t>
    </r>
  </si>
  <si>
    <r>
      <rPr>
        <b/>
        <vertAlign val="superscript"/>
        <sz val="7"/>
        <rFont val="Arial"/>
        <family val="2"/>
      </rPr>
      <t xml:space="preserve">I   </t>
    </r>
    <r>
      <rPr>
        <b/>
        <sz val="8"/>
        <rFont val="Arial"/>
        <family val="2"/>
      </rPr>
      <t>Rimanenze:</t>
    </r>
  </si>
  <si>
    <r>
      <rPr>
        <sz val="8"/>
        <rFont val="Arial MT"/>
        <family val="2"/>
      </rPr>
      <t>041500 Materie prime rim.fin.</t>
    </r>
  </si>
  <si>
    <r>
      <rPr>
        <vertAlign val="superscript"/>
        <sz val="7"/>
        <rFont val="Arial MT"/>
        <family val="2"/>
      </rPr>
      <t xml:space="preserve">1)      </t>
    </r>
    <r>
      <rPr>
        <sz val="8"/>
        <rFont val="Arial MT"/>
        <family val="2"/>
      </rPr>
      <t>Materie prime, sussididiarie e di consumo</t>
    </r>
  </si>
  <si>
    <r>
      <rPr>
        <sz val="8"/>
        <rFont val="Arial MT"/>
        <family val="2"/>
      </rPr>
      <t>042501 Stato avanzamento lavori fin.</t>
    </r>
  </si>
  <si>
    <r>
      <rPr>
        <vertAlign val="superscript"/>
        <sz val="7"/>
        <rFont val="Arial MT"/>
        <family val="2"/>
      </rPr>
      <t xml:space="preserve">2)      </t>
    </r>
    <r>
      <rPr>
        <sz val="8"/>
        <rFont val="Arial MT"/>
        <family val="2"/>
      </rPr>
      <t>Prodotti in corso di lavorazione e semilavorati</t>
    </r>
  </si>
  <si>
    <r>
      <rPr>
        <sz val="8"/>
        <rFont val="Arial MT"/>
        <family val="2"/>
      </rPr>
      <t>044503 Fabbricati c/rim.finali</t>
    </r>
  </si>
  <si>
    <r>
      <rPr>
        <vertAlign val="superscript"/>
        <sz val="7"/>
        <rFont val="Arial MT"/>
        <family val="2"/>
      </rPr>
      <t xml:space="preserve">4)      </t>
    </r>
    <r>
      <rPr>
        <sz val="8"/>
        <rFont val="Arial MT"/>
        <family val="2"/>
      </rPr>
      <t>Prodotti finiti e merci</t>
    </r>
  </si>
  <si>
    <r>
      <rPr>
        <b/>
        <sz val="8"/>
        <rFont val="Arial"/>
        <family val="2"/>
      </rPr>
      <t>Totale Rimanenze</t>
    </r>
  </si>
  <si>
    <r>
      <rPr>
        <b/>
        <vertAlign val="superscript"/>
        <sz val="7"/>
        <rFont val="Arial"/>
        <family val="2"/>
      </rPr>
      <t xml:space="preserve">II   </t>
    </r>
    <r>
      <rPr>
        <b/>
        <sz val="8"/>
        <rFont val="Arial"/>
        <family val="2"/>
      </rPr>
      <t>Crediti:</t>
    </r>
  </si>
  <si>
    <r>
      <rPr>
        <vertAlign val="superscript"/>
        <sz val="7"/>
        <rFont val="Arial MT"/>
        <family val="2"/>
      </rPr>
      <t xml:space="preserve">1)      </t>
    </r>
    <r>
      <rPr>
        <sz val="8"/>
        <rFont val="Arial MT"/>
        <family val="2"/>
      </rPr>
      <t>verso clienti:</t>
    </r>
  </si>
  <si>
    <r>
      <rPr>
        <sz val="8"/>
        <rFont val="Arial MT"/>
        <family val="2"/>
      </rPr>
      <t>051000 Clienti</t>
    </r>
  </si>
  <si>
    <r>
      <rPr>
        <sz val="8"/>
        <rFont val="Arial MT"/>
        <family val="2"/>
      </rPr>
      <t>051120 Clienti fatture da emettere</t>
    </r>
  </si>
  <si>
    <r>
      <rPr>
        <sz val="8"/>
        <rFont val="Arial MT"/>
        <family val="2"/>
      </rPr>
      <t>051161 Effetti sbf MPS c/10012825</t>
    </r>
  </si>
  <si>
    <r>
      <rPr>
        <sz val="8"/>
        <rFont val="Arial MT"/>
        <family val="2"/>
      </rPr>
      <t>051162 Effetti sbf BPM c/34519563</t>
    </r>
  </si>
  <si>
    <r>
      <rPr>
        <sz val="8"/>
        <rFont val="Arial MT"/>
        <family val="2"/>
      </rPr>
      <t>051163 Effetti sbf BPER c/06745</t>
    </r>
  </si>
  <si>
    <r>
      <rPr>
        <sz val="8"/>
        <rFont val="Arial MT"/>
        <family val="2"/>
      </rPr>
      <t>051165 Effetti SBF Valsabbina c/3011</t>
    </r>
  </si>
  <si>
    <r>
      <rPr>
        <sz val="8"/>
        <rFont val="Arial MT"/>
        <family val="2"/>
      </rPr>
      <t>051166 Effetti sbf Banca BCC Brescia</t>
    </r>
  </si>
  <si>
    <r>
      <rPr>
        <sz val="8"/>
        <rFont val="Arial MT"/>
        <family val="2"/>
      </rPr>
      <t>051172 Effetti sbf Unicredit</t>
    </r>
  </si>
  <si>
    <r>
      <rPr>
        <sz val="8"/>
        <rFont val="Arial MT"/>
        <family val="2"/>
      </rPr>
      <t>051174 Effetti sbf Credito Padano</t>
    </r>
  </si>
  <si>
    <r>
      <rPr>
        <sz val="8"/>
        <rFont val="Arial MT"/>
        <family val="2"/>
      </rPr>
      <t>051175 Effetti sbf Banca Intesa BCI</t>
    </r>
  </si>
  <si>
    <r>
      <rPr>
        <sz val="8"/>
        <rFont val="Arial MT"/>
        <family val="2"/>
      </rPr>
      <t>051204 Cambiali attive</t>
    </r>
  </si>
  <si>
    <r>
      <rPr>
        <sz val="8"/>
        <rFont val="Arial MT"/>
        <family val="2"/>
      </rPr>
      <t>051700 Fdo sval. crediti ees</t>
    </r>
  </si>
  <si>
    <r>
      <rPr>
        <sz val="8"/>
        <rFont val="Arial MT"/>
        <family val="2"/>
      </rPr>
      <t>esigibili entro esercizio successivo</t>
    </r>
  </si>
  <si>
    <r>
      <rPr>
        <b/>
        <sz val="8"/>
        <rFont val="Arial"/>
        <family val="2"/>
      </rPr>
      <t>Totale crediti verso clienti</t>
    </r>
  </si>
  <si>
    <r>
      <rPr>
        <vertAlign val="superscript"/>
        <sz val="7"/>
        <rFont val="Arial MT"/>
        <family val="2"/>
      </rPr>
      <t xml:space="preserve">5-bis)      </t>
    </r>
    <r>
      <rPr>
        <sz val="8"/>
        <rFont val="Arial MT"/>
        <family val="2"/>
      </rPr>
      <t>Crediti tributari:</t>
    </r>
  </si>
  <si>
    <r>
      <rPr>
        <sz val="8"/>
        <rFont val="Arial MT"/>
        <family val="2"/>
      </rPr>
      <t>055040 Erario c/IVA da riportare</t>
    </r>
  </si>
  <si>
    <r>
      <rPr>
        <sz val="8"/>
        <rFont val="Arial MT"/>
        <family val="2"/>
      </rPr>
      <t>055080 Erario c/IVA da rimborsare</t>
    </r>
  </si>
  <si>
    <r>
      <rPr>
        <sz val="8"/>
        <rFont val="Arial MT"/>
        <family val="2"/>
      </rPr>
      <t>055200 Erario c/IVA</t>
    </r>
  </si>
  <si>
    <r>
      <rPr>
        <sz val="8"/>
        <rFont val="Arial MT"/>
        <family val="2"/>
      </rPr>
      <t>055242 Erario c/crediti da compensare</t>
    </r>
  </si>
  <si>
    <r>
      <rPr>
        <sz val="8"/>
        <rFont val="Arial MT"/>
        <family val="2"/>
      </rPr>
      <t>055400 Erario c/ritenute acc. subite</t>
    </r>
  </si>
  <si>
    <r>
      <rPr>
        <sz val="8"/>
        <rFont val="Arial MT"/>
        <family val="2"/>
      </rPr>
      <t>055401 Erario c/riten su int.attivi</t>
    </r>
  </si>
  <si>
    <r>
      <rPr>
        <sz val="8"/>
        <rFont val="Arial MT"/>
        <family val="2"/>
      </rPr>
      <t>055402 Erario c/acconti Ires</t>
    </r>
  </si>
  <si>
    <r>
      <rPr>
        <sz val="8"/>
        <rFont val="Arial MT"/>
        <family val="2"/>
      </rPr>
      <t>055403 Erario c/acconti Irap</t>
    </r>
  </si>
  <si>
    <r>
      <rPr>
        <sz val="8"/>
        <rFont val="Arial MT"/>
        <family val="2"/>
      </rPr>
      <t>055440 Altri crediti tributari ees</t>
    </r>
  </si>
  <si>
    <r>
      <rPr>
        <sz val="8"/>
        <rFont val="Arial MT"/>
        <family val="2"/>
      </rPr>
      <t>055500 Cr.imposta beni strum.2020</t>
    </r>
  </si>
  <si>
    <r>
      <rPr>
        <sz val="8"/>
        <rFont val="Arial MT"/>
        <family val="2"/>
      </rPr>
      <t>055520 Cr.imposta beni strum.gen.</t>
    </r>
  </si>
  <si>
    <r>
      <rPr>
        <sz val="8"/>
        <rFont val="Arial MT"/>
        <family val="2"/>
      </rPr>
      <t>055540 Cr.imp.beni 2020Tab.A L.232/16</t>
    </r>
  </si>
  <si>
    <r>
      <rPr>
        <sz val="8"/>
        <rFont val="Arial MT"/>
        <family val="2"/>
      </rPr>
      <t>055560 Cr.imp.beni mat.Tab.A L.232/16</t>
    </r>
  </si>
  <si>
    <r>
      <rPr>
        <b/>
        <sz val="8"/>
        <rFont val="Arial"/>
        <family val="2"/>
      </rPr>
      <t>Totale crediti tributari</t>
    </r>
  </si>
  <si>
    <r>
      <rPr>
        <vertAlign val="superscript"/>
        <sz val="7"/>
        <rFont val="Arial MT"/>
        <family val="2"/>
      </rPr>
      <t xml:space="preserve">5q.ter      </t>
    </r>
    <r>
      <rPr>
        <sz val="8"/>
        <rFont val="Arial MT"/>
        <family val="2"/>
      </rPr>
      <t>Verso altri:</t>
    </r>
  </si>
  <si>
    <r>
      <rPr>
        <sz val="8"/>
        <rFont val="Arial MT"/>
        <family val="2"/>
      </rPr>
      <t>057080 Dipendenti c/anticipi</t>
    </r>
  </si>
  <si>
    <r>
      <rPr>
        <sz val="8"/>
        <rFont val="Arial MT"/>
        <family val="2"/>
      </rPr>
      <t>057280 Depositi cauzionali</t>
    </r>
  </si>
  <si>
    <r>
      <rPr>
        <sz val="8"/>
        <rFont val="Arial MT"/>
        <family val="2"/>
      </rPr>
      <t>057300 Cr. per dividendi da incassare</t>
    </r>
  </si>
  <si>
    <r>
      <rPr>
        <sz val="8"/>
        <rFont val="Arial MT"/>
        <family val="2"/>
      </rPr>
      <t>057320 Crediti verso fornitori ees</t>
    </r>
  </si>
  <si>
    <r>
      <rPr>
        <sz val="8"/>
        <rFont val="Arial MT"/>
        <family val="2"/>
      </rPr>
      <t>057321 Anticipazione c/terzi</t>
    </r>
  </si>
  <si>
    <r>
      <rPr>
        <sz val="8"/>
        <rFont val="Arial MT"/>
        <family val="2"/>
      </rPr>
      <t>057322 Acconti a fornitori</t>
    </r>
  </si>
  <si>
    <r>
      <rPr>
        <sz val="8"/>
        <rFont val="Arial MT"/>
        <family val="2"/>
      </rPr>
      <t>057323 Cred. v/clienti rit. gar.</t>
    </r>
  </si>
  <si>
    <r>
      <rPr>
        <sz val="8"/>
        <rFont val="Arial MT"/>
        <family val="2"/>
      </rPr>
      <t>057360 Fornitori note cred.da ric.</t>
    </r>
  </si>
  <si>
    <r>
      <rPr>
        <sz val="8"/>
        <rFont val="Arial MT"/>
        <family val="2"/>
      </rPr>
      <t>057361 Cred.v/Paolo Beltrami rit.gar</t>
    </r>
  </si>
  <si>
    <r>
      <rPr>
        <sz val="8"/>
        <rFont val="Arial MT"/>
        <family val="2"/>
      </rPr>
      <t>057362 Cred.vInterc. Vittad rit.gar.</t>
    </r>
  </si>
  <si>
    <r>
      <rPr>
        <sz val="8"/>
        <rFont val="Arial MT"/>
        <family val="2"/>
      </rPr>
      <t>057364 Cred.v/Italiana Costruzioni</t>
    </r>
  </si>
  <si>
    <r>
      <rPr>
        <sz val="8"/>
        <rFont val="Arial MT"/>
        <family val="2"/>
      </rPr>
      <t>057365 Cred.v/Montepiazzo rit.gar.</t>
    </r>
  </si>
  <si>
    <r>
      <rPr>
        <sz val="8"/>
        <rFont val="Arial MT"/>
        <family val="2"/>
      </rPr>
      <t>057366 Cred.v/Nuovo Farma rit.gar</t>
    </r>
  </si>
  <si>
    <r>
      <rPr>
        <sz val="8"/>
        <rFont val="Arial MT"/>
        <family val="2"/>
      </rPr>
      <t>057367 Cred.v.Segrate Scarl rit.gar</t>
    </r>
  </si>
  <si>
    <r>
      <rPr>
        <sz val="8"/>
        <rFont val="Arial MT"/>
        <family val="2"/>
      </rPr>
      <t>057368 Cred.v/Coop Viridia rit garanz</t>
    </r>
  </si>
  <si>
    <r>
      <rPr>
        <sz val="8"/>
        <rFont val="Arial MT"/>
        <family val="2"/>
      </rPr>
      <t>057369 Cred.v/Socostramo rit.gar</t>
    </r>
  </si>
  <si>
    <r>
      <rPr>
        <sz val="8"/>
        <rFont val="Arial MT"/>
        <family val="2"/>
      </rPr>
      <t>057390 cred.v/Manelli rit.gar</t>
    </r>
  </si>
  <si>
    <r>
      <rPr>
        <sz val="8"/>
        <rFont val="Arial MT"/>
        <family val="2"/>
      </rPr>
      <t>057392 cred.v/SEVA Srl rit. gar</t>
    </r>
  </si>
  <si>
    <r>
      <rPr>
        <sz val="8"/>
        <rFont val="Arial MT"/>
        <family val="2"/>
      </rPr>
      <t>057393 cred.v/Techbau Srl rit. gar</t>
    </r>
  </si>
  <si>
    <r>
      <rPr>
        <sz val="8"/>
        <rFont val="Arial MT"/>
        <family val="2"/>
      </rPr>
      <t>057396 cred.v/DAVA costr gen rit. gar</t>
    </r>
  </si>
  <si>
    <r>
      <rPr>
        <sz val="8"/>
        <rFont val="Arial MT"/>
        <family val="2"/>
      </rPr>
      <t>057397 cred.v/Castaldo rit. gar</t>
    </r>
  </si>
  <si>
    <r>
      <rPr>
        <sz val="8"/>
        <rFont val="Arial MT"/>
        <family val="2"/>
      </rPr>
      <t>057398 cred.v/Edilstrade rit. gar</t>
    </r>
  </si>
  <si>
    <r>
      <rPr>
        <sz val="8"/>
        <rFont val="Arial MT"/>
        <family val="2"/>
      </rPr>
      <t>057400 Crediti diversi ees</t>
    </r>
  </si>
  <si>
    <r>
      <rPr>
        <sz val="8"/>
        <rFont val="Arial MT"/>
        <family val="2"/>
      </rPr>
      <t>057403 Crediti v/terzi</t>
    </r>
  </si>
  <si>
    <r>
      <rPr>
        <sz val="8"/>
        <rFont val="Arial MT"/>
        <family val="2"/>
      </rPr>
      <t>057441 Anticip.malattia CAPE</t>
    </r>
  </si>
  <si>
    <r>
      <rPr>
        <sz val="8"/>
        <rFont val="Arial MT"/>
        <family val="2"/>
      </rPr>
      <t>057442 Anticipazioni CIG Inps e Cape</t>
    </r>
  </si>
  <si>
    <r>
      <rPr>
        <sz val="8"/>
        <rFont val="Arial MT"/>
        <family val="2"/>
      </rPr>
      <t>057240 Erario c/IVA transitorio</t>
    </r>
  </si>
  <si>
    <r>
      <rPr>
        <sz val="8"/>
        <rFont val="Arial MT"/>
        <family val="2"/>
      </rPr>
      <t>057480 Crediti diversi oes</t>
    </r>
  </si>
  <si>
    <r>
      <rPr>
        <sz val="8"/>
        <rFont val="Arial MT"/>
        <family val="2"/>
      </rPr>
      <t>esigibili oltre esercizio successivo</t>
    </r>
  </si>
  <si>
    <r>
      <rPr>
        <b/>
        <sz val="8"/>
        <rFont val="Arial"/>
        <family val="2"/>
      </rPr>
      <t>Totale crediti verso altri</t>
    </r>
  </si>
  <si>
    <r>
      <rPr>
        <b/>
        <sz val="8"/>
        <rFont val="Arial"/>
        <family val="2"/>
      </rPr>
      <t>Totale crediti</t>
    </r>
  </si>
  <si>
    <r>
      <rPr>
        <b/>
        <vertAlign val="superscript"/>
        <sz val="7"/>
        <rFont val="Arial"/>
        <family val="2"/>
      </rPr>
      <t xml:space="preserve">III   </t>
    </r>
    <r>
      <rPr>
        <b/>
        <sz val="8"/>
        <rFont val="Arial"/>
        <family val="2"/>
      </rPr>
      <t>Attivita' finanziarie che non  costituiscono immobilizz.</t>
    </r>
  </si>
  <si>
    <r>
      <rPr>
        <sz val="8"/>
        <rFont val="Arial MT"/>
        <family val="2"/>
      </rPr>
      <t>064000 Partecipazioni altre impr.</t>
    </r>
  </si>
  <si>
    <r>
      <rPr>
        <vertAlign val="superscript"/>
        <sz val="7"/>
        <rFont val="Arial MT"/>
        <family val="2"/>
      </rPr>
      <t xml:space="preserve">4)      </t>
    </r>
    <r>
      <rPr>
        <sz val="8"/>
        <rFont val="Arial MT"/>
        <family val="2"/>
      </rPr>
      <t>altre partecipazioni</t>
    </r>
  </si>
  <si>
    <r>
      <rPr>
        <b/>
        <sz val="8"/>
        <rFont val="Arial"/>
        <family val="2"/>
      </rPr>
      <t>Totale Attivita' finanziarie che non  costituiscono immobil.</t>
    </r>
  </si>
  <si>
    <r>
      <rPr>
        <b/>
        <vertAlign val="superscript"/>
        <sz val="7"/>
        <rFont val="Arial"/>
        <family val="2"/>
      </rPr>
      <t xml:space="preserve">IV   </t>
    </r>
    <r>
      <rPr>
        <b/>
        <sz val="8"/>
        <rFont val="Arial"/>
        <family val="2"/>
      </rPr>
      <t>Disponibilita' liquide:</t>
    </r>
  </si>
  <si>
    <r>
      <rPr>
        <sz val="8"/>
        <rFont val="Arial MT"/>
        <family val="2"/>
      </rPr>
      <t>070001 Banca MPS c/c 10012732</t>
    </r>
  </si>
  <si>
    <r>
      <rPr>
        <sz val="8"/>
        <rFont val="Arial MT"/>
        <family val="2"/>
      </rPr>
      <t>070004 CREDEM c/c 731081</t>
    </r>
  </si>
  <si>
    <r>
      <rPr>
        <sz val="8"/>
        <rFont val="Arial MT"/>
        <family val="2"/>
      </rPr>
      <t>070006 Banca Intesa c/d 1753 CEPAV</t>
    </r>
  </si>
  <si>
    <r>
      <rPr>
        <sz val="8"/>
        <rFont val="Arial MT"/>
        <family val="2"/>
      </rPr>
      <t>070007 Banca BPM-c/ded.Morbegno 2573</t>
    </r>
  </si>
  <si>
    <r>
      <rPr>
        <sz val="8"/>
        <rFont val="Arial MT"/>
        <family val="2"/>
      </rPr>
      <t>070008 ex Pop.VI-c/d 1792 NUOVO FARMA</t>
    </r>
  </si>
  <si>
    <r>
      <rPr>
        <sz val="8"/>
        <rFont val="Arial MT"/>
        <family val="2"/>
      </rPr>
      <t>070009 Credem c/d ICI l.1 731082</t>
    </r>
  </si>
  <si>
    <r>
      <rPr>
        <sz val="8"/>
        <rFont val="Arial MT"/>
        <family val="2"/>
      </rPr>
      <t>070010 B.ca BPM c/ded.3 Valico 2696</t>
    </r>
  </si>
  <si>
    <r>
      <rPr>
        <sz val="8"/>
        <rFont val="Arial MT"/>
        <family val="2"/>
      </rPr>
      <t>070011 BPM c/ded.Arcisate 2697</t>
    </r>
  </si>
  <si>
    <r>
      <rPr>
        <sz val="8"/>
        <rFont val="Arial MT"/>
        <family val="2"/>
      </rPr>
      <t>070012 Credem c/d STRABAG Lom.731083</t>
    </r>
  </si>
  <si>
    <r>
      <rPr>
        <sz val="8"/>
        <rFont val="Arial MT"/>
        <family val="2"/>
      </rPr>
      <t>070015 BPM c/ded.CERVIT 2966</t>
    </r>
  </si>
  <si>
    <r>
      <rPr>
        <sz val="8"/>
        <rFont val="Arial MT"/>
        <family val="2"/>
      </rPr>
      <t>070016 Credem c/d LEMIT 119012</t>
    </r>
  </si>
  <si>
    <r>
      <rPr>
        <sz val="8"/>
        <rFont val="Arial MT"/>
        <family val="2"/>
      </rPr>
      <t>070019 Banca Intesa c/ded 47003-brebe</t>
    </r>
  </si>
  <si>
    <r>
      <rPr>
        <sz val="8"/>
        <rFont val="Arial MT"/>
        <family val="2"/>
      </rPr>
      <t>070021 Credem c/d TIBRE 128300</t>
    </r>
  </si>
  <si>
    <r>
      <rPr>
        <sz val="8"/>
        <rFont val="Arial MT"/>
        <family val="2"/>
      </rPr>
      <t>070023 MPS c/ded 104878/46-mutuo MC</t>
    </r>
  </si>
  <si>
    <r>
      <rPr>
        <sz val="8"/>
        <rFont val="Arial MT"/>
        <family val="2"/>
      </rPr>
      <t>070025 BCC Brescia c/c 431433</t>
    </r>
  </si>
  <si>
    <r>
      <rPr>
        <sz val="8"/>
        <rFont val="Arial MT"/>
        <family val="2"/>
      </rPr>
      <t>070026 Credem c/d Paderno 314023</t>
    </r>
  </si>
  <si>
    <r>
      <rPr>
        <sz val="8"/>
        <rFont val="Arial MT"/>
        <family val="2"/>
      </rPr>
      <t>070027 Credem c/d Montecchio 369649</t>
    </r>
  </si>
  <si>
    <r>
      <rPr>
        <sz val="8"/>
        <rFont val="Arial MT"/>
        <family val="2"/>
      </rPr>
      <t>070028 Credem c/d ICI l.2  421901</t>
    </r>
  </si>
  <si>
    <r>
      <rPr>
        <sz val="8"/>
        <rFont val="Arial MT"/>
        <family val="2"/>
      </rPr>
      <t>070029 Credem c/d Montecchio2 661489</t>
    </r>
  </si>
  <si>
    <r>
      <rPr>
        <sz val="8"/>
        <rFont val="Arial MT"/>
        <family val="2"/>
      </rPr>
      <t>070032 MPS c/d Salcef 10597344</t>
    </r>
  </si>
  <si>
    <r>
      <rPr>
        <sz val="8"/>
        <rFont val="Arial MT"/>
        <family val="2"/>
      </rPr>
      <t>070074 Unicredit c/c 1946303</t>
    </r>
  </si>
  <si>
    <r>
      <rPr>
        <sz val="8"/>
        <rFont val="Arial MT"/>
        <family val="2"/>
      </rPr>
      <t>070100 Bancoposta on line</t>
    </r>
  </si>
  <si>
    <r>
      <rPr>
        <vertAlign val="superscript"/>
        <sz val="7"/>
        <rFont val="Arial MT"/>
        <family val="2"/>
      </rPr>
      <t xml:space="preserve">1)      </t>
    </r>
    <r>
      <rPr>
        <sz val="8"/>
        <rFont val="Arial MT"/>
        <family val="2"/>
      </rPr>
      <t>depositi bancari e postali</t>
    </r>
  </si>
  <si>
    <r>
      <rPr>
        <sz val="8"/>
        <rFont val="Arial MT"/>
        <family val="2"/>
      </rPr>
      <t>072000 Cassa</t>
    </r>
  </si>
  <si>
    <r>
      <rPr>
        <vertAlign val="superscript"/>
        <sz val="7"/>
        <rFont val="Arial MT"/>
        <family val="2"/>
      </rPr>
      <t xml:space="preserve">3)      </t>
    </r>
    <r>
      <rPr>
        <sz val="8"/>
        <rFont val="Arial MT"/>
        <family val="2"/>
      </rPr>
      <t>denaro e valori in cassa</t>
    </r>
  </si>
  <si>
    <r>
      <rPr>
        <b/>
        <sz val="8"/>
        <rFont val="Arial"/>
        <family val="2"/>
      </rPr>
      <t>Totale disponibilita' liquide</t>
    </r>
  </si>
  <si>
    <r>
      <rPr>
        <b/>
        <sz val="8"/>
        <rFont val="Arial"/>
        <family val="2"/>
      </rPr>
      <t>Totale attivo circolante</t>
    </r>
  </si>
  <si>
    <r>
      <rPr>
        <sz val="8"/>
        <rFont val="Arial MT"/>
        <family val="2"/>
      </rPr>
      <t>082000 Risconti attivi</t>
    </r>
  </si>
  <si>
    <r>
      <rPr>
        <sz val="8"/>
        <rFont val="Arial MT"/>
        <family val="2"/>
      </rPr>
      <t>082001 Canoni anticipati Leasing</t>
    </r>
  </si>
  <si>
    <r>
      <rPr>
        <b/>
        <sz val="8"/>
        <rFont val="Arial"/>
        <family val="2"/>
      </rPr>
      <t>T O T A L E    A T T I V O</t>
    </r>
  </si>
  <si>
    <r>
      <rPr>
        <b/>
        <sz val="8"/>
        <rFont val="Arial"/>
        <family val="2"/>
      </rPr>
      <t>P A S S I V O</t>
    </r>
  </si>
  <si>
    <r>
      <rPr>
        <b/>
        <vertAlign val="superscript"/>
        <sz val="7"/>
        <rFont val="Arial"/>
        <family val="2"/>
      </rPr>
      <t xml:space="preserve">A)  </t>
    </r>
    <r>
      <rPr>
        <b/>
        <sz val="8"/>
        <rFont val="Arial"/>
        <family val="2"/>
      </rPr>
      <t>Patrimonio netto:</t>
    </r>
  </si>
  <si>
    <r>
      <rPr>
        <sz val="8"/>
        <rFont val="Arial MT"/>
        <family val="2"/>
      </rPr>
      <t>101040 Capitale sociale</t>
    </r>
  </si>
  <si>
    <r>
      <rPr>
        <vertAlign val="superscript"/>
        <sz val="7"/>
        <rFont val="Arial MT"/>
        <family val="2"/>
      </rPr>
      <t xml:space="preserve">I   </t>
    </r>
    <r>
      <rPr>
        <sz val="8"/>
        <rFont val="Arial MT"/>
        <family val="2"/>
      </rPr>
      <t>Capitale</t>
    </r>
  </si>
  <si>
    <r>
      <rPr>
        <sz val="8"/>
        <rFont val="Arial MT"/>
        <family val="2"/>
      </rPr>
      <t>102001 Riserva da soprapprezzo quote</t>
    </r>
  </si>
  <si>
    <r>
      <rPr>
        <vertAlign val="superscript"/>
        <sz val="7"/>
        <rFont val="Arial MT"/>
        <family val="2"/>
      </rPr>
      <t xml:space="preserve">II   </t>
    </r>
    <r>
      <rPr>
        <sz val="8"/>
        <rFont val="Arial MT"/>
        <family val="2"/>
      </rPr>
      <t>Riserva da soprapprezzo delle azioni</t>
    </r>
  </si>
  <si>
    <r>
      <rPr>
        <sz val="8"/>
        <rFont val="Arial MT"/>
        <family val="2"/>
      </rPr>
      <t>103260 Riserva rival. ex DL 104/2020</t>
    </r>
  </si>
  <si>
    <r>
      <rPr>
        <vertAlign val="superscript"/>
        <sz val="7"/>
        <rFont val="Arial MT"/>
        <family val="2"/>
      </rPr>
      <t xml:space="preserve">III   </t>
    </r>
    <r>
      <rPr>
        <sz val="8"/>
        <rFont val="Arial MT"/>
        <family val="2"/>
      </rPr>
      <t>Riserve di rivalutazione</t>
    </r>
  </si>
  <si>
    <r>
      <rPr>
        <sz val="8"/>
        <rFont val="Arial MT"/>
        <family val="2"/>
      </rPr>
      <t>104000 Riserva legale</t>
    </r>
  </si>
  <si>
    <r>
      <rPr>
        <vertAlign val="superscript"/>
        <sz val="7"/>
        <rFont val="Arial MT"/>
        <family val="2"/>
      </rPr>
      <t xml:space="preserve">IV   </t>
    </r>
    <r>
      <rPr>
        <sz val="8"/>
        <rFont val="Arial MT"/>
        <family val="2"/>
      </rPr>
      <t>Riserva legale</t>
    </r>
  </si>
  <si>
    <r>
      <rPr>
        <vertAlign val="superscript"/>
        <sz val="7"/>
        <rFont val="Arial MT"/>
        <family val="2"/>
      </rPr>
      <t xml:space="preserve">VI   </t>
    </r>
    <r>
      <rPr>
        <sz val="8"/>
        <rFont val="Arial MT"/>
        <family val="2"/>
      </rPr>
      <t>Altre riserve, distintamente indicate:</t>
    </r>
  </si>
  <si>
    <r>
      <rPr>
        <sz val="8"/>
        <rFont val="Arial MT"/>
        <family val="2"/>
      </rPr>
      <t>107041 Riserva disponibile</t>
    </r>
  </si>
  <si>
    <r>
      <rPr>
        <sz val="8"/>
        <rFont val="Arial MT"/>
        <family val="2"/>
      </rPr>
      <t>Riserva straordinaria</t>
    </r>
  </si>
  <si>
    <r>
      <rPr>
        <b/>
        <sz val="8"/>
        <rFont val="Arial"/>
        <family val="2"/>
      </rPr>
      <t>Totale altre riserve</t>
    </r>
  </si>
  <si>
    <r>
      <rPr>
        <sz val="8"/>
        <rFont val="Arial MT"/>
        <family val="2"/>
      </rPr>
      <t>108100 Utile esercizio precedente</t>
    </r>
  </si>
  <si>
    <r>
      <rPr>
        <vertAlign val="superscript"/>
        <sz val="7"/>
        <rFont val="Arial MT"/>
        <family val="2"/>
      </rPr>
      <t xml:space="preserve">VIII   </t>
    </r>
    <r>
      <rPr>
        <sz val="8"/>
        <rFont val="Arial MT"/>
        <family val="2"/>
      </rPr>
      <t>Utili (Perdite) portati a nuovo:</t>
    </r>
  </si>
  <si>
    <r>
      <rPr>
        <vertAlign val="superscript"/>
        <sz val="7"/>
        <rFont val="Arial MT"/>
        <family val="2"/>
      </rPr>
      <t xml:space="preserve">IX   </t>
    </r>
    <r>
      <rPr>
        <sz val="8"/>
        <rFont val="Arial MT"/>
        <family val="2"/>
      </rPr>
      <t>Utile (Perdita) dell'esercizio:</t>
    </r>
  </si>
  <si>
    <r>
      <rPr>
        <sz val="8"/>
        <rFont val="Arial MT"/>
        <family val="2"/>
      </rPr>
      <t>Utile/Perdita dell'esercizio</t>
    </r>
  </si>
  <si>
    <r>
      <rPr>
        <b/>
        <sz val="8"/>
        <rFont val="Arial"/>
        <family val="2"/>
      </rPr>
      <t>Totale patrimonio netto</t>
    </r>
  </si>
  <si>
    <r>
      <rPr>
        <b/>
        <vertAlign val="superscript"/>
        <sz val="7"/>
        <rFont val="Arial"/>
        <family val="2"/>
      </rPr>
      <t xml:space="preserve">B)  </t>
    </r>
    <r>
      <rPr>
        <b/>
        <sz val="8"/>
        <rFont val="Arial"/>
        <family val="2"/>
      </rPr>
      <t>Fondi per rischi e oneri:</t>
    </r>
  </si>
  <si>
    <r>
      <rPr>
        <sz val="8"/>
        <rFont val="Arial MT"/>
        <family val="2"/>
      </rPr>
      <t>112000 Fondo imposte differite</t>
    </r>
  </si>
  <si>
    <r>
      <rPr>
        <vertAlign val="superscript"/>
        <sz val="7"/>
        <rFont val="Arial MT"/>
        <family val="2"/>
      </rPr>
      <t xml:space="preserve">2)      </t>
    </r>
    <r>
      <rPr>
        <sz val="8"/>
        <rFont val="Arial MT"/>
        <family val="2"/>
      </rPr>
      <t>per imposte, anche differite</t>
    </r>
  </si>
  <si>
    <r>
      <rPr>
        <b/>
        <sz val="8"/>
        <rFont val="Arial"/>
        <family val="2"/>
      </rPr>
      <t>Totale fondi per rischi ed oneri</t>
    </r>
  </si>
  <si>
    <r>
      <rPr>
        <b/>
        <vertAlign val="superscript"/>
        <sz val="7"/>
        <rFont val="Arial"/>
        <family val="2"/>
      </rPr>
      <t xml:space="preserve">C)  </t>
    </r>
    <r>
      <rPr>
        <b/>
        <sz val="8"/>
        <rFont val="Arial"/>
        <family val="2"/>
      </rPr>
      <t>Trattamento di fine rapporto lavoro subordinato</t>
    </r>
  </si>
  <si>
    <r>
      <rPr>
        <sz val="8"/>
        <rFont val="Arial MT"/>
        <family val="2"/>
      </rPr>
      <t>121000 Fondo indennita' tfr</t>
    </r>
  </si>
  <si>
    <r>
      <rPr>
        <sz val="8"/>
        <rFont val="Arial MT"/>
        <family val="2"/>
      </rPr>
      <t>Trattamento di fine rapporto di lavoro subordinato</t>
    </r>
  </si>
  <si>
    <r>
      <rPr>
        <b/>
        <vertAlign val="superscript"/>
        <sz val="7"/>
        <rFont val="Arial"/>
        <family val="2"/>
      </rPr>
      <t xml:space="preserve">D)  </t>
    </r>
    <r>
      <rPr>
        <b/>
        <sz val="8"/>
        <rFont val="Arial"/>
        <family val="2"/>
      </rPr>
      <t>Debiti:</t>
    </r>
  </si>
  <si>
    <r>
      <rPr>
        <vertAlign val="superscript"/>
        <sz val="7"/>
        <rFont val="Arial MT"/>
        <family val="2"/>
      </rPr>
      <t xml:space="preserve">3)      </t>
    </r>
    <r>
      <rPr>
        <sz val="8"/>
        <rFont val="Arial MT"/>
        <family val="2"/>
      </rPr>
      <t>Debiti verso soci per finanziamenti:</t>
    </r>
  </si>
  <si>
    <r>
      <rPr>
        <sz val="8"/>
        <rFont val="Arial MT"/>
        <family val="2"/>
      </rPr>
      <t>140240 Soci c/finanz.infruttiferi oes</t>
    </r>
  </si>
  <si>
    <r>
      <rPr>
        <b/>
        <sz val="8"/>
        <rFont val="Arial"/>
        <family val="2"/>
      </rPr>
      <t>Totale debiti verso soci per finanziamenti</t>
    </r>
  </si>
  <si>
    <r>
      <rPr>
        <vertAlign val="superscript"/>
        <sz val="7"/>
        <rFont val="Arial MT"/>
        <family val="2"/>
      </rPr>
      <t xml:space="preserve">4)      </t>
    </r>
    <r>
      <rPr>
        <sz val="8"/>
        <rFont val="Arial MT"/>
        <family val="2"/>
      </rPr>
      <t>Debiti verso banche:</t>
    </r>
  </si>
  <si>
    <r>
      <rPr>
        <sz val="8"/>
        <rFont val="Arial MT"/>
        <family val="2"/>
      </rPr>
      <t>070002 Banca BPM c/c 1408</t>
    </r>
  </si>
  <si>
    <r>
      <rPr>
        <sz val="8"/>
        <rFont val="Arial MT"/>
        <family val="2"/>
      </rPr>
      <t>070003 BPER c/c 44306744</t>
    </r>
  </si>
  <si>
    <r>
      <rPr>
        <sz val="8"/>
        <rFont val="Arial MT"/>
        <family val="2"/>
      </rPr>
      <t>070024 Credito Padano c/c 420148</t>
    </r>
  </si>
  <si>
    <r>
      <rPr>
        <sz val="8"/>
        <rFont val="Arial MT"/>
        <family val="2"/>
      </rPr>
      <t>070030 Valsabbina c/c 3011</t>
    </r>
  </si>
  <si>
    <r>
      <rPr>
        <sz val="8"/>
        <rFont val="Arial MT"/>
        <family val="2"/>
      </rPr>
      <t>070031 Credem c/d Tirano 777679</t>
    </r>
  </si>
  <si>
    <r>
      <rPr>
        <sz val="8"/>
        <rFont val="Arial MT"/>
        <family val="2"/>
      </rPr>
      <t>150001 Carta di credito</t>
    </r>
  </si>
  <si>
    <r>
      <rPr>
        <sz val="8"/>
        <rFont val="Arial MT"/>
        <family val="2"/>
      </rPr>
      <t>150004 CREDEM ant. fatt. c/253</t>
    </r>
  </si>
  <si>
    <r>
      <rPr>
        <sz val="8"/>
        <rFont val="Arial MT"/>
        <family val="2"/>
      </rPr>
      <t>150007 Carta prepagata credito padano</t>
    </r>
  </si>
  <si>
    <r>
      <rPr>
        <sz val="8"/>
        <rFont val="Arial MT"/>
        <family val="2"/>
      </rPr>
      <t>150014 MPS c/ant. fatt.</t>
    </r>
  </si>
  <si>
    <r>
      <rPr>
        <sz val="8"/>
        <rFont val="Arial MT"/>
        <family val="2"/>
      </rPr>
      <t>150020 Carta di credito BCC #0406</t>
    </r>
  </si>
  <si>
    <r>
      <rPr>
        <sz val="8"/>
        <rFont val="Arial MT"/>
        <family val="2"/>
      </rPr>
      <t>150025 Carta prepagata</t>
    </r>
  </si>
  <si>
    <r>
      <rPr>
        <sz val="8"/>
        <rFont val="Arial MT"/>
        <family val="2"/>
      </rPr>
      <t>150027 BCC Brescia ant.fatt. c/431447</t>
    </r>
  </si>
  <si>
    <r>
      <rPr>
        <sz val="8"/>
        <rFont val="Arial MT"/>
        <family val="2"/>
      </rPr>
      <t>150033 Intesa ant. fatt. c/1792</t>
    </r>
  </si>
  <si>
    <r>
      <rPr>
        <sz val="8"/>
        <rFont val="Arial MT"/>
        <family val="2"/>
      </rPr>
      <t>150104 Mutuo BCC Brescia 1062359</t>
    </r>
  </si>
  <si>
    <r>
      <rPr>
        <sz val="8"/>
        <rFont val="Arial MT"/>
        <family val="2"/>
      </rPr>
      <t>150121 Mutuo Intesa 1048067620</t>
    </r>
  </si>
  <si>
    <r>
      <rPr>
        <sz val="8"/>
        <rFont val="Arial MT"/>
        <family val="2"/>
      </rPr>
      <t>150122 Mutuo MPS 994009252</t>
    </r>
  </si>
  <si>
    <r>
      <rPr>
        <sz val="8"/>
        <rFont val="Arial MT"/>
        <family val="2"/>
      </rPr>
      <t>150166 Mutuo BPM 03705950</t>
    </r>
  </si>
  <si>
    <r>
      <rPr>
        <sz val="8"/>
        <rFont val="Arial MT"/>
        <family val="2"/>
      </rPr>
      <t>150170 Anti.credito IVA-Intesa1934</t>
    </r>
  </si>
  <si>
    <r>
      <rPr>
        <sz val="8"/>
        <rFont val="Arial MT"/>
        <family val="2"/>
      </rPr>
      <t>150174 Finanziamento BPM 04886613</t>
    </r>
  </si>
  <si>
    <r>
      <rPr>
        <sz val="8"/>
        <rFont val="Arial MT"/>
        <family val="2"/>
      </rPr>
      <t>150175 Mutuo Intesa 11222876</t>
    </r>
  </si>
  <si>
    <r>
      <rPr>
        <sz val="8"/>
        <rFont val="Arial MT"/>
        <family val="2"/>
      </rPr>
      <t>150177 Finanziamento MPS 994148952</t>
    </r>
  </si>
  <si>
    <r>
      <rPr>
        <sz val="8"/>
        <rFont val="Arial MT"/>
        <family val="2"/>
      </rPr>
      <t>150178 Finanz.AL VIA INTESA n.88044</t>
    </r>
  </si>
  <si>
    <r>
      <rPr>
        <sz val="8"/>
        <rFont val="Arial MT"/>
        <family val="2"/>
      </rPr>
      <t>150179 Finanziamento MPS n.994186309</t>
    </r>
  </si>
  <si>
    <r>
      <rPr>
        <sz val="8"/>
        <rFont val="Arial MT"/>
        <family val="2"/>
      </rPr>
      <t>150180 Finanziamento BPM n.05657541</t>
    </r>
  </si>
  <si>
    <r>
      <rPr>
        <b/>
        <sz val="8"/>
        <rFont val="Arial"/>
        <family val="2"/>
      </rPr>
      <t>Totale debiti verso banche</t>
    </r>
  </si>
  <si>
    <r>
      <rPr>
        <vertAlign val="superscript"/>
        <sz val="7"/>
        <rFont val="Arial MT"/>
        <family val="2"/>
      </rPr>
      <t xml:space="preserve">5)      </t>
    </r>
    <r>
      <rPr>
        <sz val="8"/>
        <rFont val="Arial MT"/>
        <family val="2"/>
      </rPr>
      <t>Debiti verso altri finanziatori:</t>
    </r>
  </si>
  <si>
    <r>
      <rPr>
        <sz val="8"/>
        <rFont val="Arial MT"/>
        <family val="2"/>
      </rPr>
      <t>160079 Finanziamento BMW</t>
    </r>
  </si>
  <si>
    <r>
      <rPr>
        <sz val="8"/>
        <rFont val="Arial MT"/>
        <family val="2"/>
      </rPr>
      <t>160095 Finanziamento Sella Personal C</t>
    </r>
  </si>
  <si>
    <r>
      <rPr>
        <sz val="8"/>
        <rFont val="Arial MT"/>
        <family val="2"/>
      </rPr>
      <t>160096 Finanziamento FCA Bank</t>
    </r>
  </si>
  <si>
    <r>
      <rPr>
        <sz val="8"/>
        <rFont val="Arial MT"/>
        <family val="2"/>
      </rPr>
      <t>160097 Finanziamento FCA Bank (2)</t>
    </r>
  </si>
  <si>
    <r>
      <rPr>
        <b/>
        <sz val="8"/>
        <rFont val="Arial"/>
        <family val="2"/>
      </rPr>
      <t>Totale debiti verso altri finanziatori</t>
    </r>
  </si>
  <si>
    <r>
      <rPr>
        <vertAlign val="superscript"/>
        <sz val="7"/>
        <rFont val="Arial MT"/>
        <family val="2"/>
      </rPr>
      <t xml:space="preserve">6)      </t>
    </r>
    <r>
      <rPr>
        <sz val="8"/>
        <rFont val="Arial MT"/>
        <family val="2"/>
      </rPr>
      <t>Acconti:</t>
    </r>
  </si>
  <si>
    <r>
      <rPr>
        <sz val="8"/>
        <rFont val="Arial MT"/>
        <family val="2"/>
      </rPr>
      <t>170001 Caparre confirmatorie clienti</t>
    </r>
  </si>
  <si>
    <r>
      <rPr>
        <sz val="8"/>
        <rFont val="Arial MT"/>
        <family val="2"/>
      </rPr>
      <t>170040 Clienti c/anticipi</t>
    </r>
  </si>
  <si>
    <r>
      <rPr>
        <sz val="8"/>
        <rFont val="Arial MT"/>
        <family val="2"/>
      </rPr>
      <t>170080 Clienti note cred.da emettere</t>
    </r>
  </si>
  <si>
    <r>
      <rPr>
        <sz val="8"/>
        <rFont val="Arial MT"/>
        <family val="2"/>
      </rPr>
      <t>170120 Clienti c/acconti</t>
    </r>
  </si>
  <si>
    <r>
      <rPr>
        <b/>
        <sz val="8"/>
        <rFont val="Arial"/>
        <family val="2"/>
      </rPr>
      <t>Totale acconti</t>
    </r>
  </si>
  <si>
    <r>
      <rPr>
        <vertAlign val="superscript"/>
        <sz val="7"/>
        <rFont val="Arial MT"/>
        <family val="2"/>
      </rPr>
      <t xml:space="preserve">7)      </t>
    </r>
    <r>
      <rPr>
        <sz val="8"/>
        <rFont val="Arial MT"/>
        <family val="2"/>
      </rPr>
      <t>Debiti verso fornitori:</t>
    </r>
  </si>
  <si>
    <r>
      <rPr>
        <sz val="8"/>
        <rFont val="Arial MT"/>
        <family val="2"/>
      </rPr>
      <t>180000 Fornitori</t>
    </r>
  </si>
  <si>
    <r>
      <rPr>
        <sz val="8"/>
        <rFont val="Arial MT"/>
        <family val="2"/>
      </rPr>
      <t>180080 Fornitori fatture da ricevere</t>
    </r>
  </si>
  <si>
    <r>
      <rPr>
        <sz val="8"/>
        <rFont val="Arial MT"/>
        <family val="2"/>
      </rPr>
      <t>180160 Fornitori oes</t>
    </r>
  </si>
  <si>
    <r>
      <rPr>
        <b/>
        <sz val="8"/>
        <rFont val="Arial"/>
        <family val="2"/>
      </rPr>
      <t>Totale debiti verso fornitori</t>
    </r>
  </si>
  <si>
    <r>
      <rPr>
        <vertAlign val="superscript"/>
        <sz val="7"/>
        <rFont val="Arial MT"/>
        <family val="2"/>
      </rPr>
      <t xml:space="preserve">12)      </t>
    </r>
    <r>
      <rPr>
        <sz val="8"/>
        <rFont val="Arial MT"/>
        <family val="2"/>
      </rPr>
      <t>Debiti tributari:</t>
    </r>
  </si>
  <si>
    <r>
      <rPr>
        <sz val="8"/>
        <rFont val="Arial MT"/>
        <family val="2"/>
      </rPr>
      <t>210000 Erario c/ritenute tit.acconto</t>
    </r>
  </si>
  <si>
    <r>
      <rPr>
        <sz val="8"/>
        <rFont val="Arial MT"/>
        <family val="2"/>
      </rPr>
      <t>210040 Erario c/rit.rev.contabile</t>
    </r>
  </si>
  <si>
    <r>
      <rPr>
        <sz val="8"/>
        <rFont val="Arial MT"/>
        <family val="2"/>
      </rPr>
      <t>210200 Debito tributario</t>
    </r>
  </si>
  <si>
    <r>
      <rPr>
        <sz val="8"/>
        <rFont val="Arial MT"/>
        <family val="2"/>
      </rPr>
      <t>210280 Erario c/ritenute dipend.</t>
    </r>
  </si>
  <si>
    <r>
      <rPr>
        <sz val="8"/>
        <rFont val="Arial MT"/>
        <family val="2"/>
      </rPr>
      <t>210320 Erario c/imposta sost.TFR</t>
    </r>
  </si>
  <si>
    <r>
      <rPr>
        <sz val="8"/>
        <rFont val="Arial MT"/>
        <family val="2"/>
      </rPr>
      <t>210340 Erario c/imposta bollo virtual</t>
    </r>
  </si>
  <si>
    <r>
      <rPr>
        <sz val="8"/>
        <rFont val="Arial MT"/>
        <family val="2"/>
      </rPr>
      <t>210401 Erario c/accise da versare</t>
    </r>
  </si>
  <si>
    <r>
      <rPr>
        <sz val="8"/>
        <rFont val="Arial MT"/>
        <family val="2"/>
      </rPr>
      <t>210440 Altri debiti tributari ees</t>
    </r>
  </si>
  <si>
    <r>
      <rPr>
        <sz val="8"/>
        <rFont val="Arial MT"/>
        <family val="2"/>
      </rPr>
      <t>210480 Altri debiti tributari oes</t>
    </r>
  </si>
  <si>
    <r>
      <rPr>
        <b/>
        <sz val="8"/>
        <rFont val="Arial"/>
        <family val="2"/>
      </rPr>
      <t>Totale Debiti tributari</t>
    </r>
  </si>
  <si>
    <r>
      <rPr>
        <vertAlign val="superscript"/>
        <sz val="7"/>
        <rFont val="Arial MT"/>
        <family val="2"/>
      </rPr>
      <t xml:space="preserve">13)      </t>
    </r>
    <r>
      <rPr>
        <sz val="8"/>
        <rFont val="Arial MT"/>
        <family val="2"/>
      </rPr>
      <t>Debiti verso istituti di previdenza e sicurezza sociale:</t>
    </r>
  </si>
  <si>
    <r>
      <rPr>
        <sz val="8"/>
        <rFont val="Arial MT"/>
        <family val="2"/>
      </rPr>
      <t>220120 Debiti v/INPS ees</t>
    </r>
  </si>
  <si>
    <r>
      <rPr>
        <sz val="8"/>
        <rFont val="Arial MT"/>
        <family val="2"/>
      </rPr>
      <t>220600 Deb. v/INPS rev.contabile</t>
    </r>
  </si>
  <si>
    <r>
      <rPr>
        <sz val="8"/>
        <rFont val="Arial MT"/>
        <family val="2"/>
      </rPr>
      <t>220680 Debiti v/CAPE ees</t>
    </r>
  </si>
  <si>
    <r>
      <rPr>
        <sz val="8"/>
        <rFont val="Arial MT"/>
        <family val="2"/>
      </rPr>
      <t>220681 Debiti v/fondi pensione aperti</t>
    </r>
  </si>
  <si>
    <r>
      <rPr>
        <b/>
        <sz val="8"/>
        <rFont val="Arial"/>
        <family val="2"/>
      </rPr>
      <t>Totale debiti istituti di previdenza e sicurezza sociale</t>
    </r>
  </si>
  <si>
    <r>
      <rPr>
        <vertAlign val="superscript"/>
        <sz val="7"/>
        <rFont val="Arial MT"/>
        <family val="2"/>
      </rPr>
      <t xml:space="preserve">14)      </t>
    </r>
    <r>
      <rPr>
        <sz val="8"/>
        <rFont val="Arial MT"/>
        <family val="2"/>
      </rPr>
      <t>Altri debiti:</t>
    </r>
  </si>
  <si>
    <r>
      <rPr>
        <sz val="8"/>
        <rFont val="Arial MT"/>
        <family val="2"/>
      </rPr>
      <t>230000 Dipendenti c/retribuzioni</t>
    </r>
  </si>
  <si>
    <r>
      <rPr>
        <sz val="8"/>
        <rFont val="Arial MT"/>
        <family val="2"/>
      </rPr>
      <t>230004 Dipendenti c/retribuzioni</t>
    </r>
  </si>
  <si>
    <r>
      <rPr>
        <sz val="8"/>
        <rFont val="Arial MT"/>
        <family val="2"/>
      </rPr>
      <t>230020 Dipendenti c/liquidazione TFR</t>
    </r>
  </si>
  <si>
    <r>
      <rPr>
        <sz val="8"/>
        <rFont val="Arial MT"/>
        <family val="2"/>
      </rPr>
      <t>230040 Dipendenti c/rimborsi</t>
    </r>
  </si>
  <si>
    <r>
      <rPr>
        <sz val="8"/>
        <rFont val="Arial MT"/>
        <family val="2"/>
      </rPr>
      <t>230042 Amministratori c/rimborsi</t>
    </r>
  </si>
  <si>
    <r>
      <rPr>
        <sz val="8"/>
        <rFont val="Arial MT"/>
        <family val="2"/>
      </rPr>
      <t>230280 Altri debiti ees</t>
    </r>
  </si>
  <si>
    <r>
      <rPr>
        <sz val="8"/>
        <rFont val="Arial MT"/>
        <family val="2"/>
      </rPr>
      <t>230281 Debiti v/terzi</t>
    </r>
  </si>
  <si>
    <r>
      <rPr>
        <sz val="8"/>
        <rFont val="Arial MT"/>
        <family val="2"/>
      </rPr>
      <t>230320 Compensi v/rev.contabile</t>
    </r>
  </si>
  <si>
    <r>
      <rPr>
        <sz val="8"/>
        <rFont val="Arial MT"/>
        <family val="2"/>
      </rPr>
      <t>230600 Debiti diversi oes</t>
    </r>
  </si>
  <si>
    <r>
      <rPr>
        <b/>
        <sz val="8"/>
        <rFont val="Arial"/>
        <family val="2"/>
      </rPr>
      <t>Totale altri debiti</t>
    </r>
  </si>
  <si>
    <r>
      <rPr>
        <b/>
        <sz val="8"/>
        <rFont val="Arial"/>
        <family val="2"/>
      </rPr>
      <t>Totale debiti (D)</t>
    </r>
  </si>
  <si>
    <r>
      <rPr>
        <sz val="8"/>
        <rFont val="Arial MT"/>
        <family val="2"/>
      </rPr>
      <t>242000 Ratei passivi</t>
    </r>
  </si>
  <si>
    <r>
      <rPr>
        <sz val="8"/>
        <rFont val="Arial MT"/>
        <family val="2"/>
      </rPr>
      <t>242001 Oneri da pervenire</t>
    </r>
  </si>
  <si>
    <r>
      <rPr>
        <sz val="8"/>
        <rFont val="Arial MT"/>
        <family val="2"/>
      </rPr>
      <t>242020 Ratei passivi su int.da pagare</t>
    </r>
  </si>
  <si>
    <r>
      <rPr>
        <sz val="8"/>
        <rFont val="Arial MT"/>
        <family val="2"/>
      </rPr>
      <t>243000 Risconti passivi</t>
    </r>
  </si>
  <si>
    <r>
      <rPr>
        <sz val="8"/>
        <rFont val="Arial MT"/>
        <family val="2"/>
      </rPr>
      <t>243001 Risconti passivi pluriennali</t>
    </r>
  </si>
  <si>
    <r>
      <rPr>
        <b/>
        <sz val="8"/>
        <rFont val="Arial"/>
        <family val="2"/>
      </rPr>
      <t>T O T A L E   P A S S I V O</t>
    </r>
  </si>
  <si>
    <r>
      <rPr>
        <b/>
        <sz val="8"/>
        <rFont val="Arial"/>
        <family val="2"/>
      </rPr>
      <t>C O N T O    E C O N O M I C O</t>
    </r>
  </si>
  <si>
    <r>
      <rPr>
        <b/>
        <vertAlign val="superscript"/>
        <sz val="7"/>
        <rFont val="Arial"/>
        <family val="2"/>
      </rPr>
      <t xml:space="preserve">A)  </t>
    </r>
    <r>
      <rPr>
        <b/>
        <sz val="8"/>
        <rFont val="Arial"/>
        <family val="2"/>
      </rPr>
      <t>Valore della produzione:</t>
    </r>
  </si>
  <si>
    <r>
      <rPr>
        <sz val="8"/>
        <rFont val="Arial MT"/>
        <family val="2"/>
      </rPr>
      <t>310003 Sconti passivi clienti</t>
    </r>
  </si>
  <si>
    <r>
      <rPr>
        <sz val="8"/>
        <rFont val="Arial MT"/>
        <family val="2"/>
      </rPr>
      <t>310005 Altri ricavi</t>
    </r>
  </si>
  <si>
    <r>
      <rPr>
        <sz val="8"/>
        <rFont val="Arial MT"/>
        <family val="2"/>
      </rPr>
      <t>310006 Vendita materiali</t>
    </r>
  </si>
  <si>
    <r>
      <rPr>
        <sz val="8"/>
        <rFont val="Arial MT"/>
        <family val="2"/>
      </rPr>
      <t>310007 Ritenute di garanzia</t>
    </r>
  </si>
  <si>
    <r>
      <rPr>
        <sz val="8"/>
        <rFont val="Arial MT"/>
        <family val="2"/>
      </rPr>
      <t>310008 Noli a caldo</t>
    </r>
  </si>
  <si>
    <r>
      <rPr>
        <vertAlign val="superscript"/>
        <sz val="7"/>
        <rFont val="Arial MT"/>
        <family val="2"/>
      </rPr>
      <t xml:space="preserve">1)   </t>
    </r>
    <r>
      <rPr>
        <sz val="8"/>
        <rFont val="Arial MT"/>
        <family val="2"/>
      </rPr>
      <t>Ricavi delle vendite e delle prestazioni</t>
    </r>
  </si>
  <si>
    <r>
      <rPr>
        <sz val="8"/>
        <rFont val="Arial MT"/>
        <family val="2"/>
      </rPr>
      <t>340101 Stato avanzamento lavoro iniz.</t>
    </r>
  </si>
  <si>
    <r>
      <rPr>
        <sz val="8"/>
        <rFont val="Arial MT"/>
        <family val="2"/>
      </rPr>
      <t>340303 Rim.iniziali fabbricati</t>
    </r>
  </si>
  <si>
    <r>
      <rPr>
        <sz val="8"/>
        <rFont val="Arial MT"/>
        <family val="2"/>
      </rPr>
      <t>340601 Stato avanzamento lavori fin.</t>
    </r>
  </si>
  <si>
    <r>
      <rPr>
        <sz val="8"/>
        <rFont val="Arial MT"/>
        <family val="2"/>
      </rPr>
      <t>340803 Rim.finali fabbricati</t>
    </r>
  </si>
  <si>
    <r>
      <rPr>
        <vertAlign val="superscript"/>
        <sz val="7"/>
        <rFont val="Arial MT"/>
        <family val="2"/>
      </rPr>
      <t xml:space="preserve">2)   </t>
    </r>
    <r>
      <rPr>
        <sz val="8"/>
        <rFont val="Arial MT"/>
        <family val="2"/>
      </rPr>
      <t>Variaz.rimanenze di prodotti in corso lav., semilav.e finiti</t>
    </r>
  </si>
  <si>
    <r>
      <rPr>
        <vertAlign val="superscript"/>
        <sz val="7"/>
        <rFont val="Arial MT"/>
        <family val="2"/>
      </rPr>
      <t xml:space="preserve">5)   </t>
    </r>
    <r>
      <rPr>
        <sz val="8"/>
        <rFont val="Arial MT"/>
        <family val="2"/>
      </rPr>
      <t>Altri ricavi e proventi:</t>
    </r>
  </si>
  <si>
    <r>
      <rPr>
        <sz val="8"/>
        <rFont val="Arial MT"/>
        <family val="2"/>
      </rPr>
      <t>375000 Contributi in c/esercizio</t>
    </r>
  </si>
  <si>
    <r>
      <rPr>
        <sz val="8"/>
        <rFont val="Arial MT"/>
        <family val="2"/>
      </rPr>
      <t>contributi in conto esercizio</t>
    </r>
  </si>
  <si>
    <r>
      <rPr>
        <sz val="8"/>
        <rFont val="Arial MT"/>
        <family val="2"/>
      </rPr>
      <t>371000 Proventi diversi</t>
    </r>
  </si>
  <si>
    <r>
      <rPr>
        <sz val="8"/>
        <rFont val="Arial MT"/>
        <family val="2"/>
      </rPr>
      <t>371001 Proventi diversi non tassabili</t>
    </r>
  </si>
  <si>
    <r>
      <rPr>
        <sz val="8"/>
        <rFont val="Arial MT"/>
        <family val="2"/>
      </rPr>
      <t>371002 Rimborso accise mezzi cantiere</t>
    </r>
  </si>
  <si>
    <r>
      <rPr>
        <sz val="8"/>
        <rFont val="Arial MT"/>
        <family val="2"/>
      </rPr>
      <t>371080 Rimborsi addebitati a clienti</t>
    </r>
  </si>
  <si>
    <r>
      <rPr>
        <sz val="8"/>
        <rFont val="Arial MT"/>
        <family val="2"/>
      </rPr>
      <t>371120 Rimb.pers.distaccato tempo det</t>
    </r>
  </si>
  <si>
    <r>
      <rPr>
        <sz val="8"/>
        <rFont val="Arial MT"/>
        <family val="2"/>
      </rPr>
      <t>371171 Vend. rottami ferrosi/batterie</t>
    </r>
  </si>
  <si>
    <r>
      <rPr>
        <sz val="8"/>
        <rFont val="Arial MT"/>
        <family val="2"/>
      </rPr>
      <t>371200 Locazioni attive beni mobili</t>
    </r>
  </si>
  <si>
    <r>
      <rPr>
        <sz val="8"/>
        <rFont val="Arial MT"/>
        <family val="2"/>
      </rPr>
      <t>371360 Plusvalenze patrim.ordinarie</t>
    </r>
  </si>
  <si>
    <r>
      <rPr>
        <sz val="8"/>
        <rFont val="Arial MT"/>
        <family val="2"/>
      </rPr>
      <t>371480 Cess.contratto leasing</t>
    </r>
  </si>
  <si>
    <r>
      <rPr>
        <sz val="8"/>
        <rFont val="Arial MT"/>
        <family val="2"/>
      </rPr>
      <t>371520 Sopravvenienze att. ordinarie</t>
    </r>
  </si>
  <si>
    <r>
      <rPr>
        <sz val="8"/>
        <rFont val="Arial MT"/>
        <family val="2"/>
      </rPr>
      <t>371560 Contributi ordinari c/capitale</t>
    </r>
  </si>
  <si>
    <r>
      <rPr>
        <sz val="8"/>
        <rFont val="Arial MT"/>
        <family val="2"/>
      </rPr>
      <t>371602 Rimborsi assicurativi</t>
    </r>
  </si>
  <si>
    <r>
      <rPr>
        <sz val="8"/>
        <rFont val="Arial MT"/>
        <family val="2"/>
      </rPr>
      <t>371603 Rimborsi Prevedi / Cape BS</t>
    </r>
  </si>
  <si>
    <r>
      <rPr>
        <sz val="8"/>
        <rFont val="Arial MT"/>
        <family val="2"/>
      </rPr>
      <t>371606 Risarcimento danni</t>
    </r>
  </si>
  <si>
    <r>
      <rPr>
        <sz val="8"/>
        <rFont val="Arial MT"/>
        <family val="2"/>
      </rPr>
      <t>371608 Rimborso accise trasp.e ssn</t>
    </r>
  </si>
  <si>
    <r>
      <rPr>
        <sz val="8"/>
        <rFont val="Arial MT"/>
        <family val="2"/>
      </rPr>
      <t>371640 Sconti abbuoni arrotond.attivi</t>
    </r>
  </si>
  <si>
    <r>
      <rPr>
        <sz val="8"/>
        <rFont val="Arial MT"/>
        <family val="2"/>
      </rPr>
      <t>371720 Rendite su IVA</t>
    </r>
  </si>
  <si>
    <r>
      <rPr>
        <sz val="8"/>
        <rFont val="Arial MT"/>
        <family val="2"/>
      </rPr>
      <t>371820 Sopravv.att.c/spese</t>
    </r>
  </si>
  <si>
    <r>
      <rPr>
        <sz val="8"/>
        <rFont val="Arial MT"/>
        <family val="2"/>
      </rPr>
      <t>371840 Sopravv.att.straordinarie</t>
    </r>
  </si>
  <si>
    <r>
      <rPr>
        <sz val="8"/>
        <rFont val="Arial MT"/>
        <family val="2"/>
      </rPr>
      <t>371850 Sopravv.att.str. tributarie</t>
    </r>
  </si>
  <si>
    <r>
      <rPr>
        <sz val="8"/>
        <rFont val="Arial MT"/>
        <family val="2"/>
      </rPr>
      <t>371960 Contrib.beni strumentali 2020</t>
    </r>
  </si>
  <si>
    <r>
      <rPr>
        <sz val="8"/>
        <rFont val="Arial MT"/>
        <family val="2"/>
      </rPr>
      <t>371970 Contrib.beni strumentali</t>
    </r>
  </si>
  <si>
    <r>
      <rPr>
        <sz val="8"/>
        <rFont val="Arial MT"/>
        <family val="2"/>
      </rPr>
      <t>altri</t>
    </r>
  </si>
  <si>
    <r>
      <rPr>
        <b/>
        <sz val="8"/>
        <rFont val="Arial"/>
        <family val="2"/>
      </rPr>
      <t>Totale altri ricavi e proventi</t>
    </r>
  </si>
  <si>
    <r>
      <rPr>
        <b/>
        <sz val="8"/>
        <rFont val="Arial"/>
        <family val="2"/>
      </rPr>
      <t>Totale valore della produzione</t>
    </r>
  </si>
  <si>
    <r>
      <rPr>
        <b/>
        <vertAlign val="superscript"/>
        <sz val="7"/>
        <rFont val="Arial"/>
        <family val="2"/>
      </rPr>
      <t xml:space="preserve">B)  </t>
    </r>
    <r>
      <rPr>
        <b/>
        <sz val="8"/>
        <rFont val="Arial"/>
        <family val="2"/>
      </rPr>
      <t>Costi della produzione:</t>
    </r>
  </si>
  <si>
    <r>
      <rPr>
        <sz val="8"/>
        <rFont val="Arial MT"/>
        <family val="2"/>
      </rPr>
      <t>430000 Acquisti merci</t>
    </r>
  </si>
  <si>
    <r>
      <rPr>
        <sz val="8"/>
        <rFont val="Arial MT"/>
        <family val="2"/>
      </rPr>
      <t>430004 Allestim/messa norma cantieri</t>
    </r>
  </si>
  <si>
    <r>
      <rPr>
        <sz val="8"/>
        <rFont val="Arial MT"/>
        <family val="2"/>
      </rPr>
      <t>430010 Cemento</t>
    </r>
  </si>
  <si>
    <r>
      <rPr>
        <sz val="8"/>
        <rFont val="Arial MT"/>
        <family val="2"/>
      </rPr>
      <t>430011 Tiranti e barre</t>
    </r>
  </si>
  <si>
    <r>
      <rPr>
        <sz val="8"/>
        <rFont val="Arial MT"/>
        <family val="2"/>
      </rPr>
      <t>430012 Tubi e travi di armatura</t>
    </r>
  </si>
  <si>
    <r>
      <rPr>
        <sz val="8"/>
        <rFont val="Arial MT"/>
        <family val="2"/>
      </rPr>
      <t>430013 Bentonite</t>
    </r>
  </si>
  <si>
    <r>
      <rPr>
        <sz val="8"/>
        <rFont val="Arial MT"/>
        <family val="2"/>
      </rPr>
      <t>430080 Acquisti imballaggi</t>
    </r>
  </si>
  <si>
    <r>
      <rPr>
        <sz val="8"/>
        <rFont val="Arial MT"/>
        <family val="2"/>
      </rPr>
      <t>430240 Acquisti mat.di manutenzione</t>
    </r>
  </si>
  <si>
    <r>
      <rPr>
        <sz val="8"/>
        <rFont val="Arial MT"/>
        <family val="2"/>
      </rPr>
      <t>430241 Acq. pneumatici autocarri</t>
    </r>
  </si>
  <si>
    <r>
      <rPr>
        <sz val="8"/>
        <rFont val="Arial MT"/>
        <family val="2"/>
      </rPr>
      <t>430242 Acq. pneumatici autovetture</t>
    </r>
  </si>
  <si>
    <r>
      <rPr>
        <sz val="8"/>
        <rFont val="Arial MT"/>
        <family val="2"/>
      </rPr>
      <t>430360 Acqua potabile su cantieri</t>
    </r>
  </si>
  <si>
    <r>
      <rPr>
        <sz val="8"/>
        <rFont val="Arial MT"/>
        <family val="2"/>
      </rPr>
      <t>431020 Trasporti su acquisti</t>
    </r>
  </si>
  <si>
    <r>
      <rPr>
        <sz val="8"/>
        <rFont val="Arial MT"/>
        <family val="2"/>
      </rPr>
      <t>431080 Carburanti produzione servizi</t>
    </r>
  </si>
  <si>
    <r>
      <rPr>
        <sz val="8"/>
        <rFont val="Arial MT"/>
        <family val="2"/>
      </rPr>
      <t>431820 Acquisti attrezzatura minuta</t>
    </r>
  </si>
  <si>
    <r>
      <rPr>
        <sz val="8"/>
        <rFont val="Arial MT"/>
        <family val="2"/>
      </rPr>
      <t>431821 Beni amm.li nell'esercizio</t>
    </r>
  </si>
  <si>
    <r>
      <rPr>
        <sz val="8"/>
        <rFont val="Arial MT"/>
        <family val="2"/>
      </rPr>
      <t>431822 Tubi in pvc amm.li esercizio</t>
    </r>
  </si>
  <si>
    <r>
      <rPr>
        <sz val="8"/>
        <rFont val="Arial MT"/>
        <family val="2"/>
      </rPr>
      <t>431830 Funi e catene amm.li esercizio</t>
    </r>
  </si>
  <si>
    <r>
      <rPr>
        <sz val="8"/>
        <rFont val="Arial MT"/>
        <family val="2"/>
      </rPr>
      <t>431860 Acquisti materiale di consumo</t>
    </r>
  </si>
  <si>
    <r>
      <rPr>
        <sz val="8"/>
        <rFont val="Arial MT"/>
        <family val="2"/>
      </rPr>
      <t>431890 Attrezz.perfor.(punte mart.sca</t>
    </r>
  </si>
  <si>
    <r>
      <rPr>
        <sz val="8"/>
        <rFont val="Arial MT"/>
        <family val="2"/>
      </rPr>
      <t>431900 Mater.di pulizia / biancheria</t>
    </r>
  </si>
  <si>
    <r>
      <rPr>
        <sz val="8"/>
        <rFont val="Arial MT"/>
        <family val="2"/>
      </rPr>
      <t>431901 Indumenti da lavoro</t>
    </r>
  </si>
  <si>
    <r>
      <rPr>
        <sz val="8"/>
        <rFont val="Arial MT"/>
        <family val="2"/>
      </rPr>
      <t>432020 Cancelleria</t>
    </r>
  </si>
  <si>
    <r>
      <rPr>
        <sz val="8"/>
        <rFont val="Arial MT"/>
        <family val="2"/>
      </rPr>
      <t>432100 Carburanti e lubrificanti</t>
    </r>
  </si>
  <si>
    <r>
      <rPr>
        <sz val="8"/>
        <rFont val="Arial MT"/>
        <family val="2"/>
      </rPr>
      <t>432120 Carburanti e lubrif.auto</t>
    </r>
  </si>
  <si>
    <r>
      <rPr>
        <sz val="8"/>
        <rFont val="Arial MT"/>
        <family val="2"/>
      </rPr>
      <t>432220 Abbuoni att.su acquisti</t>
    </r>
  </si>
  <si>
    <r>
      <rPr>
        <vertAlign val="superscript"/>
        <sz val="7"/>
        <rFont val="Arial MT"/>
        <family val="2"/>
      </rPr>
      <t xml:space="preserve">6)   </t>
    </r>
    <r>
      <rPr>
        <sz val="8"/>
        <rFont val="Arial MT"/>
        <family val="2"/>
      </rPr>
      <t>per materie prime, sussidiarie, di consumo e di merci</t>
    </r>
  </si>
  <si>
    <r>
      <rPr>
        <sz val="8"/>
        <rFont val="Arial MT"/>
        <family val="2"/>
      </rPr>
      <t>440000 Utenze energie</t>
    </r>
  </si>
  <si>
    <r>
      <rPr>
        <sz val="8"/>
        <rFont val="Arial MT"/>
        <family val="2"/>
      </rPr>
      <t>440080 Utenze acqua</t>
    </r>
  </si>
  <si>
    <r>
      <rPr>
        <sz val="8"/>
        <rFont val="Arial MT"/>
        <family val="2"/>
      </rPr>
      <t>440120 Utenze gas</t>
    </r>
  </si>
  <si>
    <r>
      <rPr>
        <sz val="8"/>
        <rFont val="Arial MT"/>
        <family val="2"/>
      </rPr>
      <t>440160 Spese telefoniche</t>
    </r>
  </si>
  <si>
    <r>
      <rPr>
        <sz val="8"/>
        <rFont val="Arial MT"/>
        <family val="2"/>
      </rPr>
      <t>440161 Spese telefoniche cellulare</t>
    </r>
  </si>
  <si>
    <r>
      <rPr>
        <sz val="8"/>
        <rFont val="Arial MT"/>
        <family val="2"/>
      </rPr>
      <t>440200 Spese postali</t>
    </r>
  </si>
  <si>
    <r>
      <rPr>
        <sz val="8"/>
        <rFont val="Arial MT"/>
        <family val="2"/>
      </rPr>
      <t>440240 Spese trasporti</t>
    </r>
  </si>
  <si>
    <r>
      <rPr>
        <sz val="8"/>
        <rFont val="Arial MT"/>
        <family val="2"/>
      </rPr>
      <t>440280 Assicurazioni addebitate in ft</t>
    </r>
  </si>
  <si>
    <r>
      <rPr>
        <sz val="8"/>
        <rFont val="Arial MT"/>
        <family val="2"/>
      </rPr>
      <t>440300 Assicurazioni auto</t>
    </r>
  </si>
  <si>
    <r>
      <rPr>
        <sz val="8"/>
        <rFont val="Arial MT"/>
        <family val="2"/>
      </rPr>
      <t>440320 Assicurazioni obbligatorie</t>
    </r>
  </si>
  <si>
    <r>
      <rPr>
        <sz val="8"/>
        <rFont val="Arial MT"/>
        <family val="2"/>
      </rPr>
      <t>440330 Assicuraz. obbligatorie auto</t>
    </r>
  </si>
  <si>
    <r>
      <rPr>
        <sz val="8"/>
        <rFont val="Arial MT"/>
        <family val="2"/>
      </rPr>
      <t>440380 Pedaggi</t>
    </r>
  </si>
  <si>
    <r>
      <rPr>
        <sz val="8"/>
        <rFont val="Arial MT"/>
        <family val="2"/>
      </rPr>
      <t>440382 Spese per prest. di servizi</t>
    </r>
  </si>
  <si>
    <r>
      <rPr>
        <sz val="8"/>
        <rFont val="Arial MT"/>
        <family val="2"/>
      </rPr>
      <t>440383 Rimborsi spese analitici</t>
    </r>
  </si>
  <si>
    <r>
      <rPr>
        <sz val="8"/>
        <rFont val="Arial MT"/>
        <family val="2"/>
      </rPr>
      <t>440390 Pedaggi auto</t>
    </r>
  </si>
  <si>
    <r>
      <rPr>
        <sz val="8"/>
        <rFont val="Arial MT"/>
        <family val="2"/>
      </rPr>
      <t>440396 Costi vari auto</t>
    </r>
  </si>
  <si>
    <r>
      <rPr>
        <sz val="8"/>
        <rFont val="Arial MT"/>
        <family val="2"/>
      </rPr>
      <t>440400 Pubblicita' e promozioni</t>
    </r>
  </si>
  <si>
    <r>
      <rPr>
        <sz val="8"/>
        <rFont val="Arial MT"/>
        <family val="2"/>
      </rPr>
      <t>440500 Sp.alberghi/rist.-rappresent.</t>
    </r>
  </si>
  <si>
    <r>
      <rPr>
        <sz val="8"/>
        <rFont val="Arial MT"/>
        <family val="2"/>
      </rPr>
      <t>440520 Spese alberghi e ristoranti</t>
    </r>
  </si>
  <si>
    <r>
      <rPr>
        <sz val="8"/>
        <rFont val="Arial MT"/>
        <family val="2"/>
      </rPr>
      <t>440560 Servizio elaborazioni dati</t>
    </r>
  </si>
  <si>
    <r>
      <rPr>
        <sz val="8"/>
        <rFont val="Arial MT"/>
        <family val="2"/>
      </rPr>
      <t>440601 Spese trasferte amministratore</t>
    </r>
  </si>
  <si>
    <r>
      <rPr>
        <sz val="8"/>
        <rFont val="Arial MT"/>
        <family val="2"/>
      </rPr>
      <t>440640 Trasferte dipendenti</t>
    </r>
  </si>
  <si>
    <r>
      <rPr>
        <sz val="8"/>
        <rFont val="Arial MT"/>
        <family val="2"/>
      </rPr>
      <t>440680 Trasferte dipendenti c/rimb.km</t>
    </r>
  </si>
  <si>
    <r>
      <rPr>
        <sz val="8"/>
        <rFont val="Arial MT"/>
        <family val="2"/>
      </rPr>
      <t>440760 Spese vigilanza</t>
    </r>
  </si>
  <si>
    <r>
      <rPr>
        <sz val="8"/>
        <rFont val="Arial MT"/>
        <family val="2"/>
      </rPr>
      <t>440800 Studi e ricerche</t>
    </r>
  </si>
  <si>
    <r>
      <rPr>
        <sz val="8"/>
        <rFont val="Arial MT"/>
        <family val="2"/>
      </rPr>
      <t>440801 Servizi di informazioni econom</t>
    </r>
  </si>
  <si>
    <r>
      <rPr>
        <sz val="8"/>
        <rFont val="Arial MT"/>
        <family val="2"/>
      </rPr>
      <t>440840 Spese pulizie / lavanderia</t>
    </r>
  </si>
  <si>
    <r>
      <rPr>
        <sz val="8"/>
        <rFont val="Arial MT"/>
        <family val="2"/>
      </rPr>
      <t>440841 Spese smaltim. rifiuti</t>
    </r>
  </si>
  <si>
    <r>
      <rPr>
        <sz val="8"/>
        <rFont val="Arial MT"/>
        <family val="2"/>
      </rPr>
      <t>440870 Tassa sui rifiuti (TARI)</t>
    </r>
  </si>
  <si>
    <r>
      <rPr>
        <sz val="8"/>
        <rFont val="Arial MT"/>
        <family val="2"/>
      </rPr>
      <t>440880 Servizi e oneri banc.</t>
    </r>
  </si>
  <si>
    <r>
      <rPr>
        <sz val="8"/>
        <rFont val="Arial MT"/>
        <family val="2"/>
      </rPr>
      <t>440920 Altri costi per servizi</t>
    </r>
  </si>
  <si>
    <r>
      <rPr>
        <sz val="8"/>
        <rFont val="Arial MT"/>
        <family val="2"/>
      </rPr>
      <t>440921 Spese assistenze diverse</t>
    </r>
  </si>
  <si>
    <r>
      <rPr>
        <sz val="8"/>
        <rFont val="Arial MT"/>
        <family val="2"/>
      </rPr>
      <t>440924 Oneri per la sicurezza</t>
    </r>
  </si>
  <si>
    <r>
      <rPr>
        <sz val="8"/>
        <rFont val="Arial MT"/>
        <family val="2"/>
      </rPr>
      <t>440960 Aggiornamenti/licenze software</t>
    </r>
  </si>
  <si>
    <r>
      <rPr>
        <sz val="8"/>
        <rFont val="Arial MT"/>
        <family val="2"/>
      </rPr>
      <t>441030 Sp.certificazioni/orientam/ric</t>
    </r>
  </si>
  <si>
    <r>
      <rPr>
        <sz val="8"/>
        <rFont val="Arial MT"/>
        <family val="2"/>
      </rPr>
      <t>441120 Lavorazioni di terzi</t>
    </r>
  </si>
  <si>
    <r>
      <rPr>
        <sz val="8"/>
        <rFont val="Arial MT"/>
        <family val="2"/>
      </rPr>
      <t>441122 Lavorazioni di terzi</t>
    </r>
  </si>
  <si>
    <r>
      <rPr>
        <sz val="8"/>
        <rFont val="Arial MT"/>
        <family val="2"/>
      </rPr>
      <t>441140 Lavorazioni di terzi</t>
    </r>
  </si>
  <si>
    <r>
      <rPr>
        <sz val="8"/>
        <rFont val="Arial MT"/>
        <family val="2"/>
      </rPr>
      <t>441240 Servizi per il personale</t>
    </r>
  </si>
  <si>
    <r>
      <rPr>
        <sz val="8"/>
        <rFont val="Arial MT"/>
        <family val="2"/>
      </rPr>
      <t>441280 Mensa dipendenti</t>
    </r>
  </si>
  <si>
    <r>
      <rPr>
        <sz val="8"/>
        <rFont val="Arial MT"/>
        <family val="2"/>
      </rPr>
      <t>441281 Welfare Beni/servizi</t>
    </r>
  </si>
  <si>
    <r>
      <rPr>
        <sz val="8"/>
        <rFont val="Arial MT"/>
        <family val="2"/>
      </rPr>
      <t>441550 Compensi a revisori</t>
    </r>
  </si>
  <si>
    <r>
      <rPr>
        <sz val="8"/>
        <rFont val="Arial MT"/>
        <family val="2"/>
      </rPr>
      <t>441640 Contr.prev.ammin.soci sog.IRES</t>
    </r>
  </si>
  <si>
    <r>
      <rPr>
        <sz val="8"/>
        <rFont val="Arial MT"/>
        <family val="2"/>
      </rPr>
      <t>442080 Compensi a terzi</t>
    </r>
  </si>
  <si>
    <r>
      <rPr>
        <sz val="8"/>
        <rFont val="Arial MT"/>
        <family val="2"/>
      </rPr>
      <t>442202 Spese legali e notarili</t>
    </r>
  </si>
  <si>
    <r>
      <rPr>
        <sz val="8"/>
        <rFont val="Arial MT"/>
        <family val="2"/>
      </rPr>
      <t>442480 Prestazioni lavoro occasionale</t>
    </r>
  </si>
  <si>
    <r>
      <rPr>
        <sz val="8"/>
        <rFont val="Arial MT"/>
        <family val="2"/>
      </rPr>
      <t>442720 Canoni di manutenzione</t>
    </r>
  </si>
  <si>
    <r>
      <rPr>
        <sz val="8"/>
        <rFont val="Arial MT"/>
        <family val="2"/>
      </rPr>
      <t>442721 Canoni diversi</t>
    </r>
  </si>
  <si>
    <r>
      <rPr>
        <sz val="8"/>
        <rFont val="Arial MT"/>
        <family val="2"/>
      </rPr>
      <t>442760 Spese manutenzione beni propri</t>
    </r>
  </si>
  <si>
    <r>
      <rPr>
        <sz val="8"/>
        <rFont val="Arial MT"/>
        <family val="2"/>
      </rPr>
      <t>442761 Spese per soccorso stradale</t>
    </r>
  </si>
  <si>
    <r>
      <rPr>
        <sz val="8"/>
        <rFont val="Arial MT"/>
        <family val="2"/>
      </rPr>
      <t>442762 Spese collaudi e revisioni</t>
    </r>
  </si>
  <si>
    <r>
      <rPr>
        <sz val="8"/>
        <rFont val="Arial MT"/>
        <family val="2"/>
      </rPr>
      <t>442780 Spese manutenzione auto</t>
    </r>
  </si>
  <si>
    <r>
      <rPr>
        <sz val="8"/>
        <rFont val="Arial MT"/>
        <family val="2"/>
      </rPr>
      <t>442800 Spese manut.beni di terzi</t>
    </r>
  </si>
  <si>
    <r>
      <rPr>
        <sz val="8"/>
        <rFont val="Arial MT"/>
        <family val="2"/>
      </rPr>
      <t>442810 Spese manut. auto di terzi</t>
    </r>
  </si>
  <si>
    <r>
      <rPr>
        <sz val="8"/>
        <rFont val="Arial MT"/>
        <family val="2"/>
      </rPr>
      <t>442880 Spese man.fabbricati di terzi</t>
    </r>
  </si>
  <si>
    <r>
      <rPr>
        <vertAlign val="superscript"/>
        <sz val="7"/>
        <rFont val="Arial MT"/>
        <family val="2"/>
      </rPr>
      <t xml:space="preserve">7)   </t>
    </r>
    <r>
      <rPr>
        <sz val="8"/>
        <rFont val="Arial MT"/>
        <family val="2"/>
      </rPr>
      <t>per servizi</t>
    </r>
  </si>
  <si>
    <r>
      <rPr>
        <sz val="8"/>
        <rFont val="Arial MT"/>
        <family val="2"/>
      </rPr>
      <t>450000 Locazioni passive immobili</t>
    </r>
  </si>
  <si>
    <r>
      <rPr>
        <sz val="8"/>
        <rFont val="Arial MT"/>
        <family val="2"/>
      </rPr>
      <t>450090 Locazioni pass. imm. abitativi</t>
    </r>
  </si>
  <si>
    <r>
      <rPr>
        <sz val="8"/>
        <rFont val="Arial MT"/>
        <family val="2"/>
      </rPr>
      <t>450120 Canoni leasing finanziario</t>
    </r>
  </si>
  <si>
    <r>
      <rPr>
        <sz val="8"/>
        <rFont val="Arial MT"/>
        <family val="2"/>
      </rPr>
      <t>450140 Canoni leasing finanz. auto</t>
    </r>
  </si>
  <si>
    <r>
      <rPr>
        <sz val="8"/>
        <rFont val="Arial MT"/>
        <family val="2"/>
      </rPr>
      <t>450160 Canoni leasing operativo</t>
    </r>
  </si>
  <si>
    <r>
      <rPr>
        <sz val="8"/>
        <rFont val="Arial MT"/>
        <family val="2"/>
      </rPr>
      <t>450200 Locazioni passive altri beni</t>
    </r>
  </si>
  <si>
    <r>
      <rPr>
        <sz val="8"/>
        <rFont val="Arial MT"/>
        <family val="2"/>
      </rPr>
      <t>450220 Locazioni passive auto</t>
    </r>
  </si>
  <si>
    <r>
      <rPr>
        <sz val="8"/>
        <rFont val="Arial MT"/>
        <family val="2"/>
      </rPr>
      <t>450240 Canoni software</t>
    </r>
  </si>
  <si>
    <r>
      <rPr>
        <sz val="8"/>
        <rFont val="Arial MT"/>
        <family val="2"/>
      </rPr>
      <t>450241 Canoni passivi diversi</t>
    </r>
  </si>
  <si>
    <r>
      <rPr>
        <sz val="8"/>
        <rFont val="Arial MT"/>
        <family val="2"/>
      </rPr>
      <t>450280 Interessi indiciz. leasing</t>
    </r>
  </si>
  <si>
    <r>
      <rPr>
        <sz val="8"/>
        <rFont val="Arial MT"/>
        <family val="2"/>
      </rPr>
      <t>450340 Interessi leasing finanz. auto</t>
    </r>
  </si>
  <si>
    <r>
      <rPr>
        <vertAlign val="superscript"/>
        <sz val="7"/>
        <rFont val="Arial MT"/>
        <family val="2"/>
      </rPr>
      <t xml:space="preserve">8)   </t>
    </r>
    <r>
      <rPr>
        <sz val="8"/>
        <rFont val="Arial MT"/>
        <family val="2"/>
      </rPr>
      <t>per godimento di beni di terzi</t>
    </r>
  </si>
  <si>
    <r>
      <rPr>
        <vertAlign val="superscript"/>
        <sz val="7"/>
        <rFont val="Arial MT"/>
        <family val="2"/>
      </rPr>
      <t xml:space="preserve">9)   </t>
    </r>
    <r>
      <rPr>
        <sz val="8"/>
        <rFont val="Arial MT"/>
        <family val="2"/>
      </rPr>
      <t>per il personale:</t>
    </r>
  </si>
  <si>
    <r>
      <rPr>
        <sz val="8"/>
        <rFont val="Arial MT"/>
        <family val="2"/>
      </rPr>
      <t>461000 Retribuzioni</t>
    </r>
  </si>
  <si>
    <r>
      <rPr>
        <sz val="8"/>
        <rFont val="Arial MT"/>
        <family val="2"/>
      </rPr>
      <t>461001 Trasferte dipendenti</t>
    </r>
  </si>
  <si>
    <r>
      <rPr>
        <sz val="8"/>
        <rFont val="Arial MT"/>
        <family val="2"/>
      </rPr>
      <t>a) salari e stipendi</t>
    </r>
  </si>
  <si>
    <r>
      <rPr>
        <sz val="8"/>
        <rFont val="Arial MT"/>
        <family val="2"/>
      </rPr>
      <t>462000 Contributi soc.carico azienda</t>
    </r>
  </si>
  <si>
    <r>
      <rPr>
        <sz val="8"/>
        <rFont val="Arial MT"/>
        <family val="2"/>
      </rPr>
      <t>462001 Contributi CAPE car.azienda</t>
    </r>
  </si>
  <si>
    <r>
      <rPr>
        <sz val="8"/>
        <rFont val="Arial MT"/>
        <family val="2"/>
      </rPr>
      <t>462040 Contributi ass.infortuni dip.</t>
    </r>
  </si>
  <si>
    <r>
      <rPr>
        <sz val="8"/>
        <rFont val="Arial MT"/>
        <family val="2"/>
      </rPr>
      <t>462060 Contributi assistenziali</t>
    </r>
  </si>
  <si>
    <r>
      <rPr>
        <sz val="8"/>
        <rFont val="Arial MT"/>
        <family val="2"/>
      </rPr>
      <t>b) oneri sociali</t>
    </r>
  </si>
  <si>
    <r>
      <rPr>
        <sz val="8"/>
        <rFont val="Arial MT"/>
        <family val="2"/>
      </rPr>
      <t>463001 T.F.R. anno in corso</t>
    </r>
  </si>
  <si>
    <r>
      <rPr>
        <sz val="8"/>
        <rFont val="Arial MT"/>
        <family val="2"/>
      </rPr>
      <t>463002 T.f.r. previdenza integrativa</t>
    </r>
  </si>
  <si>
    <r>
      <rPr>
        <sz val="8"/>
        <rFont val="Arial MT"/>
        <family val="2"/>
      </rPr>
      <t>c) trattamento di fine rapporto</t>
    </r>
  </si>
  <si>
    <r>
      <rPr>
        <sz val="8"/>
        <rFont val="Arial MT"/>
        <family val="2"/>
      </rPr>
      <t>464000 Previdenza integrativa</t>
    </r>
  </si>
  <si>
    <r>
      <rPr>
        <sz val="8"/>
        <rFont val="Arial MT"/>
        <family val="2"/>
      </rPr>
      <t>d) trattamento di quiescenza e simili</t>
    </r>
  </si>
  <si>
    <r>
      <rPr>
        <sz val="8"/>
        <rFont val="Arial MT"/>
        <family val="2"/>
      </rPr>
      <t>465080 Spese c/rimb.somministr.lavoro</t>
    </r>
  </si>
  <si>
    <r>
      <rPr>
        <sz val="8"/>
        <rFont val="Arial MT"/>
        <family val="2"/>
      </rPr>
      <t>e) altri costi</t>
    </r>
  </si>
  <si>
    <r>
      <rPr>
        <b/>
        <sz val="8"/>
        <rFont val="Arial"/>
        <family val="2"/>
      </rPr>
      <t>Totale costi per il personale</t>
    </r>
  </si>
  <si>
    <r>
      <rPr>
        <vertAlign val="superscript"/>
        <sz val="7"/>
        <rFont val="Arial MT"/>
        <family val="2"/>
      </rPr>
      <t xml:space="preserve">10)   </t>
    </r>
    <r>
      <rPr>
        <sz val="8"/>
        <rFont val="Arial MT"/>
        <family val="2"/>
      </rPr>
      <t>Ammortamenti e svalutazioni:</t>
    </r>
  </si>
  <si>
    <r>
      <rPr>
        <sz val="8"/>
        <rFont val="Arial MT"/>
        <family val="2"/>
      </rPr>
      <t>471045 Amm.to conces.licenze marchi</t>
    </r>
  </si>
  <si>
    <r>
      <rPr>
        <sz val="8"/>
        <rFont val="Arial MT"/>
        <family val="2"/>
      </rPr>
      <t>471050 Amm.to migl.beni di terzi</t>
    </r>
  </si>
  <si>
    <r>
      <rPr>
        <sz val="8"/>
        <rFont val="Arial MT"/>
        <family val="2"/>
      </rPr>
      <t>a) ammortamento delle immobilizzazioni immateriali</t>
    </r>
  </si>
  <si>
    <r>
      <rPr>
        <sz val="8"/>
        <rFont val="Arial MT"/>
        <family val="2"/>
      </rPr>
      <t>472002 Amm.to macc.oper.ed imp.</t>
    </r>
  </si>
  <si>
    <r>
      <rPr>
        <sz val="8"/>
        <rFont val="Arial MT"/>
        <family val="2"/>
      </rPr>
      <t>472004 Amm.to imp.telef.elettr.condiz</t>
    </r>
  </si>
  <si>
    <r>
      <rPr>
        <sz val="8"/>
        <rFont val="Arial MT"/>
        <family val="2"/>
      </rPr>
      <t>472005 Amm.to impianti generici</t>
    </r>
  </si>
  <si>
    <r>
      <rPr>
        <sz val="8"/>
        <rFont val="Arial MT"/>
        <family val="2"/>
      </rPr>
      <t>472009 Amm.to escavatori e pale mec.</t>
    </r>
  </si>
  <si>
    <r>
      <rPr>
        <sz val="8"/>
        <rFont val="Arial MT"/>
        <family val="2"/>
      </rPr>
      <t>472011 Amm.to arredamento es.comm.</t>
    </r>
  </si>
  <si>
    <r>
      <rPr>
        <sz val="8"/>
        <rFont val="Arial MT"/>
        <family val="2"/>
      </rPr>
      <t>472012 Amm.to attrezzatura varia</t>
    </r>
  </si>
  <si>
    <r>
      <rPr>
        <sz val="8"/>
        <rFont val="Arial MT"/>
        <family val="2"/>
      </rPr>
      <t>472017 Amm.to parco autoveicoli</t>
    </r>
  </si>
  <si>
    <r>
      <rPr>
        <sz val="8"/>
        <rFont val="Arial MT"/>
        <family val="2"/>
      </rPr>
      <t>472020 Amm.to hardware e macch.uffic.</t>
    </r>
  </si>
  <si>
    <r>
      <rPr>
        <sz val="8"/>
        <rFont val="Arial MT"/>
        <family val="2"/>
      </rPr>
      <t>472022 Amm.to telefono cellulare</t>
    </r>
  </si>
  <si>
    <r>
      <rPr>
        <sz val="8"/>
        <rFont val="Arial MT"/>
        <family val="2"/>
      </rPr>
      <t>472030 Amm.to autovetture</t>
    </r>
  </si>
  <si>
    <r>
      <rPr>
        <sz val="8"/>
        <rFont val="Arial MT"/>
        <family val="2"/>
      </rPr>
      <t>472201 Amm.to costruzioni leggere</t>
    </r>
  </si>
  <si>
    <r>
      <rPr>
        <sz val="8"/>
        <rFont val="Arial MT"/>
        <family val="2"/>
      </rPr>
      <t>b) ammortamento delle immobilizzazioni materiali</t>
    </r>
  </si>
  <si>
    <r>
      <rPr>
        <sz val="8"/>
        <rFont val="Arial MT"/>
        <family val="2"/>
      </rPr>
      <t>d) svalutazione crediti attivo circolante e disponib.liquide</t>
    </r>
  </si>
  <si>
    <r>
      <rPr>
        <b/>
        <sz val="8"/>
        <rFont val="Arial"/>
        <family val="2"/>
      </rPr>
      <t>Totale ammortamenti e svalutazioni</t>
    </r>
  </si>
  <si>
    <r>
      <rPr>
        <sz val="8"/>
        <rFont val="Arial MT"/>
        <family val="2"/>
      </rPr>
      <t>480000 Esist. in. materie prime</t>
    </r>
  </si>
  <si>
    <r>
      <rPr>
        <sz val="8"/>
        <rFont val="Arial MT"/>
        <family val="2"/>
      </rPr>
      <t>480500 Rim.fin.materie prime</t>
    </r>
  </si>
  <si>
    <r>
      <rPr>
        <vertAlign val="superscript"/>
        <sz val="7"/>
        <rFont val="Arial MT"/>
        <family val="2"/>
      </rPr>
      <t xml:space="preserve">11)   </t>
    </r>
    <r>
      <rPr>
        <sz val="8"/>
        <rFont val="Arial MT"/>
        <family val="2"/>
      </rPr>
      <t>Variazioni rimanenze di materie prime, sussidiarie, di cons.</t>
    </r>
  </si>
  <si>
    <r>
      <rPr>
        <sz val="8"/>
        <rFont val="Arial MT"/>
        <family val="2"/>
      </rPr>
      <t>510003 Imposta di registro</t>
    </r>
  </si>
  <si>
    <r>
      <rPr>
        <sz val="8"/>
        <rFont val="Arial MT"/>
        <family val="2"/>
      </rPr>
      <t>510090 Bollo mezzi di trasporto</t>
    </r>
  </si>
  <si>
    <r>
      <rPr>
        <sz val="8"/>
        <rFont val="Arial MT"/>
        <family val="2"/>
      </rPr>
      <t>510091 Bollo autovetture</t>
    </r>
  </si>
  <si>
    <r>
      <rPr>
        <sz val="8"/>
        <rFont val="Arial MT"/>
        <family val="2"/>
      </rPr>
      <t>510120 Tassa vidimazione libri social</t>
    </r>
  </si>
  <si>
    <r>
      <rPr>
        <sz val="8"/>
        <rFont val="Arial MT"/>
        <family val="2"/>
      </rPr>
      <t>510160 Imposte di bollo</t>
    </r>
  </si>
  <si>
    <r>
      <rPr>
        <sz val="8"/>
        <rFont val="Arial MT"/>
        <family val="2"/>
      </rPr>
      <t>510161 Accise offica Elettrica</t>
    </r>
  </si>
  <si>
    <r>
      <rPr>
        <sz val="8"/>
        <rFont val="Arial MT"/>
        <family val="2"/>
      </rPr>
      <t>510170 Imposta di bollo virtuale</t>
    </r>
  </si>
  <si>
    <r>
      <rPr>
        <sz val="8"/>
        <rFont val="Arial MT"/>
        <family val="2"/>
      </rPr>
      <t>510210 IMU / IMI / IMIS</t>
    </r>
  </si>
  <si>
    <r>
      <rPr>
        <sz val="8"/>
        <rFont val="Arial MT"/>
        <family val="2"/>
      </rPr>
      <t>510230 Altre imposte</t>
    </r>
  </si>
  <si>
    <r>
      <rPr>
        <sz val="8"/>
        <rFont val="Arial MT"/>
        <family val="2"/>
      </rPr>
      <t>510240 Giornali e riviste</t>
    </r>
  </si>
  <si>
    <r>
      <rPr>
        <sz val="8"/>
        <rFont val="Arial MT"/>
        <family val="2"/>
      </rPr>
      <t>510280 Contributi associativi</t>
    </r>
  </si>
  <si>
    <r>
      <rPr>
        <sz val="8"/>
        <rFont val="Arial MT"/>
        <family val="2"/>
      </rPr>
      <t>510320 Omaggi e articoli promozionali</t>
    </r>
  </si>
  <si>
    <r>
      <rPr>
        <sz val="8"/>
        <rFont val="Arial MT"/>
        <family val="2"/>
      </rPr>
      <t>510340 Omaggi/art.promozionali &lt; 50 E</t>
    </r>
  </si>
  <si>
    <r>
      <rPr>
        <sz val="8"/>
        <rFont val="Arial MT"/>
        <family val="2"/>
      </rPr>
      <t>510360 Spese varie</t>
    </r>
  </si>
  <si>
    <r>
      <rPr>
        <sz val="8"/>
        <rFont val="Arial MT"/>
        <family val="2"/>
      </rPr>
      <t>510362 Costi non deducibili</t>
    </r>
  </si>
  <si>
    <r>
      <rPr>
        <sz val="8"/>
        <rFont val="Arial MT"/>
        <family val="2"/>
      </rPr>
      <t>510365 Oneri addebitati in fattura</t>
    </r>
  </si>
  <si>
    <r>
      <rPr>
        <sz val="8"/>
        <rFont val="Arial MT"/>
        <family val="2"/>
      </rPr>
      <t>510366 Spese rimborso danni</t>
    </r>
  </si>
  <si>
    <r>
      <rPr>
        <sz val="8"/>
        <rFont val="Arial MT"/>
        <family val="2"/>
      </rPr>
      <t>510367 Rimborso danni a terzi</t>
    </r>
  </si>
  <si>
    <r>
      <rPr>
        <sz val="8"/>
        <rFont val="Arial MT"/>
        <family val="2"/>
      </rPr>
      <t>510368 Spese rimborsi diversi</t>
    </r>
  </si>
  <si>
    <r>
      <rPr>
        <sz val="8"/>
        <rFont val="Arial MT"/>
        <family val="2"/>
      </rPr>
      <t>510371 Sanzione Agenzia Dogane</t>
    </r>
  </si>
  <si>
    <r>
      <rPr>
        <sz val="8"/>
        <rFont val="Arial MT"/>
        <family val="2"/>
      </rPr>
      <t>510374 Sanzioni e verbali cantieri</t>
    </r>
  </si>
  <si>
    <r>
      <rPr>
        <sz val="8"/>
        <rFont val="Arial MT"/>
        <family val="2"/>
      </rPr>
      <t>510380 Diritti camerali</t>
    </r>
  </si>
  <si>
    <r>
      <rPr>
        <sz val="8"/>
        <rFont val="Arial MT"/>
        <family val="2"/>
      </rPr>
      <t>510400 Valori bollati</t>
    </r>
  </si>
  <si>
    <r>
      <rPr>
        <sz val="8"/>
        <rFont val="Arial MT"/>
        <family val="2"/>
      </rPr>
      <t>510460 Spese condominiali imm.civili</t>
    </r>
  </si>
  <si>
    <r>
      <rPr>
        <sz val="8"/>
        <rFont val="Arial MT"/>
        <family val="2"/>
      </rPr>
      <t>510480 Multe automezzi</t>
    </r>
  </si>
  <si>
    <r>
      <rPr>
        <sz val="8"/>
        <rFont val="Arial MT"/>
        <family val="2"/>
      </rPr>
      <t>510520 Sopravv.e insussist.pass.</t>
    </r>
  </si>
  <si>
    <r>
      <rPr>
        <sz val="8"/>
        <rFont val="Arial MT"/>
        <family val="2"/>
      </rPr>
      <t>510600 Sconti abbuoni arrot. passivi</t>
    </r>
  </si>
  <si>
    <r>
      <rPr>
        <sz val="8"/>
        <rFont val="Arial MT"/>
        <family val="2"/>
      </rPr>
      <t>510640 Perdite su crediti commerciale</t>
    </r>
  </si>
  <si>
    <r>
      <rPr>
        <sz val="8"/>
        <rFont val="Arial MT"/>
        <family val="2"/>
      </rPr>
      <t>510680 Utilizzo fondi sval. crediti</t>
    </r>
  </si>
  <si>
    <r>
      <rPr>
        <sz val="8"/>
        <rFont val="Arial MT"/>
        <family val="2"/>
      </rPr>
      <t>510760 Erogazioni liberali</t>
    </r>
  </si>
  <si>
    <r>
      <rPr>
        <sz val="8"/>
        <rFont val="Arial MT"/>
        <family val="2"/>
      </rPr>
      <t>510780 Minus.str.cess.immob.non strum</t>
    </r>
  </si>
  <si>
    <r>
      <rPr>
        <sz val="8"/>
        <rFont val="Arial MT"/>
        <family val="2"/>
      </rPr>
      <t>510800 Minusvalenze patrim.ordinarie</t>
    </r>
  </si>
  <si>
    <r>
      <rPr>
        <sz val="8"/>
        <rFont val="Arial MT"/>
        <family val="2"/>
      </rPr>
      <t>510848 Perdite su IVA</t>
    </r>
  </si>
  <si>
    <r>
      <rPr>
        <sz val="8"/>
        <rFont val="Arial MT"/>
        <family val="2"/>
      </rPr>
      <t>510900 Sopravv.pass.c/ricavi</t>
    </r>
  </si>
  <si>
    <r>
      <rPr>
        <sz val="8"/>
        <rFont val="Arial MT"/>
        <family val="2"/>
      </rPr>
      <t>510910 Sopravv.pass.straordinarie</t>
    </r>
  </si>
  <si>
    <r>
      <rPr>
        <vertAlign val="superscript"/>
        <sz val="7"/>
        <rFont val="Arial MT"/>
        <family val="2"/>
      </rPr>
      <t xml:space="preserve">14)   </t>
    </r>
    <r>
      <rPr>
        <sz val="8"/>
        <rFont val="Arial MT"/>
        <family val="2"/>
      </rPr>
      <t>Oneri diversi di gestione</t>
    </r>
  </si>
  <si>
    <r>
      <rPr>
        <b/>
        <sz val="8"/>
        <rFont val="Arial"/>
        <family val="2"/>
      </rPr>
      <t>Totale costi della produzione</t>
    </r>
  </si>
  <si>
    <r>
      <rPr>
        <b/>
        <sz val="8"/>
        <rFont val="Arial"/>
        <family val="2"/>
      </rPr>
      <t>Differenza tra valore e costi produzione  (A - B)</t>
    </r>
  </si>
  <si>
    <r>
      <rPr>
        <b/>
        <vertAlign val="superscript"/>
        <sz val="7"/>
        <rFont val="Arial"/>
        <family val="2"/>
      </rPr>
      <t xml:space="preserve">C)  </t>
    </r>
    <r>
      <rPr>
        <b/>
        <sz val="8"/>
        <rFont val="Arial"/>
        <family val="2"/>
      </rPr>
      <t>Proventi e oneri finanziari:</t>
    </r>
  </si>
  <si>
    <r>
      <rPr>
        <vertAlign val="superscript"/>
        <sz val="7"/>
        <rFont val="Arial MT"/>
        <family val="2"/>
      </rPr>
      <t xml:space="preserve">15)   </t>
    </r>
    <r>
      <rPr>
        <sz val="8"/>
        <rFont val="Arial MT"/>
        <family val="2"/>
      </rPr>
      <t>Proventi da partecipazioni:</t>
    </r>
  </si>
  <si>
    <r>
      <rPr>
        <sz val="8"/>
        <rFont val="Arial MT"/>
        <family val="2"/>
      </rPr>
      <t>533000 Dividendi partec.in altre imp.</t>
    </r>
  </si>
  <si>
    <r>
      <rPr>
        <b/>
        <sz val="8"/>
        <rFont val="Arial"/>
        <family val="2"/>
      </rPr>
      <t>Totale proventi da partecipazioni</t>
    </r>
  </si>
  <si>
    <r>
      <rPr>
        <vertAlign val="superscript"/>
        <sz val="7"/>
        <rFont val="Arial MT"/>
        <family val="2"/>
      </rPr>
      <t xml:space="preserve">16)   </t>
    </r>
    <r>
      <rPr>
        <sz val="8"/>
        <rFont val="Arial MT"/>
        <family val="2"/>
      </rPr>
      <t>Altri proventi finanziari:</t>
    </r>
  </si>
  <si>
    <r>
      <rPr>
        <sz val="8"/>
        <rFont val="Arial MT"/>
        <family val="2"/>
      </rPr>
      <t>d) proventi diversi dai precedenti:</t>
    </r>
  </si>
  <si>
    <r>
      <rPr>
        <sz val="8"/>
        <rFont val="Arial MT"/>
        <family val="2"/>
      </rPr>
      <t>544000 Interessi attivi su depositi</t>
    </r>
  </si>
  <si>
    <r>
      <rPr>
        <sz val="8"/>
        <rFont val="Arial MT"/>
        <family val="2"/>
      </rPr>
      <t>544080 Sconti finanziari attivi</t>
    </r>
  </si>
  <si>
    <r>
      <rPr>
        <sz val="8"/>
        <rFont val="Arial MT"/>
        <family val="2"/>
      </rPr>
      <t>544081 Interessi attivi diversi</t>
    </r>
  </si>
  <si>
    <r>
      <rPr>
        <b/>
        <sz val="8"/>
        <rFont val="Arial"/>
        <family val="2"/>
      </rPr>
      <t>Totale proventi diversi dai precedenti</t>
    </r>
  </si>
  <si>
    <r>
      <rPr>
        <b/>
        <sz val="8"/>
        <rFont val="Arial"/>
        <family val="2"/>
      </rPr>
      <t>Totale altri proventi finanziari</t>
    </r>
  </si>
  <si>
    <r>
      <rPr>
        <vertAlign val="superscript"/>
        <sz val="7"/>
        <rFont val="Arial MT"/>
        <family val="2"/>
      </rPr>
      <t xml:space="preserve">17)      </t>
    </r>
    <r>
      <rPr>
        <sz val="8"/>
        <rFont val="Arial MT"/>
        <family val="2"/>
      </rPr>
      <t>Interessi e altri oneri finanziari:</t>
    </r>
  </si>
  <si>
    <r>
      <rPr>
        <sz val="8"/>
        <rFont val="Arial MT"/>
        <family val="2"/>
      </rPr>
      <t>554000 Interessi pass.su c/c</t>
    </r>
  </si>
  <si>
    <r>
      <rPr>
        <sz val="8"/>
        <rFont val="Arial MT"/>
        <family val="2"/>
      </rPr>
      <t>554031 Corrisp.disponibil. creditizia</t>
    </r>
  </si>
  <si>
    <r>
      <rPr>
        <sz val="8"/>
        <rFont val="Arial MT"/>
        <family val="2"/>
      </rPr>
      <t>554120 Interessi pass.c/finanz.</t>
    </r>
  </si>
  <si>
    <r>
      <rPr>
        <sz val="8"/>
        <rFont val="Arial MT"/>
        <family val="2"/>
      </rPr>
      <t>554130 Interessi pass.c/finanz. auto</t>
    </r>
  </si>
  <si>
    <r>
      <rPr>
        <sz val="8"/>
        <rFont val="Arial MT"/>
        <family val="2"/>
      </rPr>
      <t>554160 Contrib.es.c/interessi finanz.</t>
    </r>
  </si>
  <si>
    <r>
      <rPr>
        <sz val="8"/>
        <rFont val="Arial MT"/>
        <family val="2"/>
      </rPr>
      <t>554240 Interessi pass.di mora</t>
    </r>
  </si>
  <si>
    <r>
      <rPr>
        <sz val="8"/>
        <rFont val="Arial MT"/>
        <family val="2"/>
      </rPr>
      <t>554280 Sconti finanziari passivi</t>
    </r>
  </si>
  <si>
    <r>
      <rPr>
        <sz val="8"/>
        <rFont val="Arial MT"/>
        <family val="2"/>
      </rPr>
      <t>554320 Interessi pass.su altri debiti</t>
    </r>
  </si>
  <si>
    <r>
      <rPr>
        <sz val="8"/>
        <rFont val="Arial MT"/>
        <family val="2"/>
      </rPr>
      <t>554321 Interessi pass.non ded.</t>
    </r>
  </si>
  <si>
    <r>
      <rPr>
        <sz val="8"/>
        <rFont val="Arial MT"/>
        <family val="2"/>
      </rPr>
      <t>554340 Interessi rateizzaz. imposte</t>
    </r>
  </si>
  <si>
    <r>
      <rPr>
        <b/>
        <sz val="8"/>
        <rFont val="Arial"/>
        <family val="2"/>
      </rPr>
      <t>Totale interessi e altri oneri finanziari</t>
    </r>
  </si>
  <si>
    <r>
      <rPr>
        <sz val="8"/>
        <rFont val="Arial MT"/>
        <family val="2"/>
      </rPr>
      <t>556000 Perdite su cambi</t>
    </r>
  </si>
  <si>
    <r>
      <rPr>
        <vertAlign val="superscript"/>
        <sz val="7"/>
        <rFont val="Arial MT"/>
        <family val="2"/>
      </rPr>
      <t xml:space="preserve">17-bis      </t>
    </r>
    <r>
      <rPr>
        <sz val="8"/>
        <rFont val="Arial MT"/>
        <family val="2"/>
      </rPr>
      <t>Utili e perdite su cambi</t>
    </r>
  </si>
  <si>
    <r>
      <rPr>
        <b/>
        <sz val="8"/>
        <rFont val="Arial"/>
        <family val="2"/>
      </rPr>
      <t>Totale proventi e oneri finanz. (15 + 16 - 17 + - 17 bis)</t>
    </r>
  </si>
  <si>
    <r>
      <rPr>
        <b/>
        <sz val="8"/>
        <rFont val="Arial"/>
        <family val="2"/>
      </rPr>
      <t>Risultato prima delle imposte (A - B + - C + - D)</t>
    </r>
  </si>
  <si>
    <r>
      <rPr>
        <vertAlign val="superscript"/>
        <sz val="7"/>
        <rFont val="Arial MT"/>
        <family val="2"/>
      </rPr>
      <t xml:space="preserve">20)      </t>
    </r>
    <r>
      <rPr>
        <sz val="8"/>
        <rFont val="Arial MT"/>
        <family val="2"/>
      </rPr>
      <t>Imposte sul reddito d'esercizio, correnti, differite e ant.:</t>
    </r>
  </si>
  <si>
    <r>
      <rPr>
        <sz val="8"/>
        <rFont val="Arial MT"/>
        <family val="2"/>
      </rPr>
      <t>831000 Imposte d'esercizio</t>
    </r>
  </si>
  <si>
    <r>
      <rPr>
        <sz val="8"/>
        <rFont val="Arial MT"/>
        <family val="2"/>
      </rPr>
      <t>imposte correnti</t>
    </r>
  </si>
  <si>
    <r>
      <rPr>
        <sz val="8"/>
        <rFont val="Arial MT"/>
        <family val="2"/>
      </rPr>
      <t>832001 Imposte differite</t>
    </r>
  </si>
  <si>
    <r>
      <rPr>
        <sz val="8"/>
        <rFont val="Arial MT"/>
        <family val="2"/>
      </rPr>
      <t>imposte differite e anticipate</t>
    </r>
  </si>
  <si>
    <r>
      <rPr>
        <sz val="8"/>
        <rFont val="Arial MT"/>
        <family val="2"/>
      </rPr>
      <t>proventi (oneri) al reg.consolidato fiscale/trasparenza fisc</t>
    </r>
  </si>
  <si>
    <r>
      <rPr>
        <b/>
        <sz val="8"/>
        <rFont val="Arial"/>
        <family val="2"/>
      </rPr>
      <t>Totale imposte sul reddito d'es.,correnti,differite,antic.</t>
    </r>
  </si>
  <si>
    <r>
      <rPr>
        <sz val="8"/>
        <rFont val="Arial MT"/>
        <family val="2"/>
      </rPr>
      <t>042001 Stato avanzamento lavori iniz.</t>
    </r>
  </si>
  <si>
    <r>
      <rPr>
        <sz val="8"/>
        <rFont val="Arial MT"/>
        <family val="2"/>
      </rPr>
      <t>042040 Prodotti in lavoraz. esist. in</t>
    </r>
  </si>
  <si>
    <r>
      <rPr>
        <sz val="8"/>
        <rFont val="Arial MT"/>
        <family val="2"/>
      </rPr>
      <t>044003 Fabbricati c/rim.iniziali</t>
    </r>
  </si>
  <si>
    <r>
      <rPr>
        <sz val="8"/>
        <rFont val="Arial MT"/>
        <family val="2"/>
      </rPr>
      <t>044303 Prodotti finiti esist. in.</t>
    </r>
  </si>
  <si>
    <r>
      <rPr>
        <sz val="8"/>
        <rFont val="Arial MT"/>
        <family val="2"/>
      </rPr>
      <t>281445 Terzi per beni in locazione</t>
    </r>
  </si>
  <si>
    <r>
      <rPr>
        <sz val="8"/>
        <rFont val="Arial MT"/>
        <family val="2"/>
      </rPr>
      <t>281560 Creditori c/leasing</t>
    </r>
  </si>
  <si>
    <r>
      <rPr>
        <sz val="8"/>
        <rFont val="Arial MT"/>
        <family val="2"/>
      </rPr>
      <t>Conti d'ordine esclusi</t>
    </r>
  </si>
  <si>
    <t>CE</t>
  </si>
  <si>
    <t>Rimanenze</t>
  </si>
  <si>
    <t>Crediti commerciali</t>
  </si>
  <si>
    <t>Debiti commerciali</t>
  </si>
  <si>
    <t>Altri crediti</t>
  </si>
  <si>
    <t>Altri debiti</t>
  </si>
  <si>
    <t>Riserva rivalutazione</t>
  </si>
  <si>
    <t>Debiti verso soci finanziatori</t>
  </si>
  <si>
    <t>Ricavi Proventi Gestionali</t>
  </si>
  <si>
    <t>Materie Prime</t>
  </si>
  <si>
    <t>Variazione rimanenze MP</t>
  </si>
  <si>
    <t>051205 Disp.antic.fatture unicredit</t>
  </si>
  <si>
    <t>055240 Erario c/crediti ires</t>
  </si>
  <si>
    <t>055320 Erario c/crediti irap</t>
  </si>
  <si>
    <t>055480 Crediti tributari diversi oes</t>
  </si>
  <si>
    <t>057370 Cred.v/vilca spa rit.gar</t>
  </si>
  <si>
    <t>057371 Cred.v/notarimpresa rit.gar</t>
  </si>
  <si>
    <t>057372 Cred.v/mangiavacchi pedercini</t>
  </si>
  <si>
    <t>057373 Cred.v/preve rit.gar.</t>
  </si>
  <si>
    <t>057374 Cred.v/edile enginee rit. gar.</t>
  </si>
  <si>
    <t>057375 Cred.v/polistrade rit.gara</t>
  </si>
  <si>
    <t>057376 Cred.v/euromilano ritenute gar</t>
  </si>
  <si>
    <t>057377 Cred.v/ri.ca costr.riten.garan</t>
  </si>
  <si>
    <t>057378 Cred.v/pac ritenute garanz</t>
  </si>
  <si>
    <t>057379 Cred.v/cla l'avvenire ritenute</t>
  </si>
  <si>
    <t>057380 Cred.v/strabag ritenute g</t>
  </si>
  <si>
    <t>057381 Cred.v/co.ge.fa. rit.garanzia</t>
  </si>
  <si>
    <t>057382 Cred.v/luigi notarispa rit.gar</t>
  </si>
  <si>
    <t>057383 Cred.v/valdadige rit.garanzia</t>
  </si>
  <si>
    <t>057384 Cred.v/consorzio cociv rit.gar</t>
  </si>
  <si>
    <t>057386 Cred.v/givo company rit.gar</t>
  </si>
  <si>
    <t>057387 Cred.v/metroblu rit.gar</t>
  </si>
  <si>
    <t>057389 Cred.v/people mover rit.gar</t>
  </si>
  <si>
    <t>057440 Crediti v/istituti previd.ees</t>
  </si>
  <si>
    <t>070003 Ubi c/c 15316</t>
  </si>
  <si>
    <t>070004 Credem c/c 4070</t>
  </si>
  <si>
    <t>070009 Credem c/ded.letimbro 4117</t>
  </si>
  <si>
    <t>070012 Credem c/ded.strabag lom.4137</t>
  </si>
  <si>
    <t>070014 Credem c/ded.tiliaventum 4153</t>
  </si>
  <si>
    <t>150002 Banca bpm ant. fatt. c/1409</t>
  </si>
  <si>
    <t>150014 Banca mps ant. fatt.</t>
  </si>
  <si>
    <t>150015 Unicredit c/anticipi ees</t>
  </si>
  <si>
    <t>150024 Cred.padano ant. fatt. c/20148</t>
  </si>
  <si>
    <t>150161 Mutuo intesa0367074397438-Audi</t>
  </si>
  <si>
    <t>150162 Mutuo pop.montichiari 02929503</t>
  </si>
  <si>
    <t>150165 Mutuo intesa 905131</t>
  </si>
  <si>
    <t>150167 Mutuo credem 7150217</t>
  </si>
  <si>
    <t>150168 Mutuo bpm 03891242</t>
  </si>
  <si>
    <t>150169 Finanziamento mps 741850291.14</t>
  </si>
  <si>
    <t>150172 Finanziamento credem 07295282</t>
  </si>
  <si>
    <t>150173 Finanziamento intesa 44560025</t>
  </si>
  <si>
    <t>150189 Mutuo intesa 0367074042581</t>
  </si>
  <si>
    <t>150190 Mutuo intesa 0367074283256</t>
  </si>
  <si>
    <t>230400 Debiti per cauzioni ees</t>
  </si>
  <si>
    <t>310000 Proventi gestionali</t>
  </si>
  <si>
    <t>371601 Rimborso autov.uso dip.</t>
  </si>
  <si>
    <t>371607 Rimborsi diversi</t>
  </si>
  <si>
    <t>371810 Sopravv.att.c/servizi</t>
  </si>
  <si>
    <t>430002 Fabbricati  c/acquisti</t>
  </si>
  <si>
    <t>430040 Premi su acquisti merci</t>
  </si>
  <si>
    <t>440280 Assicurazioni</t>
  </si>
  <si>
    <t>440282 Spese polizze fidejussorie</t>
  </si>
  <si>
    <t>440480 Spese rappresentanza</t>
  </si>
  <si>
    <t>441201 Sp. occupaz. area pubb.</t>
  </si>
  <si>
    <t>441400 Provvigioni passive</t>
  </si>
  <si>
    <t>442763 Spese ricambi x manut.interna</t>
  </si>
  <si>
    <t>450250 Canoni software</t>
  </si>
  <si>
    <t>472008 Amm.to mezzi loc.interni</t>
  </si>
  <si>
    <t>510050 T.a.s.i.</t>
  </si>
  <si>
    <t>510120 Tasse concessioni governative</t>
  </si>
  <si>
    <t>510369 Oneri diversi di gestione</t>
  </si>
  <si>
    <t>510840 Perdite su iva</t>
  </si>
  <si>
    <t>544040 Interessi attivi da clienti</t>
  </si>
  <si>
    <t>554200 Interessi pass. a fornitori</t>
  </si>
  <si>
    <t>831170 Sanzioni imposte dirette es.pr</t>
  </si>
  <si>
    <t>150176 Finanziamento CREDEM 7563530</t>
  </si>
  <si>
    <t>057270 Cr.imposta investimenti cO-19</t>
  </si>
  <si>
    <t>057445 Credito inail c/rimb.</t>
  </si>
  <si>
    <t>371900 Risarcimenti diversi</t>
  </si>
  <si>
    <t>375001 Contributi comunali</t>
  </si>
  <si>
    <t>375120 Contrib.sp.sanificazione CO-19</t>
  </si>
  <si>
    <t>375130 Ctr.adeguamento ambienti CO-19</t>
  </si>
  <si>
    <t>375170 Contrib.beni strumentali 2020</t>
  </si>
  <si>
    <t>375180 Contrib.beni strumentali</t>
  </si>
  <si>
    <t>430006 Sconti attivi fornitori</t>
  </si>
  <si>
    <t>441000 Aggiornamento professionale</t>
  </si>
  <si>
    <t>070002 Bca pop. montichiari-creberg</t>
  </si>
  <si>
    <t>070003 Banco di brescia c/c 15316</t>
  </si>
  <si>
    <t>150002 Bca pop.mont.creberg-ant.fatt</t>
  </si>
  <si>
    <t>150003 Ubi bancobs anticipo fatture</t>
  </si>
  <si>
    <r>
      <rPr>
        <b/>
        <vertAlign val="superscript"/>
        <sz val="7"/>
        <rFont val="Arial"/>
        <family val="2"/>
      </rPr>
      <t xml:space="preserve">D) </t>
    </r>
    <r>
      <rPr>
        <b/>
        <sz val="8"/>
        <rFont val="Arial"/>
        <family val="2"/>
      </rPr>
      <t>Ratei e risconti</t>
    </r>
  </si>
  <si>
    <r>
      <rPr>
        <b/>
        <vertAlign val="superscript"/>
        <sz val="7"/>
        <rFont val="Arial"/>
        <family val="2"/>
      </rPr>
      <t>E)</t>
    </r>
    <r>
      <rPr>
        <b/>
        <sz val="8"/>
        <rFont val="Arial"/>
        <family val="2"/>
      </rPr>
      <t>Ratei e risconti</t>
    </r>
  </si>
  <si>
    <r>
      <rPr>
        <b/>
        <vertAlign val="superscript"/>
        <sz val="7"/>
        <rFont val="Arial"/>
        <family val="2"/>
      </rPr>
      <t xml:space="preserve">21)  </t>
    </r>
    <r>
      <rPr>
        <b/>
        <sz val="8"/>
        <rFont val="Arial"/>
        <family val="2"/>
      </rPr>
      <t>Utile (perdita) dell'esercizio</t>
    </r>
  </si>
  <si>
    <t>Variazioni rimanenze</t>
  </si>
  <si>
    <t>Variazione CCN</t>
  </si>
  <si>
    <t>Variazione altri crediti/(debiti)</t>
  </si>
  <si>
    <t>Variazione Net Working Capital</t>
  </si>
  <si>
    <t>Variazione fondi</t>
  </si>
  <si>
    <t>Variazione TFR</t>
  </si>
  <si>
    <t>18-19</t>
  </si>
  <si>
    <t>19-20</t>
  </si>
  <si>
    <t>20-21</t>
  </si>
  <si>
    <t>21-22</t>
  </si>
  <si>
    <t>22-23</t>
  </si>
  <si>
    <t>23-24</t>
  </si>
  <si>
    <t>24-25</t>
  </si>
  <si>
    <t>25-26</t>
  </si>
  <si>
    <t>YOY</t>
  </si>
  <si>
    <t>Media 18-22</t>
  </si>
  <si>
    <t>Conti</t>
  </si>
  <si>
    <t>contributi in conto esercizio</t>
  </si>
  <si>
    <t>Totale valore della produzione</t>
  </si>
  <si>
    <t>310003 Sconti passivi clienti</t>
  </si>
  <si>
    <t>310005 Altri ricavi</t>
  </si>
  <si>
    <t>310006 Vendita materiali</t>
  </si>
  <si>
    <t>310007 Ritenute di garanzia</t>
  </si>
  <si>
    <t>310008 Noli a caldo</t>
  </si>
  <si>
    <t>340101 Stato avanzamento lavoro iniz.</t>
  </si>
  <si>
    <t>340303 Rim.iniziali fabbricati</t>
  </si>
  <si>
    <t>340601 Stato avanzamento lavori fin.</t>
  </si>
  <si>
    <t>340803 Rim.finali fabbricati</t>
  </si>
  <si>
    <t>375000 Contributi in c/esercizio</t>
  </si>
  <si>
    <t>371000 Proventi diversi</t>
  </si>
  <si>
    <t>371001 Proventi diversi non tassabili</t>
  </si>
  <si>
    <t>371002 Rimborso accise mezzi cantiere</t>
  </si>
  <si>
    <t>371080 Rimborsi addebitati a clienti</t>
  </si>
  <si>
    <t>371120 Rimb.pers.distaccato tempo det</t>
  </si>
  <si>
    <t>371171 Vend. rottami ferrosi/batterie</t>
  </si>
  <si>
    <t>371200 Locazioni attive beni mobili</t>
  </si>
  <si>
    <t>371360 Plusvalenze patrim.ordinarie</t>
  </si>
  <si>
    <t>371480 Cess.contratto leasing</t>
  </si>
  <si>
    <t>371520 Sopravvenienze att. ordinarie</t>
  </si>
  <si>
    <t>371560 Contributi ordinari c/capitale</t>
  </si>
  <si>
    <t>371602 Rimborsi assicurativi</t>
  </si>
  <si>
    <t>371603 Rimborsi Prevedi / Cape BS</t>
  </si>
  <si>
    <t>371606 Risarcimento danni</t>
  </si>
  <si>
    <t>371608 Rimborso accise trasp.e ssn</t>
  </si>
  <si>
    <t>371640 Sconti abbuoni arrotond.attivi</t>
  </si>
  <si>
    <t>371720 Rendite su IVA</t>
  </si>
  <si>
    <t>371820 Sopravv.att.c/spese</t>
  </si>
  <si>
    <t>371840 Sopravv.att.straordinarie</t>
  </si>
  <si>
    <t>371850 Sopravv.att.str. tributarie</t>
  </si>
  <si>
    <t>371960 Contrib.beni strumentali 2020</t>
  </si>
  <si>
    <t>371970 Contrib.beni strumentali</t>
  </si>
  <si>
    <t>Totale altri ricavi e proventi</t>
  </si>
  <si>
    <r>
      <rPr>
        <b/>
        <vertAlign val="superscript"/>
        <sz val="9"/>
        <rFont val="Calibri"/>
        <family val="2"/>
        <scheme val="minor"/>
      </rPr>
      <t xml:space="preserve">1)   </t>
    </r>
    <r>
      <rPr>
        <b/>
        <sz val="9"/>
        <rFont val="Calibri"/>
        <family val="2"/>
        <scheme val="minor"/>
      </rPr>
      <t>Ricavi delle vendite e delle prestazioni</t>
    </r>
  </si>
  <si>
    <r>
      <rPr>
        <b/>
        <vertAlign val="superscript"/>
        <sz val="9"/>
        <rFont val="Calibri"/>
        <family val="2"/>
        <scheme val="minor"/>
      </rPr>
      <t xml:space="preserve">2)   </t>
    </r>
    <r>
      <rPr>
        <b/>
        <sz val="9"/>
        <rFont val="Calibri"/>
        <family val="2"/>
        <scheme val="minor"/>
      </rPr>
      <t>Variaz.rimanenze di prodotti in corso lav., semilav.e finiti</t>
    </r>
  </si>
  <si>
    <r>
      <rPr>
        <vertAlign val="superscript"/>
        <sz val="9"/>
        <rFont val="Calibri"/>
        <family val="2"/>
        <scheme val="minor"/>
      </rPr>
      <t xml:space="preserve">5)   </t>
    </r>
    <r>
      <rPr>
        <sz val="9"/>
        <rFont val="Calibri"/>
        <family val="2"/>
        <scheme val="minor"/>
      </rPr>
      <t>Altri ricavi e proventi:</t>
    </r>
  </si>
  <si>
    <r>
      <rPr>
        <sz val="9"/>
        <rFont val="Calibri"/>
        <family val="2"/>
        <scheme val="minor"/>
      </rPr>
      <t>altri</t>
    </r>
  </si>
  <si>
    <t>CAGR 18-22</t>
  </si>
  <si>
    <t>CAGR 20-22</t>
  </si>
  <si>
    <t>CAGR 18-21</t>
  </si>
  <si>
    <t>% Ricavi Vendite</t>
  </si>
  <si>
    <t>CAGR 22-27</t>
  </si>
  <si>
    <t>Costi</t>
  </si>
  <si>
    <t>% Ricavi Vendita</t>
  </si>
  <si>
    <t>450000 Locazioni passive immobili</t>
  </si>
  <si>
    <t>450090 Locazioni pass. imm. abitativi</t>
  </si>
  <si>
    <t>450120 Canoni leasing finanziario</t>
  </si>
  <si>
    <t>450140 Canoni leasing finanz. auto</t>
  </si>
  <si>
    <t>450160 Canoni leasing operativo</t>
  </si>
  <si>
    <t>450200 Locazioni passive altri beni</t>
  </si>
  <si>
    <t>450220 Locazioni passive auto</t>
  </si>
  <si>
    <t>450240 Canoni software</t>
  </si>
  <si>
    <t>450241 Canoni passivi diversi</t>
  </si>
  <si>
    <t>450280 Interessi indiciz. leasing</t>
  </si>
  <si>
    <t>450340 Interessi leasing finanz. auto</t>
  </si>
  <si>
    <r>
      <rPr>
        <b/>
        <vertAlign val="superscript"/>
        <sz val="7"/>
        <rFont val="Arial MT"/>
        <family val="2"/>
      </rPr>
      <t xml:space="preserve">8)   </t>
    </r>
    <r>
      <rPr>
        <b/>
        <sz val="8"/>
        <rFont val="Arial MT"/>
        <family val="2"/>
      </rPr>
      <t>per godimento di beni di terzi</t>
    </r>
  </si>
  <si>
    <t>Tax</t>
  </si>
  <si>
    <t>%Taxes/EBT</t>
  </si>
  <si>
    <t>Totale costi del personale</t>
  </si>
  <si>
    <t>N.Dipendenti</t>
  </si>
  <si>
    <t>% Saliri e Stipendi</t>
  </si>
  <si>
    <t>Costo per dipendente</t>
  </si>
  <si>
    <t>YoY Dipendenti</t>
  </si>
  <si>
    <t>YoY Costo Medio</t>
  </si>
  <si>
    <t>%Trasferte/Retribuzione</t>
  </si>
  <si>
    <t>Capitale Circolante Netto</t>
  </si>
  <si>
    <t>Magazzino</t>
  </si>
  <si>
    <t>CAPITALE CIRCOLANTE NETTO</t>
  </si>
  <si>
    <t>Altri fondi</t>
  </si>
  <si>
    <t>CIN (netto immobilizzazioni)</t>
  </si>
  <si>
    <t>Giorni di rotazione</t>
  </si>
  <si>
    <t>Crediti vs clienti</t>
  </si>
  <si>
    <t>Altre attività</t>
  </si>
  <si>
    <t>Altre passività</t>
  </si>
  <si>
    <t>Rimanenze Materie prime</t>
  </si>
  <si>
    <t>Costi materie prime</t>
  </si>
  <si>
    <t>Immobilizzazioni Materiali</t>
  </si>
  <si>
    <t>Ammortamenti Materiali</t>
  </si>
  <si>
    <t>%Capex/Revenues</t>
  </si>
  <si>
    <t>Immobilizzazioni Materiali esistenti</t>
  </si>
  <si>
    <t>delta</t>
  </si>
  <si>
    <t>Marchio</t>
  </si>
  <si>
    <t>NOTEBOOK + OFFICE+ MOUSE WIRELESS</t>
  </si>
  <si>
    <t>N. 2 PC (ANNA E LOREDANA) COMPRENSIVI DI OFFICE HOME&amp; BUSINESS</t>
  </si>
  <si>
    <t>PC I5 - 8GB - 500GB M.2 + MONITOR HANNSPREE 24</t>
  </si>
  <si>
    <t>SERVER PER GESTIONALE COMPRENSIVO DI N. 4 LICENZE WINDOWS E PENDRIVE</t>
  </si>
  <si>
    <t>N. 2 Notebook HP 250 g9-cpu intel i5 matr. CND23118F3 - CND23117PR</t>
  </si>
  <si>
    <t xml:space="preserve"> N. 2 Notebook HP 250 g9-cpu intel i5 matr. CND23118F3 - CND23117PR</t>
  </si>
  <si>
    <t>FORNITURE E POSA POMPA DI CALORE AERMEC MOD.WRL180XH-VP  MATR.2205006772170001 (UFFIC I CARPENEDOLO)</t>
  </si>
  <si>
    <t>IMPIANTO PER IL TRATTAMENTO DELLE ACQUE DI CARENAGGIO E PRIMA PIOGGIA (DEPURATORE) CA SALMORO</t>
  </si>
  <si>
    <t>ISOLA ECO260 2,6X2X2,2 TETTO PARI VASCA IN GRIGLIATO CON RAMPA PER STOCCAGGIO OLI E S OSTANZE USATE</t>
  </si>
  <si>
    <t>CARROPONTE MAG.CASALMORO COMPOSTO DA GRU BITRAVE A CASSONE PORT. KG.16.000 MATR.1934 ANNO 2022 COMPLETA DI TRAVI+RADIOCOMANDO+LINEA DI ALIMENTAZIONE</t>
  </si>
  <si>
    <t xml:space="preserve"> SERBATOIO DA ESTERNO PER GASOLIO CAP.3000 LT COMPLETO DI BACINO DI CONTENIMENTO MATR. 78306 , GRUPPO EROGATORE, BOX COPERTURA</t>
  </si>
  <si>
    <t>GRUPPO ELETTROGENO ELCOS040S USATO DA 40 KVA INSONORIZZATO MATR.3017 CON QUADRO DI AV VIAMENTO MANUALE - ANNO: 2003</t>
  </si>
  <si>
    <t>SALDATRICE MIG 350 AMP (REVISIONATA) C/TRAINAFILO SGANC. PACCO CAVI 3 MT + TORCIA MB2</t>
  </si>
  <si>
    <t>ASTA 4X11 BLOCCAGGIO D.508</t>
  </si>
  <si>
    <t>BUCKET USATO REVISIONATO D.1000 SP.20 H.1500</t>
  </si>
  <si>
    <t>ELETTROPOMPA VARISCO J156.5 TWGS/MC 11 KW MATR.0000004 USATA</t>
  </si>
  <si>
    <t>N.2 KIT ORBITAL JET MOD. VISION mat. 18-32-006 19-32-037</t>
  </si>
  <si>
    <t>DRONE DJI MINI 3 PRO RC CON FOTOCAMERA</t>
  </si>
  <si>
    <t>IDROPULITRICE HDS 5/15 U NEW 2017 - MATR. 27604 COMPRENSIVA DI UGELLO ROTANTE DN 35 H D/HDS</t>
  </si>
  <si>
    <t>ASTA KELLY PER CASAGRANDE B180 A FRIZIONE 5X12,5 M - DIAM. 419MM - PROF.SCAVO 58M cod ice ACAF512558</t>
  </si>
  <si>
    <t>Acquisto N.Prot.08788 FT. 1005 DEL 24/11/22</t>
  </si>
  <si>
    <t xml:space="preserve"> NOVASONIC U5700 RILEVATORE ULTRASUONI MULTICANALE CROSS-HOLE S/N: U71710002NE</t>
  </si>
  <si>
    <t>FIAT DOBLO' TARGA:FP231TR -- TELAIO: ZFA26300006K27227 COMPRESO PASSAGGIO (RISCATTO D A UBI LEASING)</t>
  </si>
  <si>
    <t>FIAT FIORINO -- TARGA: FP238TR - TELAIO: ZFA22500006K36537 COMPRESO PASSAGGIO (RISCAT TO DA UBI LEASING)</t>
  </si>
  <si>
    <t>FIAT FIORINO -- TARGA: FP226TR - TELAIO: ZFA22500006K36599 COMPRESO PASSAGGIO (RISCAT TO DA UBI LEASING)</t>
  </si>
  <si>
    <t>RIMORCHIO BERTOJA MOD.SC260 TIPO R3A -- TARGA:  -- TELAIO: ZA9SC260019A13984</t>
  </si>
  <si>
    <t>FIAT DOBLO' CARGO EURO 6 1.6 MULTIJET 105CV - TARGA : GH521AL - TELAIO : ZFA26300006W19032</t>
  </si>
  <si>
    <t>FIAT DOBLO' CARGO EURO 6 1.6 MULTIJET 105CV - TARGA: GH498AL - TELAIO : ZFA26300006V94324</t>
  </si>
  <si>
    <t>FIAT DOBLO' CARGO EURO 6D 1.6 MULTIJET 105CV - TARGA: GH285AP - TELAIO: ZFA26300006W33684</t>
  </si>
  <si>
    <t>FIAT DOBLO' CARGO EURO 6D 1.6 MULTIJET 105CV - TARGA: GH285AP - TELAIO: ZFA26300006W30239</t>
  </si>
  <si>
    <t>FIAT 500L POP STAR 1.6MJT 120CV - TARGA: FT684HJ - TELAIO: ZFA19900005486188 - RISCATTO DA FCA BANK (comprensivo passaggio proprietà)</t>
  </si>
  <si>
    <t>IVECO DAILY 35S12D CABINATO CON CASSONE -- TARGA: FV227JH -- TELAIO: ZCFC1358705288878 (riscatto da Unicredit)</t>
  </si>
  <si>
    <t>LAVORI EXTRA ALLESTIMENTO GRU CORMACH 95000 MONTATA SU CAMION IVECO TELAIO WJMJ63MU80 C460360 (LEASING MPS)</t>
  </si>
  <si>
    <t xml:space="preserve"> DAILY CABINATO INF.35 Q.LI IVECO 35S12 TARGA: FS754AA - TELAIO : ZCFC1358705237882 (R ISCATTO DA CNH IVECO)</t>
  </si>
  <si>
    <t>IVECO DAILY 35 S12D CON CASSONE FISSO - TARGA : FJ231CN - TELAIO : ZCFC2338105167134</t>
  </si>
  <si>
    <t xml:space="preserve"> IVECO DAILY 33 S12D CON CASSONE FISSO - TARGA: FJ409CN - TELAIO : ZCFC2338105166839</t>
  </si>
  <si>
    <t>PEUGEOT BOXER ANNO 2014 CABINA DOPPIA TARGA: FC903VR - TELAIO: VF3YDUMHU12B03484 USAT O (ARVAL)</t>
  </si>
  <si>
    <t>PEUGEOT BOXER ANNO 2014 CABINA DOPPIA - TARGA: FE050EA - TELAIO: VF3YDUMHU12B07228 US ATO (ARVAL)</t>
  </si>
  <si>
    <t xml:space="preserve"> VEICOLO CABINATO IVECO DAILY INF.35 Q.LI - TARGA: FY943LG - TELAIO : ZCFC135800531049</t>
  </si>
  <si>
    <t>FIAT 500L N1 PRO POP STAR 1.6MJT 120 CV -- TARGA: FR698ZV -- TELAIO: ZFA1990000543151</t>
  </si>
  <si>
    <t>FIAT 500L N1 PRO POP STAR 1.6MJT 120CV --  TARGA : FN014BW -- TELAIO : ZFA19900005412472</t>
  </si>
  <si>
    <t>FIAT 500L N1 PRO POP STAR 1.6MJT 120CV -- TARGA: FR696ZV -- TELAIO: ZFA1990000542784 (RISCATTO DA INTESA - EX UBI LEASING)</t>
  </si>
  <si>
    <t xml:space="preserve"> FIAT 500L N1 PRO POP STAR 1.6MJT 120CV -- TARGA: FR699ZV -- TELAIO : ZFA19900005408518</t>
  </si>
  <si>
    <t>NISSAN NAVARA DOUBLE CAB 4WD LE ANNO 12/2007 - TARGA: DM907AX - TELAIO: VSKCVND40U0247113</t>
  </si>
  <si>
    <t xml:space="preserve"> FIAT LCV DUCATO CABINATO DOPPIA CABINA 35MH1 -- TARGA: FM314PX -- TELAIO : ZFA25000002E77432</t>
  </si>
  <si>
    <t>FIAT LCV DUCATO CABINATO DOPPIA CABINA 35 MH1 -- TARGA: FM311PX -- TELAIO: ZFA25000002E83961</t>
  </si>
  <si>
    <t>FIAT LCV FULLBACK DOPPIA CABINA 2.4 180CV -- TARGA: FG502NL -- TELAIO: ZFAKVJJ20G9000391</t>
  </si>
  <si>
    <t>PALA NEW HOLLAND W130B MATR. FNHW130BN9HE78004 ANNO 2009 USATA TARGA AGL997 (MASSUCCO T SRL)</t>
  </si>
  <si>
    <t>PALA GOMMATA VOLVO L60G USATA - TELAIO: VCE0L60GK00002145 - TARGA : AMB698</t>
  </si>
  <si>
    <t>PALA GOMMATA JCB 426 MATR. 0531651 USATA</t>
  </si>
  <si>
    <t>N.2 MONOBLOCCHI PREFABBRICATI COIBENTATI MT. 3X2X2,2H USATI</t>
  </si>
  <si>
    <t>BOX UFFICIO USATO</t>
  </si>
  <si>
    <t>CONTAINER USO MAGAZZINO 08' (N.SERIE 062255415)</t>
  </si>
  <si>
    <t>Terreni</t>
  </si>
  <si>
    <t>Altri fabbricati</t>
  </si>
  <si>
    <t>Miglior. beni di terzi</t>
  </si>
  <si>
    <t>Titpologia</t>
  </si>
  <si>
    <t>Classificazione</t>
  </si>
  <si>
    <t>Immobilizzazione Materiali</t>
  </si>
  <si>
    <t>Immobilizzazione Immateriale</t>
  </si>
  <si>
    <t>Val. Residuo 22</t>
  </si>
  <si>
    <t>totale</t>
  </si>
  <si>
    <t>Amm.22</t>
  </si>
  <si>
    <t>Amm.23</t>
  </si>
  <si>
    <t>Amm.24</t>
  </si>
  <si>
    <t>Amm.25</t>
  </si>
  <si>
    <t>Amm.26</t>
  </si>
  <si>
    <t>Amm.27</t>
  </si>
  <si>
    <t>Amm.28</t>
  </si>
  <si>
    <t>Amm.29</t>
  </si>
  <si>
    <t>Amm.30</t>
  </si>
  <si>
    <t>Amm.31</t>
  </si>
  <si>
    <t>Amm.32</t>
  </si>
  <si>
    <t>Amm.33</t>
  </si>
  <si>
    <t>Val. Residuo 23</t>
  </si>
  <si>
    <t>Val. Residuo 24</t>
  </si>
  <si>
    <t>Val. Residuo 25</t>
  </si>
  <si>
    <t>Val. Residuo 26</t>
  </si>
  <si>
    <t>Val. Residuo 27</t>
  </si>
  <si>
    <t>Val. Residuo 28</t>
  </si>
  <si>
    <t>Val. Residuo 29</t>
  </si>
  <si>
    <t>Val. Residuo 30</t>
  </si>
  <si>
    <t>Val. Residuo 31</t>
  </si>
  <si>
    <t>Val. Residuo 32</t>
  </si>
  <si>
    <t>Val. Residuo 33</t>
  </si>
  <si>
    <t>Immobilizzazioni Immateriali</t>
  </si>
  <si>
    <t>Ammortamenti Immateriali</t>
  </si>
  <si>
    <t>Capex ImmMateriali</t>
  </si>
  <si>
    <t>Capex Imm Immateriali</t>
  </si>
  <si>
    <t>Investimenti</t>
  </si>
  <si>
    <t>Amm. Nuovi Investimenti 1° anno</t>
  </si>
  <si>
    <t>Amm.2024</t>
  </si>
  <si>
    <t>Amm.2025</t>
  </si>
  <si>
    <t>Tot Amm Nuovi Investimento</t>
  </si>
  <si>
    <t>Imm. Materiali nuovi investimenti</t>
  </si>
  <si>
    <t>Amm. 2023</t>
  </si>
  <si>
    <t>Amm.2026</t>
  </si>
  <si>
    <t>Amm.2027</t>
  </si>
  <si>
    <t>Amm.2028</t>
  </si>
  <si>
    <t>Immobilizzazioni Materiali Capex</t>
  </si>
  <si>
    <t>Totale Immobilizzazioni Materiali</t>
  </si>
  <si>
    <t>Finanziamenti</t>
  </si>
  <si>
    <t>150001 Carta di credito</t>
  </si>
  <si>
    <t>150004 CREDEM ant. fatt. c/253</t>
  </si>
  <si>
    <t>150007 Carta prepagata credito padano</t>
  </si>
  <si>
    <t>150014 MPS c/ant. fatt.</t>
  </si>
  <si>
    <t>150020 Carta di credito BCC #0406</t>
  </si>
  <si>
    <t>150025 Carta prepagata</t>
  </si>
  <si>
    <t>150027 BCC Brescia ant.fatt. c/431447</t>
  </si>
  <si>
    <t>150033 Intesa ant. fatt. c/1792</t>
  </si>
  <si>
    <t>150104 Mutuo BCC Brescia 1062359</t>
  </si>
  <si>
    <t>150121 Mutuo Intesa 1048067620</t>
  </si>
  <si>
    <t>150122 Mutuo MPS 994009252</t>
  </si>
  <si>
    <t>150166 Mutuo BPM 03705950</t>
  </si>
  <si>
    <t>150170 Anti.credito IVA-Intesa1934</t>
  </si>
  <si>
    <t>150174 Finanziamento BPM 04886613</t>
  </si>
  <si>
    <t>150175 Mutuo Intesa 11222876</t>
  </si>
  <si>
    <t>150177 Finanziamento MPS 994148952</t>
  </si>
  <si>
    <t>150178 Finanz.AL VIA INTESA n.88044</t>
  </si>
  <si>
    <t>150179 Finanziamento MPS n.994186309</t>
  </si>
  <si>
    <t>150180 Finanziamento BPM n.05657541</t>
  </si>
  <si>
    <t>Totale Banche a breve termine</t>
  </si>
  <si>
    <t>Totale Banche a M/L termine</t>
  </si>
  <si>
    <t>Gross profit margin</t>
  </si>
  <si>
    <t>554000 Interessi pass.su c/c</t>
  </si>
  <si>
    <t>554120 Interessi pass.c/finanz.</t>
  </si>
  <si>
    <t>554320 Interessi pass.su altri debiti</t>
  </si>
  <si>
    <t>554321 Interessi pass.non ded.</t>
  </si>
  <si>
    <t>Quota Interessi</t>
  </si>
  <si>
    <t>Rimborso</t>
  </si>
  <si>
    <t>Debito Residuo</t>
  </si>
  <si>
    <t>Interessi Totali</t>
  </si>
  <si>
    <t>Finanziamento Monte dei Paschi di Siena n.484-994233681</t>
  </si>
  <si>
    <t>Commesse</t>
  </si>
  <si>
    <t>NUMERO COMMESSA</t>
  </si>
  <si>
    <t>N. SAL</t>
  </si>
  <si>
    <t>IMPORTO FATTURA</t>
  </si>
  <si>
    <t xml:space="preserve">PROGRESSIVO SAL </t>
  </si>
  <si>
    <t>Pizzarotti</t>
  </si>
  <si>
    <t>Corsico (MI)</t>
  </si>
  <si>
    <t>VG Costruzioni</t>
  </si>
  <si>
    <t>FIRENZE SUD Lotto 1 Nord</t>
  </si>
  <si>
    <t>PAVIMENTAL</t>
  </si>
  <si>
    <t>Tunnel Frejus</t>
  </si>
  <si>
    <t>Tunnel Frejus Scarl</t>
  </si>
  <si>
    <t>Torino Cervit</t>
  </si>
  <si>
    <t>CERVIT S. a r.l.</t>
  </si>
  <si>
    <t>Parma Crown</t>
  </si>
  <si>
    <t>CROWN IMBALLAGGI ITALIA SRL</t>
  </si>
  <si>
    <t>Delta Lavori SpA</t>
  </si>
  <si>
    <t>A4 Tiliaventum tiranti</t>
  </si>
  <si>
    <t>Tiliaventum S.c. a r.l.</t>
  </si>
  <si>
    <t>A4 Tiliaventum pali g.d.</t>
  </si>
  <si>
    <t>Parma Chiesi</t>
  </si>
  <si>
    <t>Chiesi Farmaceutici</t>
  </si>
  <si>
    <t>Fiumicino</t>
  </si>
  <si>
    <t>MILANO-VIA CONDINO</t>
  </si>
  <si>
    <t xml:space="preserve">IMPR. RAGGI </t>
  </si>
  <si>
    <t>Milano MMBLU</t>
  </si>
  <si>
    <t>MMBLU</t>
  </si>
  <si>
    <t>Como Bon Ber</t>
  </si>
  <si>
    <t>Bon Ber S.r.l.</t>
  </si>
  <si>
    <t>chiuso</t>
  </si>
  <si>
    <t>Milano San Raffaele</t>
  </si>
  <si>
    <t>Origgio (CO)</t>
  </si>
  <si>
    <t>Tecnoedil Srl</t>
  </si>
  <si>
    <t>sal unico</t>
  </si>
  <si>
    <t>Brescia - ESSELUNGA Via Triumplina</t>
  </si>
  <si>
    <t>Paterlini Costruzioni SpA</t>
  </si>
  <si>
    <t>Sabbioneta (MN)</t>
  </si>
  <si>
    <t>PANGUANETA SPA</t>
  </si>
  <si>
    <t>Gornate Olona (VA)</t>
  </si>
  <si>
    <t>Impresa Bianchi S.r.l.</t>
  </si>
  <si>
    <t>Edolo (BS)</t>
  </si>
  <si>
    <t>Plona Costruzioni S.r.l.</t>
  </si>
  <si>
    <t>Montecatini-Pieve a Nevole</t>
  </si>
  <si>
    <t>Capriano del Colle (BS)</t>
  </si>
  <si>
    <t>Mazza srl</t>
  </si>
  <si>
    <t>Barberino Lotto 1</t>
  </si>
  <si>
    <t>Milano Via Feltre</t>
  </si>
  <si>
    <t>Artifoni Srl</t>
  </si>
  <si>
    <t>La Spezia</t>
  </si>
  <si>
    <t>Edilizia Tirrena SpA</t>
  </si>
  <si>
    <t>Albiolo (CO)</t>
  </si>
  <si>
    <t>Ciceri Costruzioni SpA</t>
  </si>
  <si>
    <t>Vidigulfo</t>
  </si>
  <si>
    <t>max streicher srl</t>
  </si>
  <si>
    <t>Milano Via Moneta</t>
  </si>
  <si>
    <t>BOMA S.c. a r.l.</t>
  </si>
  <si>
    <t>Verbania</t>
  </si>
  <si>
    <t>Notarimpresa</t>
  </si>
  <si>
    <t>Lugano</t>
  </si>
  <si>
    <t>Imperialsuisse</t>
  </si>
  <si>
    <t>Genova Pontedecimo</t>
  </si>
  <si>
    <t>Preve Costruzioni</t>
  </si>
  <si>
    <t>unico</t>
  </si>
  <si>
    <t>Milano Via Manfredonia</t>
  </si>
  <si>
    <t>Italiana Costruzioni SpA</t>
  </si>
  <si>
    <t>Rubiera</t>
  </si>
  <si>
    <t>IMPREF S.r.l.</t>
  </si>
  <si>
    <t>Bologna People Mover</t>
  </si>
  <si>
    <t>People Mover Scarl</t>
  </si>
  <si>
    <t>Pavimental</t>
  </si>
  <si>
    <t>Rimini</t>
  </si>
  <si>
    <t>Costruzioni Taddei</t>
  </si>
  <si>
    <t>Genova Via Pesce</t>
  </si>
  <si>
    <t>Edilferri S.r.l.</t>
  </si>
  <si>
    <t>Genova Delta Lavori</t>
  </si>
  <si>
    <t>SS1 Nuova Aurelia</t>
  </si>
  <si>
    <t>Letimbro Scarl</t>
  </si>
  <si>
    <t>Rozzano (MI)</t>
  </si>
  <si>
    <t>Intesa Costruzioni Srl</t>
  </si>
  <si>
    <t>Castelletto Cervo</t>
  </si>
  <si>
    <t>Somoter S.r.l.</t>
  </si>
  <si>
    <t>None (TO)</t>
  </si>
  <si>
    <t>Ritonnaro Srl</t>
  </si>
  <si>
    <t>Milano Via Eritrea</t>
  </si>
  <si>
    <t>Borio Mangiarotti SpA</t>
  </si>
  <si>
    <t>Milano Via Bisleri</t>
  </si>
  <si>
    <t>Vestone</t>
  </si>
  <si>
    <t>Unidelta SpA</t>
  </si>
  <si>
    <t>Torino Palazzo 900</t>
  </si>
  <si>
    <t>CGG SpA</t>
  </si>
  <si>
    <t>cassano d'Adda prove PIT</t>
  </si>
  <si>
    <t>CONSORZIO BBM</t>
  </si>
  <si>
    <t>A1 Lotti 8-9-10</t>
  </si>
  <si>
    <t>Agrate (MI)</t>
  </si>
  <si>
    <t>Pesenti</t>
  </si>
  <si>
    <t>Bereguardo</t>
  </si>
  <si>
    <t>Torre di Isola Scarl</t>
  </si>
  <si>
    <t>Taranto ILVA</t>
  </si>
  <si>
    <t>SEMAT S.p.A.</t>
  </si>
  <si>
    <t>Santena (TO)</t>
  </si>
  <si>
    <t>SER WAX S.p.A.</t>
  </si>
  <si>
    <t>Milano Via della Giustizia</t>
  </si>
  <si>
    <t>ABITARE IN</t>
  </si>
  <si>
    <t>Genova - Via Pesce</t>
  </si>
  <si>
    <t>EDIL FERRI SRL</t>
  </si>
  <si>
    <t>EDILE COSTRUZIONI SRL</t>
  </si>
  <si>
    <t>SESTO S. GIOVANNI-Milanosesto</t>
  </si>
  <si>
    <t>Milano via Watt</t>
  </si>
  <si>
    <t>Marinelli Costruzioni srl</t>
  </si>
  <si>
    <t>A1 Lotto 2</t>
  </si>
  <si>
    <t>Genova Corso Italia</t>
  </si>
  <si>
    <t>ASTI CELLE ENOMONDO</t>
  </si>
  <si>
    <t>Asti Asfalti Srl</t>
  </si>
  <si>
    <t>Fauglia (PI)</t>
  </si>
  <si>
    <t>Edilizia Tirrena S.p.A.</t>
  </si>
  <si>
    <t>Albano S. Alessandro (BG)</t>
  </si>
  <si>
    <t>Brignoli S.r.l.</t>
  </si>
  <si>
    <t>Milano Porta Vigentina</t>
  </si>
  <si>
    <t>Pirovano Costruzioni</t>
  </si>
  <si>
    <t>Tavazzano</t>
  </si>
  <si>
    <t>CEIT impianti Spa</t>
  </si>
  <si>
    <t>San Martino Buon Albergo</t>
  </si>
  <si>
    <t>Barcore srl</t>
  </si>
  <si>
    <t>Brescia Alfa Acciai</t>
  </si>
  <si>
    <t>Alfa Acciai</t>
  </si>
  <si>
    <t>EDILE ENGINEERING</t>
  </si>
  <si>
    <t>Alessandria</t>
  </si>
  <si>
    <t>PLT Costruzioni</t>
  </si>
  <si>
    <t>Marcaria</t>
  </si>
  <si>
    <t>Monza Via Marsala</t>
  </si>
  <si>
    <t>Fiorani S.r.l.</t>
  </si>
  <si>
    <t xml:space="preserve">Olevano </t>
  </si>
  <si>
    <t>SDA scavi</t>
  </si>
  <si>
    <t>Segrate</t>
  </si>
  <si>
    <t>Segrate Scarl</t>
  </si>
  <si>
    <t>Sommariva Bosco (CN)</t>
  </si>
  <si>
    <t>S.A.M. S.p.A.</t>
  </si>
  <si>
    <t>Grosseto</t>
  </si>
  <si>
    <t>Ravara S.p.A.</t>
  </si>
  <si>
    <t>Dolcè</t>
  </si>
  <si>
    <t>VILCA S.p.A.</t>
  </si>
  <si>
    <t>NONE</t>
  </si>
  <si>
    <t>Ritonnaro S.r.l.</t>
  </si>
  <si>
    <t>OK FATTURATO ANCHE CIPA</t>
  </si>
  <si>
    <t>DI VINCENZO DINO</t>
  </si>
  <si>
    <t>Milano Via della Liberazione</t>
  </si>
  <si>
    <t>Gilardi S.p.A.</t>
  </si>
  <si>
    <t xml:space="preserve">Torino </t>
  </si>
  <si>
    <t>Strabag S.p.A.</t>
  </si>
  <si>
    <t>Ventimiglia</t>
  </si>
  <si>
    <t>Carlo Agnese SpA</t>
  </si>
  <si>
    <t>Sig. Ermanno Pedrini</t>
  </si>
  <si>
    <t>Milano Via Don Rodrigo</t>
  </si>
  <si>
    <t>Pato S.r.l.</t>
  </si>
  <si>
    <t>Milano Via Adamello</t>
  </si>
  <si>
    <t>GI.VO. S.r.l.</t>
  </si>
  <si>
    <t>Seriate - Palazzolo</t>
  </si>
  <si>
    <t>NOTARI</t>
  </si>
  <si>
    <t>Firenze San Paolino</t>
  </si>
  <si>
    <t>POLISTRADE SpA</t>
  </si>
  <si>
    <t>Padova</t>
  </si>
  <si>
    <t>Intercantieri Vittadello</t>
  </si>
  <si>
    <t>Milano Via Santander</t>
  </si>
  <si>
    <t>Centenaro</t>
  </si>
  <si>
    <t>Artifoni SpA</t>
  </si>
  <si>
    <t>Milano Martesana</t>
  </si>
  <si>
    <t>Martesana S.c. a r.l.</t>
  </si>
  <si>
    <t>Milano Ospedale San Raffaele</t>
  </si>
  <si>
    <t>Brebbia (VA)</t>
  </si>
  <si>
    <t>CDV Stampi</t>
  </si>
  <si>
    <t>Genova aeroporto</t>
  </si>
  <si>
    <t>Delta Lavori Spa</t>
  </si>
  <si>
    <t>FREJUS</t>
  </si>
  <si>
    <t xml:space="preserve">Bereguardo </t>
  </si>
  <si>
    <t>Torre Isola S.c. a r.l.</t>
  </si>
  <si>
    <t>Clusone (BG)</t>
  </si>
  <si>
    <t>Real Casa S.r.l.</t>
  </si>
  <si>
    <t>Milano Via Ortles</t>
  </si>
  <si>
    <t>Arenzano (GE)</t>
  </si>
  <si>
    <t>Sicrea S.p.A.</t>
  </si>
  <si>
    <t>Milano Porta Ticinese</t>
  </si>
  <si>
    <t>Ispra</t>
  </si>
  <si>
    <t>Manelli S.r.l.</t>
  </si>
  <si>
    <t>Mediglia</t>
  </si>
  <si>
    <t>Devero Costruzioni S.p.A.</t>
  </si>
  <si>
    <t>Milano Rogoredo</t>
  </si>
  <si>
    <t>MANFREDA SAS</t>
  </si>
  <si>
    <t>Ornago (MB)</t>
  </si>
  <si>
    <t>Bergum Immobili Spa</t>
  </si>
  <si>
    <t>Milano Politecnico</t>
  </si>
  <si>
    <t>CMSA</t>
  </si>
  <si>
    <t>DELTA LAVORI</t>
  </si>
  <si>
    <t>Clusone</t>
  </si>
  <si>
    <t>Real Casa</t>
  </si>
  <si>
    <t>Valmolinello (sp)</t>
  </si>
  <si>
    <t>IG O &amp; M</t>
  </si>
  <si>
    <t>A1 Barberino  Lotto 2</t>
  </si>
  <si>
    <t>Itinera</t>
  </si>
  <si>
    <t>Firenze parcheggi</t>
  </si>
  <si>
    <t>Corsico Vidrala</t>
  </si>
  <si>
    <t>sergio venancio</t>
  </si>
  <si>
    <t xml:space="preserve">Bergamo </t>
  </si>
  <si>
    <t>Percassi S.p.A.</t>
  </si>
  <si>
    <t>Milano via Serao</t>
  </si>
  <si>
    <t>COAP</t>
  </si>
  <si>
    <t>Monza Via Stucchi</t>
  </si>
  <si>
    <t>Trezzo d'Adda</t>
  </si>
  <si>
    <t>Artfifoni</t>
  </si>
  <si>
    <t>Milano Via Montello</t>
  </si>
  <si>
    <t>Borio Mangiarotti</t>
  </si>
  <si>
    <t>Mozzate</t>
  </si>
  <si>
    <t>TMG</t>
  </si>
  <si>
    <t>Travedona</t>
  </si>
  <si>
    <t>Immobiliare Rosato</t>
  </si>
  <si>
    <t>Sesto San Giovanni</t>
  </si>
  <si>
    <t>Edile Engineering</t>
  </si>
  <si>
    <t>CANTU'</t>
  </si>
  <si>
    <t>OMAL SRL</t>
  </si>
  <si>
    <t>Modena Cepav 1</t>
  </si>
  <si>
    <t>Pizzarotti SpA</t>
  </si>
  <si>
    <t>Milano Via Condino</t>
  </si>
  <si>
    <t>Raggi Srl</t>
  </si>
  <si>
    <t>Gattinara (VC)</t>
  </si>
  <si>
    <t>Bertini Srl</t>
  </si>
  <si>
    <t>Caorle Ariston</t>
  </si>
  <si>
    <t>Pellegrini</t>
  </si>
  <si>
    <t>Caorle Rialto</t>
  </si>
  <si>
    <t>Bergamo - Chorus Life</t>
  </si>
  <si>
    <t>Peccioli</t>
  </si>
  <si>
    <t>Torelli Dottori</t>
  </si>
  <si>
    <t>Colombo Severo</t>
  </si>
  <si>
    <t>GENOVA-AEREOPORTO</t>
  </si>
  <si>
    <t>TORINO LINGOTTO</t>
  </si>
  <si>
    <t>STRABAG SRL</t>
  </si>
  <si>
    <t>Torino strada Francese</t>
  </si>
  <si>
    <t>RITONNARO</t>
  </si>
  <si>
    <t xml:space="preserve">Trento </t>
  </si>
  <si>
    <t xml:space="preserve">Libardoni </t>
  </si>
  <si>
    <t>Trezzano Rosa (MI)</t>
  </si>
  <si>
    <t>Artifoni</t>
  </si>
  <si>
    <t>Milano Via Porretta</t>
  </si>
  <si>
    <t>Euromilano</t>
  </si>
  <si>
    <t>San Giorgio Legnano</t>
  </si>
  <si>
    <t>Milano P.zza Vittoria</t>
  </si>
  <si>
    <t>Edil Ferri srl</t>
  </si>
  <si>
    <t>VILCA SpA</t>
  </si>
  <si>
    <t>Sicrea</t>
  </si>
  <si>
    <t>Milano Via Giovenale</t>
  </si>
  <si>
    <t>TIA S.p.A.</t>
  </si>
  <si>
    <t>Firenze Sicrea</t>
  </si>
  <si>
    <t>Rivalta Torinese (TO)</t>
  </si>
  <si>
    <t>Sintexcal</t>
  </si>
  <si>
    <t>Trento</t>
  </si>
  <si>
    <t>Cantu</t>
  </si>
  <si>
    <t>Alba (CN)</t>
  </si>
  <si>
    <t>COGEFA SpA</t>
  </si>
  <si>
    <t>Fiorano Modenese (MO)</t>
  </si>
  <si>
    <t>SAPABA SpA</t>
  </si>
  <si>
    <t>Gravellona Toce</t>
  </si>
  <si>
    <t>Bertini S.r.l.</t>
  </si>
  <si>
    <t>Milano Ospedale Maggiore</t>
  </si>
  <si>
    <t>Global Costruzioni S.r.l.</t>
  </si>
  <si>
    <t>Gattinara</t>
  </si>
  <si>
    <t>COLOMBO SEVERO</t>
  </si>
  <si>
    <t>Milano Via Matilde Serao</t>
  </si>
  <si>
    <t xml:space="preserve">Centenaro </t>
  </si>
  <si>
    <t>SINTEXCAL SPA</t>
  </si>
  <si>
    <t>Casale Monferrato</t>
  </si>
  <si>
    <t>Allara SpA</t>
  </si>
  <si>
    <t>Vicenza</t>
  </si>
  <si>
    <t>ACSM-AGAM AMBIENTE</t>
  </si>
  <si>
    <t>Bolzano</t>
  </si>
  <si>
    <t>SCS</t>
  </si>
  <si>
    <t>DOLCE' pali CFA</t>
  </si>
  <si>
    <t>DOLCE' pali jetting</t>
  </si>
  <si>
    <t>VILCA SPA</t>
  </si>
  <si>
    <t>Suzzara</t>
  </si>
  <si>
    <t>Bondioli &amp; Pavesi S.p.A.</t>
  </si>
  <si>
    <t>Poncarale (BS)</t>
  </si>
  <si>
    <t>Milano Via Presolana</t>
  </si>
  <si>
    <t>Presolana Sei S.r.l.</t>
  </si>
  <si>
    <t>Firenze Via Cascine</t>
  </si>
  <si>
    <t>SEMP S.r.l.</t>
  </si>
  <si>
    <t>A26 Masone</t>
  </si>
  <si>
    <t>NEOCOS</t>
  </si>
  <si>
    <t>NTV Scarl</t>
  </si>
  <si>
    <t xml:space="preserve">Maranello </t>
  </si>
  <si>
    <t>COMISA Srl</t>
  </si>
  <si>
    <t>Mantova</t>
  </si>
  <si>
    <t>Cremona</t>
  </si>
  <si>
    <t>mettersi d'accordo con Singea x distacchi e subappalto</t>
  </si>
  <si>
    <t>ROVIGO AMAZON</t>
  </si>
  <si>
    <t>MODENA</t>
  </si>
  <si>
    <t>PIZZAROTTI SPA</t>
  </si>
  <si>
    <t>Bereguardo (PV)</t>
  </si>
  <si>
    <t>Fiumicino Lotto 1</t>
  </si>
  <si>
    <t>Albaredo Val d'Adige (VR)</t>
  </si>
  <si>
    <t>Ecodem/POINT</t>
  </si>
  <si>
    <t>Bologna</t>
  </si>
  <si>
    <t>Ospitaletto</t>
  </si>
  <si>
    <t>Ferrosider S.p.A.</t>
  </si>
  <si>
    <t>Senna Lodigiana</t>
  </si>
  <si>
    <t>Aletel S.r.l.</t>
  </si>
  <si>
    <t>Milano Via Vivarini</t>
  </si>
  <si>
    <t>SID S.r.l.</t>
  </si>
  <si>
    <t>Biassono</t>
  </si>
  <si>
    <t>Steril Milano</t>
  </si>
  <si>
    <t>Milano Via Bisceglie</t>
  </si>
  <si>
    <t>Immobiliare Tre Bi</t>
  </si>
  <si>
    <t>Milano Via Ponzio</t>
  </si>
  <si>
    <t xml:space="preserve">Torino Strada del Francese </t>
  </si>
  <si>
    <t>Ritonnaro</t>
  </si>
  <si>
    <t>Milano Via Rimini</t>
  </si>
  <si>
    <t>CMB Carpi</t>
  </si>
  <si>
    <t>Peschiera D/G</t>
  </si>
  <si>
    <t>Trust Star</t>
  </si>
  <si>
    <t>Camogli (GE)</t>
  </si>
  <si>
    <t>INGINSINT</t>
  </si>
  <si>
    <t>E78 Grosseto</t>
  </si>
  <si>
    <t>Nuovo Farma Scarl</t>
  </si>
  <si>
    <t>Sesto S.G. ex area Falck</t>
  </si>
  <si>
    <t>MILANOSESTO</t>
  </si>
  <si>
    <t>Malpensa</t>
  </si>
  <si>
    <t>Impresa Bacchi S.p.A.</t>
  </si>
  <si>
    <t>Agrate</t>
  </si>
  <si>
    <t>Milano Via Gracchi</t>
  </si>
  <si>
    <t>CVL S.p.A.</t>
  </si>
  <si>
    <t>Carpi</t>
  </si>
  <si>
    <t>Poncarale</t>
  </si>
  <si>
    <t>Melzo (MI)</t>
  </si>
  <si>
    <t>Lingiardi Costruzioni srl.</t>
  </si>
  <si>
    <t>Lemit S.c.a. r.l.</t>
  </si>
  <si>
    <t>Linate</t>
  </si>
  <si>
    <t>SALC ICS S.p.A.</t>
  </si>
  <si>
    <t>Novedrate (CO)</t>
  </si>
  <si>
    <t>Arturo Salice S.p.A.</t>
  </si>
  <si>
    <t>Capralba (CR)</t>
  </si>
  <si>
    <t>De Carli</t>
  </si>
  <si>
    <t>Milano Lambrate MM2 Piola</t>
  </si>
  <si>
    <t>ATM S.p.A.</t>
  </si>
  <si>
    <t>Trezzano S.N.</t>
  </si>
  <si>
    <t>M.R. Costruzioni</t>
  </si>
  <si>
    <t>Mantova - Esselunga</t>
  </si>
  <si>
    <t>Paterlini Costruzioni srl.</t>
  </si>
  <si>
    <t>Delebio (SO)</t>
  </si>
  <si>
    <t>Milano Via Vezza d'Oglio</t>
  </si>
  <si>
    <t>Colombo-Severo &amp; C srl.</t>
  </si>
  <si>
    <t>Torino Strada del Francese</t>
  </si>
  <si>
    <t>Pieve Vergonte (VB)</t>
  </si>
  <si>
    <t>Syndial S.p.A.</t>
  </si>
  <si>
    <t>Villa Literno (CE)</t>
  </si>
  <si>
    <t>Ala srl.</t>
  </si>
  <si>
    <t>Monza Via Sella</t>
  </si>
  <si>
    <t>Emmeti Costruzioni srl.</t>
  </si>
  <si>
    <t>ROVIGO/AMAZON</t>
  </si>
  <si>
    <t>SCS NOLO</t>
  </si>
  <si>
    <t>Frejus scarl</t>
  </si>
  <si>
    <t>LINATE NOVA SCARL</t>
  </si>
  <si>
    <t>Parma Viale Europa</t>
  </si>
  <si>
    <t>D'Addetta srl.</t>
  </si>
  <si>
    <t>Brescia</t>
  </si>
  <si>
    <t>Civate (LC)</t>
  </si>
  <si>
    <t>Milano Via Gattamelata</t>
  </si>
  <si>
    <t>Notarimpresa S.p.A</t>
  </si>
  <si>
    <t>Cerveno (BS)</t>
  </si>
  <si>
    <t>Melzo (MI) - prove di carico</t>
  </si>
  <si>
    <t>Brescia Via Rose</t>
  </si>
  <si>
    <t>PAC S.p.A</t>
  </si>
  <si>
    <t>Milano Via Principe Eugenio</t>
  </si>
  <si>
    <t>Costruzioni Gilardi</t>
  </si>
  <si>
    <t>Castiglione delle Stiviere</t>
  </si>
  <si>
    <t>Pata</t>
  </si>
  <si>
    <t>San Giorgio Legnano (MI)</t>
  </si>
  <si>
    <t>Modena Tetra Pack</t>
  </si>
  <si>
    <t>Neri Mario</t>
  </si>
  <si>
    <t>Assago (MI)</t>
  </si>
  <si>
    <t>Co.ge.fa S.p.A.</t>
  </si>
  <si>
    <t>Cavargna (CO)</t>
  </si>
  <si>
    <t>Plona Costruzioni srl.</t>
  </si>
  <si>
    <t>Milano Via Vittor Pisani</t>
  </si>
  <si>
    <t>Ediltecno Restauri srl.</t>
  </si>
  <si>
    <t>Milano Via delle Forze Armate</t>
  </si>
  <si>
    <t>Gruppo Koni S.p.A.</t>
  </si>
  <si>
    <t>Frejus Galleria - intasamento conci</t>
  </si>
  <si>
    <t>Selva di Val Gardena</t>
  </si>
  <si>
    <t>Schweigkofler srl.</t>
  </si>
  <si>
    <t>Ponte di Legno</t>
  </si>
  <si>
    <t>Camuna Costruzioni srl.</t>
  </si>
  <si>
    <t>Arcore (MB)</t>
  </si>
  <si>
    <t>CE.Da. Srl.</t>
  </si>
  <si>
    <t>Fiesco Salvirola (CR)</t>
  </si>
  <si>
    <t>De Carli srl.</t>
  </si>
  <si>
    <t>Treviolo (BG)</t>
  </si>
  <si>
    <t>Brignoli srl.</t>
  </si>
  <si>
    <t>Ospitaletto (BS)</t>
  </si>
  <si>
    <t>Trucazzano (MI)</t>
  </si>
  <si>
    <t>Artifoni S.p.A.</t>
  </si>
  <si>
    <t>Rho (MI)</t>
  </si>
  <si>
    <t>F.lli Tino srl.</t>
  </si>
  <si>
    <t>Genova Bisagno</t>
  </si>
  <si>
    <t>Tornolo (PR)</t>
  </si>
  <si>
    <t>Bertini Costruzioni srl.</t>
  </si>
  <si>
    <t>Chiaravagna (GE)</t>
  </si>
  <si>
    <t>CO.S.PE.F.</t>
  </si>
  <si>
    <t>Schivenoglia (MN)</t>
  </si>
  <si>
    <t>Eureka Case srl.</t>
  </si>
  <si>
    <t>MILANO - VIA SERAO</t>
  </si>
  <si>
    <t>Portogruaro (VE)</t>
  </si>
  <si>
    <t>Pato</t>
  </si>
  <si>
    <t>Ravina (TN)</t>
  </si>
  <si>
    <t>Lattonerie Revolti S.r.l.</t>
  </si>
  <si>
    <t>Bologna Via Spiraglio</t>
  </si>
  <si>
    <t>Ferrari S.r.l.</t>
  </si>
  <si>
    <t>Vescovato (CR)</t>
  </si>
  <si>
    <t>Milano Via Engels</t>
  </si>
  <si>
    <t>Effeuno S.r.l.</t>
  </si>
  <si>
    <t>Gavardo</t>
  </si>
  <si>
    <t>Artifoni SPA</t>
  </si>
  <si>
    <t>Nessi &amp; Majocchi</t>
  </si>
  <si>
    <t>SIRMIONE</t>
  </si>
  <si>
    <t>AZ AGR CA' DEI FRATI</t>
  </si>
  <si>
    <t>CIVATE</t>
  </si>
  <si>
    <t>preve costruzioni -saldo ott</t>
  </si>
  <si>
    <t>Paderno S.c.a.r.l</t>
  </si>
  <si>
    <t>Cesana Brianza (LC)</t>
  </si>
  <si>
    <t>Trafilerie Mauri</t>
  </si>
  <si>
    <t>A6 TO-SV Madonna del Monte</t>
  </si>
  <si>
    <t>Castel San Pietro (BO)</t>
  </si>
  <si>
    <t>FAST srl.</t>
  </si>
  <si>
    <t>Bologna Aeroporto</t>
  </si>
  <si>
    <t>AV/AC - CEPAV DUE (BS-VR)</t>
  </si>
  <si>
    <t>Cepav Due - RFI S.p.A.</t>
  </si>
  <si>
    <t>Calusco d'Adda (BG)</t>
  </si>
  <si>
    <t>Milano Via Faravelli</t>
  </si>
  <si>
    <t>Armofer srl.</t>
  </si>
  <si>
    <t>Ranica (BG)</t>
  </si>
  <si>
    <t>Pide S.r.l.</t>
  </si>
  <si>
    <t>E78 Grosseto/SAL AL 31.10.2019</t>
  </si>
  <si>
    <t>A2A</t>
  </si>
  <si>
    <t>Milano via Mercanti</t>
  </si>
  <si>
    <t>A6 TO-SV miglioramento sismico</t>
  </si>
  <si>
    <t>Travagliato (BS)</t>
  </si>
  <si>
    <t>Antares Vision</t>
  </si>
  <si>
    <t>Ponte di Legno/Camuna Costr</t>
  </si>
  <si>
    <t>Comune di Ponte di Legno</t>
  </si>
  <si>
    <t>Senago (MI)</t>
  </si>
  <si>
    <t>Pieve Vergonte</t>
  </si>
  <si>
    <t>Ambienthesis</t>
  </si>
  <si>
    <t>DEVERO</t>
  </si>
  <si>
    <t>MEDIGLIA</t>
  </si>
  <si>
    <t>POLISTRADE</t>
  </si>
  <si>
    <t>FIRENZE</t>
  </si>
  <si>
    <t>ITALIANA COSTRUZIONI</t>
  </si>
  <si>
    <t>MI VIA MANFREDONIA</t>
  </si>
  <si>
    <t>VALICO DEI GIOVI/vend, tubi sonici</t>
  </si>
  <si>
    <t>Certosa (PV)</t>
  </si>
  <si>
    <t>Ge-foro</t>
  </si>
  <si>
    <t>PRO.TEC.SRL</t>
  </si>
  <si>
    <t xml:space="preserve">ALA SRL - NOLO POMPA </t>
  </si>
  <si>
    <t>ALA SRL - NOLO COMPRESSORE</t>
  </si>
  <si>
    <t>Turbigo</t>
  </si>
  <si>
    <t>Civelli Costruzioni</t>
  </si>
  <si>
    <t>Strambino (TO)</t>
  </si>
  <si>
    <t>SICET S.r.l.</t>
  </si>
  <si>
    <t>Castiglione delle Stiviere (MN)</t>
  </si>
  <si>
    <t>PATA S.p.A.</t>
  </si>
  <si>
    <t>San Pellegrino Terme (BG)</t>
  </si>
  <si>
    <t>SP 01 -Gilardi - Itinera</t>
  </si>
  <si>
    <t>AV/AC - CEPAV DUE (BS-VR) - ctr. 0800010</t>
  </si>
  <si>
    <t>Bergamo Via Serassi</t>
  </si>
  <si>
    <t>Percassi S.p.A. - Costim</t>
  </si>
  <si>
    <t>Livorno</t>
  </si>
  <si>
    <t>Elios Discarica</t>
  </si>
  <si>
    <t>Bentivoglio (BO)</t>
  </si>
  <si>
    <t>Eng 2K srl.</t>
  </si>
  <si>
    <t>Torino Metropolitana</t>
  </si>
  <si>
    <t>Italiana Costruzioni</t>
  </si>
  <si>
    <t>Desio (MB)</t>
  </si>
  <si>
    <t>CEC Srl.</t>
  </si>
  <si>
    <t>Milano Via Adriano</t>
  </si>
  <si>
    <t>Milano Via Melchiorre Gioia</t>
  </si>
  <si>
    <t>Fato Logistic</t>
  </si>
  <si>
    <t>Milano Via Monte Grappa</t>
  </si>
  <si>
    <t>CEA</t>
  </si>
  <si>
    <t>Gadesco Pieve Delmona (CR)</t>
  </si>
  <si>
    <t>Studio Arch. Chiari</t>
  </si>
  <si>
    <t>Iseo (BS)</t>
  </si>
  <si>
    <t>Barcos S.r.l.</t>
  </si>
  <si>
    <t>Bentivoglio (BO) - FDP</t>
  </si>
  <si>
    <t>AV/AC - CEPAV DUE (BS-VR) - ctr. 0800045</t>
  </si>
  <si>
    <t>Bormio (SO)</t>
  </si>
  <si>
    <t>Pedranzini Srl.</t>
  </si>
  <si>
    <t>Milano Viale Fulvio Testi</t>
  </si>
  <si>
    <t>Rodevita Srl.</t>
  </si>
  <si>
    <t>Milano via Ripamonti</t>
  </si>
  <si>
    <t>Prelios-Garc S.p.A.</t>
  </si>
  <si>
    <t>Bentivoglio (BO) - JET Grouting</t>
  </si>
  <si>
    <t>MILANO VIALE ORTLES</t>
  </si>
  <si>
    <t>GI-VO COMPANY</t>
  </si>
  <si>
    <t>Pontenure (PC)</t>
  </si>
  <si>
    <t>Consorzio Stabile SIS S.p.A.</t>
  </si>
  <si>
    <t>Milano Via Lanzone - Università Cattolica</t>
  </si>
  <si>
    <t>San Pancrazio - Val d'Ultimo (BZ)</t>
  </si>
  <si>
    <t>Parma Traversetolo</t>
  </si>
  <si>
    <t>Milano Via Ugo Bassi</t>
  </si>
  <si>
    <t>Percassi S.p.A</t>
  </si>
  <si>
    <t>Aged Srl.</t>
  </si>
  <si>
    <t>Vezzano Ligure (SP) - Strada della Ripa</t>
  </si>
  <si>
    <t>Agnese Costruzioni srl.</t>
  </si>
  <si>
    <t>Ospitaletto - Montichiari S.P.19</t>
  </si>
  <si>
    <t>Grosseto Montepascali</t>
  </si>
  <si>
    <t>Cosmo Gruppo</t>
  </si>
  <si>
    <t>Borgo San Giovanni (LO)</t>
  </si>
  <si>
    <t>San Giorgio su Legnano (MI)</t>
  </si>
  <si>
    <t>PAVIMENTAL - FI SUD LOTTO 1 NORD</t>
  </si>
  <si>
    <t>BOLOGNA AEREOPORTO MARCONI</t>
  </si>
  <si>
    <t>Impresa Percassi Spa</t>
  </si>
  <si>
    <t>Settimo Milanese (MI)</t>
  </si>
  <si>
    <t>Farmila</t>
  </si>
  <si>
    <t>Ferrara</t>
  </si>
  <si>
    <t>Barcore S.r.l.</t>
  </si>
  <si>
    <t>Milano Via Breda</t>
  </si>
  <si>
    <t>SALC-IRCOP</t>
  </si>
  <si>
    <t>SDA Scavi</t>
  </si>
  <si>
    <t>Castelmaggiore (BO)</t>
  </si>
  <si>
    <t>Baraldini</t>
  </si>
  <si>
    <t>Altavilla Vicentina (VI)</t>
  </si>
  <si>
    <t>Fercam</t>
  </si>
  <si>
    <t>Milano Via Dione</t>
  </si>
  <si>
    <t>Prologis GSE</t>
  </si>
  <si>
    <t>Bergamo Teatro Donizetti</t>
  </si>
  <si>
    <t>DONIZETTI SCARL(Notarimpresa)</t>
  </si>
  <si>
    <t>Bologna Via Colombo</t>
  </si>
  <si>
    <t>Garc</t>
  </si>
  <si>
    <t>A4 Pero-Satap</t>
  </si>
  <si>
    <t>GHISOLFA SCARL (Cogefa)</t>
  </si>
  <si>
    <t>Torino-Enerdora</t>
  </si>
  <si>
    <t>Bertini Srl.</t>
  </si>
  <si>
    <t>Fidenza (PR)</t>
  </si>
  <si>
    <t>BORGO AMBIENTE SCARL (Unirecuperi)</t>
  </si>
  <si>
    <t>Bergamo Via Goltara</t>
  </si>
  <si>
    <t>Italimpresa S.r.l.</t>
  </si>
  <si>
    <t>Torino-Enerdora (+ una parte di Tornolo)</t>
  </si>
  <si>
    <t>Milano Via Tacito</t>
  </si>
  <si>
    <t>Martini Silvestro S.r.l.</t>
  </si>
  <si>
    <t>Segrate Westfield (MI)</t>
  </si>
  <si>
    <t>Milesi Sergio S.r.l.</t>
  </si>
  <si>
    <t>Sant'Agata Bolognese (BO) - DIAFRAMMI</t>
  </si>
  <si>
    <t>Fea - Lamborghini S.p.A.</t>
  </si>
  <si>
    <t xml:space="preserve">Milano C.so Porta Ticinese </t>
  </si>
  <si>
    <t>Building S.p.A.</t>
  </si>
  <si>
    <t>TORNOLO</t>
  </si>
  <si>
    <t>COVIVIO-Colombo Severo S.p.A.</t>
  </si>
  <si>
    <t>Milano Via Piranesi</t>
  </si>
  <si>
    <t>Unirecuperi S.r.l.</t>
  </si>
  <si>
    <t>Valmadrera (LC)</t>
  </si>
  <si>
    <t>Geco S.r.l.</t>
  </si>
  <si>
    <t>Bosisio Parini (LC)</t>
  </si>
  <si>
    <t>Valassi Costruzioni S.r.l.</t>
  </si>
  <si>
    <t>Genova Torrente Bisagno</t>
  </si>
  <si>
    <t>Milano Arese CMM</t>
  </si>
  <si>
    <t>Roma Piazzale Flaminio</t>
  </si>
  <si>
    <t>FER.RO.VIT S.c.a.r.l.</t>
  </si>
  <si>
    <t>Ivrea (TO)</t>
  </si>
  <si>
    <t>Sicogen S.r.l.</t>
  </si>
  <si>
    <t xml:space="preserve">GAVARDO </t>
  </si>
  <si>
    <t>NUOVA GHIZZONI+SICILSALDO (NOLO CMV 600)</t>
  </si>
  <si>
    <t>RIMINI - METANODOTTO S.SEPOLCRO</t>
  </si>
  <si>
    <t>ASOLA</t>
  </si>
  <si>
    <t>BENACO IMMOBILIARE</t>
  </si>
  <si>
    <t>Milano Via Borghetto-BCA IFIS</t>
  </si>
  <si>
    <t>PREVE COSTR.</t>
  </si>
  <si>
    <t>A1 Barberino -Viadotto Baccheraia</t>
  </si>
  <si>
    <t>Travedona Monate (VA)</t>
  </si>
  <si>
    <t>Osnago (LC)</t>
  </si>
  <si>
    <t>Lanfranchi Costruzioni S.r.l.</t>
  </si>
  <si>
    <t>Milano Via Cancano</t>
  </si>
  <si>
    <t>Semp S.r.l.</t>
  </si>
  <si>
    <t>Soncino (CR)</t>
  </si>
  <si>
    <t>Az. Agricola Avogadri S.r.l.</t>
  </si>
  <si>
    <t>Casto (BS)</t>
  </si>
  <si>
    <t>Quarona (VC)</t>
  </si>
  <si>
    <t>Milano Piazzale Lugano</t>
  </si>
  <si>
    <t>Consorzio Atlante</t>
  </si>
  <si>
    <t>Porto Ceresio (VA)</t>
  </si>
  <si>
    <t>Borgosesia (VC) Frazione Marasco</t>
  </si>
  <si>
    <t>Bergamo Via Suardi</t>
  </si>
  <si>
    <t>Futura Srl.</t>
  </si>
  <si>
    <t xml:space="preserve">Bologna-Tecnopolo </t>
  </si>
  <si>
    <t>Termal Green Building</t>
  </si>
  <si>
    <t>Bologna Via Nanni</t>
  </si>
  <si>
    <t>Rezzato (BS)</t>
  </si>
  <si>
    <t>Codimar S.r.l.</t>
  </si>
  <si>
    <t>Albizzate (VA)</t>
  </si>
  <si>
    <t>Ravenna</t>
  </si>
  <si>
    <t>A.C.C.Soc. Cop.</t>
  </si>
  <si>
    <t>Monza Via Foscolo</t>
  </si>
  <si>
    <t>CMC SRL(Emmeti)</t>
  </si>
  <si>
    <t>Campo Ligure (GE)</t>
  </si>
  <si>
    <t>SET S.p.A.</t>
  </si>
  <si>
    <t>Moretta (CN)</t>
  </si>
  <si>
    <t>Giuggia Costruzioni S.r.l.</t>
  </si>
  <si>
    <t>Torino Tangenziale Sud</t>
  </si>
  <si>
    <t>Edilcostruzioni Arapi S.r.l.</t>
  </si>
  <si>
    <t>Milano C.so Italia</t>
  </si>
  <si>
    <t>Colombo Costruzioni S.p.A.</t>
  </si>
  <si>
    <t>Milano Via Ippodromo</t>
  </si>
  <si>
    <t>Facchetti Costruzioni S.p.A.</t>
  </si>
  <si>
    <t>Piacenza Mirafiori</t>
  </si>
  <si>
    <t>ASSAGO</t>
  </si>
  <si>
    <t>COGEFA</t>
  </si>
  <si>
    <t>Albizzate (VA)-Travedona Monate</t>
  </si>
  <si>
    <t>Montagnana (PD)</t>
  </si>
  <si>
    <t>Abbadesse S.r.l.</t>
  </si>
  <si>
    <t>Albairate (MI)</t>
  </si>
  <si>
    <t>IES Biogas S.r.l.</t>
  </si>
  <si>
    <t>Genova Corso Sardegna</t>
  </si>
  <si>
    <t>Cosmo S.r.l.</t>
  </si>
  <si>
    <t>Ginevra</t>
  </si>
  <si>
    <t>ICM S.p.A.</t>
  </si>
  <si>
    <t>Vesima (GE)</t>
  </si>
  <si>
    <t>Torino Metropolitana - LOTTO 2</t>
  </si>
  <si>
    <t>Alessandria Est</t>
  </si>
  <si>
    <t>Provaglio d'Iseo (BS)</t>
  </si>
  <si>
    <t>Carpenterie CMS S.r.l.</t>
  </si>
  <si>
    <t>Genova Voltri - Porto di Prà</t>
  </si>
  <si>
    <t>Dott. Carlo Agnese S.p.A.</t>
  </si>
  <si>
    <t>Milano Via Neera</t>
  </si>
  <si>
    <t>Borgarello (PV)</t>
  </si>
  <si>
    <t>Cepav-Manelli-FRASSINO</t>
  </si>
  <si>
    <t>Salc-ICS</t>
  </si>
  <si>
    <t>Firenze  - Isolotto</t>
  </si>
  <si>
    <t>La Spezia Porto</t>
  </si>
  <si>
    <t>Tecnositaf</t>
  </si>
  <si>
    <t>Milano Via Zecca Vecchia</t>
  </si>
  <si>
    <t>Milano Viale Certosa</t>
  </si>
  <si>
    <t xml:space="preserve">Reggio Emilia </t>
  </si>
  <si>
    <t>Infram S.r.l.</t>
  </si>
  <si>
    <t>MILANO - VIA SERIO</t>
  </si>
  <si>
    <t>COLOMBO-COVIVIO</t>
  </si>
  <si>
    <t>Cepav-Manelli</t>
  </si>
  <si>
    <t>Ventasso (RE)</t>
  </si>
  <si>
    <t>Grenti</t>
  </si>
  <si>
    <t>Borghetto Vara (SP)</t>
  </si>
  <si>
    <t>Roè Volciano (BS)</t>
  </si>
  <si>
    <t>COPROMEC</t>
  </si>
  <si>
    <t>ADR INFR.-PAVIMENTAL</t>
  </si>
  <si>
    <t>Genova Waterfront</t>
  </si>
  <si>
    <t>CDS Costruzioni S.r.l.</t>
  </si>
  <si>
    <t>La Cittadella S.c.a.r.l.</t>
  </si>
  <si>
    <t>A6 Galleria Bricco</t>
  </si>
  <si>
    <t>A6 Viadotto Serre 1</t>
  </si>
  <si>
    <t>Milano Via San Calocero</t>
  </si>
  <si>
    <t>Restauri Lomazzo S.r.l.</t>
  </si>
  <si>
    <t>A1 Firenze Sud</t>
  </si>
  <si>
    <t>Castelleone (CR)</t>
  </si>
  <si>
    <t>Imprese Pesenti S.r.l.</t>
  </si>
  <si>
    <t>Elios S.r.l.</t>
  </si>
  <si>
    <t>Bareggio (MI)</t>
  </si>
  <si>
    <t>Aleandri S.p.A.</t>
  </si>
  <si>
    <t>Desenzano d/G Via Vicina</t>
  </si>
  <si>
    <t>Olgiate Molgora (LC)</t>
  </si>
  <si>
    <t>Parma - Torrente Baganza</t>
  </si>
  <si>
    <t>Strabag - Baganza S.c.a.r.l.</t>
  </si>
  <si>
    <t>MILANO - PIOLA/LAMBRATE</t>
  </si>
  <si>
    <t>MILANO Via Assietta</t>
  </si>
  <si>
    <t>Forte dei Marmi (LU)</t>
  </si>
  <si>
    <t>Sirmione Via Verona</t>
  </si>
  <si>
    <t>Casalecchio di Reno (BO)</t>
  </si>
  <si>
    <t>Fiumicino - Coccio di Morto</t>
  </si>
  <si>
    <t>Sirmione Via Frati</t>
  </si>
  <si>
    <t>Ca' dei Frati S.r.l.</t>
  </si>
  <si>
    <t>General System S.p.A.</t>
  </si>
  <si>
    <t>Strabag S.p.A./Baganza Scarl</t>
  </si>
  <si>
    <t>Mael S.r.l.</t>
  </si>
  <si>
    <t>Noldem S.r.l.</t>
  </si>
  <si>
    <t>AV/AC - CEPAV DUE (BS-VR) - ctr. 0800175</t>
  </si>
  <si>
    <t>Genova San Benigno Lotto 2-CTR</t>
  </si>
  <si>
    <t>Modena Tetrapak</t>
  </si>
  <si>
    <t>Parma Campata 5</t>
  </si>
  <si>
    <t>Milano Via Tofano</t>
  </si>
  <si>
    <t>Salcef-Iricav</t>
  </si>
  <si>
    <t>Tunnel64</t>
  </si>
  <si>
    <t>Metro Genova S.c.a.r.l.</t>
  </si>
  <si>
    <t>Campi Bisenzio</t>
  </si>
  <si>
    <t>Polistrade</t>
  </si>
  <si>
    <t>Firenze - Bagni a Ripoli</t>
  </si>
  <si>
    <t>Gussola (CR)</t>
  </si>
  <si>
    <t>Seregno (MI)</t>
  </si>
  <si>
    <t>Seli S.r.l.</t>
  </si>
  <si>
    <t>Colleretto (TO)</t>
  </si>
  <si>
    <t>Bioindustry Park S.p.A.</t>
  </si>
  <si>
    <t>Zecca Prefabbricati S.r.l.</t>
  </si>
  <si>
    <t>frassino scarl</t>
  </si>
  <si>
    <t>Artoni &amp; Fadani</t>
  </si>
  <si>
    <t xml:space="preserve">San Bonifacio (VR) </t>
  </si>
  <si>
    <t>Iricav Due</t>
  </si>
  <si>
    <t>Casarile (MI)</t>
  </si>
  <si>
    <t>San Stefano a Mare (IM)</t>
  </si>
  <si>
    <t>Imaco S.p.A.</t>
  </si>
  <si>
    <t>Maranello (MO)</t>
  </si>
  <si>
    <t>Torino Corso Toscana</t>
  </si>
  <si>
    <t>Mattioda S.r.l.</t>
  </si>
  <si>
    <t>Luzzara (RE)</t>
  </si>
  <si>
    <t>Binacchi S.r.l.</t>
  </si>
  <si>
    <t>Milano Via Erodoto</t>
  </si>
  <si>
    <t>Sviluppo Nolo S.r.l.</t>
  </si>
  <si>
    <t>De Sanctis S.p.A.</t>
  </si>
  <si>
    <t>C.013.20</t>
  </si>
  <si>
    <t>C.050.22</t>
  </si>
  <si>
    <t>C.036.22</t>
  </si>
  <si>
    <t>C.030.22</t>
  </si>
  <si>
    <t>C.076.20</t>
  </si>
  <si>
    <t>C.056.20</t>
  </si>
  <si>
    <t>C.086.19</t>
  </si>
  <si>
    <t>C.007.22</t>
  </si>
  <si>
    <t>C.086.20</t>
  </si>
  <si>
    <t>Malpensa - Gallarate (VA)</t>
  </si>
  <si>
    <t>Salc S.p.A.</t>
  </si>
  <si>
    <t>C.055.22</t>
  </si>
  <si>
    <t>C.049.22</t>
  </si>
  <si>
    <t>ROMA - VIA USO DI MARE</t>
  </si>
  <si>
    <t>ARMOFER</t>
  </si>
  <si>
    <t>C.019.21</t>
  </si>
  <si>
    <t>C.057.18</t>
  </si>
  <si>
    <t>Vezzola S.p.A.</t>
  </si>
  <si>
    <t>De Carli S.p.A.</t>
  </si>
  <si>
    <t>C.015.19</t>
  </si>
  <si>
    <t>Autostrada brennero</t>
  </si>
  <si>
    <t>Castaldo</t>
  </si>
  <si>
    <t>BORGO SAN GIOVANNI</t>
  </si>
  <si>
    <t>MILANO VIA ZECCA</t>
  </si>
  <si>
    <t>Civelli S.p.A.</t>
  </si>
  <si>
    <t>Annone (LC)</t>
  </si>
  <si>
    <t>PAL S.p.A.</t>
  </si>
  <si>
    <t>MONTECCHIO</t>
  </si>
  <si>
    <t>Montecchio SCARL</t>
  </si>
  <si>
    <t>MILANO VIA SERIO</t>
  </si>
  <si>
    <t>GAVARDO - DEPURATORE</t>
  </si>
  <si>
    <t>MI PIAZZALE LUGANO</t>
  </si>
  <si>
    <t>CONS.ATLANTE</t>
  </si>
  <si>
    <t>C.008.20</t>
  </si>
  <si>
    <t>C.015.23</t>
  </si>
  <si>
    <t>C.011.23</t>
  </si>
  <si>
    <t>C.010.23</t>
  </si>
  <si>
    <t>Lago Blu S.c.a.r.l.</t>
  </si>
  <si>
    <t>C.022.23</t>
  </si>
  <si>
    <t>A26 Gallerie Mottarone</t>
  </si>
  <si>
    <t>C.020.23</t>
  </si>
  <si>
    <t>A6 TO-SV Lotto 3</t>
  </si>
  <si>
    <t>C.075.22</t>
  </si>
  <si>
    <t>C.054.22</t>
  </si>
  <si>
    <t>C.039.22</t>
  </si>
  <si>
    <t>C.046.20</t>
  </si>
  <si>
    <t>C.024.23</t>
  </si>
  <si>
    <t>C.025.23</t>
  </si>
  <si>
    <t>Commesse 18-22</t>
  </si>
  <si>
    <t>Linate2</t>
  </si>
  <si>
    <t>Segrate2</t>
  </si>
  <si>
    <t>Firenze2</t>
  </si>
  <si>
    <t>Tot 2018</t>
  </si>
  <si>
    <t>Tot 2022</t>
  </si>
  <si>
    <t>Tot 2021</t>
  </si>
  <si>
    <t>Tot 2020</t>
  </si>
  <si>
    <t>Tot 2019</t>
  </si>
  <si>
    <t>Periodo</t>
  </si>
  <si>
    <t>Fatturato</t>
  </si>
  <si>
    <t>%Fatturato</t>
  </si>
  <si>
    <t>Contablità</t>
  </si>
  <si>
    <t>Totale nuove commesse</t>
  </si>
  <si>
    <t>Totale commesse esistenti</t>
  </si>
  <si>
    <t>Fatt. NewCommesse</t>
  </si>
  <si>
    <t>Fatt. OldCommesse</t>
  </si>
  <si>
    <t>% NewComm</t>
  </si>
  <si>
    <t>% OldComm</t>
  </si>
  <si>
    <t>NewCommesse</t>
  </si>
  <si>
    <t>Media senza 2018</t>
  </si>
  <si>
    <t>Media NewCommesse</t>
  </si>
  <si>
    <t>Media OldCommesse</t>
  </si>
  <si>
    <t>025000 Acconti per imm. Materiali</t>
  </si>
  <si>
    <t>Nuove Commesse</t>
  </si>
  <si>
    <t>Totale Commesse</t>
  </si>
  <si>
    <t>%Nuove Commesse</t>
  </si>
  <si>
    <t>n/a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</si>
  <si>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</si>
  <si>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</si>
  <si>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</si>
  <si>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</si>
  <si>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</si>
  <si>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</si>
  <si>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</si>
  <si>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</si>
  <si>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</si>
  <si>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</si>
  <si>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</si>
  <si>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</si>
  <si>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Totale Nuove Commesse</t>
  </si>
  <si>
    <t>Ires</t>
  </si>
  <si>
    <t>Irap Lombardia</t>
  </si>
  <si>
    <t>18-22</t>
  </si>
  <si>
    <t>Risultato netto</t>
  </si>
  <si>
    <t>Debiti vs fornitori circolante</t>
  </si>
  <si>
    <t>&lt;-- somma nulla, cessione immobile nel 2021</t>
  </si>
  <si>
    <t>&lt;--terreni non ammortizzabili. Somma pari a:</t>
  </si>
  <si>
    <t>&lt;-- costruzioni leggere</t>
  </si>
  <si>
    <t>NOVASONIC U5700</t>
  </si>
  <si>
    <t>ACCONTO PERFOR</t>
  </si>
  <si>
    <t>PERFORATRICE PX</t>
  </si>
  <si>
    <t>PUNTA HD COP 64</t>
  </si>
  <si>
    <t>ELETTROPOMPA TP</t>
  </si>
  <si>
    <t>INIETTORE SONDA</t>
  </si>
  <si>
    <t>MARTELLO DOMINA</t>
  </si>
  <si>
    <t>PACKER IDRAULIC</t>
  </si>
  <si>
    <t>POMPA KSB TIPO</t>
  </si>
  <si>
    <t>CELLA CARICO ID</t>
  </si>
  <si>
    <t>DOMINATOR 750 S</t>
  </si>
  <si>
    <t>MARTELLO F.F. H</t>
  </si>
  <si>
    <t>INIETTORE T180</t>
  </si>
  <si>
    <t>COP 54-Q MARTEL</t>
  </si>
  <si>
    <t>TURBOMISCELATOR</t>
  </si>
  <si>
    <t>COP 44-Q MARTEL</t>
  </si>
  <si>
    <t>HAMMER HALCO DO</t>
  </si>
  <si>
    <t>CENTRALE DI INI</t>
  </si>
  <si>
    <t>SOLLEVATORE LIN</t>
  </si>
  <si>
    <t>ATTREZZATURE DI</t>
  </si>
  <si>
    <t>PERFORATRICE CA</t>
  </si>
  <si>
    <t>DOMINATOR 750 M</t>
  </si>
  <si>
    <t>MOTORE A2FM80</t>
  </si>
  <si>
    <t>MOTORE IDRAULIC</t>
  </si>
  <si>
    <t>DATALOGGER PER</t>
  </si>
  <si>
    <t>RADIOCOMANDO TE</t>
  </si>
  <si>
    <t>MARTELLO HAMME</t>
  </si>
  <si>
    <t>IMPIANTO DI MIS</t>
  </si>
  <si>
    <t>TRATTRICE PIANA</t>
  </si>
  <si>
    <t>MOTOCOMPRESSO</t>
  </si>
  <si>
    <t>RIDUTTORE</t>
  </si>
  <si>
    <t>MOTORE</t>
  </si>
  <si>
    <t>TURBO MIXER T-5</t>
  </si>
  <si>
    <t>PERFORATRICE PU</t>
  </si>
  <si>
    <t>MARTELLO SUPER</t>
  </si>
  <si>
    <t>TORNIO PARALLEL</t>
  </si>
  <si>
    <t>ATTREZZATURA PU</t>
  </si>
  <si>
    <t>MOTOCOPRESSORE</t>
  </si>
  <si>
    <t>PERFORATRICE ID</t>
  </si>
  <si>
    <t>POMPA TRIPLEX 2</t>
  </si>
  <si>
    <t>N.2 CENTRALINE</t>
  </si>
  <si>
    <t>MOTORE DEUZT TI</t>
  </si>
  <si>
    <t>PERFORATRICE AT</t>
  </si>
  <si>
    <t>ESCAVATORE IDRA</t>
  </si>
  <si>
    <t>MOTORE V14-160-</t>
  </si>
  <si>
    <t>MOTORE A6VM107D</t>
  </si>
  <si>
    <t>POMPE TEKNIW ELL</t>
  </si>
  <si>
    <t>TRIVELLA ROCK 9</t>
  </si>
  <si>
    <t>MACCHINE ED ATT</t>
  </si>
  <si>
    <t>VIBROINFISSORE</t>
  </si>
  <si>
    <t>PERFORATRICE SO</t>
  </si>
  <si>
    <t>ADEGUAMENTO CE</t>
  </si>
  <si>
    <t>MOVIMENTATORE T</t>
  </si>
  <si>
    <t>IMPIANTO TURBO</t>
  </si>
  <si>
    <t>GRU FUORI STRAD</t>
  </si>
  <si>
    <t>PERFORATRICE CM</t>
  </si>
  <si>
    <t>PERFORATRICE  C</t>
  </si>
  <si>
    <t>TESTA DI ROTAZI</t>
  </si>
  <si>
    <t>CARRELLO ELEVAT</t>
  </si>
  <si>
    <t>PERFORATRICE PS</t>
  </si>
  <si>
    <t>TRASCINATORE CO</t>
  </si>
  <si>
    <t>MINIESCAVATORE</t>
  </si>
  <si>
    <t>MOTORE DEUTZ TI</t>
  </si>
  <si>
    <t>PERFORATRICE CI</t>
  </si>
  <si>
    <t>PERFORATRICE  I</t>
  </si>
  <si>
    <t>DISSABBIATRICE</t>
  </si>
  <si>
    <t>PERFORATRICE C6</t>
  </si>
  <si>
    <t>PERFORATRICE BE</t>
  </si>
  <si>
    <t>POMPA B100D S/C</t>
  </si>
  <si>
    <t>BUCKET DF ROCCI</t>
  </si>
  <si>
    <t>CORPO POMPA TW 3</t>
  </si>
  <si>
    <t>SOLLEVATORE TEL</t>
  </si>
  <si>
    <t>IMPIANTO ELETTR</t>
  </si>
  <si>
    <t>MARTELLO QL.80</t>
  </si>
  <si>
    <t>PERFORATRICE MC</t>
  </si>
  <si>
    <t>GRUPPO ELETTROG</t>
  </si>
  <si>
    <t>GRU IDRAULICA E</t>
  </si>
  <si>
    <t>POMPA BUNKER B1</t>
  </si>
  <si>
    <t>POMPA JET TRIPL</t>
  </si>
  <si>
    <t>IMPIANTO MISCEL</t>
  </si>
  <si>
    <t>PALA GOMMATA TI</t>
  </si>
  <si>
    <t>PALA GOMMATA FI</t>
  </si>
  <si>
    <t>VIBRATORE 32VN</t>
  </si>
  <si>
    <t>AUTOGRU CINGOLA</t>
  </si>
  <si>
    <t>SERBATOIO TT920</t>
  </si>
  <si>
    <t>ESCAVATORE CING</t>
  </si>
  <si>
    <t>AUTOTELAIO 4X4</t>
  </si>
  <si>
    <t>MOTOSALDATRICE</t>
  </si>
  <si>
    <t>PALA GOMMATA CA</t>
  </si>
  <si>
    <t>GRUPPO TESTA MO</t>
  </si>
  <si>
    <t>AUTOGRU LOCATEL</t>
  </si>
  <si>
    <t>GRU CINGOLATO S</t>
  </si>
  <si>
    <t>PERFORATRICE B1</t>
  </si>
  <si>
    <t>SLITTA DI PERFO</t>
  </si>
  <si>
    <t>DISSABBIATORE D</t>
  </si>
  <si>
    <t>AUTOGRU SEM.BEN</t>
  </si>
  <si>
    <t>TERNA KOMATSU W</t>
  </si>
  <si>
    <t>TERNA PROCLAIN</t>
  </si>
  <si>
    <t>PALA CARICATRIC</t>
  </si>
  <si>
    <t>PALA GHEL - ECO</t>
  </si>
  <si>
    <t>GRU IDRAULICA C</t>
  </si>
  <si>
    <t>IMPIANTI N. 3</t>
  </si>
  <si>
    <t>STRUMENTAZIONE</t>
  </si>
  <si>
    <t>TRIVELLA PIANA</t>
  </si>
  <si>
    <t>IMPIANTO INIEZI</t>
  </si>
  <si>
    <t>POSIZIONATORE E</t>
  </si>
  <si>
    <t>RIDUTTORE PER P</t>
  </si>
  <si>
    <t>GRUPPO INIEZION</t>
  </si>
  <si>
    <t>ATTREZZATURA EA</t>
  </si>
  <si>
    <t>ESTRATTORI E PA</t>
  </si>
  <si>
    <t>N.3 POMPE IDROV</t>
  </si>
  <si>
    <t>PALANCOLE GIUNT</t>
  </si>
  <si>
    <t>VISION S UNITA'</t>
  </si>
  <si>
    <t>GRU BITRAVE A C</t>
  </si>
  <si>
    <t>IMPIANTO DI INI</t>
  </si>
  <si>
    <t>RILEVATORI SATE</t>
  </si>
  <si>
    <t>PALA HITACHI W 1</t>
  </si>
  <si>
    <t>KELLY CASAGRAND</t>
  </si>
  <si>
    <t>DISSABBIATORE C</t>
  </si>
  <si>
    <t>PERFORATRICE MK</t>
  </si>
  <si>
    <t>ATTREZZATURA BI</t>
  </si>
  <si>
    <t>CENTRALINA PER</t>
  </si>
  <si>
    <t>MARTELLO FONDO</t>
  </si>
  <si>
    <t>POMPA TRIPLEX A</t>
  </si>
  <si>
    <t>PISTONCINO INIE</t>
  </si>
  <si>
    <t>TIRANTI (COPAR</t>
  </si>
  <si>
    <t>BANCALI MALTA F</t>
  </si>
  <si>
    <t>POMPA JET TECNI</t>
  </si>
  <si>
    <t>MAIT HR100 MATR</t>
  </si>
  <si>
    <t>AUTOGRU GROVE M</t>
  </si>
  <si>
    <t>ESCAVATORE LIEB</t>
  </si>
  <si>
    <t>MOTOPOMPA SOILM</t>
  </si>
  <si>
    <t>COMPRESSORE OL</t>
  </si>
  <si>
    <t>PERFORATRICE CO</t>
  </si>
  <si>
    <t>GRU CINGOLATA S</t>
  </si>
  <si>
    <t>GRU ESCAVATORE</t>
  </si>
  <si>
    <t>DISSABBIATORE S</t>
  </si>
  <si>
    <t>MOTOPOMPA TRIPL</t>
  </si>
  <si>
    <t>GRU FUORISTRADA</t>
  </si>
  <si>
    <t>ASTA INTERLOCKI</t>
  </si>
  <si>
    <t>CONTAINER INIEZ</t>
  </si>
  <si>
    <t>COMPRESSORE MA</t>
  </si>
  <si>
    <t>COMPRESSORE DE</t>
  </si>
  <si>
    <t>GRU CINGOLATA/E</t>
  </si>
  <si>
    <t>SONDA PERFORATR</t>
  </si>
  <si>
    <t>ATTREZZATURA ID</t>
  </si>
  <si>
    <t>PERFORATRICE MD</t>
  </si>
  <si>
    <t>VALTRONIC EUROP</t>
  </si>
  <si>
    <t>VIBRATORE VIBRO</t>
  </si>
  <si>
    <t>MESCOLATORE SAI</t>
  </si>
  <si>
    <t>ESCAVATORE HITA</t>
  </si>
  <si>
    <t>TORREFARO VT1 M</t>
  </si>
  <si>
    <t>TORRE FARO VT1</t>
  </si>
  <si>
    <t>IMPIANTO ASPIRA</t>
  </si>
  <si>
    <t>SONDA INCLINOME</t>
  </si>
  <si>
    <t>POMPA VARISCO J</t>
  </si>
  <si>
    <t>JET MOD. VISION</t>
  </si>
  <si>
    <t>GENERATORE DOO</t>
  </si>
  <si>
    <t>SOILMEC SR80 3</t>
  </si>
  <si>
    <t>CASAGRANDE C8 M</t>
  </si>
  <si>
    <t>POMPA  AD ALTA</t>
  </si>
  <si>
    <t>IMPIANTO MESCOL</t>
  </si>
  <si>
    <t>N. 4 PIANTINE D</t>
  </si>
  <si>
    <t>FORA VISION + S</t>
  </si>
  <si>
    <t>IPERPVPLOG 15"T</t>
  </si>
  <si>
    <t>N. 1 CENTRALINA</t>
  </si>
  <si>
    <t>CENTRALINA USAT</t>
  </si>
  <si>
    <t>FORA VISION+SIS</t>
  </si>
  <si>
    <t>POMPA SILVER 18</t>
  </si>
  <si>
    <t>GRU SOILMEC SM2</t>
  </si>
  <si>
    <t>GRU CINGOLATA B</t>
  </si>
  <si>
    <t>SOILMEC SR50 -</t>
  </si>
  <si>
    <t>MAIT HR180 - AN</t>
  </si>
  <si>
    <t>SOILMEC SM5 - A</t>
  </si>
  <si>
    <t>ESTRATTORE PER</t>
  </si>
  <si>
    <t>GENERATORE OLY</t>
  </si>
  <si>
    <t>GENERATORE GEH2</t>
  </si>
  <si>
    <t>POSIZIONATORE M</t>
  </si>
  <si>
    <t>GRU CINGOLATA M</t>
  </si>
  <si>
    <t>REGISTRATORE DI</t>
  </si>
  <si>
    <t>ELETTROCOMPRES</t>
  </si>
  <si>
    <t>POMPA MECBO PUL</t>
  </si>
  <si>
    <t>MOTOPOMPA VARIS</t>
  </si>
  <si>
    <t>N. 2 INIETTORI</t>
  </si>
  <si>
    <t>POMPA FANGHI BA</t>
  </si>
  <si>
    <t>Perforatrice id</t>
  </si>
  <si>
    <t>DISSABBIATORE P</t>
  </si>
  <si>
    <t>GRU A FUNE CING</t>
  </si>
  <si>
    <t>PALA GOMMATA HI</t>
  </si>
  <si>
    <t>GRU CINGOLATA A</t>
  </si>
  <si>
    <t>ELETTROPOMPA VA</t>
  </si>
  <si>
    <t>PERFORATRICE C1</t>
  </si>
  <si>
    <t>Valore del settore delle costruzioni (eur/miliardi)</t>
  </si>
  <si>
    <t>CAGR 21-22</t>
  </si>
  <si>
    <t>In sostanza, a valori correnti, tra il 2020 ed il 2022 il mercato delle costruzioni è cresciuto di 109 miliardi di euro.</t>
  </si>
  <si>
    <t>Nel 20220 c'era la pandemia e l'economia era crollata, ma per le costruzioni, la contrazione nel 2020 c'è stata ma è molto contenuta rispetto alla crescita del 2021: a valori correnti: -4,1%</t>
  </si>
  <si>
    <t>CAGR 19-22</t>
  </si>
  <si>
    <t>Investimenti in costruzioni a livello mondiale (eur/miliardi)</t>
  </si>
  <si>
    <t>CAGR 23-26</t>
  </si>
  <si>
    <t>In termini assoluti, il 2022 si è chiuso con il mercato mondiale delle costruzioni che ha sfiorato la soglia dei 10.000 miliardi di euro (a valori costanti 2021), un dato ben superiore di quanto registrato</t>
  </si>
  <si>
    <t>nell'anno pre-pandemico (oltre 500 miliardi in più); la crescita attesa per i prossimi 4 anni è del +2,3% medio annuo, con un forte rallentamento nel 2023 e un graduale recupero negli anni successivi.</t>
  </si>
  <si>
    <t>Crescita annua degli investimenti in costruzione a livello mondiale</t>
  </si>
  <si>
    <t>Asia</t>
  </si>
  <si>
    <t>Africa</t>
  </si>
  <si>
    <t>Europa</t>
  </si>
  <si>
    <t>Oceania</t>
  </si>
  <si>
    <t>South America</t>
  </si>
  <si>
    <t>Media 23-26</t>
  </si>
  <si>
    <t xml:space="preserve"> grafico 2.3 Report</t>
  </si>
  <si>
    <t>media 08-18</t>
  </si>
  <si>
    <t>Construction contribution to growth</t>
  </si>
  <si>
    <t>Construction share to growth</t>
  </si>
  <si>
    <t>costruzioni, contributo alla crescita del PIL globale (grafico 2.13</t>
  </si>
  <si>
    <t>grafico 3.84</t>
  </si>
  <si>
    <t>Investimenti fissi lordi delle Amministrazioni Pubbluche (eur/milioni)</t>
  </si>
  <si>
    <t>Investimenti in nuove costruzioni</t>
  </si>
  <si>
    <t>Residenziali</t>
  </si>
  <si>
    <t>Non residenziali private</t>
  </si>
  <si>
    <t>Non residenziali pubbliche</t>
  </si>
  <si>
    <t>Genio civile</t>
  </si>
  <si>
    <t>Investimenti in rinnovo</t>
  </si>
  <si>
    <t>Totale investimenti</t>
  </si>
  <si>
    <t>Manutenzione ordinaria</t>
  </si>
  <si>
    <t>Valore mercato costruzione</t>
  </si>
  <si>
    <t>Investimenti non pubblici</t>
  </si>
  <si>
    <t>Investimenti pubblici</t>
  </si>
  <si>
    <t>Investimenti in opere pubbliche (eur/milioni) PA e concessionari - Dati CRESME nov 2022</t>
  </si>
  <si>
    <t>Investimenti fissi lordi (eur/milioni) PA  - Dati ISTAT ottobre 2022</t>
  </si>
  <si>
    <t>Mercato Italiano</t>
  </si>
  <si>
    <t>Mercato Italiano YoY</t>
  </si>
  <si>
    <t>YoY</t>
  </si>
  <si>
    <t>Mercato Italiano Pubblico</t>
  </si>
  <si>
    <t>% y0y</t>
  </si>
  <si>
    <t>&lt;-- HP crescita mercaro</t>
  </si>
  <si>
    <t>&lt;-- media crescita privata storica</t>
  </si>
  <si>
    <t>HP</t>
  </si>
  <si>
    <t>Proventi gestionali</t>
  </si>
  <si>
    <t>Crescita Media storica (18-21)</t>
  </si>
  <si>
    <t>Commesse in essere 2023+ Crescita Storica (18-21)</t>
  </si>
  <si>
    <t>Crescita media ponderata Privati</t>
  </si>
  <si>
    <t xml:space="preserve">INC SPA </t>
  </si>
  <si>
    <t>Ripartizione mercato</t>
  </si>
  <si>
    <t>Inflazione - IMF</t>
  </si>
  <si>
    <t>Costo Dip/Revenus</t>
  </si>
  <si>
    <t>HP 100% Clienti Pubblici</t>
  </si>
  <si>
    <t>Mercato - Tutte commesse pubbliche</t>
  </si>
  <si>
    <t>Mercato - Tutte commesse pubbliche 2023 adj (CAGR-18-21)</t>
  </si>
  <si>
    <t>Mercato (Privato+Pubblico)</t>
  </si>
  <si>
    <t>&lt;--quota ammortamenti</t>
  </si>
  <si>
    <t>&lt;-- escluso il 2021 in quanto l'anno più basso. Azione prudenziale, più costo</t>
  </si>
  <si>
    <t>&lt;--- ipotizzato un % del 5% perché media storica molto bassa. Aspetto prudenziale, maggior costo</t>
  </si>
  <si>
    <t>&lt;--- ipotizzato un % del 2% perché media storica molto bassa. Aspetto prudenziale, maggior costo</t>
  </si>
  <si>
    <t>&lt;-- costo altamente variabile come si evince dai dati storici. Tolto il 2018 in quanto outlier rispetto alla media</t>
  </si>
  <si>
    <t>Indice finanziario</t>
  </si>
  <si>
    <t>Indice</t>
  </si>
  <si>
    <t>025000 Acconti per immob.materiali</t>
  </si>
  <si>
    <t>037020 Strumenti finanz.derivati att</t>
  </si>
  <si>
    <t>044840 Fdo sval.rim.prod.finiti merci</t>
  </si>
  <si>
    <t>051240 Clienti oes</t>
  </si>
  <si>
    <t>051241 Clienti ft. da emet. ritenute</t>
  </si>
  <si>
    <t>esigibili oltre esercizio successivo</t>
  </si>
  <si>
    <t>055000 **Erario c/IVA da compensare</t>
  </si>
  <si>
    <t>057410 Crediti da risconti</t>
  </si>
  <si>
    <t>070001 Banca MPS c/c 10012732</t>
  </si>
  <si>
    <t>070017 Intesa c/c 6801105</t>
  </si>
  <si>
    <t>070018 Banca Intesa-c/metro blu 47002</t>
  </si>
  <si>
    <t>070020 Banca Intesa c/d 47004-CEPAV D</t>
  </si>
  <si>
    <t>070025 BCC Brescia c/c 431433</t>
  </si>
  <si>
    <t>070075 Unicredit c/ded Tunnel</t>
  </si>
  <si>
    <t>070880 Carta cred.prepagata Intesa</t>
  </si>
  <si>
    <t>070881 Carta prepagata cred. padano</t>
  </si>
  <si>
    <t>082004 Risconti attivi pluriennali</t>
  </si>
  <si>
    <t>107800 Ris.copertura flussi fin.attes</t>
  </si>
  <si>
    <t>112000 Fondo imposte differite</t>
  </si>
  <si>
    <t>113090 Fdo per ris. cause in corso</t>
  </si>
  <si>
    <t>150040 Mutui ees</t>
  </si>
  <si>
    <t>150046 Debiti v/banche per interessi</t>
  </si>
  <si>
    <t>220000 Debiti v/INAIL ees</t>
  </si>
  <si>
    <t>220121 Debiti previdenz. diversi e.es</t>
  </si>
  <si>
    <t>230080 Dipendenti c/ferie permessi</t>
  </si>
  <si>
    <t>230100 Dipendenti c/mensilità agg.</t>
  </si>
  <si>
    <t>230284 Debiti diversi da ratei</t>
  </si>
  <si>
    <t>430000 Acquisti merci</t>
  </si>
  <si>
    <t>430004 Allestim/messa norma cantieri</t>
  </si>
  <si>
    <t>430010 Cemento</t>
  </si>
  <si>
    <t>430011 Tiranti e barre</t>
  </si>
  <si>
    <t>430012 Tubi e travi di armatura</t>
  </si>
  <si>
    <t>430013 Bentonite</t>
  </si>
  <si>
    <t>430080 Acquisti imballaggi</t>
  </si>
  <si>
    <t>430240 Acquisti mat.di manutenzione</t>
  </si>
  <si>
    <t>430241 Acq. pneumatici autocarri</t>
  </si>
  <si>
    <t>430242 Acq. pneumatici autovetture</t>
  </si>
  <si>
    <t>430360 Acqua potabile su cantieri</t>
  </si>
  <si>
    <t>431020 Trasporti su acquisti</t>
  </si>
  <si>
    <t>431080 Carburanti produzione servizi</t>
  </si>
  <si>
    <t>431820 Acquisti attrezzatura minuta</t>
  </si>
  <si>
    <t>431821 Beni amm.li nell'esercizio</t>
  </si>
  <si>
    <t>431822 Tubi in pvc amm.li esercizio</t>
  </si>
  <si>
    <t>431830 Funi e catene amm.li esercizio</t>
  </si>
  <si>
    <t>431860 Acquisti materiale di consumo</t>
  </si>
  <si>
    <t>431890 Attrezz.perfor.(punte mart.sca</t>
  </si>
  <si>
    <t>431900 Mater.di pulizia / biancheria</t>
  </si>
  <si>
    <t>431901 Indumenti da lavoro</t>
  </si>
  <si>
    <t>432020 Cancelleria</t>
  </si>
  <si>
    <t>432100 Carburanti e lubrificanti</t>
  </si>
  <si>
    <t>432120 Carburanti e lubrif.auto</t>
  </si>
  <si>
    <t>432220 Abbuoni att.su acquisti</t>
  </si>
  <si>
    <t>440000 Utenze energie</t>
  </si>
  <si>
    <t>440080 Utenze acqua</t>
  </si>
  <si>
    <t>440120 Utenze gas</t>
  </si>
  <si>
    <t>440160 Spese telefoniche</t>
  </si>
  <si>
    <t>440161 Spese telefoniche cellulare</t>
  </si>
  <si>
    <t>440200 Spese postali</t>
  </si>
  <si>
    <t>440240 Spese trasporti</t>
  </si>
  <si>
    <t>440280 Assicurazioni addebitate in ft</t>
  </si>
  <si>
    <t>440300 Assicurazioni auto</t>
  </si>
  <si>
    <t>440320 Assicurazioni obbligatorie</t>
  </si>
  <si>
    <t>440380 Pedaggi</t>
  </si>
  <si>
    <t>440382 Spese per prest. di servizi</t>
  </si>
  <si>
    <t>440383 Rimborsi spese analitici</t>
  </si>
  <si>
    <t>440390 Pedaggi auto</t>
  </si>
  <si>
    <t>440396 Costi vari auto</t>
  </si>
  <si>
    <t>440400 Pubblicita' e promozioni</t>
  </si>
  <si>
    <t>440500 Sp.alberghi/rist.-rappresent.</t>
  </si>
  <si>
    <t>440520 Spese alberghi e ristoranti</t>
  </si>
  <si>
    <t>440560 Servizio elaborazioni dati</t>
  </si>
  <si>
    <t>440601 Spese trasferte amministratore</t>
  </si>
  <si>
    <t>440640 Trasferte dipendenti</t>
  </si>
  <si>
    <t>440680 Trasferte dipendenti c/rimb.km</t>
  </si>
  <si>
    <t>440760 Spese vigilanza</t>
  </si>
  <si>
    <t>440801 Servizi di informazioni econom</t>
  </si>
  <si>
    <t>440840 Spese pulizie / lavanderia</t>
  </si>
  <si>
    <t>440841 Spese smaltim. rifiuti</t>
  </si>
  <si>
    <t>440870 Tassa sui rifiuti (TARI)</t>
  </si>
  <si>
    <t>440880 Servizi e oneri banc.</t>
  </si>
  <si>
    <t>440920 Altri costi per servizi</t>
  </si>
  <si>
    <t>440921 Spese assistenze diverse</t>
  </si>
  <si>
    <t>440924 Oneri per la sicurezza</t>
  </si>
  <si>
    <t>440960 Aggiornamenti/licenze software</t>
  </si>
  <si>
    <t>441030 Sp.certificazioni/orientam/ric</t>
  </si>
  <si>
    <t>441120 Lavorazioni di terzi</t>
  </si>
  <si>
    <t>441240 Servizi per il personale</t>
  </si>
  <si>
    <t>441280 Mensa dipendenti</t>
  </si>
  <si>
    <t>441281 Welfare Beni/servizi</t>
  </si>
  <si>
    <t>441550 Compensi a revisori</t>
  </si>
  <si>
    <t>441640 Contr.prev.ammin.soci sog.IRES</t>
  </si>
  <si>
    <t>442080 Compensi a terzi</t>
  </si>
  <si>
    <t>442202 Spese legali e notarili</t>
  </si>
  <si>
    <t>442480 Prestazioni lavoro occasionale</t>
  </si>
  <si>
    <t>442720 Canoni di manutenzione</t>
  </si>
  <si>
    <t>442760 Spese manutenzione beni propri</t>
  </si>
  <si>
    <t>442761 Spese per soccorso stradale</t>
  </si>
  <si>
    <t>442762 Spese collaudi e revisioni</t>
  </si>
  <si>
    <t>442780 Spese manutenzione auto</t>
  </si>
  <si>
    <t>442800 Spese manut.beni di terzi</t>
  </si>
  <si>
    <t>442810 Spese manut. auto di terzi</t>
  </si>
  <si>
    <t>442880 Spese man.fabbricati di terzi</t>
  </si>
  <si>
    <t>490090 Acc.to fdo ris. cause in corso</t>
  </si>
  <si>
    <t>510003 Imposta di registro</t>
  </si>
  <si>
    <t>510090 Bollo mezzi di trasporto</t>
  </si>
  <si>
    <t>510091 Bollo autovetture</t>
  </si>
  <si>
    <t>510120 Tassa vidimazione libri social</t>
  </si>
  <si>
    <t>510161 Accise offica Elettrica</t>
  </si>
  <si>
    <t>510170 Imposta di bollo virtuale</t>
  </si>
  <si>
    <t>510210 IMU / IMI / IMIS</t>
  </si>
  <si>
    <t>510230 Altre imposte</t>
  </si>
  <si>
    <t>510240 Giornali e riviste</t>
  </si>
  <si>
    <t>510280 Contributi associativi</t>
  </si>
  <si>
    <t>510320 Omaggi e articoli promozionali</t>
  </si>
  <si>
    <t>510340 Omaggi/art.promozionali &lt; 50 E</t>
  </si>
  <si>
    <t>510360 Spese varie</t>
  </si>
  <si>
    <t>510362 Costi non deducibili</t>
  </si>
  <si>
    <t>510365 Oneri addebitati in fattura</t>
  </si>
  <si>
    <t>510366 Spese rimborso danni</t>
  </si>
  <si>
    <t>510367 Rimborso danni a terzi</t>
  </si>
  <si>
    <t>510368 Spese rimborsi diversi</t>
  </si>
  <si>
    <t>510371 Sanzione Agenzia Dogane</t>
  </si>
  <si>
    <t>510374 Sanzioni e verbali cantieri</t>
  </si>
  <si>
    <t>510380 Diritti camerali</t>
  </si>
  <si>
    <t>510400 Valori bollati</t>
  </si>
  <si>
    <t>510460 Spese condominiali imm.civili</t>
  </si>
  <si>
    <t>510480 Multe automezzi</t>
  </si>
  <si>
    <t>510520 Sopravv.e insussist.pass.</t>
  </si>
  <si>
    <t>510600 Sconti abbuoni arrot. passivi</t>
  </si>
  <si>
    <t>510640 Perdite su crediti commerciale</t>
  </si>
  <si>
    <t>510680 Utilizzo fondi sval. crediti</t>
  </si>
  <si>
    <t>510760 Erogazioni liberali</t>
  </si>
  <si>
    <t>510780 Minus.str.cess.immob.non strum</t>
  </si>
  <si>
    <t>510800 Minusvalenze patrim.ordinarie</t>
  </si>
  <si>
    <t>510900 Sopravv.pass.c/ricavi</t>
  </si>
  <si>
    <t>510910 Sopravv.pass.straordinarie</t>
  </si>
  <si>
    <t>554030 Commissioni disponib. fondi</t>
  </si>
  <si>
    <t>634000 Rival. strum. finanz. derivati</t>
  </si>
  <si>
    <t>6)   per materie prime, sussidiarie, di consumo e di merci</t>
  </si>
  <si>
    <t>7)   per servizi</t>
  </si>
  <si>
    <t>8)   per godimento di beni di terzi</t>
  </si>
  <si>
    <t>14)   Oneri diversi di gestione</t>
  </si>
  <si>
    <t>510160 Imposte di bollo</t>
  </si>
  <si>
    <t>510848 Perdite su IVA</t>
  </si>
  <si>
    <t>440330 Assicuraz. obbligatorie auto</t>
  </si>
  <si>
    <t>440800 Studi e ricerche</t>
  </si>
  <si>
    <t>441122 Lavorazioni di terzi</t>
  </si>
  <si>
    <t>441140 Lavorazioni di terzi</t>
  </si>
  <si>
    <t>442721 Canoni diversi</t>
  </si>
  <si>
    <t>Adj</t>
  </si>
  <si>
    <t>2021 Adj</t>
  </si>
  <si>
    <t>2021 adj</t>
  </si>
  <si>
    <t>&lt;-- media 22-27</t>
  </si>
  <si>
    <t>2021 Totale</t>
  </si>
  <si>
    <t>2022 Totale</t>
  </si>
  <si>
    <t>2023 Totale</t>
  </si>
  <si>
    <t>(vuoto)</t>
  </si>
  <si>
    <t>Clienti</t>
  </si>
  <si>
    <t>2021 Priv</t>
  </si>
  <si>
    <t>2021 Pubbl</t>
  </si>
  <si>
    <t>2022 Priv</t>
  </si>
  <si>
    <t>2022 Pubbl</t>
  </si>
  <si>
    <t>2023 Priv</t>
  </si>
  <si>
    <t>2023 Pubbl</t>
  </si>
  <si>
    <t>Pubblico Complessivo</t>
  </si>
  <si>
    <t>Privato Complessivo</t>
  </si>
  <si>
    <t>Totale Comesse</t>
  </si>
  <si>
    <t>Media 3 anni Pubblico</t>
  </si>
  <si>
    <t>Media 3 anni Privato</t>
  </si>
  <si>
    <t>IMPORTO FATTURATO AL 30/06/2023</t>
  </si>
  <si>
    <t xml:space="preserve">IMPORTO CONTABILITA' </t>
  </si>
  <si>
    <t>DELTA</t>
  </si>
  <si>
    <t>LAVORI ESEGUITI NON ANCORA FATTURATI AL 30/06/2023</t>
  </si>
  <si>
    <t>IMPORTO PRESUNTO DA FATTURARE AL 31/12/2023</t>
  </si>
  <si>
    <t>UTILE DI IMPRESA AL 2023</t>
  </si>
  <si>
    <t>PERCENTUALE UTILE 2023</t>
  </si>
  <si>
    <t>IMPORTO PRESUNTO DA FATTURARE ANNO 2025</t>
  </si>
  <si>
    <t>DATA O DURATA PRESUNTA DI FINE LAVORI</t>
  </si>
  <si>
    <t>TERMINATO - 31 MAGGIO 2023</t>
  </si>
  <si>
    <t>C.038.22</t>
  </si>
  <si>
    <t>30 NOVEMBRE 2023</t>
  </si>
  <si>
    <t>TERMINATO - 30 APRILE 2023</t>
  </si>
  <si>
    <t>THE BUILDER S.r.l.</t>
  </si>
  <si>
    <t>JESOLO</t>
  </si>
  <si>
    <t>C.085.19 BIS</t>
  </si>
  <si>
    <t>C.010.20</t>
  </si>
  <si>
    <t>C.005.20</t>
  </si>
  <si>
    <t>31 AGOSTO 2023</t>
  </si>
  <si>
    <t>C.085.19</t>
  </si>
  <si>
    <t>C.070.20</t>
  </si>
  <si>
    <t>C.035.20</t>
  </si>
  <si>
    <t>C.088.20</t>
  </si>
  <si>
    <t>TERMINATO - 31 GENNAIO 2023</t>
  </si>
  <si>
    <t>C.071.21</t>
  </si>
  <si>
    <t>C.018.21</t>
  </si>
  <si>
    <t>C.040.21</t>
  </si>
  <si>
    <t>C.044.21</t>
  </si>
  <si>
    <t>C.072.21</t>
  </si>
  <si>
    <t>C.049.21</t>
  </si>
  <si>
    <t>C.049.19</t>
  </si>
  <si>
    <t>C.017.22</t>
  </si>
  <si>
    <t>A.N.A.S. - Fatturazione a Tunnel 64</t>
  </si>
  <si>
    <t>31 MAGGIO 2024</t>
  </si>
  <si>
    <t>C.002.22</t>
  </si>
  <si>
    <t>C.068.21</t>
  </si>
  <si>
    <t>C.062.20</t>
  </si>
  <si>
    <t>C.072.20</t>
  </si>
  <si>
    <t>C.060.21</t>
  </si>
  <si>
    <t>C.054.21</t>
  </si>
  <si>
    <t>C.059.21</t>
  </si>
  <si>
    <t>C.006.22</t>
  </si>
  <si>
    <t>C.055.21</t>
  </si>
  <si>
    <t>C.044.20</t>
  </si>
  <si>
    <t>C.064.21</t>
  </si>
  <si>
    <t>C.050.21</t>
  </si>
  <si>
    <t>C.081.19</t>
  </si>
  <si>
    <t>C.008.22</t>
  </si>
  <si>
    <t>C.009.22</t>
  </si>
  <si>
    <t>C.015.22</t>
  </si>
  <si>
    <t>C.030.21</t>
  </si>
  <si>
    <t>C.038.21</t>
  </si>
  <si>
    <t>C.018.19</t>
  </si>
  <si>
    <t>C.070.21</t>
  </si>
  <si>
    <t>C.078.21</t>
  </si>
  <si>
    <t>C.097.20</t>
  </si>
  <si>
    <t>C.066.21</t>
  </si>
  <si>
    <t>C.077.21</t>
  </si>
  <si>
    <t>C.027.22</t>
  </si>
  <si>
    <t>C.044.22</t>
  </si>
  <si>
    <t>C.040.20</t>
  </si>
  <si>
    <t>C.029.22</t>
  </si>
  <si>
    <t>TERMINATO - 31 MARZO 2023</t>
  </si>
  <si>
    <t>C.034.22</t>
  </si>
  <si>
    <t>C.019.22</t>
  </si>
  <si>
    <t>C.035.21</t>
  </si>
  <si>
    <t>C.021.22</t>
  </si>
  <si>
    <t>C.035.22</t>
  </si>
  <si>
    <t>C.018.22</t>
  </si>
  <si>
    <t>C.016.22</t>
  </si>
  <si>
    <t>C.041.22</t>
  </si>
  <si>
    <t>C.014.22</t>
  </si>
  <si>
    <t>C.058.21</t>
  </si>
  <si>
    <t>C.005.22</t>
  </si>
  <si>
    <t>C.020.22</t>
  </si>
  <si>
    <t>C.073.21</t>
  </si>
  <si>
    <t>C.080.19</t>
  </si>
  <si>
    <t>C.042.22</t>
  </si>
  <si>
    <t>C.037.22</t>
  </si>
  <si>
    <t>C.031.22</t>
  </si>
  <si>
    <t>C.046.22</t>
  </si>
  <si>
    <t>C.012.22</t>
  </si>
  <si>
    <t>TERMINATO - 30 GIUGNO 2023</t>
  </si>
  <si>
    <t>CHIENES (BZ) - CAMPO PROVA</t>
  </si>
  <si>
    <t>TERMINATO - 28 FEBBRAIO 2023</t>
  </si>
  <si>
    <t>Duferco S.p.A.</t>
  </si>
  <si>
    <t>A26 Gallarate-Gattico Lotto 5E</t>
  </si>
  <si>
    <t>C.060.22</t>
  </si>
  <si>
    <t>C.069.22</t>
  </si>
  <si>
    <t>Milano Via Livraghi</t>
  </si>
  <si>
    <t>C.014.23</t>
  </si>
  <si>
    <t>Vitali S.p.A.</t>
  </si>
  <si>
    <t>Arese (MI)</t>
  </si>
  <si>
    <t>C.016.23</t>
  </si>
  <si>
    <t>Sitalfa S.p.A.</t>
  </si>
  <si>
    <t>San Didero autoporto</t>
  </si>
  <si>
    <t>C.021.23</t>
  </si>
  <si>
    <t>COSSI</t>
  </si>
  <si>
    <t>IRICAVDUE LOTTO 3</t>
  </si>
  <si>
    <t>C.023.23</t>
  </si>
  <si>
    <t>AMPLIA</t>
  </si>
  <si>
    <t>A14 ANCONA</t>
  </si>
  <si>
    <t>C.026.23</t>
  </si>
  <si>
    <t>Setten Genesio S.r.l.</t>
  </si>
  <si>
    <t>CHIVASSO /TO)</t>
  </si>
  <si>
    <t>C.033.23</t>
  </si>
  <si>
    <t>Impresa De Carli S.r.l.</t>
  </si>
  <si>
    <t>CREMA (CR)</t>
  </si>
  <si>
    <t>C.032.23</t>
  </si>
  <si>
    <t>STRESA (VB)</t>
  </si>
  <si>
    <t>C.039.23</t>
  </si>
  <si>
    <t>MINGORI</t>
  </si>
  <si>
    <t>MODENA Esselunga</t>
  </si>
  <si>
    <t>C.027.23</t>
  </si>
  <si>
    <t>SAFER</t>
  </si>
  <si>
    <t>CHIARI (BS) Trafilerie Gnutti</t>
  </si>
  <si>
    <t>C.030.23</t>
  </si>
  <si>
    <t>FERRETTI</t>
  </si>
  <si>
    <t>GENOVA WATERFRONT</t>
  </si>
  <si>
    <t>C.031.23</t>
  </si>
  <si>
    <t>TERMAL GREEN BUILDING</t>
  </si>
  <si>
    <t>BOLOGNA EX SABIEM</t>
  </si>
  <si>
    <t>C.028.23</t>
  </si>
  <si>
    <t>Politecnico Milano - Via La Masa</t>
  </si>
  <si>
    <t>C.012.23</t>
  </si>
  <si>
    <t>C.019.23</t>
  </si>
  <si>
    <t>TERNMINATO - 31 GENNAIO 2023</t>
  </si>
  <si>
    <t>TERMINATO 31 MARZO 2023</t>
  </si>
  <si>
    <t>C.013.23</t>
  </si>
  <si>
    <t>VEZZOLA</t>
  </si>
  <si>
    <t>C.029.23</t>
  </si>
  <si>
    <t>La Spezia Interconnessione - Contr. 05/23</t>
  </si>
  <si>
    <t>TIRANO (SO)-SS STELVIO</t>
  </si>
  <si>
    <t>C.026.22</t>
  </si>
  <si>
    <t>C.045.22</t>
  </si>
  <si>
    <t>C.059.22</t>
  </si>
  <si>
    <t>C.028.22</t>
  </si>
  <si>
    <t>GENOVA Corso Italia</t>
  </si>
  <si>
    <t>C.018.23</t>
  </si>
  <si>
    <t>CONSORZIO STABILE EDILMACO</t>
  </si>
  <si>
    <t>COLLE DI TENDA (CN)</t>
  </si>
  <si>
    <t>TECNOMONT S.r.l.</t>
  </si>
  <si>
    <t>BERNAREGGIO (MB)</t>
  </si>
  <si>
    <t>C.034.23</t>
  </si>
  <si>
    <t>A14 PESARO</t>
  </si>
  <si>
    <t>C.035.23</t>
  </si>
  <si>
    <t>DHD S.r.l.</t>
  </si>
  <si>
    <t>PINEROLESE PEDEMONTANO (TO)</t>
  </si>
  <si>
    <t>C.036.23</t>
  </si>
  <si>
    <t>acquisito ma non quantificato</t>
  </si>
  <si>
    <t>Bracco S.p.A.</t>
  </si>
  <si>
    <t>TORVISCOSA (UD)</t>
  </si>
  <si>
    <t>C.037.23</t>
  </si>
  <si>
    <t>30 GIUGNO 2025</t>
  </si>
  <si>
    <t>Consorzio Tridentum</t>
  </si>
  <si>
    <t>TRENTO Circ. Lotto 3A</t>
  </si>
  <si>
    <t>C.038.23</t>
  </si>
  <si>
    <t>CREMONA</t>
  </si>
  <si>
    <t>C.040.23</t>
  </si>
  <si>
    <t>COSSI S.p.A.</t>
  </si>
  <si>
    <t>IRICAVDUE LOTTO 2 Fibbio</t>
  </si>
  <si>
    <t>C.041.23</t>
  </si>
  <si>
    <t>IRICAVDUE LOTTO 4 Lonigo</t>
  </si>
  <si>
    <t>C.042.23</t>
  </si>
  <si>
    <t>Desium S.c.a.r.l.</t>
  </si>
  <si>
    <t>VENEZIA AEROPORTO</t>
  </si>
  <si>
    <t>C.043.23</t>
  </si>
  <si>
    <t>MILANO VIALE ISONZO</t>
  </si>
  <si>
    <t>C.044.23</t>
  </si>
  <si>
    <t>Ceprini Costruzioni S.r.l.</t>
  </si>
  <si>
    <t>PARMA Ponte Torrente Parma</t>
  </si>
  <si>
    <t>C.045.23</t>
  </si>
  <si>
    <t>MILANO VIA SEGNERI</t>
  </si>
  <si>
    <t>C.046.23</t>
  </si>
  <si>
    <t>MILANO VIA RIZZOLI</t>
  </si>
  <si>
    <t>C.047.23</t>
  </si>
  <si>
    <t>LODI</t>
  </si>
  <si>
    <t>C.048.23</t>
  </si>
  <si>
    <t>Impresa Tonon S.p.A.</t>
  </si>
  <si>
    <t>JESOLO (VE)</t>
  </si>
  <si>
    <t>C.049.23</t>
  </si>
  <si>
    <t>M.P. Engineeriing S.r.l.</t>
  </si>
  <si>
    <t>PIANCAMUNO (BS)</t>
  </si>
  <si>
    <t>C.050.23</t>
  </si>
  <si>
    <t>DESENZANO d/G Via Milano</t>
  </si>
  <si>
    <t>C.051.23</t>
  </si>
  <si>
    <t>PMM S.r.l.</t>
  </si>
  <si>
    <t>MILANO Via Francesco De Lemene</t>
  </si>
  <si>
    <t>C.052.23</t>
  </si>
  <si>
    <t>OPERAZIONE S.r.l.</t>
  </si>
  <si>
    <t>C.053.23</t>
  </si>
  <si>
    <t>ITINERA S.p.A.</t>
  </si>
  <si>
    <t>A15 AUTOCISA GRAVAGNA</t>
  </si>
  <si>
    <t>C.054.23</t>
  </si>
  <si>
    <t>BIANDRONNO (VA)</t>
  </si>
  <si>
    <t>C.055.23</t>
  </si>
  <si>
    <t>IRICAVDUE LOTTO 6 Montecchio</t>
  </si>
  <si>
    <t>C.056.23</t>
  </si>
  <si>
    <t>GETEA ITALIA S.r.l.</t>
  </si>
  <si>
    <t>S.S.39 PASSO DELL'APRICA</t>
  </si>
  <si>
    <t>C.057.23</t>
  </si>
  <si>
    <t>FEA S.p.A.</t>
  </si>
  <si>
    <t>SANT'AGATA BOLOGNESE (MO) - LAMBORGHINI BODY SHOP</t>
  </si>
  <si>
    <t>C.058.23</t>
  </si>
  <si>
    <t>SANT'AGATA BOLOGNESE (MO) - LAMBORGHINI CFK</t>
  </si>
  <si>
    <t>C.059.23</t>
  </si>
  <si>
    <t>IRICAVDUE LOTTO 2 BIS Belfiore</t>
  </si>
  <si>
    <t>C.060.23</t>
  </si>
  <si>
    <t>SMAT</t>
  </si>
  <si>
    <t>TORINO VALSALICE</t>
  </si>
  <si>
    <t>C.071.23</t>
  </si>
  <si>
    <t>SINGEA</t>
  </si>
  <si>
    <t>CREMONA TAMOIL</t>
  </si>
  <si>
    <t>C.017.23</t>
  </si>
  <si>
    <t>30 giu 23 contabilità</t>
  </si>
  <si>
    <t>luglio-dic 23</t>
  </si>
  <si>
    <t>2024 già acquisiti</t>
  </si>
  <si>
    <t>2025 già acquisit</t>
  </si>
  <si>
    <t>18/0020/0005 - IVA SU ACQUISTI</t>
  </si>
  <si>
    <t>18/0020/0091 - ERARIO C/CREDITI DA COMPENSARE (accise)</t>
  </si>
  <si>
    <t>48/0005/0120 - ERARIO C/RITENUTE INTERESSI ATTIVI C/C</t>
  </si>
  <si>
    <t>18/0020/0115 - ERARIO C/CREDITI PER SABATINI</t>
  </si>
  <si>
    <t>18/0025/0020 - INAIL C/ACCONTI</t>
  </si>
  <si>
    <t>18/0035/0020 - DIPENDENTI C/PRESTITI</t>
  </si>
  <si>
    <t>50/0005/0006 - INPS C/CONTRIBUTI SOC. REVISORE</t>
  </si>
  <si>
    <t>24/0005/0001 - BANCA UNICREDIT CONTO TRANSITORIO AF</t>
  </si>
  <si>
    <t>24/0005/1100 - CARTA PREPAGATA INTESA N. 2346 (Co.A.)</t>
  </si>
  <si>
    <t>24/0005/1101 - CARTA PREPAGATA INTESA N. 1662 (G.P.)</t>
  </si>
  <si>
    <t>24/0005/1102 - CARTA PREPAGATA INTESA N. 4161 (Lo.G.)</t>
  </si>
  <si>
    <t>24/0005/1103 - CARTA PREPAGATA INTESA N. 4285 (R.A.)</t>
  </si>
  <si>
    <t>24/0005/1104 - CARTA PREPAGATA INTESA N. 8461 (L.S.)</t>
  </si>
  <si>
    <t>24/0005/1105 - CARTA PREPAGATA INTESA N. 8479 (L.M.)</t>
  </si>
  <si>
    <t>24/0005/1106 - CARTA PREPAGATA INTESA N. 1153 (C.N.)</t>
  </si>
  <si>
    <t>24/0005/1108 - CARTA PREPAGATA INTESA N. 4101 (F.V.)</t>
  </si>
  <si>
    <t>24/0005/1109 - CARTA PREPAGATA INTESA N. 7900 (R.I.)</t>
  </si>
  <si>
    <t>24/0005/7011 - BANCA MPS C/ORDINARIO N.10012732</t>
  </si>
  <si>
    <t>24/0005/7026 - BANCA CR.EM. C/D TIRANO N. 777679</t>
  </si>
  <si>
    <t>24/0005/7040 - BANCA BPM C/ORDINARIO N. 1408</t>
  </si>
  <si>
    <t>24/0005/7061 - BANCA BCC BRESCIA C/D SALC N. 433029</t>
  </si>
  <si>
    <t>24/0005/7066 - BANCA VALSABBINA C/D CATANIA N. 3133</t>
  </si>
  <si>
    <t>24/0015/0010 - VALORI BOLLATI</t>
  </si>
  <si>
    <t>26/0005/0005 - RATEI ATTIVI</t>
  </si>
  <si>
    <t>26/0005/0010 - RATEI ATTIVI SU INTERESSI ATTIVI DA INC.</t>
  </si>
  <si>
    <t>34/0005/1111 - FINANZ. INTESA N. 110500 OLTRE ES.</t>
  </si>
  <si>
    <t>34/0005/1113 - FINANZ. UNICREDIT N.2285990 OLTRE ES.</t>
  </si>
  <si>
    <t>41/0005/0095 - DEBITI V/FORNITORI X RIT.GARANZIA (OES)</t>
  </si>
  <si>
    <t>18/0020/0051 - ERARIO C/RITENUTE SU INTERESSI ATTIVI</t>
  </si>
  <si>
    <t>48/0005/0045 - IVA SU VENDITE</t>
  </si>
  <si>
    <t>48/0005/0100 - REGIONI C/IRAP</t>
  </si>
  <si>
    <t>48/0005/0105 - REGIONI C/RIT. ADDIZ. IRPEF</t>
  </si>
  <si>
    <t>48/0005/0110 - COMUNI C/RIT. ADDIZ. IRPEF</t>
  </si>
  <si>
    <t>52/0005/0005 - AMMINISTRATORI C/COMPENSI</t>
  </si>
  <si>
    <t>52/0005/0015 - NOTE DI CREDITO DA EMETTERE</t>
  </si>
  <si>
    <t>52/0005/0065 - DIPENDENTI C/LIQUIDAZIONE TFR</t>
  </si>
  <si>
    <t>52/0005/0070 - DEBITI PER RITENUTE SINDACALI</t>
  </si>
  <si>
    <t>52/0005/0284 - Debiti diversi da ratei</t>
  </si>
  <si>
    <t>52/0005/0290 - DEBITI CESSIONE 1/5 STIPENDIO DIPENDENTI</t>
  </si>
  <si>
    <t>66/0025/0005 - MERCI C/ACQUISTI</t>
  </si>
  <si>
    <t>66/0025/0030 - RESI SU ACQUISTI DI MERCI</t>
  </si>
  <si>
    <t>66/0030/0001 - ALTRI ACQUISTI INERENTI (ferramenta, acc</t>
  </si>
  <si>
    <t>66/0030/0055 - SPESE ACCESSORIE SU ACQUISTI</t>
  </si>
  <si>
    <t>66/0030/0062 - ACQUISTI CELLULARI &lt;516 EURO</t>
  </si>
  <si>
    <t>66/0030/0491 - ALTRI ACQUISTI INDEDUCIBILI</t>
  </si>
  <si>
    <t>68/0005/0020 - LAVORAZIONI DI TERZI P/PROD. BENI</t>
  </si>
  <si>
    <t>68/0005/0491 - ALTRI SERVIZI INDEDUCIBILI</t>
  </si>
  <si>
    <t>SPESE PER SERVIZI ACCESSORI SU LEASING</t>
  </si>
  <si>
    <t>5800050107 RICAVI C/CESSIONE BENI USATI</t>
  </si>
  <si>
    <t>VERIFICHE PERIOD. E SPEC. ATTREZZATURE</t>
  </si>
  <si>
    <t>6400050051 CESSIONE CTR. LEASING AUTO</t>
  </si>
  <si>
    <t>6800050150 COMP.AMM.-CO.CO.CO.(SOCIspa-srl)</t>
  </si>
  <si>
    <t>6800050240 RIMB.FORF.ATTINENTI L'ATT.CO.CO.</t>
  </si>
  <si>
    <t>8400100098 EROGAZIONI LIB. INDED. IRAP</t>
  </si>
  <si>
    <t>9100200005 SVAL.STRUM.FIN.DERIV.IMMOBIL.</t>
  </si>
  <si>
    <t>ok</t>
  </si>
  <si>
    <t>HP X2</t>
  </si>
  <si>
    <t>HP dic 23 X2</t>
  </si>
  <si>
    <t>Piano sulla base delle commesse già in essere</t>
  </si>
  <si>
    <t>Nuove commesse ipotizzate</t>
  </si>
  <si>
    <t>%g-rate</t>
  </si>
  <si>
    <t>Commesse sottoscritte al 30 giugno 2023</t>
  </si>
  <si>
    <t>Crescita settore Pubblico</t>
  </si>
  <si>
    <t>HP Crescita settore Privato =0</t>
  </si>
  <si>
    <t>Crescita Ponderata</t>
  </si>
  <si>
    <t>Crescita Ponderata Pubblico-Privato</t>
  </si>
  <si>
    <t>Commesse in essere 2023-24-25</t>
  </si>
  <si>
    <t>Ricavi Commesse (eur/mln)</t>
  </si>
  <si>
    <t>18/0022/0005 - CREDITI PER IMPOSTE ANTICIPATE</t>
  </si>
  <si>
    <t>FINANZIAMENTI ATTIVI:</t>
  </si>
  <si>
    <t>dato bilancio al 01/01/2023</t>
  </si>
  <si>
    <t>dato bilancio 30/06/2023</t>
  </si>
  <si>
    <t xml:space="preserve">entro </t>
  </si>
  <si>
    <t>oltre</t>
  </si>
  <si>
    <t>co.ge entro es. al</t>
  </si>
  <si>
    <t>entro rilevato al 30/06 da piano</t>
  </si>
  <si>
    <t xml:space="preserve">tot. Entro </t>
  </si>
  <si>
    <t>tot. Entro+oltre</t>
  </si>
  <si>
    <t>tot. Piano al 30/06/2023</t>
  </si>
  <si>
    <t>CONTO seac</t>
  </si>
  <si>
    <t>CONTO Gamma</t>
  </si>
  <si>
    <t>34/05/1101 (101)</t>
  </si>
  <si>
    <t>34/05/1102 (102)</t>
  </si>
  <si>
    <t>34/05/1103 (103)</t>
  </si>
  <si>
    <t>34/05/1104 (104)</t>
  </si>
  <si>
    <t>34/05/1105 (105)</t>
  </si>
  <si>
    <t>34/05/1106 (106)</t>
  </si>
  <si>
    <t>34/05/1107 (107)</t>
  </si>
  <si>
    <t>34/05/1108 (108)</t>
  </si>
  <si>
    <r>
      <t>RATE SEMESTRALI -                                     240.125 banca - 240.125 Finlombarda (</t>
    </r>
    <r>
      <rPr>
        <sz val="11"/>
        <color rgb="FFFF0000"/>
        <rFont val="Calibri"/>
        <family val="2"/>
        <scheme val="minor"/>
      </rPr>
      <t>erogato 23-06-2021 € 102.000</t>
    </r>
    <r>
      <rPr>
        <sz val="11"/>
        <color theme="1"/>
        <rFont val="Calibri"/>
        <family val="2"/>
        <scheme val="minor"/>
      </rPr>
      <t xml:space="preserve">) </t>
    </r>
  </si>
  <si>
    <t>34/05/109</t>
  </si>
  <si>
    <t>BPM 16/06/2022</t>
  </si>
  <si>
    <t>34/05/1110 (110)</t>
  </si>
  <si>
    <t>INTESA 28/02/2023</t>
  </si>
  <si>
    <t>34/05/1111 (111)</t>
  </si>
  <si>
    <t>MPS  14/03/2023</t>
  </si>
  <si>
    <t>484/994233681</t>
  </si>
  <si>
    <t>34/05/1112 (112)</t>
  </si>
  <si>
    <t>12 MESI  DI CUI 4 DI PREAMM A DECORR. DAL 31/03/23 - FINE 31/03/24</t>
  </si>
  <si>
    <t>9+3 PREAM</t>
  </si>
  <si>
    <t>UNICREDIT  12/05/2023</t>
  </si>
  <si>
    <t>34/05/1113 (113)</t>
  </si>
  <si>
    <t>13 MESI DAL 30/06/23 AL 30/06/24</t>
  </si>
  <si>
    <t>variabili</t>
  </si>
  <si>
    <t xml:space="preserve">RATA </t>
  </si>
  <si>
    <t>rettifiche 2022</t>
  </si>
  <si>
    <t>Contab. 2023</t>
  </si>
  <si>
    <t>comp.za 2023</t>
  </si>
  <si>
    <t>INIZIO 2023</t>
  </si>
  <si>
    <t>scadenza</t>
  </si>
  <si>
    <t>gg 2023</t>
  </si>
  <si>
    <t>GG AL 30/06/2023</t>
  </si>
  <si>
    <t>comp.za al 30/06/2023</t>
  </si>
  <si>
    <t>contab. Al 30/06/2023</t>
  </si>
  <si>
    <t>rettifiche al 30/06/2023</t>
  </si>
  <si>
    <t>interessi 2023 seac</t>
  </si>
  <si>
    <t>interessi 30.06.23</t>
  </si>
  <si>
    <t>AUTOV003</t>
  </si>
  <si>
    <t>Ceduto ctr. Ft. 271 del 30/06/2023</t>
  </si>
  <si>
    <t>AUTOV002</t>
  </si>
  <si>
    <t>Ceduto ctr. Ft. 50 del 23/02/2023</t>
  </si>
  <si>
    <t>AUTOV004</t>
  </si>
  <si>
    <t>09/06/2023 cessione a Spada del riscatto</t>
  </si>
  <si>
    <t>AUTOV006</t>
  </si>
  <si>
    <t>AUTOV005</t>
  </si>
  <si>
    <t>AUTOV008</t>
  </si>
  <si>
    <t>AUTOV010</t>
  </si>
  <si>
    <t>MERCEDES BENZ FINANCIAL</t>
  </si>
  <si>
    <t>MERCEDES SUV GM302XG</t>
  </si>
  <si>
    <t>AUTOV011</t>
  </si>
  <si>
    <t>BMW X5 GN824HR</t>
  </si>
  <si>
    <t>AUTOV009</t>
  </si>
  <si>
    <t>BMW X5 GJ015GL</t>
  </si>
  <si>
    <t>Rimborso breve e medio-lungo termine</t>
  </si>
  <si>
    <t>&lt;--- nuovo</t>
  </si>
  <si>
    <t>FINANZ. INTESA N. 110500</t>
  </si>
  <si>
    <t>&lt;--- fanno riferimento interamente a noli a freddo</t>
  </si>
  <si>
    <t>Inflazione</t>
  </si>
  <si>
    <t>YoY revenus</t>
  </si>
  <si>
    <t>Revenues/nDip</t>
  </si>
  <si>
    <t>Media Actual</t>
  </si>
  <si>
    <t>Media Piano</t>
  </si>
  <si>
    <t>Costi per servizi legati al personale</t>
  </si>
  <si>
    <t>Servizi personale/n.Personale</t>
  </si>
  <si>
    <t>Mensa/n.Personale</t>
  </si>
  <si>
    <t>Calcolo come suggerito Integrae</t>
  </si>
  <si>
    <t>&lt;-- costo totale ivato</t>
  </si>
  <si>
    <t>Crediti Commerciali</t>
  </si>
  <si>
    <t>% Perdite su crediti</t>
  </si>
  <si>
    <t>&lt;--- perdite medie storiche sui crediti commerciali</t>
  </si>
  <si>
    <t>&lt;-- voce straordinaria eliminata</t>
  </si>
  <si>
    <t>% Utilizzo sui crediti</t>
  </si>
  <si>
    <t>&lt;-- no 2020 in quanto anno stroardinario</t>
  </si>
  <si>
    <t>Peso</t>
  </si>
  <si>
    <t>Media Ponderata</t>
  </si>
  <si>
    <t>FINANZ. UNICREDIT N.2285990</t>
  </si>
  <si>
    <t>Anticipo Fatture</t>
  </si>
  <si>
    <t>%Tasso su utilizzo c/c</t>
  </si>
  <si>
    <t>&lt;-- incidenza media 18-22 altre passività/(costo MP, servizi, Personale)</t>
  </si>
  <si>
    <t>Altre Attività (no risconti-ratei)</t>
  </si>
  <si>
    <t>Altre Passivitàù (no risconti-ratei)</t>
  </si>
  <si>
    <t>Ratei-Risconti Attivi</t>
  </si>
  <si>
    <t>Ratei-Risconti Passivi</t>
  </si>
  <si>
    <t>Altre attività/Passività</t>
  </si>
  <si>
    <t>Totali Fondi</t>
  </si>
  <si>
    <t>Riduzione per rivalutazione marchio</t>
  </si>
  <si>
    <t>RISCATTATI</t>
  </si>
  <si>
    <t>SCADENZA ENTRO 06/2023</t>
  </si>
  <si>
    <t>scadenza 2023 oltre 30/06</t>
  </si>
  <si>
    <t>iniziati 2023</t>
  </si>
  <si>
    <t>INDICIZZATO</t>
  </si>
  <si>
    <t>rettif. 2022</t>
  </si>
  <si>
    <t>oneri da pervenire 2023</t>
  </si>
  <si>
    <t>Contab. 2023 SEAC</t>
  </si>
  <si>
    <t>comp.za 2023 SEAC</t>
  </si>
  <si>
    <t>Contab. 30/06/2023 PREVISTA</t>
  </si>
  <si>
    <t>Comp.za 30/06/2023</t>
  </si>
  <si>
    <t>contab. 30/06/2023 gamma</t>
  </si>
  <si>
    <t>risc (+) / ratei (-) al 30/06/2023</t>
  </si>
  <si>
    <t>inizio comp.za</t>
  </si>
  <si>
    <t>NOTE</t>
  </si>
  <si>
    <t>PGD016</t>
  </si>
  <si>
    <t>RISCATTO 30/03/2023</t>
  </si>
  <si>
    <t>PGD015</t>
  </si>
  <si>
    <t>RISCATTO 12/04/2023</t>
  </si>
  <si>
    <t>PGD020</t>
  </si>
  <si>
    <t>PGD022</t>
  </si>
  <si>
    <t>GE032</t>
  </si>
  <si>
    <t>RISCATTATO 31.01.23</t>
  </si>
  <si>
    <t>GE034</t>
  </si>
  <si>
    <t>P005</t>
  </si>
  <si>
    <t>CAMIO009</t>
  </si>
  <si>
    <t>RISCATTATO 10/03/23</t>
  </si>
  <si>
    <t>P004</t>
  </si>
  <si>
    <t>PJ012</t>
  </si>
  <si>
    <t>POMPE TECNIWELL TW700 matr M892</t>
  </si>
  <si>
    <t xml:space="preserve">PJ014 </t>
  </si>
  <si>
    <t xml:space="preserve">POMPE TECNIWELL TW600 matr M871 </t>
  </si>
  <si>
    <t>PPD041</t>
  </si>
  <si>
    <t>DE LAGE LANDEN INTERN. Per riscatto vedi note in velina</t>
  </si>
  <si>
    <t>AUTOC054</t>
  </si>
  <si>
    <t>RISCATTO 09/03/2023</t>
  </si>
  <si>
    <t>GE037</t>
  </si>
  <si>
    <t>rubato 02/23 riscattato maggio 2023 (non inserito a cespite)</t>
  </si>
  <si>
    <t>GE040</t>
  </si>
  <si>
    <t>RISCATTO 15/05/23</t>
  </si>
  <si>
    <t>P006</t>
  </si>
  <si>
    <t xml:space="preserve">POMPA TIGER 60 matr.19002 
</t>
  </si>
  <si>
    <t>P007</t>
  </si>
  <si>
    <t>POMPA TIGER 80 matr.19014</t>
  </si>
  <si>
    <t>AUTOC057</t>
  </si>
  <si>
    <t>DAILY FV511JH</t>
  </si>
  <si>
    <t>AUTOC059</t>
  </si>
  <si>
    <t>DOBLO' FW144SR</t>
  </si>
  <si>
    <t>AUTOC060</t>
  </si>
  <si>
    <t>DOBLO' FW145SR</t>
  </si>
  <si>
    <t>AUTOC048</t>
  </si>
  <si>
    <t>P008</t>
  </si>
  <si>
    <t>ES014</t>
  </si>
  <si>
    <t>TF007</t>
  </si>
  <si>
    <t>N. 2 TORRI HILIGHT H5+ ESF206598</t>
  </si>
  <si>
    <t>RISCATTO 28/04/2023</t>
  </si>
  <si>
    <t>TF008</t>
  </si>
  <si>
    <t>N. 2 TORRI HILIGHT H5+  ESF206597</t>
  </si>
  <si>
    <t>AUTOC068</t>
  </si>
  <si>
    <t>06/02/2023 RISCATTATO</t>
  </si>
  <si>
    <t>AUTOC063</t>
  </si>
  <si>
    <t>AUTOC070</t>
  </si>
  <si>
    <t>AUTOC073</t>
  </si>
  <si>
    <t>AUTOC072</t>
  </si>
  <si>
    <t>AUTOC065</t>
  </si>
  <si>
    <t>AUTOC071</t>
  </si>
  <si>
    <t>PGD026</t>
  </si>
  <si>
    <t>AUTOC066</t>
  </si>
  <si>
    <t>AUTOC067</t>
  </si>
  <si>
    <t>AUTOC075</t>
  </si>
  <si>
    <t>AUTOC076</t>
  </si>
  <si>
    <t>PJ016</t>
  </si>
  <si>
    <t>MOTOPOMPA TECNIWELL TW 400 matr M 917</t>
  </si>
  <si>
    <t>SOL014</t>
  </si>
  <si>
    <t>ril. Int. Indiciz</t>
  </si>
  <si>
    <t>AUTOC082</t>
  </si>
  <si>
    <t>IVECO DAILY  GE947ZZ</t>
  </si>
  <si>
    <t>AUTOC083</t>
  </si>
  <si>
    <t>IVECO DAILY  GE948ZZ</t>
  </si>
  <si>
    <t>MC031</t>
  </si>
  <si>
    <t>PPD055</t>
  </si>
  <si>
    <t>CAMIO008</t>
  </si>
  <si>
    <t>PPD058</t>
  </si>
  <si>
    <t>ES016</t>
  </si>
  <si>
    <t>FRAER LEASING          (sabatini)</t>
  </si>
  <si>
    <t>AUTOC101</t>
  </si>
  <si>
    <t>AUTOC102</t>
  </si>
  <si>
    <t>AUTOC106</t>
  </si>
  <si>
    <t>AUTOC110</t>
  </si>
  <si>
    <t>CAMIO010</t>
  </si>
  <si>
    <t>A1D43775</t>
  </si>
  <si>
    <t>IVECO XWAY GM016LS</t>
  </si>
  <si>
    <t>AUTOC115</t>
  </si>
  <si>
    <t>IVECO DAILY GM013LS</t>
  </si>
  <si>
    <t>PGD032</t>
  </si>
  <si>
    <t>AUTOC107</t>
  </si>
  <si>
    <t>FORD RANGER GL092VM AUTOC</t>
  </si>
  <si>
    <t>AUTOC108</t>
  </si>
  <si>
    <t>FIAT SCUDO GL616PY</t>
  </si>
  <si>
    <t>RATEI 30/06/2023</t>
  </si>
  <si>
    <t>RISCONTI AL 30/06/2023</t>
  </si>
  <si>
    <t>check contabilità</t>
  </si>
  <si>
    <t>2023 mesi</t>
  </si>
  <si>
    <t>2024 mesi</t>
  </si>
  <si>
    <t>2025 mesi</t>
  </si>
  <si>
    <t>2026 mesi</t>
  </si>
  <si>
    <t>Nuovi cespiti 2023</t>
  </si>
  <si>
    <t>Dati civilistici</t>
  </si>
  <si>
    <t>Ammortamenti</t>
  </si>
  <si>
    <t>Valore Netto Contabile</t>
  </si>
  <si>
    <t>F. Amm. ord.</t>
  </si>
  <si>
    <t>Valore bene</t>
  </si>
  <si>
    <t>F. Amm.ti</t>
  </si>
  <si>
    <t>Cod. immob.</t>
  </si>
  <si>
    <t>Residuo</t>
  </si>
  <si>
    <t xml:space="preserve"> Autoveicoli da trasporto</t>
  </si>
  <si>
    <t>MAN TRUCK TARGA GL901NG TELAIO WMA10VUZ5P9014298</t>
  </si>
  <si>
    <t>MAN TGE TARGA GL903NG TELAIO WMA10VUZ8P9014070</t>
  </si>
  <si>
    <t>FIAT DOBLO' 1.6 TARGA GA434LV RISCATTO UNICREDIT</t>
  </si>
  <si>
    <t>FIAT LCV NUOVO DUCATO CABINATO TARGA FT155HP - RISCATTO FCA BANK</t>
  </si>
  <si>
    <t>IVECO STRALIS TARGA FN490CB COMPLETO DI SEMIRIMORCHIO BERTOJA E GRU CORMACH MODELLO 39000-E4 HP - RISCATTO UNICREDIT</t>
  </si>
  <si>
    <t>FIAT New Doblò Combi 1.5 Bluehdi 100cv Mt 6 Targa GM669XB</t>
  </si>
  <si>
    <t>Iveco Leggeri 35S14 Targa GM928XG</t>
  </si>
  <si>
    <t>Iveco Leggeri 35S14 Targa: GM927XG</t>
  </si>
  <si>
    <t>BOX UFFICCIO N. SERIE 607 - COMPLETO DI SCRIVANIA, N. 1 SEDIA, N. 1 SCHEDARIO, N. 2 PANCHE E N. 4 APPENDIABITI</t>
  </si>
  <si>
    <t>Monoblocco Prefabbricato Coibentato Con Porta, finestra e impianto elettrico</t>
  </si>
  <si>
    <t>MODULARE BM 20' N. 5538 USO UFFICIO (N. 2 PORTE, N. 2 FINESTRE, PARETE DIVISORIA, SCRIVANIA, SCHEDARIO, 2 PANCHE)</t>
  </si>
  <si>
    <t>N. 4 CONTAINERS MARITTIMI</t>
  </si>
  <si>
    <t>Modulare BM 20' uso ufficio (n. 2 porte, n. 2 finestre, parete divis., scrivania, sedia, schedario, n.2 panche</t>
  </si>
  <si>
    <t>Container MSCU6771357</t>
  </si>
  <si>
    <t>Container MSCU6843204</t>
  </si>
  <si>
    <t>TT SQUARE 960 ADR - GRP 12k SERBATOIO METALLICO  CAPACITA' 956 LT DIM. 1130 X 1530 X H. 1330 CON GRUPPO POMPA E ACCESSORI</t>
  </si>
  <si>
    <t>N. 2 SET CONTENITORI PER BENTONITE DA CANTIERE COMPOSTI DA 3 CONTENITORI CAD. H 2070 DA 26 MC - 23 MC - 20 MC</t>
  </si>
  <si>
    <t>Serbatoio trasportabile tipo TT SQUARE 960 ADR matr. TFT22870</t>
  </si>
  <si>
    <t>Serbatoio trasportabile tipo TT SQUARE 960 ADR matr. TFT22871</t>
  </si>
  <si>
    <t>Serbatoio trasportabile tipo TT SQUARE 960 ADR matr. TFT22872</t>
  </si>
  <si>
    <t>TORRE FARO HILIGHT H5+ MATR. ESF206598 - RISCATTO CTR. LS232163</t>
  </si>
  <si>
    <t>TORRE FARO HILIGHT H5+ MATR. ESF206597 - RISCATTO CTR.LS232163</t>
  </si>
  <si>
    <t>GRUPPO ELETTROGENO ATLAS COPCO QES120 SN ESF402228 - RISCATTO DE LAGE</t>
  </si>
  <si>
    <t>Serbatoio TT SQUARE 960 ADR matr. TFT22967</t>
  </si>
  <si>
    <t>Serbatoio TT SQUARE 960 ADR matr. TFT22969</t>
  </si>
  <si>
    <t>Serbatoio TT SQUARE 960 ADR matr. TFT22970</t>
  </si>
  <si>
    <t>Macchinari operatori e impiant</t>
  </si>
  <si>
    <t>POMPA BALLERINI C2 ELETTRICA USATA MATR. 015</t>
  </si>
  <si>
    <t>PERFORATRICE IDRAULICA BRANDEGGIABILE MDT MC80BE MATR.307 USATA</t>
  </si>
  <si>
    <t>GE QES105JD matr. ESF400682 - Ctr.3908703 riscatto</t>
  </si>
  <si>
    <t>Generatore compressore Atlas Copco QES120JD matr. ESF400681 - riscatto Ctr. 3908725</t>
  </si>
  <si>
    <t>Pompa Ballerini C2 Elettirca Usata - matr.016</t>
  </si>
  <si>
    <t>Perforatrice Casagrande C16 XP2 matr. C16DT0110</t>
  </si>
  <si>
    <t>Perforatrice Soilmec R622 matr. 1965 - riscatto MPS Leasing</t>
  </si>
  <si>
    <t>Motocompressore Doosan mod. 17/245 matr. 885067</t>
  </si>
  <si>
    <t>Motosaldatrice MW 5/180 MATR. 102019</t>
  </si>
  <si>
    <t>Motosaldatrice MW 5/180 MATR. 102020</t>
  </si>
  <si>
    <t>Motosaldatrice MW 5/180 MATR. 102021</t>
  </si>
  <si>
    <t>Motosaldatrice MW 5/180 MATR. 102022</t>
  </si>
  <si>
    <t>Gru Cingolata Sennebogen 630 SN 630.5.158 braccio telescopico</t>
  </si>
  <si>
    <t>Perforatrice Soilmec SR45 matr. 4837 - riscatto Intesa</t>
  </si>
  <si>
    <t>Perforatrice Comacchio MC22 usata matr. 2530</t>
  </si>
  <si>
    <t>Motopompa Varisco mod. R 100 WP 250 FKL79 G11 MATR. ITH0086600</t>
  </si>
  <si>
    <t>GRU MAIT CRANE 30 MONTATA SU BASE CATERPILLAR 323D, braccio tralicciato H 21m mat. HC0301EX0020</t>
  </si>
  <si>
    <t xml:space="preserve"> Miglior. beni di terzi al 20%</t>
  </si>
  <si>
    <t>Registratore di parametri touch screen mutli-tecnologia con connessione Can-bus e trasmissione dati al cloud, completo di accessori installato su B175XP2 matr. B175DD0327 NOLO DA S.IN.GE.A</t>
  </si>
  <si>
    <t>Attrez. varia e minuta e ponte</t>
  </si>
  <si>
    <t>GPS BASE STONEX + accessori ed equipag. per compatibilità Kit Easy Drill con Geomisure Jet Pilot</t>
  </si>
  <si>
    <t>Macchine d'ufficio elettrom. e</t>
  </si>
  <si>
    <t>Notebook HP 250 G9 6F214EA completo di office, borsa, espansione ram 8GB</t>
  </si>
  <si>
    <t>Notebook HP 250 G9 6F214EA con Borsa di trasporto, mouse USB ed espansione RAM 8GB</t>
  </si>
  <si>
    <t>IPHONE 13 BLUE 128GB CON CUSTODIA E PROTEZIONE ULTRAGLASS</t>
  </si>
  <si>
    <t>PC FISSO CON CPU INTEL i5 + tastiera+mouse wireless+monitor 27 ASUS</t>
  </si>
  <si>
    <t>NOTEBOOK Asus Epertbook 14 +borsa+mouse</t>
  </si>
  <si>
    <t>PC FISSO (POSTAZIONE ACQUISTI) CON CPU iNTEL I5 - 16 GB RAM Windows 11 Pro + tastiera + mouse wireless</t>
  </si>
  <si>
    <t>Escavatori e pale meccaniche</t>
  </si>
  <si>
    <t>Escavatore Hitachi ZX85USB-3 m.80449 usato</t>
  </si>
  <si>
    <t>Escavatore cingolato SANY SY135C m. SY013XCC03398</t>
  </si>
  <si>
    <t>Pala gommata Hyundai HL 757-7A telaio LD0710342</t>
  </si>
  <si>
    <t>Immo. Materiali acquisite 2023</t>
  </si>
  <si>
    <t>Valore residuo  imm. Mat.acquisite 2023</t>
  </si>
  <si>
    <t>Valore Complessivo</t>
  </si>
  <si>
    <t>Dettaglio Affidamenti</t>
  </si>
  <si>
    <t>Banca Intesa</t>
  </si>
  <si>
    <t>Fido Promiscuo SBF+AF</t>
  </si>
  <si>
    <t>Fido di cassa</t>
  </si>
  <si>
    <t>Monte Paschi di Siena</t>
  </si>
  <si>
    <t>Bper Fil Carpenedolo</t>
  </si>
  <si>
    <t>Unicredit</t>
  </si>
  <si>
    <t>Banco Pop Montichiari</t>
  </si>
  <si>
    <t>BCC Brescia</t>
  </si>
  <si>
    <t>Credem</t>
  </si>
  <si>
    <t>BCC Credito Padano</t>
  </si>
  <si>
    <t>Banca Valsabbina</t>
  </si>
  <si>
    <t>Banche</t>
  </si>
  <si>
    <t>SBF</t>
  </si>
  <si>
    <t>&lt;-- media</t>
  </si>
  <si>
    <t>Disponibilità totale AF</t>
  </si>
  <si>
    <t>&lt;-- tutti inferiori rispetto alla disponibilità max calcolata (cella V14), considerando che l'utilizzo medio del SBF è pari all'11%</t>
  </si>
  <si>
    <t>HP utilizzo</t>
  </si>
  <si>
    <t>MAX</t>
  </si>
  <si>
    <t>&lt;-- Hp rimanenze sulla base del rapporto MP/Rimanenze medio 18-22</t>
  </si>
  <si>
    <t>&lt;-- non arriviamo mai al valore max del 2022 pari a 251</t>
  </si>
  <si>
    <t>&lt;--- calcolo media ultimi 2 anni prudenzialmente in quanto risulta difficile fare una stima</t>
  </si>
  <si>
    <t>&lt;--- nuovi accordi esistenti</t>
  </si>
  <si>
    <t>Calcolo come suggerito Integrae sulla base del personale</t>
  </si>
  <si>
    <t>&lt;-- incidenza sul costo materie prime/servizi/Personale)</t>
  </si>
  <si>
    <t>&lt;-- incidenza sui ricavi, escluso il 2021 in quanto ci sono state delle voci "straordinarie" non in linea con l'andamento dei ricavi</t>
  </si>
  <si>
    <t>Credito Pagano</t>
  </si>
  <si>
    <t>BCV</t>
  </si>
  <si>
    <t>euribor 3 mesi +0,28%</t>
  </si>
  <si>
    <t>euribor 3 mesi +0,5%</t>
  </si>
  <si>
    <t>euribor 3 mesi +0,4%</t>
  </si>
  <si>
    <t>Euribor 1 mese + 0,22%</t>
  </si>
  <si>
    <t>Tasso</t>
  </si>
  <si>
    <t>&lt;-- tasso medio dei presenti accordi con le banche</t>
  </si>
  <si>
    <t>Tassi applicati dalla banche (ottobre 2023)</t>
  </si>
  <si>
    <t>Amm. Civi Annuo</t>
  </si>
  <si>
    <t>Anni ammortamento</t>
  </si>
  <si>
    <t>%CV/Ricavi</t>
  </si>
  <si>
    <t>Breve</t>
  </si>
  <si>
    <t>Lungo</t>
  </si>
  <si>
    <t>Totale Debiti a Breve</t>
  </si>
  <si>
    <t>Totale Debiti a Medio Lungo</t>
  </si>
  <si>
    <r>
      <t>Inflation, average consumer prices</t>
    </r>
    <r>
      <rPr>
        <b/>
        <i/>
        <sz val="10"/>
        <rFont val="Calibri"/>
        <family val="2"/>
        <scheme val="minor"/>
      </rPr>
      <t xml:space="preserve"> (fonte: IMF)</t>
    </r>
  </si>
  <si>
    <t>160079 Finanziamento BMW</t>
  </si>
  <si>
    <t>160096 Finanziamento FCA Bank</t>
  </si>
  <si>
    <t>160097 Finanziamento FCA Bank (2)</t>
  </si>
  <si>
    <t>FCA Bank targa GH518AL</t>
  </si>
  <si>
    <t>BMW Group n.3872048</t>
  </si>
  <si>
    <t>BMW Group n.3872049</t>
  </si>
  <si>
    <t>BMW Group n.3968847</t>
  </si>
  <si>
    <t>BMW Group n.3968843</t>
  </si>
  <si>
    <t>BMW Group n.3968844</t>
  </si>
  <si>
    <t>BMW Group n.3968845</t>
  </si>
  <si>
    <t>BMW Group n.3968846</t>
  </si>
  <si>
    <t>BMW Group n.3872050</t>
  </si>
  <si>
    <t>FCA Bank targa GH498AL</t>
  </si>
  <si>
    <t>BMW Group n.3968836</t>
  </si>
  <si>
    <t>BMW Group n.3968837</t>
  </si>
  <si>
    <t>BMW Group n.3968839</t>
  </si>
  <si>
    <t>BMW Group n.3968840</t>
  </si>
  <si>
    <t>BMW Group n.3968838</t>
  </si>
  <si>
    <t>BMW Group GJ015GL</t>
  </si>
  <si>
    <t>BMW Group 4313239</t>
  </si>
  <si>
    <t>BMW Group 4233124</t>
  </si>
  <si>
    <t>BMW Group 4233125</t>
  </si>
  <si>
    <t>FCA Bank targa GH521AL</t>
  </si>
  <si>
    <t>Calcolo aliquota IVA media</t>
  </si>
  <si>
    <t>Iva a Debito</t>
  </si>
  <si>
    <t>Iva a Credito</t>
  </si>
  <si>
    <t>Operazioni Imponibile Vendite</t>
  </si>
  <si>
    <t>&lt;--- sulle operazioni imponibili</t>
  </si>
  <si>
    <t>Operazioni Imponibile Acquisti</t>
  </si>
  <si>
    <t>% Iva D/Ricavi</t>
  </si>
  <si>
    <t>% Iva C/Costi</t>
  </si>
  <si>
    <t>Totale Crediti Comm</t>
  </si>
  <si>
    <t>Totale Debiti Comm</t>
  </si>
  <si>
    <t>474040 Acc.to fdo sval.crediti</t>
  </si>
  <si>
    <t>Ricavi delle gestione caratteristica</t>
  </si>
  <si>
    <t>Totale costi Materie Prime</t>
  </si>
  <si>
    <t>Totale Valore della Produzione</t>
  </si>
  <si>
    <t>Confronto Crescite Società - Mercato (Euro/mln)</t>
  </si>
  <si>
    <t>Società</t>
  </si>
  <si>
    <t>Società YoY</t>
  </si>
  <si>
    <t>Società PA</t>
  </si>
  <si>
    <t>Società Privati</t>
  </si>
  <si>
    <t>Totale Società</t>
  </si>
  <si>
    <t>Società Conto Economico</t>
  </si>
  <si>
    <t>Società Stato Patrimoniale</t>
  </si>
  <si>
    <t>Società CashFlow</t>
  </si>
  <si>
    <t>Fatturato medio storico % Pubblico Società</t>
  </si>
  <si>
    <t>Fatturato medio storico % Privato Società</t>
  </si>
  <si>
    <r>
      <t xml:space="preserve">VALUTAZIONE COSTI MENSILI </t>
    </r>
    <r>
      <rPr>
        <b/>
        <sz val="14"/>
        <rFont val="Arial"/>
        <family val="2"/>
      </rPr>
      <t>SOCIETA SRL</t>
    </r>
    <r>
      <rPr>
        <sz val="14"/>
        <rFont val="Arial"/>
        <family val="2"/>
      </rPr>
      <t>: LEASING, MUTUI, FINANZIAMENTI</t>
    </r>
  </si>
  <si>
    <t>Cliente 1</t>
  </si>
  <si>
    <t>Cliente 2</t>
  </si>
  <si>
    <t>Cliente 3</t>
  </si>
  <si>
    <t>Cliente 4</t>
  </si>
  <si>
    <t>Cliente 5</t>
  </si>
  <si>
    <t>Cliente 6</t>
  </si>
  <si>
    <t>Cliente 7</t>
  </si>
  <si>
    <t>Cliente 8</t>
  </si>
  <si>
    <t>Cliente 9</t>
  </si>
  <si>
    <t>Cliente 10</t>
  </si>
  <si>
    <t>Cliente 11</t>
  </si>
  <si>
    <t>Cliente 12</t>
  </si>
  <si>
    <t>Cliente 13</t>
  </si>
  <si>
    <t>Cliente 14</t>
  </si>
  <si>
    <t>Cliente 15</t>
  </si>
  <si>
    <t>Cliente 16</t>
  </si>
  <si>
    <t>Cliente 17</t>
  </si>
  <si>
    <t>Cliente 18</t>
  </si>
  <si>
    <t>Cliente 19</t>
  </si>
  <si>
    <t>Cliente 20</t>
  </si>
  <si>
    <t>Cliente 21</t>
  </si>
  <si>
    <t>Cliente 22</t>
  </si>
  <si>
    <t>Cliente 23</t>
  </si>
  <si>
    <t>Cliente 24</t>
  </si>
  <si>
    <t>Cliente 25</t>
  </si>
  <si>
    <t>Cliente 26</t>
  </si>
  <si>
    <t>Cliente 27</t>
  </si>
  <si>
    <t>Cliente 28</t>
  </si>
  <si>
    <t>Cliente 29</t>
  </si>
  <si>
    <t>Cliente 30</t>
  </si>
  <si>
    <t>Cliente 31</t>
  </si>
  <si>
    <t>Cliente 32</t>
  </si>
  <si>
    <t>Cliente 33</t>
  </si>
  <si>
    <t>Cliente 34</t>
  </si>
  <si>
    <t>Cliente 35</t>
  </si>
  <si>
    <t>Cliente 36</t>
  </si>
  <si>
    <t>Cliente 37</t>
  </si>
  <si>
    <t>Cliente 38</t>
  </si>
  <si>
    <t>Cliente 39</t>
  </si>
  <si>
    <t>Cliente 40</t>
  </si>
  <si>
    <t>Cliente 41</t>
  </si>
  <si>
    <t>Cliente 42</t>
  </si>
  <si>
    <t>Cliente 43</t>
  </si>
  <si>
    <t>Cliente 44</t>
  </si>
  <si>
    <t>Cliente 45</t>
  </si>
  <si>
    <t>Cliente 46</t>
  </si>
  <si>
    <t>Cliente 47</t>
  </si>
  <si>
    <t>Cliente 48</t>
  </si>
  <si>
    <t>Cliente 49</t>
  </si>
  <si>
    <t>Cliente 50</t>
  </si>
  <si>
    <t>Cliente 51</t>
  </si>
  <si>
    <t>Cliente 52</t>
  </si>
  <si>
    <t>Cliente 53</t>
  </si>
  <si>
    <t>Cliente 54</t>
  </si>
  <si>
    <t>Cliente 55</t>
  </si>
  <si>
    <t>Cliente 56</t>
  </si>
  <si>
    <t>Cliente 57</t>
  </si>
  <si>
    <t>Cliente 58</t>
  </si>
  <si>
    <t>Cliente 59</t>
  </si>
  <si>
    <t>Cliente 60</t>
  </si>
  <si>
    <t>Cliente 61</t>
  </si>
  <si>
    <t>Cliente 62</t>
  </si>
  <si>
    <t>Cliente 63</t>
  </si>
  <si>
    <t>Cliente 64</t>
  </si>
  <si>
    <t>Cliente 65</t>
  </si>
  <si>
    <t>Cliente 66</t>
  </si>
  <si>
    <t>Cliente 67</t>
  </si>
  <si>
    <t>Cliente 68</t>
  </si>
  <si>
    <t>Cliente 69</t>
  </si>
  <si>
    <t>Cliente 70</t>
  </si>
  <si>
    <t>Cliente 71</t>
  </si>
  <si>
    <t>Cliente 72</t>
  </si>
  <si>
    <t>Cliente 73</t>
  </si>
  <si>
    <t>Cliente 74</t>
  </si>
  <si>
    <t>Cliente 75</t>
  </si>
  <si>
    <t>Cliente 76</t>
  </si>
  <si>
    <t>Cliente 77</t>
  </si>
  <si>
    <t>Cliente 78</t>
  </si>
  <si>
    <t>Cliente 79</t>
  </si>
  <si>
    <t>Cliente 80</t>
  </si>
  <si>
    <t>Cliente 81</t>
  </si>
  <si>
    <t>Cliente 82</t>
  </si>
  <si>
    <t>Cliente 83</t>
  </si>
  <si>
    <t>Cliente 84</t>
  </si>
  <si>
    <t>Cliente 85</t>
  </si>
  <si>
    <t>Cliente 86</t>
  </si>
  <si>
    <t>Cliente 87</t>
  </si>
  <si>
    <t>Cliente 88</t>
  </si>
  <si>
    <t>Cliente 89</t>
  </si>
  <si>
    <t>Cliente 90</t>
  </si>
  <si>
    <t>Cliente 91</t>
  </si>
  <si>
    <t>Cliente 92</t>
  </si>
  <si>
    <t>Cliente 93</t>
  </si>
  <si>
    <t>Cliente 94</t>
  </si>
  <si>
    <t>Cliente 95</t>
  </si>
  <si>
    <t>Cliente 96</t>
  </si>
  <si>
    <t>Cliente 97</t>
  </si>
  <si>
    <t>Cliente 98</t>
  </si>
  <si>
    <t>Cliente 99</t>
  </si>
  <si>
    <t>Cliente 100</t>
  </si>
  <si>
    <t>Cliente 101</t>
  </si>
  <si>
    <t>Cliente 102</t>
  </si>
  <si>
    <t>Cliente 103</t>
  </si>
  <si>
    <t>Cliente 104</t>
  </si>
  <si>
    <t>Cliente 105</t>
  </si>
  <si>
    <t>Cliente 106</t>
  </si>
  <si>
    <t>Cliente 107</t>
  </si>
  <si>
    <t>Cliente 108</t>
  </si>
  <si>
    <t>Cliente 109</t>
  </si>
  <si>
    <t>Cliente 110</t>
  </si>
  <si>
    <t>Cliente 111</t>
  </si>
  <si>
    <t>Cliente 112</t>
  </si>
  <si>
    <t>Cliente 113</t>
  </si>
  <si>
    <t>Cliente 114</t>
  </si>
  <si>
    <t>Cliente 115</t>
  </si>
  <si>
    <t>Cliente 116</t>
  </si>
  <si>
    <t>Cliente 117</t>
  </si>
  <si>
    <t>Cliente 118</t>
  </si>
  <si>
    <t>Cliente 119</t>
  </si>
  <si>
    <t>Cliente 120</t>
  </si>
  <si>
    <t>Cliente 121</t>
  </si>
  <si>
    <t>Cliente 122</t>
  </si>
  <si>
    <t>Cliente 123</t>
  </si>
  <si>
    <t>Cliente 124</t>
  </si>
  <si>
    <t>Cliente 125</t>
  </si>
  <si>
    <t>Cliente 126</t>
  </si>
  <si>
    <t>Cliente 127</t>
  </si>
  <si>
    <t>Cliente 128</t>
  </si>
  <si>
    <t>Cliente 129</t>
  </si>
  <si>
    <t>Cliente 130</t>
  </si>
  <si>
    <t>Cliente 131</t>
  </si>
  <si>
    <t>Cliente 132</t>
  </si>
  <si>
    <t>Cliente 133</t>
  </si>
  <si>
    <t>Cliente 134</t>
  </si>
  <si>
    <t>Cliente 135</t>
  </si>
  <si>
    <t>Cliente 136</t>
  </si>
  <si>
    <t>Cliente 137</t>
  </si>
  <si>
    <t>Cliente 138</t>
  </si>
  <si>
    <t>Cliente 139</t>
  </si>
  <si>
    <t>Cliente 140</t>
  </si>
  <si>
    <t>Cliente 141</t>
  </si>
  <si>
    <t>Cliente 142</t>
  </si>
  <si>
    <t>Cliente 143</t>
  </si>
  <si>
    <t>Cliente 144</t>
  </si>
  <si>
    <t>Cliente 145</t>
  </si>
  <si>
    <t>Cliente 146</t>
  </si>
  <si>
    <t>Cliente 147</t>
  </si>
  <si>
    <t>Cliente 148</t>
  </si>
  <si>
    <t>Cliente 149</t>
  </si>
  <si>
    <t>Cliente 150</t>
  </si>
  <si>
    <t>Cliente 151</t>
  </si>
  <si>
    <t>Cliente 152</t>
  </si>
  <si>
    <t>Cliente 153</t>
  </si>
  <si>
    <t>Cliente 154</t>
  </si>
  <si>
    <t>Cliente 155</t>
  </si>
  <si>
    <t>Cliente 156</t>
  </si>
  <si>
    <t>Cliente 157</t>
  </si>
  <si>
    <t>Cliente 158</t>
  </si>
  <si>
    <t>Cliente 159</t>
  </si>
  <si>
    <t>Cliente 160</t>
  </si>
  <si>
    <t>Cliente 161</t>
  </si>
  <si>
    <t>Cliente 162</t>
  </si>
  <si>
    <t>Cliente 163</t>
  </si>
  <si>
    <t>Cliente 164</t>
  </si>
  <si>
    <t>Cliente 165</t>
  </si>
  <si>
    <t>Cliente 166</t>
  </si>
  <si>
    <t>Cliente 167</t>
  </si>
  <si>
    <t>Cliente 168</t>
  </si>
  <si>
    <t>Cliente 169</t>
  </si>
  <si>
    <t>Cliente 170</t>
  </si>
  <si>
    <t>Cliente 171</t>
  </si>
  <si>
    <t>Cliente 172</t>
  </si>
  <si>
    <t>Cliente 173</t>
  </si>
  <si>
    <t>Cliente 174</t>
  </si>
  <si>
    <t>Cliente 175</t>
  </si>
  <si>
    <t>Cliente 176</t>
  </si>
  <si>
    <t>Cliente 177</t>
  </si>
  <si>
    <t>Cliente 178</t>
  </si>
  <si>
    <t>Cliente 179</t>
  </si>
  <si>
    <t>Cliente 180</t>
  </si>
  <si>
    <t>Cliente 181</t>
  </si>
  <si>
    <t>Cliente 182</t>
  </si>
  <si>
    <t>Cliente 183</t>
  </si>
  <si>
    <t>Cliente 184</t>
  </si>
  <si>
    <t>Cliente 185</t>
  </si>
  <si>
    <t>VALUTAZIONE COSTI ANNUI SOCIETA: LEASING</t>
  </si>
  <si>
    <r>
      <t xml:space="preserve">VALUTAZIONE COSTI MENSILI </t>
    </r>
    <r>
      <rPr>
        <b/>
        <sz val="14"/>
        <rFont val="Arial"/>
        <family val="2"/>
      </rPr>
      <t>SOCIETA</t>
    </r>
    <r>
      <rPr>
        <sz val="14"/>
        <rFont val="Arial"/>
        <family val="2"/>
      </rPr>
      <t>: LEASING, MUTUI, FINANZIAMENTI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</si>
</sst>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164" formatCode="_-* #,##0.00\ &quot;€&quot;_-;\-* #,##0.00\ &quot;€&quot;_-;_-* &quot;-&quot;??\ &quot;€&quot;_-;_-@_-"/>
    <numFmt numFmtId="165" formatCode="_-* #,##0.00_-;\-* #,##0.00_-;_-* &quot;-&quot;??_-;_-@_-"/>
    <numFmt numFmtId="166" formatCode="0.0%"/>
    <numFmt numFmtId="167" formatCode="_-* #,##0_-;\-* #,##0_-;_-* &quot;-&quot;??_-;_-@_-"/>
    <numFmt numFmtId="168" formatCode="_(* 0.0%_);_(* \(0.0\)%"/>
    <numFmt numFmtId="169" formatCode="_(* #,##0_);_(* \(#,##0\);_(* &quot; - &quot;_);_(@_)"/>
    <numFmt numFmtId="170" formatCode="_(* #,##0.0%_);_(* \(#,##0.0%\);_(* &quot; - &quot;_);_(* @_)"/>
    <numFmt numFmtId="171" formatCode="_-* #,##0.00\ _€_-;\-* #,##0.00\ _€_-;_-* &quot;-&quot;??\ _€_-;_-@_-"/>
    <numFmt numFmtId="172" formatCode="0.000%"/>
    <numFmt numFmtId="173" formatCode="#,##0.00\ ;\-#,##0.00\ ;&quot; -&quot;#\ ;@\ "/>
    <numFmt numFmtId="174" formatCode="_(* #,##0_);_(* \(#,##0\);_(* &quot; - &quot;_);_(* @_)"/>
    <numFmt numFmtId="175" formatCode="_(* #,##0_);_(* \(#,##0\);_(* &quot;-&quot;??_);_(@_)"/>
    <numFmt numFmtId="176" formatCode="0.0&quot;x&quot;"/>
    <numFmt numFmtId="177" formatCode="0.00&quot;x&quot;"/>
    <numFmt numFmtId="178" formatCode="_-&quot;€&quot;\ * #,##0.00_-;\-&quot;€&quot;\ * #,##0.00_-;_-&quot;€&quot;\ * &quot;-&quot;??_-;_-@_-"/>
    <numFmt numFmtId="179" formatCode="_-[$€-410]\ * #,##0.00_-;\-[$€-410]\ * #,##0.00_-;_-[$€-410]\ * &quot;-&quot;??_-;_-@_-"/>
    <numFmt numFmtId="180" formatCode="_(&quot;€&quot;* #,##0.00_);_(&quot;€&quot;* \(#,##0.00\);_(&quot;€&quot;* &quot;-&quot;??_);_(@_)"/>
    <numFmt numFmtId="181" formatCode="_-&quot;€&quot;\ * #,##0_-;\-&quot;€&quot;\ * #,##0_-;_-&quot;€&quot;\ * &quot;-&quot;??_-;_-@_-"/>
    <numFmt numFmtId="182" formatCode="&quot;€&quot;\ #,##0.00;[Red]\-&quot;€&quot;\ #,##0.00"/>
    <numFmt numFmtId="183" formatCode="[$€-2]\ #,##0.00;[Red]\-[$€-2]\ #,##0.00"/>
    <numFmt numFmtId="184" formatCode="_-* #,##0.0_-;\-* #,##0.0_-;_-* &quot;-&quot;??_-;_-@_-"/>
    <numFmt numFmtId="185" formatCode="_-* #,##0.000_-;\-* #,##0.000_-;_-* &quot;-&quot;??_-;_-@_-"/>
    <numFmt numFmtId="186" formatCode="_(* #,##0.0_);_(* \(#,##0.0\);_(* &quot; - &quot;_);_(* @_)"/>
    <numFmt numFmtId="187" formatCode="_-* #,##0.0\ _€_-;\-* #,##0.0\ _€_-;_-* &quot;-&quot;?\ _€_-;_-@_-"/>
    <numFmt numFmtId="188" formatCode="_(* #,##0.0_);_(* \(#,##0.0\);_(* &quot; - &quot;_);_(@_)"/>
    <numFmt numFmtId="189" formatCode="#,##0.0"/>
  </numFmts>
  <fonts count="12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38"/>
      <color theme="0"/>
      <name val="Calibri"/>
      <family val="2"/>
      <scheme val="minor"/>
    </font>
    <font>
      <sz val="10"/>
      <name val="Arial"/>
      <family val="2"/>
    </font>
    <font>
      <i/>
      <sz val="8"/>
      <name val="Arial"/>
      <family val="2"/>
    </font>
    <font>
      <i/>
      <sz val="8"/>
      <name val="Verdana"/>
      <family val="2"/>
    </font>
    <font>
      <b/>
      <sz val="8"/>
      <name val="Verdana"/>
      <family val="2"/>
    </font>
    <font>
      <sz val="8"/>
      <name val="Verdana"/>
      <family val="2"/>
    </font>
    <font>
      <b/>
      <sz val="8"/>
      <color theme="0"/>
      <name val="Verdana"/>
      <family val="2"/>
    </font>
    <font>
      <sz val="8"/>
      <color theme="1"/>
      <name val="Verdana"/>
      <family val="2"/>
    </font>
    <font>
      <sz val="12"/>
      <name val="Times New Roman"/>
      <family val="1"/>
    </font>
    <font>
      <b/>
      <i/>
      <sz val="8"/>
      <name val="Verdana"/>
      <family val="2"/>
    </font>
    <font>
      <sz val="12"/>
      <color theme="3"/>
      <name val="Verdana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rgb="FF92D050"/>
      <name val="Calibri"/>
      <family val="2"/>
      <scheme val="minor"/>
    </font>
    <font>
      <sz val="9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color theme="0"/>
      <name val="Calibri"/>
      <family val="2"/>
      <scheme val="minor"/>
    </font>
    <font>
      <sz val="9"/>
      <color theme="1"/>
      <name val="Arial"/>
      <family val="2"/>
    </font>
    <font>
      <sz val="8"/>
      <color theme="1"/>
      <name val="arial"/>
      <family val="2"/>
    </font>
    <font>
      <b/>
      <i/>
      <sz val="1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i/>
      <sz val="10"/>
      <name val="Verdana"/>
      <family val="2"/>
    </font>
    <font>
      <b/>
      <sz val="8"/>
      <color indexed="8"/>
      <name val="Verdana"/>
      <family val="2"/>
    </font>
    <font>
      <b/>
      <i/>
      <sz val="8"/>
      <color indexed="8"/>
      <name val="Verdana"/>
      <family val="2"/>
    </font>
    <font>
      <i/>
      <sz val="6"/>
      <color indexed="8"/>
      <name val="Verdana"/>
      <family val="2"/>
    </font>
    <font>
      <i/>
      <sz val="6"/>
      <name val="Verdana"/>
      <family val="2"/>
    </font>
    <font>
      <sz val="8"/>
      <color indexed="8"/>
      <name val="Verdana"/>
      <family val="2"/>
    </font>
    <font>
      <b/>
      <i/>
      <sz val="8"/>
      <color theme="1"/>
      <name val="Verdana"/>
      <family val="2"/>
    </font>
    <font>
      <sz val="8"/>
      <color indexed="9"/>
      <name val="Verdana"/>
      <family val="2"/>
    </font>
    <font>
      <sz val="8"/>
      <color rgb="FFFF0000"/>
      <name val="Verdana"/>
      <family val="2"/>
    </font>
    <font>
      <b/>
      <sz val="9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B0F0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22"/>
      <color rgb="FFFF0000"/>
      <name val="Calibri"/>
      <family val="2"/>
      <scheme val="minor"/>
    </font>
    <font>
      <sz val="14"/>
      <name val="Arial"/>
      <family val="2"/>
    </font>
    <font>
      <b/>
      <sz val="14"/>
      <color rgb="FFC00000"/>
      <name val="Arial"/>
      <family val="2"/>
    </font>
    <font>
      <sz val="14"/>
      <color theme="1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sz val="13"/>
      <name val="Arial"/>
      <family val="2"/>
    </font>
    <font>
      <b/>
      <sz val="14"/>
      <color rgb="FFFF0000"/>
      <name val="Arial"/>
      <family val="2"/>
    </font>
    <font>
      <sz val="14"/>
      <color rgb="FFFF0000"/>
      <name val="Arial"/>
      <family val="2"/>
    </font>
    <font>
      <sz val="10"/>
      <color theme="1"/>
      <name val="Arial"/>
      <family val="2"/>
    </font>
    <font>
      <b/>
      <sz val="14"/>
      <color indexed="10"/>
      <name val="Arial"/>
      <family val="2"/>
    </font>
    <font>
      <sz val="8"/>
      <name val="Arial MT"/>
      <family val="2"/>
    </font>
    <font>
      <b/>
      <sz val="8"/>
      <name val="Arial"/>
      <family val="2"/>
    </font>
    <font>
      <b/>
      <vertAlign val="superscript"/>
      <sz val="7"/>
      <name val="Arial"/>
      <family val="2"/>
    </font>
    <font>
      <sz val="8"/>
      <name val="Arial MT"/>
    </font>
    <font>
      <sz val="8"/>
      <color rgb="FF000000"/>
      <name val="Arial MT"/>
      <family val="2"/>
    </font>
    <font>
      <vertAlign val="superscript"/>
      <sz val="7"/>
      <name val="Arial MT"/>
      <family val="2"/>
    </font>
    <font>
      <b/>
      <sz val="8"/>
      <color rgb="FF000000"/>
      <name val="Arial"/>
      <family val="2"/>
    </font>
    <font>
      <b/>
      <sz val="11"/>
      <name val="Arial"/>
      <family val="2"/>
    </font>
    <font>
      <b/>
      <vertAlign val="superscript"/>
      <sz val="7"/>
      <name val="Arial MT"/>
      <family val="2"/>
    </font>
    <font>
      <b/>
      <sz val="8"/>
      <name val="Arial MT"/>
      <family val="2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vertAlign val="superscript"/>
      <sz val="9"/>
      <name val="Calibri"/>
      <family val="2"/>
      <scheme val="minor"/>
    </font>
    <font>
      <vertAlign val="superscript"/>
      <sz val="9"/>
      <name val="Calibri"/>
      <family val="2"/>
      <scheme val="minor"/>
    </font>
    <font>
      <i/>
      <sz val="9"/>
      <name val="Calibri"/>
      <family val="2"/>
      <scheme val="minor"/>
    </font>
    <font>
      <b/>
      <i/>
      <sz val="9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b/>
      <sz val="9"/>
      <color theme="0"/>
      <name val="Calibri Light"/>
      <family val="2"/>
      <scheme val="major"/>
    </font>
    <font>
      <sz val="9"/>
      <name val="Calibri Light"/>
      <family val="2"/>
      <scheme val="major"/>
    </font>
    <font>
      <b/>
      <sz val="9"/>
      <name val="Calibri Light"/>
      <family val="2"/>
      <scheme val="major"/>
    </font>
    <font>
      <i/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4"/>
      <color theme="0"/>
      <name val="Calibri"/>
      <family val="2"/>
      <scheme val="minor"/>
    </font>
    <font>
      <sz val="10"/>
      <color rgb="FF000000"/>
      <name val="Times New Roman"/>
      <family val="1"/>
    </font>
    <font>
      <sz val="10"/>
      <color rgb="FF000000"/>
      <name val="Times New Roman"/>
      <family val="1"/>
    </font>
    <font>
      <sz val="11"/>
      <color indexed="8"/>
      <name val="Calibri"/>
      <family val="2"/>
    </font>
    <font>
      <i/>
      <sz val="7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4"/>
      <color theme="0"/>
      <name val="Verdana"/>
      <family val="2"/>
    </font>
    <font>
      <sz val="10"/>
      <color rgb="FF000000"/>
      <name val="Tahoma"/>
      <family val="2"/>
    </font>
    <font>
      <b/>
      <u/>
      <sz val="14"/>
      <color theme="1"/>
      <name val="Calibri"/>
      <family val="2"/>
      <scheme val="minor"/>
    </font>
    <font>
      <b/>
      <sz val="10"/>
      <name val="Arial"/>
      <family val="2"/>
    </font>
    <font>
      <sz val="11"/>
      <name val="Aptos Narrow"/>
      <family val="2"/>
    </font>
    <font>
      <strike/>
      <sz val="14"/>
      <color theme="1"/>
      <name val="Arial"/>
      <family val="2"/>
    </font>
    <font>
      <sz val="14"/>
      <color theme="1"/>
      <name val="Aptos Narrow"/>
      <family val="2"/>
    </font>
    <font>
      <sz val="12"/>
      <color theme="1"/>
      <name val="Aptos Narrow"/>
      <family val="2"/>
    </font>
    <font>
      <strike/>
      <sz val="14"/>
      <color rgb="FFFF0000"/>
      <name val="Arial"/>
      <family val="2"/>
    </font>
    <font>
      <strike/>
      <sz val="14"/>
      <color rgb="FFFF0000"/>
      <name val="Calibri"/>
      <family val="2"/>
      <scheme val="minor"/>
    </font>
    <font>
      <b/>
      <strike/>
      <sz val="14"/>
      <color rgb="FFFF0000"/>
      <name val="Arial"/>
      <family val="2"/>
    </font>
    <font>
      <sz val="14"/>
      <color theme="4"/>
      <name val="Arial"/>
      <family val="2"/>
    </font>
    <font>
      <strike/>
      <sz val="14"/>
      <color theme="1"/>
      <name val="Calibri"/>
      <family val="2"/>
      <scheme val="minor"/>
    </font>
    <font>
      <b/>
      <strike/>
      <sz val="14"/>
      <color theme="1"/>
      <name val="Arial"/>
      <family val="2"/>
    </font>
    <font>
      <sz val="10"/>
      <color theme="4"/>
      <name val="Arial"/>
      <family val="2"/>
    </font>
    <font>
      <b/>
      <strike/>
      <sz val="13"/>
      <color theme="1"/>
      <name val="Arial"/>
      <family val="2"/>
    </font>
    <font>
      <b/>
      <strike/>
      <sz val="14"/>
      <color theme="1"/>
      <name val="Calibri"/>
      <family val="2"/>
      <scheme val="minor"/>
    </font>
    <font>
      <strike/>
      <sz val="14"/>
      <name val="Arial"/>
      <family val="2"/>
    </font>
    <font>
      <strike/>
      <sz val="14"/>
      <name val="Calibri"/>
      <family val="2"/>
      <scheme val="minor"/>
    </font>
    <font>
      <b/>
      <strike/>
      <sz val="14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sz val="11"/>
      <color theme="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E0E0E0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-0.499984740745262"/>
        <bgColor indexed="64"/>
      </patternFill>
    </fill>
  </fills>
  <borders count="10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0" fontId="8" fillId="0" borderId="0"/>
    <xf numFmtId="0" fontId="15" fillId="0" borderId="0"/>
    <xf numFmtId="0" fontId="8" fillId="0" borderId="0"/>
    <xf numFmtId="171" fontId="17" fillId="0" borderId="0" applyFont="0" applyFill="0" applyBorder="0" applyAlignment="0" applyProtection="0"/>
    <xf numFmtId="0" fontId="8" fillId="0" borderId="0"/>
    <xf numFmtId="0" fontId="21" fillId="0" borderId="0"/>
    <xf numFmtId="9" fontId="2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/>
    <xf numFmtId="0" fontId="25" fillId="0" borderId="0"/>
    <xf numFmtId="173" fontId="8" fillId="0" borderId="0" applyFill="0" applyBorder="0" applyAlignment="0" applyProtection="0"/>
    <xf numFmtId="0" fontId="25" fillId="0" borderId="0"/>
    <xf numFmtId="9" fontId="15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5" fillId="0" borderId="0"/>
    <xf numFmtId="0" fontId="8" fillId="0" borderId="0" applyBorder="0"/>
    <xf numFmtId="178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79" fontId="1" fillId="0" borderId="0"/>
    <xf numFmtId="18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8" fillId="0" borderId="0"/>
    <xf numFmtId="0" fontId="1" fillId="0" borderId="0"/>
    <xf numFmtId="165" fontId="1" fillId="0" borderId="0" applyFont="0" applyFill="0" applyBorder="0" applyAlignment="0" applyProtection="0"/>
    <xf numFmtId="0" fontId="26" fillId="0" borderId="0"/>
    <xf numFmtId="9" fontId="1" fillId="0" borderId="0" applyFont="0" applyFill="0" applyBorder="0" applyAlignment="0" applyProtection="0"/>
    <xf numFmtId="0" fontId="87" fillId="0" borderId="0"/>
    <xf numFmtId="0" fontId="88" fillId="0" borderId="0" applyNumberFormat="0" applyFill="0" applyBorder="0" applyAlignment="0" applyProtection="0"/>
    <xf numFmtId="9" fontId="87" fillId="0" borderId="0" applyFont="0" applyFill="0" applyBorder="0" applyAlignment="0" applyProtection="0"/>
    <xf numFmtId="0" fontId="90" fillId="0" borderId="0"/>
    <xf numFmtId="0" fontId="91" fillId="0" borderId="0"/>
    <xf numFmtId="0" fontId="92" fillId="0" borderId="0" applyFill="0" applyProtection="0"/>
    <xf numFmtId="0" fontId="97" fillId="0" borderId="0"/>
  </cellStyleXfs>
  <cellXfs count="1574">
    <xf numFmtId="0" fontId="0" fillId="0" borderId="0" xfId="0"/>
    <xf numFmtId="0" fontId="4" fillId="0" borderId="0" xfId="0" applyFont="1"/>
    <xf numFmtId="0" fontId="4" fillId="0" borderId="1" xfId="0" applyFont="1" applyBorder="1"/>
    <xf numFmtId="0" fontId="6" fillId="0" borderId="0" xfId="0" applyFont="1"/>
    <xf numFmtId="0" fontId="0" fillId="3" borderId="0" xfId="0" applyFill="1"/>
    <xf numFmtId="0" fontId="2" fillId="3" borderId="0" xfId="0" applyFont="1" applyFill="1"/>
    <xf numFmtId="0" fontId="7" fillId="3" borderId="0" xfId="0" applyFont="1" applyFill="1"/>
    <xf numFmtId="0" fontId="12" fillId="0" borderId="0" xfId="4" applyFont="1"/>
    <xf numFmtId="0" fontId="12" fillId="0" borderId="0" xfId="6" applyFont="1"/>
    <xf numFmtId="0" fontId="0" fillId="2" borderId="0" xfId="0" applyFill="1"/>
    <xf numFmtId="0" fontId="18" fillId="0" borderId="0" xfId="4" applyFont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8" applyFont="1"/>
    <xf numFmtId="0" fontId="22" fillId="0" borderId="0" xfId="9" applyFont="1"/>
    <xf numFmtId="0" fontId="20" fillId="0" borderId="0" xfId="9" applyFont="1"/>
    <xf numFmtId="0" fontId="24" fillId="9" borderId="7" xfId="9" applyFont="1" applyFill="1" applyBorder="1" applyAlignment="1">
      <alignment vertical="center"/>
    </xf>
    <xf numFmtId="9" fontId="22" fillId="0" borderId="0" xfId="9" applyNumberFormat="1" applyFont="1"/>
    <xf numFmtId="166" fontId="22" fillId="0" borderId="0" xfId="19" applyNumberFormat="1" applyFont="1" applyAlignment="1">
      <alignment horizontal="right"/>
    </xf>
    <xf numFmtId="10" fontId="22" fillId="0" borderId="0" xfId="19" applyNumberFormat="1" applyFont="1" applyAlignment="1">
      <alignment horizontal="right"/>
    </xf>
    <xf numFmtId="0" fontId="22" fillId="14" borderId="0" xfId="9" applyFont="1" applyFill="1"/>
    <xf numFmtId="166" fontId="18" fillId="14" borderId="0" xfId="19" applyNumberFormat="1" applyFont="1" applyFill="1" applyAlignment="1">
      <alignment horizontal="right"/>
    </xf>
    <xf numFmtId="10" fontId="22" fillId="14" borderId="0" xfId="19" applyNumberFormat="1" applyFont="1" applyFill="1" applyAlignment="1">
      <alignment horizontal="right"/>
    </xf>
    <xf numFmtId="166" fontId="22" fillId="14" borderId="0" xfId="19" applyNumberFormat="1" applyFont="1" applyFill="1" applyAlignment="1">
      <alignment horizontal="right"/>
    </xf>
    <xf numFmtId="9" fontId="18" fillId="0" borderId="0" xfId="8" applyNumberFormat="1" applyFont="1" applyAlignment="1">
      <alignment horizontal="left" vertical="center"/>
    </xf>
    <xf numFmtId="10" fontId="22" fillId="0" borderId="0" xfId="9" applyNumberFormat="1" applyFont="1"/>
    <xf numFmtId="9" fontId="18" fillId="14" borderId="0" xfId="8" applyNumberFormat="1" applyFont="1" applyFill="1" applyAlignment="1">
      <alignment horizontal="left" vertical="center"/>
    </xf>
    <xf numFmtId="0" fontId="22" fillId="0" borderId="6" xfId="9" applyFont="1" applyBorder="1"/>
    <xf numFmtId="166" fontId="22" fillId="0" borderId="0" xfId="19" applyNumberFormat="1" applyFont="1" applyFill="1" applyAlignment="1">
      <alignment horizontal="right"/>
    </xf>
    <xf numFmtId="10" fontId="22" fillId="0" borderId="0" xfId="19" applyNumberFormat="1" applyFont="1" applyFill="1" applyAlignment="1">
      <alignment horizontal="right"/>
    </xf>
    <xf numFmtId="0" fontId="24" fillId="2" borderId="0" xfId="9" applyFont="1" applyFill="1"/>
    <xf numFmtId="0" fontId="24" fillId="2" borderId="0" xfId="9" applyFont="1" applyFill="1" applyAlignment="1">
      <alignment horizontal="center"/>
    </xf>
    <xf numFmtId="9" fontId="24" fillId="2" borderId="0" xfId="9" applyNumberFormat="1" applyFont="1" applyFill="1" applyAlignment="1">
      <alignment horizontal="right"/>
    </xf>
    <xf numFmtId="0" fontId="19" fillId="8" borderId="0" xfId="9" applyFont="1" applyFill="1"/>
    <xf numFmtId="167" fontId="19" fillId="8" borderId="0" xfId="1" applyNumberFormat="1" applyFont="1" applyFill="1" applyBorder="1"/>
    <xf numFmtId="9" fontId="19" fillId="8" borderId="0" xfId="13" applyFont="1" applyFill="1" applyBorder="1"/>
    <xf numFmtId="167" fontId="22" fillId="0" borderId="0" xfId="1" applyNumberFormat="1" applyFont="1" applyBorder="1"/>
    <xf numFmtId="10" fontId="22" fillId="0" borderId="0" xfId="13" applyNumberFormat="1" applyFont="1" applyBorder="1"/>
    <xf numFmtId="166" fontId="22" fillId="0" borderId="0" xfId="9" applyNumberFormat="1" applyFont="1"/>
    <xf numFmtId="10" fontId="22" fillId="0" borderId="0" xfId="13" applyNumberFormat="1" applyFont="1"/>
    <xf numFmtId="165" fontId="22" fillId="0" borderId="0" xfId="1" applyFont="1"/>
    <xf numFmtId="174" fontId="22" fillId="0" borderId="0" xfId="1" applyNumberFormat="1" applyFont="1" applyBorder="1"/>
    <xf numFmtId="167" fontId="22" fillId="0" borderId="0" xfId="1" applyNumberFormat="1" applyFont="1"/>
    <xf numFmtId="10" fontId="22" fillId="14" borderId="0" xfId="9" applyNumberFormat="1" applyFont="1" applyFill="1"/>
    <xf numFmtId="0" fontId="28" fillId="0" borderId="0" xfId="9" applyFont="1"/>
    <xf numFmtId="10" fontId="19" fillId="8" borderId="5" xfId="9" applyNumberFormat="1" applyFont="1" applyFill="1" applyBorder="1"/>
    <xf numFmtId="0" fontId="24" fillId="3" borderId="7" xfId="9" applyFont="1" applyFill="1" applyBorder="1" applyAlignment="1">
      <alignment vertical="center"/>
    </xf>
    <xf numFmtId="0" fontId="29" fillId="0" borderId="0" xfId="6" applyFont="1"/>
    <xf numFmtId="0" fontId="10" fillId="0" borderId="0" xfId="6" applyFont="1"/>
    <xf numFmtId="0" fontId="13" fillId="2" borderId="0" xfId="4" applyFont="1" applyFill="1"/>
    <xf numFmtId="0" fontId="13" fillId="15" borderId="0" xfId="4" applyFont="1" applyFill="1"/>
    <xf numFmtId="0" fontId="13" fillId="0" borderId="0" xfId="4" applyFont="1"/>
    <xf numFmtId="0" fontId="13" fillId="15" borderId="0" xfId="4" applyFont="1" applyFill="1" applyAlignment="1">
      <alignment horizontal="center"/>
    </xf>
    <xf numFmtId="0" fontId="13" fillId="17" borderId="0" xfId="4" applyFont="1" applyFill="1"/>
    <xf numFmtId="0" fontId="13" fillId="18" borderId="0" xfId="4" applyFont="1" applyFill="1" applyAlignment="1">
      <alignment horizontal="right"/>
    </xf>
    <xf numFmtId="0" fontId="13" fillId="0" borderId="0" xfId="4" applyFont="1" applyAlignment="1">
      <alignment horizontal="right"/>
    </xf>
    <xf numFmtId="0" fontId="13" fillId="18" borderId="0" xfId="4" applyFont="1" applyFill="1" applyAlignment="1">
      <alignment horizontal="center"/>
    </xf>
    <xf numFmtId="0" fontId="14" fillId="0" borderId="0" xfId="4" applyFont="1"/>
    <xf numFmtId="167" fontId="12" fillId="0" borderId="0" xfId="1" applyNumberFormat="1" applyFont="1"/>
    <xf numFmtId="167" fontId="12" fillId="0" borderId="0" xfId="1" applyNumberFormat="1" applyFont="1" applyAlignment="1">
      <alignment horizontal="left"/>
    </xf>
    <xf numFmtId="167" fontId="12" fillId="0" borderId="0" xfId="1" applyNumberFormat="1" applyFont="1" applyFill="1"/>
    <xf numFmtId="170" fontId="10" fillId="0" borderId="0" xfId="1" applyNumberFormat="1" applyFont="1" applyFill="1" applyAlignment="1">
      <alignment horizontal="right" vertical="center"/>
    </xf>
    <xf numFmtId="170" fontId="10" fillId="0" borderId="0" xfId="10" applyNumberFormat="1" applyFont="1" applyFill="1" applyAlignment="1">
      <alignment horizontal="right" vertical="center"/>
    </xf>
    <xf numFmtId="10" fontId="16" fillId="0" borderId="0" xfId="10" applyNumberFormat="1" applyFont="1" applyFill="1" applyAlignment="1">
      <alignment horizontal="right" vertical="center"/>
    </xf>
    <xf numFmtId="0" fontId="30" fillId="11" borderId="0" xfId="4" applyFont="1" applyFill="1" applyAlignment="1">
      <alignment horizontal="left"/>
    </xf>
    <xf numFmtId="167" fontId="11" fillId="11" borderId="0" xfId="1" applyNumberFormat="1" applyFont="1" applyFill="1"/>
    <xf numFmtId="167" fontId="11" fillId="0" borderId="0" xfId="1" applyNumberFormat="1" applyFont="1" applyFill="1"/>
    <xf numFmtId="170" fontId="16" fillId="0" borderId="0" xfId="1" applyNumberFormat="1" applyFont="1" applyFill="1" applyAlignment="1">
      <alignment horizontal="right" vertical="center"/>
    </xf>
    <xf numFmtId="0" fontId="31" fillId="11" borderId="0" xfId="4" applyFont="1" applyFill="1" applyAlignment="1">
      <alignment horizontal="left"/>
    </xf>
    <xf numFmtId="170" fontId="16" fillId="0" borderId="0" xfId="10" applyNumberFormat="1" applyFont="1" applyFill="1" applyAlignment="1">
      <alignment horizontal="left" vertical="center"/>
    </xf>
    <xf numFmtId="0" fontId="32" fillId="11" borderId="0" xfId="4" applyFont="1" applyFill="1" applyAlignment="1">
      <alignment horizontal="left"/>
    </xf>
    <xf numFmtId="167" fontId="33" fillId="11" borderId="0" xfId="1" applyNumberFormat="1" applyFont="1" applyFill="1"/>
    <xf numFmtId="167" fontId="16" fillId="11" borderId="0" xfId="1" applyNumberFormat="1" applyFont="1" applyFill="1"/>
    <xf numFmtId="167" fontId="16" fillId="0" borderId="0" xfId="1" applyNumberFormat="1" applyFont="1" applyFill="1"/>
    <xf numFmtId="0" fontId="34" fillId="11" borderId="0" xfId="4" applyFont="1" applyFill="1" applyAlignment="1">
      <alignment horizontal="left"/>
    </xf>
    <xf numFmtId="174" fontId="12" fillId="0" borderId="0" xfId="1" applyNumberFormat="1" applyFont="1" applyFill="1" applyAlignment="1">
      <alignment horizontal="left" vertical="center"/>
    </xf>
    <xf numFmtId="0" fontId="10" fillId="0" borderId="0" xfId="21" applyFont="1" applyBorder="1" applyAlignment="1">
      <alignment horizontal="left" indent="1"/>
    </xf>
    <xf numFmtId="174" fontId="10" fillId="0" borderId="0" xfId="1" applyNumberFormat="1" applyFont="1" applyFill="1" applyAlignment="1">
      <alignment horizontal="left" vertical="center"/>
    </xf>
    <xf numFmtId="0" fontId="11" fillId="0" borderId="0" xfId="4" applyFont="1" applyAlignment="1">
      <alignment horizontal="left"/>
    </xf>
    <xf numFmtId="174" fontId="11" fillId="0" borderId="0" xfId="1" applyNumberFormat="1" applyFont="1" applyFill="1" applyAlignment="1">
      <alignment horizontal="left" vertical="center"/>
    </xf>
    <xf numFmtId="170" fontId="16" fillId="0" borderId="0" xfId="10" applyNumberFormat="1" applyFont="1" applyFill="1" applyAlignment="1">
      <alignment horizontal="right" vertical="center"/>
    </xf>
    <xf numFmtId="0" fontId="10" fillId="0" borderId="0" xfId="4" applyFont="1" applyAlignment="1">
      <alignment horizontal="left"/>
    </xf>
    <xf numFmtId="170" fontId="10" fillId="0" borderId="0" xfId="2" applyNumberFormat="1" applyFont="1"/>
    <xf numFmtId="167" fontId="10" fillId="0" borderId="0" xfId="1" applyNumberFormat="1" applyFont="1" applyFill="1"/>
    <xf numFmtId="167" fontId="10" fillId="0" borderId="0" xfId="1" applyNumberFormat="1" applyFont="1"/>
    <xf numFmtId="0" fontId="31" fillId="19" borderId="16" xfId="4" applyFont="1" applyFill="1" applyBorder="1" applyAlignment="1">
      <alignment horizontal="left"/>
    </xf>
    <xf numFmtId="175" fontId="16" fillId="19" borderId="0" xfId="1" applyNumberFormat="1" applyFont="1" applyFill="1"/>
    <xf numFmtId="170" fontId="16" fillId="19" borderId="0" xfId="1" applyNumberFormat="1" applyFont="1" applyFill="1" applyAlignment="1">
      <alignment horizontal="right" vertical="center"/>
    </xf>
    <xf numFmtId="170" fontId="16" fillId="19" borderId="0" xfId="10" applyNumberFormat="1" applyFont="1" applyFill="1" applyAlignment="1">
      <alignment horizontal="left" vertical="center"/>
    </xf>
    <xf numFmtId="166" fontId="10" fillId="0" borderId="0" xfId="2" applyNumberFormat="1" applyFont="1"/>
    <xf numFmtId="166" fontId="10" fillId="0" borderId="0" xfId="2" applyNumberFormat="1" applyFont="1" applyFill="1"/>
    <xf numFmtId="0" fontId="35" fillId="0" borderId="0" xfId="4" applyFont="1"/>
    <xf numFmtId="0" fontId="34" fillId="0" borderId="0" xfId="4" applyFont="1" applyAlignment="1">
      <alignment horizontal="left"/>
    </xf>
    <xf numFmtId="10" fontId="12" fillId="0" borderId="0" xfId="2" applyNumberFormat="1" applyFont="1"/>
    <xf numFmtId="9" fontId="31" fillId="19" borderId="0" xfId="2" applyFont="1" applyFill="1" applyBorder="1" applyAlignment="1">
      <alignment horizontal="left"/>
    </xf>
    <xf numFmtId="9" fontId="31" fillId="11" borderId="0" xfId="2" applyFont="1" applyFill="1" applyBorder="1" applyAlignment="1">
      <alignment horizontal="left"/>
    </xf>
    <xf numFmtId="166" fontId="16" fillId="11" borderId="0" xfId="2" applyNumberFormat="1" applyFont="1" applyFill="1"/>
    <xf numFmtId="166" fontId="16" fillId="0" borderId="0" xfId="2" applyNumberFormat="1" applyFont="1" applyFill="1"/>
    <xf numFmtId="170" fontId="16" fillId="11" borderId="0" xfId="1" applyNumberFormat="1" applyFont="1" applyFill="1" applyAlignment="1">
      <alignment horizontal="right" vertical="center"/>
    </xf>
    <xf numFmtId="175" fontId="16" fillId="11" borderId="0" xfId="1" applyNumberFormat="1" applyFont="1" applyFill="1"/>
    <xf numFmtId="175" fontId="12" fillId="0" borderId="0" xfId="1" applyNumberFormat="1" applyFont="1" applyFill="1" applyAlignment="1">
      <alignment horizontal="left" vertical="center"/>
    </xf>
    <xf numFmtId="175" fontId="12" fillId="0" borderId="0" xfId="1" applyNumberFormat="1" applyFont="1"/>
    <xf numFmtId="0" fontId="36" fillId="0" borderId="0" xfId="4" applyFont="1" applyAlignment="1">
      <alignment horizontal="left"/>
    </xf>
    <xf numFmtId="175" fontId="12" fillId="0" borderId="0" xfId="6" applyNumberFormat="1" applyFont="1"/>
    <xf numFmtId="0" fontId="30" fillId="5" borderId="6" xfId="4" applyFont="1" applyFill="1" applyBorder="1" applyAlignment="1">
      <alignment horizontal="left"/>
    </xf>
    <xf numFmtId="175" fontId="16" fillId="5" borderId="6" xfId="1" applyNumberFormat="1" applyFont="1" applyFill="1" applyBorder="1"/>
    <xf numFmtId="167" fontId="16" fillId="0" borderId="0" xfId="1" applyNumberFormat="1" applyFont="1" applyFill="1" applyBorder="1"/>
    <xf numFmtId="170" fontId="16" fillId="20" borderId="6" xfId="10" applyNumberFormat="1" applyFont="1" applyFill="1" applyBorder="1" applyAlignment="1">
      <alignment horizontal="left" vertical="center"/>
    </xf>
    <xf numFmtId="167" fontId="12" fillId="0" borderId="0" xfId="6" applyNumberFormat="1" applyFont="1"/>
    <xf numFmtId="3" fontId="14" fillId="0" borderId="0" xfId="6" applyNumberFormat="1" applyFont="1"/>
    <xf numFmtId="0" fontId="12" fillId="0" borderId="9" xfId="6" applyFont="1" applyBorder="1"/>
    <xf numFmtId="0" fontId="16" fillId="0" borderId="0" xfId="6" applyFont="1"/>
    <xf numFmtId="170" fontId="12" fillId="0" borderId="0" xfId="6" applyNumberFormat="1" applyFont="1"/>
    <xf numFmtId="174" fontId="12" fillId="0" borderId="0" xfId="6" applyNumberFormat="1" applyFont="1"/>
    <xf numFmtId="166" fontId="10" fillId="0" borderId="0" xfId="2" applyNumberFormat="1" applyFont="1" applyAlignment="1">
      <alignment horizontal="right"/>
    </xf>
    <xf numFmtId="9" fontId="10" fillId="0" borderId="0" xfId="2" applyFont="1" applyFill="1"/>
    <xf numFmtId="174" fontId="11" fillId="0" borderId="0" xfId="6" applyNumberFormat="1" applyFont="1"/>
    <xf numFmtId="0" fontId="11" fillId="0" borderId="0" xfId="4" applyFont="1"/>
    <xf numFmtId="167" fontId="11" fillId="0" borderId="0" xfId="4" applyNumberFormat="1" applyFont="1"/>
    <xf numFmtId="0" fontId="11" fillId="0" borderId="0" xfId="6" applyFont="1"/>
    <xf numFmtId="167" fontId="11" fillId="0" borderId="0" xfId="6" applyNumberFormat="1" applyFont="1"/>
    <xf numFmtId="0" fontId="11" fillId="0" borderId="5" xfId="6" applyFont="1" applyBorder="1"/>
    <xf numFmtId="167" fontId="11" fillId="0" borderId="5" xfId="6" applyNumberFormat="1" applyFont="1" applyBorder="1"/>
    <xf numFmtId="9" fontId="10" fillId="0" borderId="0" xfId="2" applyFont="1"/>
    <xf numFmtId="0" fontId="11" fillId="14" borderId="0" xfId="6" applyFont="1" applyFill="1"/>
    <xf numFmtId="167" fontId="11" fillId="14" borderId="0" xfId="6" applyNumberFormat="1" applyFont="1" applyFill="1"/>
    <xf numFmtId="170" fontId="16" fillId="14" borderId="0" xfId="10" applyNumberFormat="1" applyFont="1" applyFill="1" applyAlignment="1">
      <alignment horizontal="right" vertical="center"/>
    </xf>
    <xf numFmtId="174" fontId="11" fillId="14" borderId="0" xfId="6" applyNumberFormat="1" applyFont="1" applyFill="1"/>
    <xf numFmtId="174" fontId="16" fillId="20" borderId="6" xfId="1" applyNumberFormat="1" applyFont="1" applyFill="1" applyBorder="1" applyAlignment="1">
      <alignment horizontal="left" vertical="center"/>
    </xf>
    <xf numFmtId="174" fontId="16" fillId="0" borderId="0" xfId="1" applyNumberFormat="1" applyFont="1" applyFill="1" applyBorder="1" applyAlignment="1">
      <alignment horizontal="left" vertical="center"/>
    </xf>
    <xf numFmtId="170" fontId="16" fillId="5" borderId="6" xfId="10" applyNumberFormat="1" applyFont="1" applyFill="1" applyBorder="1" applyAlignment="1">
      <alignment horizontal="right" vertical="center"/>
    </xf>
    <xf numFmtId="176" fontId="11" fillId="14" borderId="0" xfId="6" applyNumberFormat="1" applyFont="1" applyFill="1"/>
    <xf numFmtId="2" fontId="12" fillId="0" borderId="0" xfId="6" applyNumberFormat="1" applyFont="1"/>
    <xf numFmtId="0" fontId="11" fillId="8" borderId="0" xfId="6" applyFont="1" applyFill="1"/>
    <xf numFmtId="1" fontId="11" fillId="8" borderId="0" xfId="6" applyNumberFormat="1" applyFont="1" applyFill="1"/>
    <xf numFmtId="2" fontId="11" fillId="0" borderId="0" xfId="6" applyNumberFormat="1" applyFont="1"/>
    <xf numFmtId="174" fontId="11" fillId="8" borderId="0" xfId="6" applyNumberFormat="1" applyFont="1" applyFill="1"/>
    <xf numFmtId="170" fontId="10" fillId="0" borderId="0" xfId="6" applyNumberFormat="1" applyFont="1" applyAlignment="1">
      <alignment horizontal="left" vertical="center"/>
    </xf>
    <xf numFmtId="177" fontId="11" fillId="14" borderId="0" xfId="6" applyNumberFormat="1" applyFont="1" applyFill="1"/>
    <xf numFmtId="176" fontId="11" fillId="0" borderId="0" xfId="6" applyNumberFormat="1" applyFont="1"/>
    <xf numFmtId="176" fontId="12" fillId="0" borderId="0" xfId="6" applyNumberFormat="1" applyFont="1"/>
    <xf numFmtId="0" fontId="12" fillId="8" borderId="0" xfId="6" applyFont="1" applyFill="1"/>
    <xf numFmtId="0" fontId="12" fillId="8" borderId="0" xfId="6" applyFont="1" applyFill="1" applyAlignment="1">
      <alignment horizontal="right"/>
    </xf>
    <xf numFmtId="0" fontId="12" fillId="0" borderId="0" xfId="6" applyFont="1" applyAlignment="1">
      <alignment horizontal="right"/>
    </xf>
    <xf numFmtId="0" fontId="11" fillId="14" borderId="0" xfId="4" applyFont="1" applyFill="1"/>
    <xf numFmtId="175" fontId="11" fillId="14" borderId="0" xfId="1" applyNumberFormat="1" applyFont="1" applyFill="1"/>
    <xf numFmtId="0" fontId="11" fillId="8" borderId="6" xfId="4" applyFont="1" applyFill="1" applyBorder="1"/>
    <xf numFmtId="175" fontId="11" fillId="8" borderId="6" xfId="1" applyNumberFormat="1" applyFont="1" applyFill="1" applyBorder="1"/>
    <xf numFmtId="175" fontId="12" fillId="0" borderId="0" xfId="1" applyNumberFormat="1" applyFont="1" applyFill="1"/>
    <xf numFmtId="0" fontId="37" fillId="0" borderId="0" xfId="6" applyFont="1"/>
    <xf numFmtId="175" fontId="11" fillId="0" borderId="0" xfId="1" applyNumberFormat="1" applyFont="1" applyFill="1" applyAlignment="1">
      <alignment horizontal="left" vertical="center"/>
    </xf>
    <xf numFmtId="175" fontId="11" fillId="8" borderId="6" xfId="1" applyNumberFormat="1" applyFont="1" applyFill="1" applyBorder="1" applyAlignment="1">
      <alignment horizontal="left" vertical="center"/>
    </xf>
    <xf numFmtId="175" fontId="11" fillId="0" borderId="0" xfId="1" applyNumberFormat="1" applyFont="1" applyFill="1" applyBorder="1" applyAlignment="1">
      <alignment horizontal="left" vertical="center"/>
    </xf>
    <xf numFmtId="175" fontId="10" fillId="0" borderId="0" xfId="6" applyNumberFormat="1" applyFont="1"/>
    <xf numFmtId="0" fontId="13" fillId="3" borderId="0" xfId="4" applyFont="1" applyFill="1"/>
    <xf numFmtId="0" fontId="0" fillId="16" borderId="0" xfId="0" applyFill="1"/>
    <xf numFmtId="0" fontId="7" fillId="16" borderId="0" xfId="0" applyFont="1" applyFill="1"/>
    <xf numFmtId="0" fontId="0" fillId="0" borderId="0" xfId="0" applyAlignment="1">
      <alignment wrapText="1"/>
    </xf>
    <xf numFmtId="0" fontId="42" fillId="0" borderId="27" xfId="0" applyFont="1" applyBorder="1" applyAlignment="1">
      <alignment horizontal="center" vertical="center"/>
    </xf>
    <xf numFmtId="0" fontId="42" fillId="0" borderId="28" xfId="0" applyFont="1" applyBorder="1" applyAlignment="1">
      <alignment horizontal="center" vertical="center"/>
    </xf>
    <xf numFmtId="0" fontId="43" fillId="0" borderId="27" xfId="0" applyFont="1" applyBorder="1" applyAlignment="1">
      <alignment horizontal="center" vertical="center" wrapText="1"/>
    </xf>
    <xf numFmtId="0" fontId="43" fillId="0" borderId="29" xfId="0" applyFont="1" applyBorder="1" applyAlignment="1">
      <alignment horizontal="center" vertical="center" wrapText="1"/>
    </xf>
    <xf numFmtId="0" fontId="43" fillId="0" borderId="28" xfId="0" applyFont="1" applyBorder="1" applyAlignment="1">
      <alignment horizontal="center" vertical="center" wrapText="1"/>
    </xf>
    <xf numFmtId="0" fontId="43" fillId="0" borderId="30" xfId="0" applyFont="1" applyBorder="1" applyAlignment="1">
      <alignment horizontal="center" vertical="center" wrapText="1"/>
    </xf>
    <xf numFmtId="0" fontId="44" fillId="0" borderId="27" xfId="0" applyFont="1" applyBorder="1" applyAlignment="1">
      <alignment horizontal="center" vertical="center" wrapText="1"/>
    </xf>
    <xf numFmtId="0" fontId="44" fillId="0" borderId="33" xfId="0" applyFont="1" applyBorder="1" applyAlignment="1">
      <alignment horizontal="center" vertical="center" wrapText="1"/>
    </xf>
    <xf numFmtId="178" fontId="45" fillId="0" borderId="28" xfId="0" applyNumberFormat="1" applyFont="1" applyBorder="1" applyAlignment="1">
      <alignment horizontal="center" vertical="center"/>
    </xf>
    <xf numFmtId="178" fontId="45" fillId="0" borderId="30" xfId="0" applyNumberFormat="1" applyFont="1" applyBorder="1" applyAlignment="1">
      <alignment horizontal="center" vertical="center"/>
    </xf>
    <xf numFmtId="0" fontId="47" fillId="0" borderId="35" xfId="0" applyFont="1" applyBorder="1" applyAlignment="1">
      <alignment horizontal="left" vertical="center"/>
    </xf>
    <xf numFmtId="0" fontId="47" fillId="0" borderId="8" xfId="0" applyFont="1" applyBorder="1" applyAlignment="1">
      <alignment horizontal="left" vertical="center"/>
    </xf>
    <xf numFmtId="178" fontId="47" fillId="0" borderId="36" xfId="22" applyFont="1" applyFill="1" applyBorder="1" applyAlignment="1">
      <alignment horizontal="center" vertical="center" wrapText="1"/>
    </xf>
    <xf numFmtId="178" fontId="47" fillId="0" borderId="10" xfId="22" applyFont="1" applyFill="1" applyBorder="1" applyAlignment="1">
      <alignment horizontal="center" vertical="center" wrapText="1"/>
    </xf>
    <xf numFmtId="178" fontId="48" fillId="0" borderId="3" xfId="0" applyNumberFormat="1" applyFont="1" applyBorder="1" applyAlignment="1">
      <alignment horizontal="center" vertical="center"/>
    </xf>
    <xf numFmtId="178" fontId="48" fillId="0" borderId="14" xfId="0" applyNumberFormat="1" applyFont="1" applyBorder="1" applyAlignment="1">
      <alignment horizontal="center" vertical="center"/>
    </xf>
    <xf numFmtId="10" fontId="48" fillId="0" borderId="14" xfId="0" applyNumberFormat="1" applyFont="1" applyBorder="1" applyAlignment="1">
      <alignment horizontal="center" vertical="center"/>
    </xf>
    <xf numFmtId="178" fontId="47" fillId="0" borderId="37" xfId="0" applyNumberFormat="1" applyFont="1" applyBorder="1" applyAlignment="1">
      <alignment horizontal="center" vertical="center"/>
    </xf>
    <xf numFmtId="178" fontId="48" fillId="0" borderId="38" xfId="0" applyNumberFormat="1" applyFont="1" applyBorder="1" applyAlignment="1">
      <alignment horizontal="center" vertical="center"/>
    </xf>
    <xf numFmtId="49" fontId="47" fillId="0" borderId="39" xfId="0" applyNumberFormat="1" applyFont="1" applyBorder="1" applyAlignment="1">
      <alignment horizontal="left" vertical="center"/>
    </xf>
    <xf numFmtId="0" fontId="47" fillId="0" borderId="36" xfId="0" applyFont="1" applyBorder="1" applyAlignment="1">
      <alignment horizontal="left" vertical="center"/>
    </xf>
    <xf numFmtId="178" fontId="47" fillId="0" borderId="38" xfId="0" applyNumberFormat="1" applyFont="1" applyBorder="1" applyAlignment="1">
      <alignment horizontal="center" vertical="center"/>
    </xf>
    <xf numFmtId="0" fontId="47" fillId="0" borderId="40" xfId="0" applyFont="1" applyBorder="1" applyAlignment="1">
      <alignment horizontal="left" vertical="center"/>
    </xf>
    <xf numFmtId="0" fontId="47" fillId="0" borderId="38" xfId="0" applyFont="1" applyBorder="1" applyAlignment="1">
      <alignment horizontal="left" vertical="center"/>
    </xf>
    <xf numFmtId="178" fontId="47" fillId="0" borderId="40" xfId="22" applyFont="1" applyFill="1" applyBorder="1" applyAlignment="1">
      <alignment horizontal="center" vertical="center" wrapText="1"/>
    </xf>
    <xf numFmtId="178" fontId="47" fillId="0" borderId="41" xfId="22" applyFont="1" applyFill="1" applyBorder="1" applyAlignment="1">
      <alignment horizontal="center" vertical="center" wrapText="1"/>
    </xf>
    <xf numFmtId="0" fontId="47" fillId="0" borderId="40" xfId="0" applyFont="1" applyBorder="1" applyAlignment="1">
      <alignment vertical="center"/>
    </xf>
    <xf numFmtId="0" fontId="48" fillId="0" borderId="8" xfId="0" applyFont="1" applyBorder="1" applyAlignment="1">
      <alignment vertical="center"/>
    </xf>
    <xf numFmtId="178" fontId="47" fillId="0" borderId="40" xfId="0" applyNumberFormat="1" applyFont="1" applyBorder="1" applyAlignment="1">
      <alignment vertical="center"/>
    </xf>
    <xf numFmtId="178" fontId="47" fillId="0" borderId="41" xfId="0" applyNumberFormat="1" applyFont="1" applyBorder="1" applyAlignment="1">
      <alignment vertical="center"/>
    </xf>
    <xf numFmtId="178" fontId="48" fillId="0" borderId="3" xfId="0" applyNumberFormat="1" applyFont="1" applyBorder="1" applyAlignment="1">
      <alignment vertical="center"/>
    </xf>
    <xf numFmtId="178" fontId="48" fillId="0" borderId="38" xfId="0" applyNumberFormat="1" applyFont="1" applyBorder="1" applyAlignment="1">
      <alignment vertical="center"/>
    </xf>
    <xf numFmtId="0" fontId="47" fillId="0" borderId="38" xfId="0" applyFont="1" applyBorder="1" applyAlignment="1">
      <alignment vertical="center"/>
    </xf>
    <xf numFmtId="0" fontId="48" fillId="0" borderId="36" xfId="0" applyFont="1" applyBorder="1" applyAlignment="1">
      <alignment vertical="center"/>
    </xf>
    <xf numFmtId="178" fontId="48" fillId="0" borderId="36" xfId="0" applyNumberFormat="1" applyFont="1" applyBorder="1" applyAlignment="1">
      <alignment vertical="center"/>
    </xf>
    <xf numFmtId="178" fontId="48" fillId="0" borderId="10" xfId="0" applyNumberFormat="1" applyFont="1" applyBorder="1" applyAlignment="1">
      <alignment vertical="center"/>
    </xf>
    <xf numFmtId="178" fontId="48" fillId="0" borderId="42" xfId="0" applyNumberFormat="1" applyFont="1" applyBorder="1" applyAlignment="1">
      <alignment vertical="center"/>
    </xf>
    <xf numFmtId="0" fontId="48" fillId="0" borderId="40" xfId="0" applyFont="1" applyBorder="1" applyAlignment="1">
      <alignment vertical="center"/>
    </xf>
    <xf numFmtId="0" fontId="48" fillId="0" borderId="38" xfId="0" applyFont="1" applyBorder="1" applyAlignment="1">
      <alignment vertical="center"/>
    </xf>
    <xf numFmtId="178" fontId="48" fillId="0" borderId="40" xfId="0" applyNumberFormat="1" applyFont="1" applyBorder="1" applyAlignment="1">
      <alignment vertical="center"/>
    </xf>
    <xf numFmtId="178" fontId="48" fillId="0" borderId="41" xfId="0" applyNumberFormat="1" applyFont="1" applyBorder="1" applyAlignment="1">
      <alignment vertical="center"/>
    </xf>
    <xf numFmtId="0" fontId="48" fillId="0" borderId="36" xfId="0" applyFont="1" applyBorder="1" applyAlignment="1">
      <alignment horizontal="left" vertical="center"/>
    </xf>
    <xf numFmtId="0" fontId="48" fillId="0" borderId="8" xfId="0" applyFont="1" applyBorder="1" applyAlignment="1">
      <alignment horizontal="left" vertical="center"/>
    </xf>
    <xf numFmtId="9" fontId="48" fillId="0" borderId="40" xfId="2" applyFont="1" applyFill="1" applyBorder="1" applyAlignment="1">
      <alignment vertical="center"/>
    </xf>
    <xf numFmtId="9" fontId="48" fillId="0" borderId="38" xfId="2" applyFont="1" applyBorder="1" applyAlignment="1">
      <alignment vertical="center"/>
    </xf>
    <xf numFmtId="49" fontId="47" fillId="0" borderId="43" xfId="0" applyNumberFormat="1" applyFont="1" applyBorder="1" applyAlignment="1">
      <alignment horizontal="left" vertical="center"/>
    </xf>
    <xf numFmtId="0" fontId="0" fillId="0" borderId="3" xfId="0" applyBorder="1"/>
    <xf numFmtId="49" fontId="47" fillId="0" borderId="44" xfId="0" applyNumberFormat="1" applyFont="1" applyBorder="1" applyAlignment="1">
      <alignment horizontal="left" vertical="center"/>
    </xf>
    <xf numFmtId="0" fontId="47" fillId="0" borderId="36" xfId="0" applyFont="1" applyBorder="1" applyAlignment="1">
      <alignment vertical="center"/>
    </xf>
    <xf numFmtId="0" fontId="48" fillId="0" borderId="40" xfId="0" applyFont="1" applyBorder="1" applyAlignment="1">
      <alignment horizontal="left" vertical="center"/>
    </xf>
    <xf numFmtId="0" fontId="48" fillId="0" borderId="38" xfId="0" applyFont="1" applyBorder="1" applyAlignment="1">
      <alignment horizontal="left" vertical="center"/>
    </xf>
    <xf numFmtId="0" fontId="48" fillId="0" borderId="42" xfId="0" applyFont="1" applyBorder="1" applyAlignment="1">
      <alignment vertical="center"/>
    </xf>
    <xf numFmtId="178" fontId="48" fillId="0" borderId="8" xfId="0" applyNumberFormat="1" applyFont="1" applyBorder="1" applyAlignment="1">
      <alignment vertical="center"/>
    </xf>
    <xf numFmtId="49" fontId="48" fillId="0" borderId="44" xfId="0" applyNumberFormat="1" applyFont="1" applyBorder="1" applyAlignment="1">
      <alignment horizontal="left" vertical="center"/>
    </xf>
    <xf numFmtId="178" fontId="47" fillId="0" borderId="8" xfId="0" applyNumberFormat="1" applyFont="1" applyBorder="1" applyAlignment="1">
      <alignment horizontal="center" vertical="center"/>
    </xf>
    <xf numFmtId="0" fontId="48" fillId="0" borderId="23" xfId="0" applyFont="1" applyBorder="1" applyAlignment="1">
      <alignment vertical="center"/>
    </xf>
    <xf numFmtId="0" fontId="48" fillId="0" borderId="45" xfId="0" applyFont="1" applyBorder="1" applyAlignment="1">
      <alignment vertical="center"/>
    </xf>
    <xf numFmtId="0" fontId="48" fillId="0" borderId="46" xfId="0" applyFont="1" applyBorder="1" applyAlignment="1">
      <alignment vertical="center"/>
    </xf>
    <xf numFmtId="0" fontId="48" fillId="0" borderId="47" xfId="0" applyFont="1" applyBorder="1" applyAlignment="1">
      <alignment vertical="center"/>
    </xf>
    <xf numFmtId="178" fontId="48" fillId="0" borderId="15" xfId="0" applyNumberFormat="1" applyFont="1" applyBorder="1" applyAlignment="1">
      <alignment vertical="center"/>
    </xf>
    <xf numFmtId="178" fontId="48" fillId="0" borderId="48" xfId="0" applyNumberFormat="1" applyFont="1" applyBorder="1" applyAlignment="1">
      <alignment vertical="center"/>
    </xf>
    <xf numFmtId="178" fontId="48" fillId="0" borderId="48" xfId="0" applyNumberFormat="1" applyFont="1" applyBorder="1" applyAlignment="1">
      <alignment horizontal="center" vertical="center"/>
    </xf>
    <xf numFmtId="178" fontId="48" fillId="0" borderId="14" xfId="0" applyNumberFormat="1" applyFont="1" applyBorder="1" applyAlignment="1">
      <alignment vertical="center"/>
    </xf>
    <xf numFmtId="0" fontId="48" fillId="0" borderId="49" xfId="0" applyFont="1" applyBorder="1" applyAlignment="1">
      <alignment vertical="center"/>
    </xf>
    <xf numFmtId="0" fontId="48" fillId="0" borderId="50" xfId="0" applyFont="1" applyBorder="1" applyAlignment="1">
      <alignment vertical="center"/>
    </xf>
    <xf numFmtId="178" fontId="48" fillId="0" borderId="8" xfId="0" applyNumberFormat="1" applyFont="1" applyBorder="1" applyAlignment="1">
      <alignment horizontal="center" vertical="center"/>
    </xf>
    <xf numFmtId="49" fontId="48" fillId="0" borderId="43" xfId="0" applyNumberFormat="1" applyFont="1" applyBorder="1" applyAlignment="1">
      <alignment horizontal="left" vertical="center"/>
    </xf>
    <xf numFmtId="178" fontId="48" fillId="0" borderId="51" xfId="0" applyNumberFormat="1" applyFont="1" applyBorder="1" applyAlignment="1">
      <alignment vertical="center"/>
    </xf>
    <xf numFmtId="9" fontId="48" fillId="0" borderId="23" xfId="2" applyFont="1" applyFill="1" applyBorder="1" applyAlignment="1">
      <alignment vertical="center"/>
    </xf>
    <xf numFmtId="9" fontId="48" fillId="0" borderId="45" xfId="2" applyFont="1" applyFill="1" applyBorder="1" applyAlignment="1">
      <alignment vertical="center"/>
    </xf>
    <xf numFmtId="178" fontId="48" fillId="0" borderId="52" xfId="0" applyNumberFormat="1" applyFont="1" applyBorder="1" applyAlignment="1">
      <alignment horizontal="center" vertical="center"/>
    </xf>
    <xf numFmtId="0" fontId="49" fillId="0" borderId="23" xfId="0" applyFont="1" applyBorder="1" applyAlignment="1">
      <alignment vertical="center"/>
    </xf>
    <xf numFmtId="0" fontId="49" fillId="0" borderId="45" xfId="0" applyFont="1" applyBorder="1" applyAlignment="1">
      <alignment vertical="center"/>
    </xf>
    <xf numFmtId="178" fontId="49" fillId="0" borderId="41" xfId="0" applyNumberFormat="1" applyFont="1" applyBorder="1" applyAlignment="1">
      <alignment vertical="center"/>
    </xf>
    <xf numFmtId="178" fontId="49" fillId="0" borderId="3" xfId="0" applyNumberFormat="1" applyFont="1" applyBorder="1" applyAlignment="1">
      <alignment vertical="center"/>
    </xf>
    <xf numFmtId="178" fontId="49" fillId="0" borderId="48" xfId="0" applyNumberFormat="1" applyFont="1" applyBorder="1" applyAlignment="1">
      <alignment vertical="center"/>
    </xf>
    <xf numFmtId="178" fontId="49" fillId="0" borderId="14" xfId="0" applyNumberFormat="1" applyFont="1" applyBorder="1" applyAlignment="1">
      <alignment vertical="center"/>
    </xf>
    <xf numFmtId="178" fontId="49" fillId="0" borderId="38" xfId="0" applyNumberFormat="1" applyFont="1" applyBorder="1" applyAlignment="1">
      <alignment horizontal="center" vertical="center"/>
    </xf>
    <xf numFmtId="49" fontId="49" fillId="0" borderId="44" xfId="0" applyNumberFormat="1" applyFont="1" applyBorder="1" applyAlignment="1">
      <alignment horizontal="left" vertical="center"/>
    </xf>
    <xf numFmtId="0" fontId="49" fillId="0" borderId="50" xfId="0" applyFont="1" applyBorder="1" applyAlignment="1">
      <alignment vertical="center"/>
    </xf>
    <xf numFmtId="0" fontId="49" fillId="0" borderId="49" xfId="0" applyFont="1" applyBorder="1" applyAlignment="1">
      <alignment vertical="center"/>
    </xf>
    <xf numFmtId="178" fontId="49" fillId="0" borderId="10" xfId="0" applyNumberFormat="1" applyFont="1" applyBorder="1" applyAlignment="1">
      <alignment vertical="center"/>
    </xf>
    <xf numFmtId="178" fontId="49" fillId="0" borderId="42" xfId="0" applyNumberFormat="1" applyFont="1" applyBorder="1" applyAlignment="1">
      <alignment vertical="center"/>
    </xf>
    <xf numFmtId="0" fontId="49" fillId="0" borderId="8" xfId="0" applyFont="1" applyBorder="1" applyAlignment="1">
      <alignment vertical="center"/>
    </xf>
    <xf numFmtId="178" fontId="49" fillId="0" borderId="36" xfId="0" applyNumberFormat="1" applyFont="1" applyBorder="1" applyAlignment="1">
      <alignment vertical="center"/>
    </xf>
    <xf numFmtId="178" fontId="49" fillId="0" borderId="8" xfId="0" applyNumberFormat="1" applyFont="1" applyBorder="1" applyAlignment="1">
      <alignment horizontal="center" vertical="center"/>
    </xf>
    <xf numFmtId="178" fontId="49" fillId="0" borderId="40" xfId="0" applyNumberFormat="1" applyFont="1" applyBorder="1" applyAlignment="1">
      <alignment vertical="center"/>
    </xf>
    <xf numFmtId="0" fontId="49" fillId="0" borderId="36" xfId="0" applyFont="1" applyBorder="1" applyAlignment="1">
      <alignment vertical="center"/>
    </xf>
    <xf numFmtId="0" fontId="49" fillId="0" borderId="53" xfId="0" applyFont="1" applyBorder="1" applyAlignment="1">
      <alignment vertical="center"/>
    </xf>
    <xf numFmtId="0" fontId="49" fillId="0" borderId="54" xfId="0" applyFont="1" applyBorder="1" applyAlignment="1">
      <alignment vertical="center"/>
    </xf>
    <xf numFmtId="178" fontId="49" fillId="0" borderId="53" xfId="0" applyNumberFormat="1" applyFont="1" applyBorder="1" applyAlignment="1">
      <alignment vertical="center"/>
    </xf>
    <xf numFmtId="178" fontId="49" fillId="0" borderId="8" xfId="0" applyNumberFormat="1" applyFont="1" applyBorder="1" applyAlignment="1">
      <alignment vertical="center"/>
    </xf>
    <xf numFmtId="178" fontId="43" fillId="0" borderId="27" xfId="0" applyNumberFormat="1" applyFont="1" applyBorder="1" applyAlignment="1">
      <alignment vertical="center"/>
    </xf>
    <xf numFmtId="9" fontId="43" fillId="0" borderId="31" xfId="0" applyNumberFormat="1" applyFont="1" applyBorder="1" applyAlignment="1">
      <alignment horizontal="center" vertical="center"/>
    </xf>
    <xf numFmtId="178" fontId="43" fillId="0" borderId="55" xfId="0" applyNumberFormat="1" applyFont="1" applyBorder="1" applyAlignment="1">
      <alignment vertical="center"/>
    </xf>
    <xf numFmtId="0" fontId="43" fillId="0" borderId="55" xfId="0" applyFont="1" applyBorder="1" applyAlignment="1">
      <alignment vertical="center"/>
    </xf>
    <xf numFmtId="0" fontId="49" fillId="0" borderId="25" xfId="0" applyFont="1" applyBorder="1" applyAlignment="1">
      <alignment vertical="center"/>
    </xf>
    <xf numFmtId="178" fontId="49" fillId="0" borderId="56" xfId="0" applyNumberFormat="1" applyFont="1" applyBorder="1" applyAlignment="1">
      <alignment vertical="center"/>
    </xf>
    <xf numFmtId="178" fontId="49" fillId="0" borderId="56" xfId="0" applyNumberFormat="1" applyFont="1" applyBorder="1" applyAlignment="1">
      <alignment horizontal="center" vertical="center"/>
    </xf>
    <xf numFmtId="49" fontId="49" fillId="0" borderId="26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78" fontId="0" fillId="0" borderId="0" xfId="0" applyNumberForma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right"/>
    </xf>
    <xf numFmtId="165" fontId="0" fillId="0" borderId="0" xfId="1" applyFont="1"/>
    <xf numFmtId="4" fontId="0" fillId="0" borderId="0" xfId="0" applyNumberFormat="1"/>
    <xf numFmtId="0" fontId="0" fillId="0" borderId="0" xfId="0" applyAlignment="1">
      <alignment vertical="center"/>
    </xf>
    <xf numFmtId="0" fontId="0" fillId="0" borderId="40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8" fillId="21" borderId="40" xfId="0" applyFont="1" applyFill="1" applyBorder="1" applyAlignment="1">
      <alignment horizontal="center" vertical="center" wrapText="1"/>
    </xf>
    <xf numFmtId="49" fontId="8" fillId="0" borderId="3" xfId="0" applyNumberFormat="1" applyFont="1" applyBorder="1" applyAlignment="1">
      <alignment horizontal="center" vertical="center" wrapText="1"/>
    </xf>
    <xf numFmtId="0" fontId="8" fillId="11" borderId="3" xfId="0" applyFont="1" applyFill="1" applyBorder="1" applyAlignment="1">
      <alignment horizontal="center" vertical="center"/>
    </xf>
    <xf numFmtId="178" fontId="0" fillId="11" borderId="3" xfId="27" applyFont="1" applyFill="1" applyBorder="1" applyAlignment="1">
      <alignment horizontal="center" vertical="center"/>
    </xf>
    <xf numFmtId="178" fontId="8" fillId="0" borderId="3" xfId="27" applyFont="1" applyFill="1" applyBorder="1" applyAlignment="1">
      <alignment horizontal="center" vertical="center"/>
    </xf>
    <xf numFmtId="178" fontId="8" fillId="0" borderId="3" xfId="0" applyNumberFormat="1" applyFon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 wrapText="1"/>
    </xf>
    <xf numFmtId="165" fontId="0" fillId="0" borderId="3" xfId="1" applyFont="1" applyBorder="1" applyAlignment="1">
      <alignment horizontal="center" vertical="center"/>
    </xf>
    <xf numFmtId="165" fontId="0" fillId="0" borderId="45" xfId="0" applyNumberForma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165" fontId="0" fillId="0" borderId="38" xfId="1" applyFont="1" applyBorder="1" applyAlignment="1">
      <alignment horizontal="center" vertical="center"/>
    </xf>
    <xf numFmtId="178" fontId="8" fillId="0" borderId="48" xfId="27" applyFont="1" applyFill="1" applyBorder="1" applyAlignment="1">
      <alignment horizontal="center" vertical="center"/>
    </xf>
    <xf numFmtId="178" fontId="8" fillId="0" borderId="48" xfId="0" applyNumberFormat="1" applyFon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3" fillId="0" borderId="48" xfId="0" applyNumberFormat="1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/>
    </xf>
    <xf numFmtId="165" fontId="0" fillId="25" borderId="48" xfId="1" applyFont="1" applyFill="1" applyBorder="1" applyAlignment="1">
      <alignment vertical="center"/>
    </xf>
    <xf numFmtId="165" fontId="0" fillId="25" borderId="48" xfId="1" applyFont="1" applyFill="1" applyBorder="1" applyAlignment="1">
      <alignment horizontal="center" vertical="center"/>
    </xf>
    <xf numFmtId="165" fontId="0" fillId="0" borderId="48" xfId="1" applyFont="1" applyBorder="1" applyAlignment="1">
      <alignment horizontal="center" vertical="center"/>
    </xf>
    <xf numFmtId="165" fontId="0" fillId="0" borderId="14" xfId="1" applyFont="1" applyBorder="1" applyAlignment="1">
      <alignment horizontal="center" vertical="center"/>
    </xf>
    <xf numFmtId="0" fontId="8" fillId="26" borderId="40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178" fontId="8" fillId="0" borderId="51" xfId="0" applyNumberFormat="1" applyFon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165" fontId="0" fillId="0" borderId="51" xfId="1" applyFont="1" applyBorder="1" applyAlignment="1">
      <alignment horizontal="center" vertical="center"/>
    </xf>
    <xf numFmtId="165" fontId="0" fillId="0" borderId="11" xfId="1" applyFont="1" applyBorder="1" applyAlignment="1">
      <alignment horizontal="center" vertical="center"/>
    </xf>
    <xf numFmtId="0" fontId="0" fillId="0" borderId="36" xfId="0" applyBorder="1" applyAlignment="1">
      <alignment horizontal="center" vertical="center" wrapText="1"/>
    </xf>
    <xf numFmtId="0" fontId="0" fillId="0" borderId="42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178" fontId="8" fillId="0" borderId="51" xfId="27" applyFont="1" applyFill="1" applyBorder="1" applyAlignment="1">
      <alignment horizontal="center" vertical="center"/>
    </xf>
    <xf numFmtId="178" fontId="0" fillId="0" borderId="42" xfId="0" applyNumberFormat="1" applyBorder="1" applyAlignment="1">
      <alignment vertical="center"/>
    </xf>
    <xf numFmtId="14" fontId="0" fillId="0" borderId="42" xfId="0" applyNumberFormat="1" applyBorder="1" applyAlignment="1">
      <alignment horizontal="center" vertical="center"/>
    </xf>
    <xf numFmtId="14" fontId="0" fillId="0" borderId="42" xfId="0" applyNumberFormat="1" applyBorder="1" applyAlignment="1">
      <alignment horizontal="center" vertical="center" wrapText="1"/>
    </xf>
    <xf numFmtId="165" fontId="0" fillId="0" borderId="42" xfId="1" applyFont="1" applyBorder="1" applyAlignment="1">
      <alignment horizontal="center" vertical="center"/>
    </xf>
    <xf numFmtId="0" fontId="8" fillId="11" borderId="3" xfId="0" applyFont="1" applyFill="1" applyBorder="1" applyAlignment="1">
      <alignment horizontal="center" vertical="center" wrapText="1"/>
    </xf>
    <xf numFmtId="178" fontId="8" fillId="0" borderId="3" xfId="27" applyFont="1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178" fontId="0" fillId="11" borderId="3" xfId="27" applyFont="1" applyFill="1" applyBorder="1" applyAlignment="1">
      <alignment horizontal="center" vertical="center" wrapText="1"/>
    </xf>
    <xf numFmtId="178" fontId="0" fillId="0" borderId="3" xfId="0" applyNumberFormat="1" applyBorder="1" applyAlignment="1">
      <alignment vertical="center"/>
    </xf>
    <xf numFmtId="0" fontId="0" fillId="21" borderId="3" xfId="0" applyFill="1" applyBorder="1" applyAlignment="1">
      <alignment horizontal="center"/>
    </xf>
    <xf numFmtId="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wrapText="1"/>
    </xf>
    <xf numFmtId="182" fontId="0" fillId="0" borderId="3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4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4" fillId="22" borderId="0" xfId="0" applyFont="1" applyFill="1" applyAlignment="1">
      <alignment horizontal="center" vertical="center"/>
    </xf>
    <xf numFmtId="165" fontId="0" fillId="22" borderId="51" xfId="1" applyFont="1" applyFill="1" applyBorder="1" applyAlignment="1">
      <alignment horizontal="center" vertical="center"/>
    </xf>
    <xf numFmtId="165" fontId="4" fillId="22" borderId="0" xfId="0" applyNumberFormat="1" applyFont="1" applyFill="1" applyAlignment="1">
      <alignment horizontal="center" vertical="center"/>
    </xf>
    <xf numFmtId="0" fontId="42" fillId="21" borderId="0" xfId="0" applyFont="1" applyFill="1"/>
    <xf numFmtId="0" fontId="50" fillId="0" borderId="0" xfId="0" applyFont="1"/>
    <xf numFmtId="0" fontId="8" fillId="21" borderId="3" xfId="0" applyFont="1" applyFill="1" applyBorder="1" applyAlignment="1">
      <alignment horizontal="center" vertical="center" wrapText="1"/>
    </xf>
    <xf numFmtId="183" fontId="0" fillId="0" borderId="3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178" fontId="0" fillId="0" borderId="3" xfId="27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0" fontId="51" fillId="0" borderId="0" xfId="28" applyFont="1" applyAlignment="1">
      <alignment horizontal="center" vertical="center"/>
    </xf>
    <xf numFmtId="0" fontId="52" fillId="0" borderId="38" xfId="28" applyFont="1" applyBorder="1" applyAlignment="1">
      <alignment horizontal="left"/>
    </xf>
    <xf numFmtId="0" fontId="52" fillId="0" borderId="1" xfId="28" applyFont="1" applyBorder="1"/>
    <xf numFmtId="0" fontId="52" fillId="0" borderId="1" xfId="28" applyFont="1" applyBorder="1" applyAlignment="1">
      <alignment horizontal="center" wrapText="1"/>
    </xf>
    <xf numFmtId="172" fontId="51" fillId="0" borderId="1" xfId="29" applyNumberFormat="1" applyFont="1" applyFill="1" applyBorder="1"/>
    <xf numFmtId="0" fontId="51" fillId="0" borderId="1" xfId="28" applyFont="1" applyBorder="1" applyAlignment="1">
      <alignment horizontal="center"/>
    </xf>
    <xf numFmtId="0" fontId="51" fillId="0" borderId="41" xfId="28" applyFont="1" applyBorder="1" applyAlignment="1">
      <alignment horizontal="center"/>
    </xf>
    <xf numFmtId="0" fontId="51" fillId="0" borderId="0" xfId="28" applyFont="1"/>
    <xf numFmtId="0" fontId="53" fillId="0" borderId="0" xfId="28" applyFont="1"/>
    <xf numFmtId="164" fontId="51" fillId="0" borderId="0" xfId="28" applyNumberFormat="1" applyFont="1"/>
    <xf numFmtId="164" fontId="53" fillId="0" borderId="0" xfId="28" applyNumberFormat="1" applyFont="1"/>
    <xf numFmtId="0" fontId="51" fillId="0" borderId="14" xfId="28" applyFont="1" applyBorder="1" applyAlignment="1">
      <alignment horizontal="left"/>
    </xf>
    <xf numFmtId="0" fontId="51" fillId="0" borderId="6" xfId="28" applyFont="1" applyBorder="1"/>
    <xf numFmtId="0" fontId="51" fillId="0" borderId="6" xfId="28" applyFont="1" applyBorder="1" applyAlignment="1">
      <alignment horizontal="center" wrapText="1"/>
    </xf>
    <xf numFmtId="172" fontId="51" fillId="0" borderId="6" xfId="29" applyNumberFormat="1" applyFont="1" applyFill="1" applyBorder="1"/>
    <xf numFmtId="0" fontId="51" fillId="0" borderId="6" xfId="28" applyFont="1" applyBorder="1" applyAlignment="1">
      <alignment horizontal="center"/>
    </xf>
    <xf numFmtId="0" fontId="51" fillId="0" borderId="15" xfId="28" applyFont="1" applyBorder="1" applyAlignment="1">
      <alignment horizontal="center"/>
    </xf>
    <xf numFmtId="0" fontId="51" fillId="0" borderId="3" xfId="28" applyFont="1" applyBorder="1" applyAlignment="1">
      <alignment horizontal="center" vertical="center"/>
    </xf>
    <xf numFmtId="0" fontId="54" fillId="0" borderId="48" xfId="30" applyFont="1" applyBorder="1" applyAlignment="1">
      <alignment horizontal="center" vertical="center"/>
    </xf>
    <xf numFmtId="0" fontId="54" fillId="0" borderId="48" xfId="28" applyFont="1" applyBorder="1" applyAlignment="1">
      <alignment horizontal="center" vertical="center" wrapText="1"/>
    </xf>
    <xf numFmtId="178" fontId="55" fillId="0" borderId="48" xfId="28" applyNumberFormat="1" applyFont="1" applyBorder="1" applyAlignment="1">
      <alignment horizontal="center" vertical="center" wrapText="1"/>
    </xf>
    <xf numFmtId="0" fontId="54" fillId="0" borderId="3" xfId="28" applyFont="1" applyBorder="1" applyAlignment="1">
      <alignment horizontal="center" vertical="center" wrapText="1"/>
    </xf>
    <xf numFmtId="0" fontId="56" fillId="0" borderId="38" xfId="28" applyFont="1" applyBorder="1" applyAlignment="1">
      <alignment horizontal="center" vertical="center" wrapText="1"/>
    </xf>
    <xf numFmtId="49" fontId="54" fillId="0" borderId="27" xfId="28" applyNumberFormat="1" applyFont="1" applyBorder="1" applyAlignment="1">
      <alignment horizontal="center" vertical="center" wrapText="1"/>
    </xf>
    <xf numFmtId="49" fontId="54" fillId="0" borderId="30" xfId="28" applyNumberFormat="1" applyFont="1" applyBorder="1" applyAlignment="1">
      <alignment horizontal="center" vertical="center" wrapText="1"/>
    </xf>
    <xf numFmtId="49" fontId="56" fillId="0" borderId="27" xfId="28" applyNumberFormat="1" applyFont="1" applyBorder="1" applyAlignment="1">
      <alignment horizontal="center" vertical="center" wrapText="1"/>
    </xf>
    <xf numFmtId="49" fontId="56" fillId="0" borderId="30" xfId="28" applyNumberFormat="1" applyFont="1" applyBorder="1" applyAlignment="1">
      <alignment horizontal="center" vertical="center" wrapText="1"/>
    </xf>
    <xf numFmtId="0" fontId="51" fillId="0" borderId="0" xfId="28" applyFont="1" applyAlignment="1">
      <alignment vertical="center"/>
    </xf>
    <xf numFmtId="0" fontId="51" fillId="0" borderId="3" xfId="30" applyFont="1" applyBorder="1" applyAlignment="1">
      <alignment horizontal="center" vertical="center" wrapText="1"/>
    </xf>
    <xf numFmtId="178" fontId="47" fillId="0" borderId="3" xfId="27" applyFont="1" applyFill="1" applyBorder="1" applyAlignment="1">
      <alignment horizontal="center" vertical="center"/>
    </xf>
    <xf numFmtId="178" fontId="54" fillId="0" borderId="48" xfId="30" applyNumberFormat="1" applyFont="1" applyBorder="1" applyAlignment="1">
      <alignment horizontal="center" vertical="center"/>
    </xf>
    <xf numFmtId="178" fontId="51" fillId="0" borderId="48" xfId="27" applyFont="1" applyFill="1" applyBorder="1" applyAlignment="1">
      <alignment horizontal="center" vertical="center"/>
    </xf>
    <xf numFmtId="14" fontId="51" fillId="0" borderId="48" xfId="30" applyNumberFormat="1" applyFont="1" applyBorder="1" applyAlignment="1">
      <alignment horizontal="center" vertical="center"/>
    </xf>
    <xf numFmtId="14" fontId="53" fillId="0" borderId="14" xfId="30" applyNumberFormat="1" applyFont="1" applyBorder="1" applyAlignment="1">
      <alignment horizontal="center" vertical="center"/>
    </xf>
    <xf numFmtId="164" fontId="56" fillId="0" borderId="58" xfId="30" applyNumberFormat="1" applyFont="1" applyBorder="1" applyAlignment="1">
      <alignment horizontal="center" vertical="center"/>
    </xf>
    <xf numFmtId="164" fontId="53" fillId="0" borderId="47" xfId="30" quotePrefix="1" applyNumberFormat="1" applyFont="1" applyBorder="1" applyAlignment="1">
      <alignment horizontal="center" vertical="center"/>
    </xf>
    <xf numFmtId="178" fontId="47" fillId="0" borderId="47" xfId="27" applyFont="1" applyFill="1" applyBorder="1" applyAlignment="1">
      <alignment vertical="center"/>
    </xf>
    <xf numFmtId="164" fontId="53" fillId="0" borderId="58" xfId="30" quotePrefix="1" applyNumberFormat="1" applyFont="1" applyBorder="1" applyAlignment="1">
      <alignment horizontal="center" vertical="center"/>
    </xf>
    <xf numFmtId="0" fontId="53" fillId="0" borderId="3" xfId="30" applyFont="1" applyBorder="1" applyAlignment="1">
      <alignment horizontal="center" vertical="center" wrapText="1"/>
    </xf>
    <xf numFmtId="178" fontId="53" fillId="0" borderId="48" xfId="27" applyFont="1" applyFill="1" applyBorder="1" applyAlignment="1">
      <alignment horizontal="center" vertical="center"/>
    </xf>
    <xf numFmtId="14" fontId="53" fillId="0" borderId="48" xfId="30" applyNumberFormat="1" applyFont="1" applyBorder="1" applyAlignment="1">
      <alignment horizontal="center" vertical="center"/>
    </xf>
    <xf numFmtId="178" fontId="49" fillId="0" borderId="47" xfId="27" applyFont="1" applyFill="1" applyBorder="1" applyAlignment="1">
      <alignment horizontal="center" vertical="center"/>
    </xf>
    <xf numFmtId="178" fontId="47" fillId="0" borderId="47" xfId="27" applyFont="1" applyFill="1" applyBorder="1" applyAlignment="1">
      <alignment horizontal="center" vertical="center"/>
    </xf>
    <xf numFmtId="164" fontId="56" fillId="0" borderId="47" xfId="30" applyNumberFormat="1" applyFont="1" applyBorder="1" applyAlignment="1">
      <alignment horizontal="center" vertical="center"/>
    </xf>
    <xf numFmtId="164" fontId="53" fillId="0" borderId="58" xfId="30" applyNumberFormat="1" applyFont="1" applyBorder="1" applyAlignment="1">
      <alignment horizontal="center" vertical="center"/>
    </xf>
    <xf numFmtId="164" fontId="53" fillId="0" borderId="47" xfId="30" applyNumberFormat="1" applyFont="1" applyBorder="1" applyAlignment="1">
      <alignment horizontal="center" vertical="center"/>
    </xf>
    <xf numFmtId="0" fontId="51" fillId="0" borderId="3" xfId="31" applyFont="1" applyBorder="1" applyAlignment="1">
      <alignment horizontal="center" vertical="center" wrapText="1"/>
    </xf>
    <xf numFmtId="14" fontId="47" fillId="0" borderId="48" xfId="31" applyNumberFormat="1" applyFont="1" applyBorder="1" applyAlignment="1">
      <alignment horizontal="center" vertical="center"/>
    </xf>
    <xf numFmtId="14" fontId="56" fillId="0" borderId="14" xfId="30" applyNumberFormat="1" applyFont="1" applyBorder="1" applyAlignment="1">
      <alignment horizontal="center" vertical="center"/>
    </xf>
    <xf numFmtId="178" fontId="47" fillId="0" borderId="45" xfId="27" applyFont="1" applyFill="1" applyBorder="1" applyAlignment="1">
      <alignment vertical="center"/>
    </xf>
    <xf numFmtId="164" fontId="56" fillId="0" borderId="58" xfId="30" quotePrefix="1" applyNumberFormat="1" applyFont="1" applyBorder="1" applyAlignment="1">
      <alignment horizontal="center" vertical="center"/>
    </xf>
    <xf numFmtId="164" fontId="56" fillId="0" borderId="47" xfId="30" quotePrefix="1" applyNumberFormat="1" applyFont="1" applyBorder="1" applyAlignment="1">
      <alignment horizontal="center" vertical="center"/>
    </xf>
    <xf numFmtId="0" fontId="51" fillId="0" borderId="3" xfId="30" applyFont="1" applyBorder="1" applyAlignment="1">
      <alignment horizontal="center" vertical="center"/>
    </xf>
    <xf numFmtId="178" fontId="54" fillId="0" borderId="3" xfId="30" applyNumberFormat="1" applyFont="1" applyBorder="1" applyAlignment="1">
      <alignment horizontal="center" vertical="center"/>
    </xf>
    <xf numFmtId="178" fontId="51" fillId="0" borderId="3" xfId="27" applyFont="1" applyFill="1" applyBorder="1" applyAlignment="1">
      <alignment horizontal="center" vertical="center"/>
    </xf>
    <xf numFmtId="14" fontId="51" fillId="0" borderId="3" xfId="30" applyNumberFormat="1" applyFont="1" applyBorder="1" applyAlignment="1">
      <alignment horizontal="center" vertical="center"/>
    </xf>
    <xf numFmtId="14" fontId="56" fillId="0" borderId="38" xfId="30" applyNumberFormat="1" applyFont="1" applyBorder="1" applyAlignment="1">
      <alignment horizontal="center" vertical="center"/>
    </xf>
    <xf numFmtId="164" fontId="56" fillId="0" borderId="40" xfId="30" applyNumberFormat="1" applyFont="1" applyBorder="1" applyAlignment="1">
      <alignment horizontal="center" vertical="center"/>
    </xf>
    <xf numFmtId="164" fontId="56" fillId="0" borderId="15" xfId="30" quotePrefix="1" applyNumberFormat="1" applyFont="1" applyBorder="1" applyAlignment="1">
      <alignment horizontal="center" vertical="center"/>
    </xf>
    <xf numFmtId="164" fontId="56" fillId="0" borderId="59" xfId="30" quotePrefix="1" applyNumberFormat="1" applyFont="1" applyBorder="1" applyAlignment="1">
      <alignment horizontal="center" vertical="center"/>
    </xf>
    <xf numFmtId="0" fontId="8" fillId="0" borderId="0" xfId="28"/>
    <xf numFmtId="0" fontId="53" fillId="0" borderId="48" xfId="28" applyFont="1" applyBorder="1" applyAlignment="1">
      <alignment horizontal="center" vertical="center"/>
    </xf>
    <xf numFmtId="0" fontId="51" fillId="0" borderId="48" xfId="30" applyFont="1" applyBorder="1" applyAlignment="1">
      <alignment horizontal="center" vertical="center" wrapText="1"/>
    </xf>
    <xf numFmtId="0" fontId="51" fillId="0" borderId="48" xfId="30" applyFont="1" applyBorder="1" applyAlignment="1">
      <alignment horizontal="center" vertical="center"/>
    </xf>
    <xf numFmtId="178" fontId="47" fillId="0" borderId="48" xfId="27" applyFont="1" applyFill="1" applyBorder="1" applyAlignment="1">
      <alignment horizontal="center" vertical="center"/>
    </xf>
    <xf numFmtId="164" fontId="53" fillId="0" borderId="45" xfId="30" quotePrefix="1" applyNumberFormat="1" applyFont="1" applyBorder="1" applyAlignment="1">
      <alignment horizontal="center" vertical="center"/>
    </xf>
    <xf numFmtId="0" fontId="57" fillId="0" borderId="3" xfId="30" applyFont="1" applyBorder="1" applyAlignment="1">
      <alignment horizontal="center" vertical="center" wrapText="1"/>
    </xf>
    <xf numFmtId="0" fontId="51" fillId="0" borderId="42" xfId="30" applyFont="1" applyBorder="1" applyAlignment="1">
      <alignment horizontal="center" vertical="center" wrapText="1"/>
    </xf>
    <xf numFmtId="0" fontId="51" fillId="0" borderId="42" xfId="30" applyFont="1" applyBorder="1" applyAlignment="1">
      <alignment horizontal="center" vertical="center"/>
    </xf>
    <xf numFmtId="14" fontId="47" fillId="0" borderId="48" xfId="32" applyNumberFormat="1" applyFont="1" applyFill="1" applyBorder="1" applyAlignment="1">
      <alignment horizontal="center" vertical="center"/>
    </xf>
    <xf numFmtId="14" fontId="47" fillId="0" borderId="14" xfId="32" applyNumberFormat="1" applyFont="1" applyFill="1" applyBorder="1" applyAlignment="1">
      <alignment horizontal="center" vertical="center"/>
    </xf>
    <xf numFmtId="178" fontId="51" fillId="0" borderId="47" xfId="30" applyNumberFormat="1" applyFont="1" applyBorder="1" applyAlignment="1">
      <alignment horizontal="center" vertical="center"/>
    </xf>
    <xf numFmtId="14" fontId="53" fillId="0" borderId="38" xfId="30" applyNumberFormat="1" applyFont="1" applyBorder="1" applyAlignment="1">
      <alignment horizontal="center" vertical="center"/>
    </xf>
    <xf numFmtId="14" fontId="47" fillId="0" borderId="3" xfId="32" applyNumberFormat="1" applyFont="1" applyFill="1" applyBorder="1" applyAlignment="1">
      <alignment horizontal="center" vertical="center"/>
    </xf>
    <xf numFmtId="14" fontId="47" fillId="0" borderId="38" xfId="32" applyNumberFormat="1" applyFont="1" applyFill="1" applyBorder="1" applyAlignment="1">
      <alignment horizontal="center" vertical="center"/>
    </xf>
    <xf numFmtId="0" fontId="51" fillId="0" borderId="3" xfId="28" applyFont="1" applyBorder="1" applyAlignment="1">
      <alignment horizontal="center" vertical="center" wrapText="1"/>
    </xf>
    <xf numFmtId="0" fontId="51" fillId="0" borderId="48" xfId="31" applyFont="1" applyBorder="1" applyAlignment="1">
      <alignment horizontal="center" vertical="center" wrapText="1"/>
    </xf>
    <xf numFmtId="0" fontId="51" fillId="0" borderId="42" xfId="28" applyFont="1" applyBorder="1" applyAlignment="1">
      <alignment horizontal="center" vertical="center" wrapText="1"/>
    </xf>
    <xf numFmtId="14" fontId="59" fillId="27" borderId="48" xfId="30" applyNumberFormat="1" applyFont="1" applyFill="1" applyBorder="1" applyAlignment="1">
      <alignment horizontal="center" vertical="center"/>
    </xf>
    <xf numFmtId="0" fontId="8" fillId="0" borderId="3" xfId="28" applyBorder="1"/>
    <xf numFmtId="0" fontId="8" fillId="0" borderId="3" xfId="28" applyBorder="1" applyAlignment="1">
      <alignment wrapText="1"/>
    </xf>
    <xf numFmtId="172" fontId="0" fillId="0" borderId="3" xfId="29" applyNumberFormat="1" applyFont="1" applyFill="1" applyBorder="1"/>
    <xf numFmtId="0" fontId="60" fillId="0" borderId="38" xfId="28" applyFont="1" applyBorder="1"/>
    <xf numFmtId="164" fontId="8" fillId="0" borderId="40" xfId="28" applyNumberFormat="1" applyBorder="1"/>
    <xf numFmtId="164" fontId="8" fillId="0" borderId="45" xfId="28" applyNumberFormat="1" applyBorder="1"/>
    <xf numFmtId="164" fontId="60" fillId="0" borderId="40" xfId="28" applyNumberFormat="1" applyFont="1" applyBorder="1"/>
    <xf numFmtId="164" fontId="60" fillId="0" borderId="45" xfId="28" applyNumberFormat="1" applyFont="1" applyBorder="1"/>
    <xf numFmtId="0" fontId="56" fillId="0" borderId="0" xfId="28" applyFont="1" applyAlignment="1">
      <alignment horizontal="center" vertical="center"/>
    </xf>
    <xf numFmtId="0" fontId="56" fillId="0" borderId="0" xfId="28" applyFont="1" applyAlignment="1">
      <alignment vertical="center"/>
    </xf>
    <xf numFmtId="0" fontId="56" fillId="0" borderId="0" xfId="28" applyFont="1" applyAlignment="1">
      <alignment horizontal="center" vertical="center" wrapText="1"/>
    </xf>
    <xf numFmtId="172" fontId="56" fillId="0" borderId="0" xfId="29" applyNumberFormat="1" applyFont="1" applyFill="1" applyAlignment="1">
      <alignment vertical="center"/>
    </xf>
    <xf numFmtId="178" fontId="56" fillId="0" borderId="3" xfId="28" applyNumberFormat="1" applyFont="1" applyBorder="1" applyAlignment="1">
      <alignment vertical="center"/>
    </xf>
    <xf numFmtId="0" fontId="56" fillId="0" borderId="3" xfId="28" applyFont="1" applyBorder="1" applyAlignment="1">
      <alignment vertical="center"/>
    </xf>
    <xf numFmtId="0" fontId="56" fillId="0" borderId="38" xfId="28" applyFont="1" applyBorder="1" applyAlignment="1">
      <alignment vertical="center"/>
    </xf>
    <xf numFmtId="164" fontId="56" fillId="0" borderId="27" xfId="28" applyNumberFormat="1" applyFont="1" applyBorder="1" applyAlignment="1">
      <alignment vertical="center"/>
    </xf>
    <xf numFmtId="164" fontId="56" fillId="0" borderId="30" xfId="28" applyNumberFormat="1" applyFont="1" applyBorder="1" applyAlignment="1">
      <alignment vertical="center"/>
    </xf>
    <xf numFmtId="0" fontId="51" fillId="0" borderId="0" xfId="28" applyFont="1" applyAlignment="1">
      <alignment horizontal="center" wrapText="1"/>
    </xf>
    <xf numFmtId="172" fontId="51" fillId="0" borderId="0" xfId="29" applyNumberFormat="1" applyFont="1" applyFill="1"/>
    <xf numFmtId="0" fontId="51" fillId="0" borderId="0" xfId="28" applyFont="1" applyAlignment="1">
      <alignment horizontal="center"/>
    </xf>
    <xf numFmtId="178" fontId="54" fillId="0" borderId="0" xfId="28" applyNumberFormat="1" applyFont="1"/>
    <xf numFmtId="0" fontId="51" fillId="0" borderId="0" xfId="28" applyFont="1" applyAlignment="1">
      <alignment wrapText="1"/>
    </xf>
    <xf numFmtId="178" fontId="51" fillId="0" borderId="0" xfId="28" applyNumberFormat="1" applyFont="1"/>
    <xf numFmtId="0" fontId="59" fillId="0" borderId="0" xfId="28" applyFont="1"/>
    <xf numFmtId="0" fontId="8" fillId="0" borderId="0" xfId="28" applyAlignment="1">
      <alignment wrapText="1"/>
    </xf>
    <xf numFmtId="178" fontId="8" fillId="0" borderId="0" xfId="28" applyNumberFormat="1"/>
    <xf numFmtId="0" fontId="60" fillId="0" borderId="0" xfId="28" applyFont="1"/>
    <xf numFmtId="164" fontId="8" fillId="0" borderId="0" xfId="28" applyNumberFormat="1"/>
    <xf numFmtId="164" fontId="60" fillId="0" borderId="0" xfId="28" applyNumberFormat="1" applyFont="1"/>
    <xf numFmtId="172" fontId="47" fillId="0" borderId="0" xfId="29" applyNumberFormat="1" applyFont="1" applyFill="1"/>
    <xf numFmtId="172" fontId="0" fillId="0" borderId="0" xfId="29" applyNumberFormat="1" applyFont="1" applyFill="1"/>
    <xf numFmtId="0" fontId="51" fillId="0" borderId="38" xfId="28" applyFont="1" applyBorder="1" applyAlignment="1">
      <alignment horizontal="left"/>
    </xf>
    <xf numFmtId="0" fontId="51" fillId="0" borderId="1" xfId="28" applyFont="1" applyBorder="1"/>
    <xf numFmtId="0" fontId="51" fillId="0" borderId="1" xfId="28" applyFont="1" applyBorder="1" applyAlignment="1">
      <alignment horizontal="center" wrapText="1"/>
    </xf>
    <xf numFmtId="0" fontId="53" fillId="0" borderId="1" xfId="28" applyFont="1" applyBorder="1" applyAlignment="1">
      <alignment horizontal="center"/>
    </xf>
    <xf numFmtId="0" fontId="51" fillId="0" borderId="1" xfId="28" applyFont="1" applyBorder="1" applyAlignment="1">
      <alignment horizontal="right"/>
    </xf>
    <xf numFmtId="1" fontId="51" fillId="0" borderId="0" xfId="28" applyNumberFormat="1" applyFont="1"/>
    <xf numFmtId="0" fontId="54" fillId="0" borderId="3" xfId="28" applyFont="1" applyBorder="1"/>
    <xf numFmtId="0" fontId="51" fillId="0" borderId="3" xfId="28" applyFont="1" applyBorder="1"/>
    <xf numFmtId="14" fontId="54" fillId="0" borderId="3" xfId="28" applyNumberFormat="1" applyFont="1" applyBorder="1" applyAlignment="1">
      <alignment horizontal="center" wrapText="1"/>
    </xf>
    <xf numFmtId="172" fontId="51" fillId="0" borderId="3" xfId="29" applyNumberFormat="1" applyFont="1" applyFill="1" applyBorder="1"/>
    <xf numFmtId="14" fontId="54" fillId="0" borderId="3" xfId="28" applyNumberFormat="1" applyFont="1" applyBorder="1"/>
    <xf numFmtId="0" fontId="51" fillId="22" borderId="3" xfId="28" applyFont="1" applyFill="1" applyBorder="1" applyAlignment="1">
      <alignment horizontal="center"/>
    </xf>
    <xf numFmtId="0" fontId="51" fillId="0" borderId="3" xfId="28" applyFont="1" applyBorder="1" applyAlignment="1">
      <alignment horizontal="right"/>
    </xf>
    <xf numFmtId="0" fontId="51" fillId="27" borderId="3" xfId="28" applyFont="1" applyFill="1" applyBorder="1" applyAlignment="1">
      <alignment horizontal="center"/>
    </xf>
    <xf numFmtId="0" fontId="51" fillId="0" borderId="3" xfId="28" applyFont="1" applyBorder="1" applyAlignment="1">
      <alignment horizontal="center"/>
    </xf>
    <xf numFmtId="14" fontId="51" fillId="0" borderId="3" xfId="28" applyNumberFormat="1" applyFont="1" applyBorder="1"/>
    <xf numFmtId="1" fontId="51" fillId="0" borderId="3" xfId="28" applyNumberFormat="1" applyFont="1" applyBorder="1"/>
    <xf numFmtId="0" fontId="51" fillId="0" borderId="3" xfId="28" applyFont="1" applyBorder="1" applyAlignment="1">
      <alignment vertical="center"/>
    </xf>
    <xf numFmtId="0" fontId="54" fillId="0" borderId="38" xfId="28" applyFont="1" applyBorder="1"/>
    <xf numFmtId="0" fontId="54" fillId="0" borderId="1" xfId="28" applyFont="1" applyBorder="1"/>
    <xf numFmtId="0" fontId="54" fillId="0" borderId="41" xfId="28" applyFont="1" applyBorder="1"/>
    <xf numFmtId="0" fontId="51" fillId="0" borderId="48" xfId="28" applyFont="1" applyBorder="1" applyAlignment="1">
      <alignment horizontal="center"/>
    </xf>
    <xf numFmtId="14" fontId="51" fillId="0" borderId="48" xfId="28" applyNumberFormat="1" applyFont="1" applyBorder="1"/>
    <xf numFmtId="0" fontId="51" fillId="0" borderId="48" xfId="28" applyFont="1" applyBorder="1"/>
    <xf numFmtId="1" fontId="51" fillId="0" borderId="48" xfId="28" applyNumberFormat="1" applyFont="1" applyBorder="1"/>
    <xf numFmtId="0" fontId="51" fillId="0" borderId="48" xfId="28" applyFont="1" applyBorder="1" applyAlignment="1">
      <alignment vertical="center"/>
    </xf>
    <xf numFmtId="178" fontId="54" fillId="0" borderId="48" xfId="28" applyNumberFormat="1" applyFont="1" applyBorder="1" applyAlignment="1">
      <alignment horizontal="center" vertical="center" wrapText="1"/>
    </xf>
    <xf numFmtId="178" fontId="54" fillId="0" borderId="48" xfId="28" applyNumberFormat="1" applyFont="1" applyBorder="1" applyAlignment="1">
      <alignment horizontal="center" vertical="center"/>
    </xf>
    <xf numFmtId="0" fontId="54" fillId="0" borderId="48" xfId="28" applyFont="1" applyBorder="1" applyAlignment="1">
      <alignment horizontal="center" vertical="center"/>
    </xf>
    <xf numFmtId="1" fontId="54" fillId="0" borderId="48" xfId="28" applyNumberFormat="1" applyFont="1" applyBorder="1" applyAlignment="1">
      <alignment horizontal="center" vertical="center" wrapText="1"/>
    </xf>
    <xf numFmtId="14" fontId="51" fillId="27" borderId="48" xfId="30" applyNumberFormat="1" applyFont="1" applyFill="1" applyBorder="1" applyAlignment="1">
      <alignment horizontal="center" vertical="center"/>
    </xf>
    <xf numFmtId="1" fontId="51" fillId="0" borderId="48" xfId="30" applyNumberFormat="1" applyFont="1" applyBorder="1" applyAlignment="1">
      <alignment horizontal="center" vertical="center"/>
    </xf>
    <xf numFmtId="1" fontId="51" fillId="0" borderId="48" xfId="27" applyNumberFormat="1" applyFont="1" applyFill="1" applyBorder="1" applyAlignment="1">
      <alignment horizontal="center" vertical="center"/>
    </xf>
    <xf numFmtId="1" fontId="51" fillId="0" borderId="3" xfId="28" applyNumberFormat="1" applyFont="1" applyBorder="1" applyAlignment="1">
      <alignment horizontal="center" vertical="center"/>
    </xf>
    <xf numFmtId="2" fontId="51" fillId="0" borderId="3" xfId="29" applyNumberFormat="1" applyFont="1" applyFill="1" applyBorder="1" applyAlignment="1">
      <alignment horizontal="center" vertical="center"/>
    </xf>
    <xf numFmtId="1" fontId="61" fillId="0" borderId="3" xfId="28" applyNumberFormat="1" applyFont="1" applyBorder="1" applyAlignment="1">
      <alignment horizontal="center" vertical="center"/>
    </xf>
    <xf numFmtId="178" fontId="51" fillId="0" borderId="3" xfId="28" applyNumberFormat="1" applyFont="1" applyBorder="1" applyAlignment="1">
      <alignment horizontal="center" vertical="center"/>
    </xf>
    <xf numFmtId="178" fontId="49" fillId="0" borderId="48" xfId="27" applyFont="1" applyFill="1" applyBorder="1" applyAlignment="1">
      <alignment horizontal="center" vertical="center"/>
    </xf>
    <xf numFmtId="178" fontId="51" fillId="0" borderId="3" xfId="30" applyNumberFormat="1" applyFont="1" applyBorder="1" applyAlignment="1">
      <alignment horizontal="center" vertical="center"/>
    </xf>
    <xf numFmtId="178" fontId="56" fillId="0" borderId="48" xfId="30" applyNumberFormat="1" applyFont="1" applyBorder="1" applyAlignment="1">
      <alignment horizontal="center" vertical="center"/>
    </xf>
    <xf numFmtId="1" fontId="53" fillId="0" borderId="48" xfId="30" applyNumberFormat="1" applyFont="1" applyBorder="1" applyAlignment="1">
      <alignment horizontal="center" vertical="center"/>
    </xf>
    <xf numFmtId="1" fontId="53" fillId="0" borderId="48" xfId="27" applyNumberFormat="1" applyFont="1" applyFill="1" applyBorder="1" applyAlignment="1">
      <alignment horizontal="center" vertical="center"/>
    </xf>
    <xf numFmtId="1" fontId="53" fillId="0" borderId="3" xfId="28" applyNumberFormat="1" applyFont="1" applyBorder="1" applyAlignment="1">
      <alignment horizontal="center" vertical="center"/>
    </xf>
    <xf numFmtId="2" fontId="53" fillId="0" borderId="3" xfId="29" applyNumberFormat="1" applyFont="1" applyFill="1" applyBorder="1" applyAlignment="1">
      <alignment horizontal="center" vertical="center"/>
    </xf>
    <xf numFmtId="1" fontId="56" fillId="0" borderId="3" xfId="28" applyNumberFormat="1" applyFont="1" applyBorder="1" applyAlignment="1">
      <alignment horizontal="center" vertical="center"/>
    </xf>
    <xf numFmtId="178" fontId="53" fillId="0" borderId="3" xfId="28" applyNumberFormat="1" applyFont="1" applyBorder="1" applyAlignment="1">
      <alignment horizontal="center" vertical="center"/>
    </xf>
    <xf numFmtId="178" fontId="47" fillId="0" borderId="48" xfId="27" applyFont="1" applyFill="1" applyBorder="1" applyAlignment="1">
      <alignment vertical="center"/>
    </xf>
    <xf numFmtId="0" fontId="53" fillId="0" borderId="3" xfId="28" applyFont="1" applyBorder="1"/>
    <xf numFmtId="178" fontId="51" fillId="0" borderId="48" xfId="30" applyNumberFormat="1" applyFont="1" applyBorder="1" applyAlignment="1">
      <alignment horizontal="center" vertical="center"/>
    </xf>
    <xf numFmtId="14" fontId="58" fillId="0" borderId="48" xfId="30" applyNumberFormat="1" applyFont="1" applyBorder="1" applyAlignment="1">
      <alignment horizontal="center" vertical="center"/>
    </xf>
    <xf numFmtId="1" fontId="58" fillId="0" borderId="48" xfId="30" applyNumberFormat="1" applyFont="1" applyBorder="1" applyAlignment="1">
      <alignment horizontal="center" vertical="center"/>
    </xf>
    <xf numFmtId="0" fontId="53" fillId="0" borderId="3" xfId="28" applyFont="1" applyBorder="1" applyAlignment="1">
      <alignment horizontal="center" vertical="center"/>
    </xf>
    <xf numFmtId="178" fontId="47" fillId="0" borderId="3" xfId="27" applyFont="1" applyFill="1" applyBorder="1" applyAlignment="1">
      <alignment vertical="center"/>
    </xf>
    <xf numFmtId="14" fontId="58" fillId="0" borderId="3" xfId="30" applyNumberFormat="1" applyFont="1" applyBorder="1" applyAlignment="1">
      <alignment horizontal="center" vertical="center"/>
    </xf>
    <xf numFmtId="1" fontId="58" fillId="0" borderId="3" xfId="30" applyNumberFormat="1" applyFont="1" applyBorder="1" applyAlignment="1">
      <alignment horizontal="center" vertical="center"/>
    </xf>
    <xf numFmtId="1" fontId="51" fillId="0" borderId="3" xfId="27" applyNumberFormat="1" applyFont="1" applyFill="1" applyBorder="1" applyAlignment="1">
      <alignment horizontal="center" vertical="center"/>
    </xf>
    <xf numFmtId="0" fontId="51" fillId="0" borderId="48" xfId="28" applyFont="1" applyBorder="1" applyAlignment="1">
      <alignment horizontal="center" vertical="center"/>
    </xf>
    <xf numFmtId="14" fontId="53" fillId="27" borderId="48" xfId="30" applyNumberFormat="1" applyFont="1" applyFill="1" applyBorder="1" applyAlignment="1">
      <alignment horizontal="center" vertical="center"/>
    </xf>
    <xf numFmtId="1" fontId="51" fillId="0" borderId="48" xfId="28" applyNumberFormat="1" applyFont="1" applyBorder="1" applyAlignment="1">
      <alignment horizontal="center" vertical="center"/>
    </xf>
    <xf numFmtId="2" fontId="51" fillId="0" borderId="48" xfId="29" applyNumberFormat="1" applyFont="1" applyFill="1" applyBorder="1" applyAlignment="1">
      <alignment horizontal="center" vertical="center"/>
    </xf>
    <xf numFmtId="1" fontId="61" fillId="0" borderId="48" xfId="28" applyNumberFormat="1" applyFont="1" applyBorder="1" applyAlignment="1">
      <alignment horizontal="center" vertical="center"/>
    </xf>
    <xf numFmtId="178" fontId="51" fillId="0" borderId="48" xfId="28" applyNumberFormat="1" applyFont="1" applyBorder="1" applyAlignment="1">
      <alignment horizontal="center" vertical="center"/>
    </xf>
    <xf numFmtId="1" fontId="47" fillId="0" borderId="48" xfId="32" applyNumberFormat="1" applyFont="1" applyFill="1" applyBorder="1" applyAlignment="1">
      <alignment horizontal="center" vertical="center"/>
    </xf>
    <xf numFmtId="14" fontId="53" fillId="0" borderId="3" xfId="30" applyNumberFormat="1" applyFont="1" applyBorder="1" applyAlignment="1">
      <alignment horizontal="center" vertical="center"/>
    </xf>
    <xf numFmtId="1" fontId="51" fillId="0" borderId="3" xfId="30" applyNumberFormat="1" applyFont="1" applyBorder="1" applyAlignment="1">
      <alignment horizontal="center" vertical="center"/>
    </xf>
    <xf numFmtId="178" fontId="8" fillId="0" borderId="3" xfId="28" applyNumberFormat="1" applyBorder="1"/>
    <xf numFmtId="178" fontId="8" fillId="0" borderId="48" xfId="28" applyNumberFormat="1" applyBorder="1" applyAlignment="1">
      <alignment horizontal="right"/>
    </xf>
    <xf numFmtId="178" fontId="8" fillId="0" borderId="48" xfId="28" applyNumberFormat="1" applyBorder="1"/>
    <xf numFmtId="1" fontId="8" fillId="0" borderId="3" xfId="28" applyNumberFormat="1" applyBorder="1"/>
    <xf numFmtId="0" fontId="8" fillId="0" borderId="3" xfId="28" applyBorder="1" applyAlignment="1">
      <alignment horizontal="center"/>
    </xf>
    <xf numFmtId="0" fontId="8" fillId="0" borderId="3" xfId="28" applyBorder="1" applyAlignment="1">
      <alignment vertical="center"/>
    </xf>
    <xf numFmtId="0" fontId="8" fillId="0" borderId="48" xfId="28" applyBorder="1" applyAlignment="1">
      <alignment vertical="center"/>
    </xf>
    <xf numFmtId="178" fontId="54" fillId="0" borderId="12" xfId="28" applyNumberFormat="1" applyFont="1" applyBorder="1"/>
    <xf numFmtId="0" fontId="51" fillId="0" borderId="51" xfId="28" applyFont="1" applyBorder="1"/>
    <xf numFmtId="1" fontId="51" fillId="0" borderId="51" xfId="28" applyNumberFormat="1" applyFont="1" applyBorder="1"/>
    <xf numFmtId="0" fontId="51" fillId="0" borderId="51" xfId="28" applyFont="1" applyBorder="1" applyAlignment="1">
      <alignment horizontal="center"/>
    </xf>
    <xf numFmtId="0" fontId="51" fillId="0" borderId="51" xfId="28" applyFont="1" applyBorder="1" applyAlignment="1">
      <alignment vertical="center"/>
    </xf>
    <xf numFmtId="178" fontId="54" fillId="0" borderId="51" xfId="28" applyNumberFormat="1" applyFont="1" applyBorder="1" applyAlignment="1">
      <alignment vertical="center"/>
    </xf>
    <xf numFmtId="178" fontId="54" fillId="0" borderId="48" xfId="28" applyNumberFormat="1" applyFont="1" applyBorder="1" applyAlignment="1">
      <alignment vertical="center"/>
    </xf>
    <xf numFmtId="0" fontId="59" fillId="0" borderId="0" xfId="28" applyFont="1" applyAlignment="1">
      <alignment horizontal="center" vertical="center"/>
    </xf>
    <xf numFmtId="0" fontId="59" fillId="0" borderId="0" xfId="28" applyFont="1" applyAlignment="1">
      <alignment vertical="center"/>
    </xf>
    <xf numFmtId="0" fontId="59" fillId="0" borderId="0" xfId="28" applyFont="1" applyAlignment="1">
      <alignment horizontal="center" vertical="center" wrapText="1"/>
    </xf>
    <xf numFmtId="172" fontId="59" fillId="0" borderId="0" xfId="29" applyNumberFormat="1" applyFont="1" applyFill="1" applyAlignment="1">
      <alignment vertical="center"/>
    </xf>
    <xf numFmtId="178" fontId="58" fillId="0" borderId="3" xfId="28" applyNumberFormat="1" applyFont="1" applyBorder="1" applyAlignment="1">
      <alignment vertical="center"/>
    </xf>
    <xf numFmtId="0" fontId="59" fillId="0" borderId="3" xfId="28" applyFont="1" applyBorder="1" applyAlignment="1">
      <alignment vertical="center"/>
    </xf>
    <xf numFmtId="1" fontId="59" fillId="0" borderId="3" xfId="28" applyNumberFormat="1" applyFont="1" applyBorder="1" applyAlignment="1">
      <alignment vertical="center"/>
    </xf>
    <xf numFmtId="0" fontId="59" fillId="0" borderId="3" xfId="28" applyFont="1" applyBorder="1" applyAlignment="1">
      <alignment horizontal="center" vertical="center"/>
    </xf>
    <xf numFmtId="178" fontId="58" fillId="0" borderId="48" xfId="28" applyNumberFormat="1" applyFont="1" applyBorder="1" applyAlignment="1">
      <alignment vertical="center"/>
    </xf>
    <xf numFmtId="178" fontId="54" fillId="0" borderId="0" xfId="28" applyNumberFormat="1" applyFont="1" applyAlignment="1">
      <alignment vertical="center"/>
    </xf>
    <xf numFmtId="178" fontId="51" fillId="0" borderId="0" xfId="28" applyNumberFormat="1" applyFont="1" applyAlignment="1">
      <alignment horizontal="right"/>
    </xf>
    <xf numFmtId="0" fontId="54" fillId="0" borderId="31" xfId="28" applyFont="1" applyBorder="1"/>
    <xf numFmtId="0" fontId="51" fillId="0" borderId="34" xfId="28" applyFont="1" applyBorder="1"/>
    <xf numFmtId="0" fontId="54" fillId="0" borderId="32" xfId="28" applyFont="1" applyBorder="1"/>
    <xf numFmtId="178" fontId="54" fillId="0" borderId="3" xfId="28" applyNumberFormat="1" applyFont="1" applyBorder="1"/>
    <xf numFmtId="164" fontId="54" fillId="0" borderId="3" xfId="28" applyNumberFormat="1" applyFont="1" applyBorder="1"/>
    <xf numFmtId="178" fontId="54" fillId="0" borderId="0" xfId="28" applyNumberFormat="1" applyFont="1" applyAlignment="1">
      <alignment horizontal="right"/>
    </xf>
    <xf numFmtId="1" fontId="8" fillId="0" borderId="0" xfId="28" applyNumberFormat="1"/>
    <xf numFmtId="0" fontId="8" fillId="0" borderId="0" xfId="28" applyAlignment="1">
      <alignment vertical="center"/>
    </xf>
    <xf numFmtId="178" fontId="8" fillId="0" borderId="0" xfId="28" applyNumberFormat="1" applyAlignment="1">
      <alignment horizontal="right"/>
    </xf>
    <xf numFmtId="0" fontId="8" fillId="0" borderId="0" xfId="28" applyAlignment="1">
      <alignment horizontal="center"/>
    </xf>
    <xf numFmtId="0" fontId="0" fillId="28" borderId="0" xfId="0" applyFill="1"/>
    <xf numFmtId="0" fontId="7" fillId="28" borderId="0" xfId="0" applyFont="1" applyFill="1"/>
    <xf numFmtId="0" fontId="0" fillId="0" borderId="0" xfId="0" applyAlignment="1">
      <alignment horizontal="left" vertical="top"/>
    </xf>
    <xf numFmtId="0" fontId="0" fillId="0" borderId="57" xfId="0" applyBorder="1" applyAlignment="1">
      <alignment horizontal="left" wrapText="1"/>
    </xf>
    <xf numFmtId="0" fontId="0" fillId="29" borderId="57" xfId="0" applyFill="1" applyBorder="1" applyAlignment="1">
      <alignment horizontal="left" wrapText="1"/>
    </xf>
    <xf numFmtId="4" fontId="66" fillId="29" borderId="57" xfId="0" applyNumberFormat="1" applyFont="1" applyFill="1" applyBorder="1" applyAlignment="1">
      <alignment horizontal="right" vertical="top" indent="1" shrinkToFit="1"/>
    </xf>
    <xf numFmtId="4" fontId="66" fillId="0" borderId="57" xfId="0" applyNumberFormat="1" applyFont="1" applyBorder="1" applyAlignment="1">
      <alignment horizontal="right" vertical="top" indent="1" shrinkToFit="1"/>
    </xf>
    <xf numFmtId="4" fontId="68" fillId="29" borderId="57" xfId="0" applyNumberFormat="1" applyFont="1" applyFill="1" applyBorder="1" applyAlignment="1">
      <alignment horizontal="right" vertical="top" indent="1" shrinkToFit="1"/>
    </xf>
    <xf numFmtId="2" fontId="66" fillId="0" borderId="57" xfId="0" applyNumberFormat="1" applyFont="1" applyBorder="1" applyAlignment="1">
      <alignment horizontal="right" vertical="top" indent="1" shrinkToFit="1"/>
    </xf>
    <xf numFmtId="4" fontId="68" fillId="0" borderId="57" xfId="0" applyNumberFormat="1" applyFont="1" applyBorder="1" applyAlignment="1">
      <alignment horizontal="right" vertical="top" indent="1" shrinkToFit="1"/>
    </xf>
    <xf numFmtId="0" fontId="0" fillId="29" borderId="57" xfId="0" applyFill="1" applyBorder="1" applyAlignment="1">
      <alignment horizontal="left" vertical="center" wrapText="1"/>
    </xf>
    <xf numFmtId="0" fontId="4" fillId="0" borderId="57" xfId="0" applyFont="1" applyBorder="1" applyAlignment="1">
      <alignment horizontal="center" wrapText="1"/>
    </xf>
    <xf numFmtId="4" fontId="66" fillId="10" borderId="57" xfId="0" applyNumberFormat="1" applyFont="1" applyFill="1" applyBorder="1" applyAlignment="1">
      <alignment horizontal="right" vertical="top" indent="1" shrinkToFit="1"/>
    </xf>
    <xf numFmtId="4" fontId="68" fillId="4" borderId="57" xfId="0" applyNumberFormat="1" applyFont="1" applyFill="1" applyBorder="1" applyAlignment="1">
      <alignment horizontal="right" vertical="top" indent="1" shrinkToFit="1"/>
    </xf>
    <xf numFmtId="0" fontId="0" fillId="10" borderId="57" xfId="0" applyFill="1" applyBorder="1" applyAlignment="1">
      <alignment horizontal="left" wrapText="1"/>
    </xf>
    <xf numFmtId="4" fontId="68" fillId="30" borderId="57" xfId="0" applyNumberFormat="1" applyFont="1" applyFill="1" applyBorder="1" applyAlignment="1">
      <alignment horizontal="right" vertical="top" indent="1" shrinkToFit="1"/>
    </xf>
    <xf numFmtId="4" fontId="68" fillId="31" borderId="57" xfId="0" applyNumberFormat="1" applyFont="1" applyFill="1" applyBorder="1" applyAlignment="1">
      <alignment horizontal="right" vertical="top" indent="1" shrinkToFit="1"/>
    </xf>
    <xf numFmtId="0" fontId="0" fillId="4" borderId="57" xfId="0" applyFill="1" applyBorder="1" applyAlignment="1">
      <alignment horizontal="left" wrapText="1"/>
    </xf>
    <xf numFmtId="4" fontId="68" fillId="23" borderId="57" xfId="0" applyNumberFormat="1" applyFont="1" applyFill="1" applyBorder="1" applyAlignment="1">
      <alignment horizontal="right" vertical="top" indent="1" shrinkToFit="1"/>
    </xf>
    <xf numFmtId="0" fontId="0" fillId="0" borderId="61" xfId="0" applyBorder="1" applyAlignment="1">
      <alignment horizontal="left" vertical="top"/>
    </xf>
    <xf numFmtId="167" fontId="12" fillId="0" borderId="0" xfId="1" applyNumberFormat="1" applyFont="1" applyFill="1" applyAlignment="1">
      <alignment horizontal="left"/>
    </xf>
    <xf numFmtId="9" fontId="12" fillId="0" borderId="0" xfId="2" applyFont="1"/>
    <xf numFmtId="0" fontId="0" fillId="0" borderId="57" xfId="0" applyBorder="1" applyAlignment="1">
      <alignment horizontal="left"/>
    </xf>
    <xf numFmtId="0" fontId="4" fillId="0" borderId="57" xfId="0" applyFont="1" applyBorder="1" applyAlignment="1">
      <alignment horizontal="center"/>
    </xf>
    <xf numFmtId="0" fontId="63" fillId="29" borderId="57" xfId="0" applyFont="1" applyFill="1" applyBorder="1" applyAlignment="1">
      <alignment horizontal="left" vertical="top"/>
    </xf>
    <xf numFmtId="0" fontId="0" fillId="29" borderId="57" xfId="0" applyFill="1" applyBorder="1" applyAlignment="1">
      <alignment horizontal="left" vertical="top"/>
    </xf>
    <xf numFmtId="0" fontId="0" fillId="0" borderId="57" xfId="0" applyBorder="1" applyAlignment="1">
      <alignment horizontal="left" vertical="top"/>
    </xf>
    <xf numFmtId="0" fontId="65" fillId="0" borderId="57" xfId="0" applyFont="1" applyBorder="1" applyAlignment="1">
      <alignment horizontal="left" vertical="top"/>
    </xf>
    <xf numFmtId="0" fontId="65" fillId="10" borderId="60" xfId="0" applyFont="1" applyFill="1" applyBorder="1" applyAlignment="1">
      <alignment horizontal="left" vertical="top"/>
    </xf>
    <xf numFmtId="0" fontId="65" fillId="10" borderId="57" xfId="0" applyFont="1" applyFill="1" applyBorder="1" applyAlignment="1">
      <alignment horizontal="left" vertical="top"/>
    </xf>
    <xf numFmtId="0" fontId="63" fillId="4" borderId="57" xfId="0" applyFont="1" applyFill="1" applyBorder="1" applyAlignment="1">
      <alignment horizontal="left" vertical="top"/>
    </xf>
    <xf numFmtId="0" fontId="65" fillId="29" borderId="57" xfId="0" applyFont="1" applyFill="1" applyBorder="1" applyAlignment="1">
      <alignment horizontal="left" vertical="top"/>
    </xf>
    <xf numFmtId="0" fontId="63" fillId="0" borderId="57" xfId="0" applyFont="1" applyBorder="1" applyAlignment="1">
      <alignment horizontal="left" vertical="top"/>
    </xf>
    <xf numFmtId="0" fontId="63" fillId="31" borderId="57" xfId="0" applyFont="1" applyFill="1" applyBorder="1" applyAlignment="1">
      <alignment horizontal="left" vertical="top"/>
    </xf>
    <xf numFmtId="0" fontId="0" fillId="29" borderId="57" xfId="0" applyFill="1" applyBorder="1" applyAlignment="1">
      <alignment horizontal="left"/>
    </xf>
    <xf numFmtId="0" fontId="0" fillId="4" borderId="57" xfId="0" applyFill="1" applyBorder="1" applyAlignment="1">
      <alignment horizontal="left" vertical="top"/>
    </xf>
    <xf numFmtId="0" fontId="62" fillId="10" borderId="57" xfId="0" applyFont="1" applyFill="1" applyBorder="1" applyAlignment="1">
      <alignment horizontal="left" vertical="top"/>
    </xf>
    <xf numFmtId="0" fontId="65" fillId="4" borderId="57" xfId="0" applyFont="1" applyFill="1" applyBorder="1" applyAlignment="1">
      <alignment horizontal="left" vertical="top"/>
    </xf>
    <xf numFmtId="0" fontId="63" fillId="30" borderId="57" xfId="0" applyFont="1" applyFill="1" applyBorder="1" applyAlignment="1">
      <alignment horizontal="left" vertical="top"/>
    </xf>
    <xf numFmtId="0" fontId="63" fillId="23" borderId="57" xfId="0" applyFont="1" applyFill="1" applyBorder="1" applyAlignment="1">
      <alignment horizontal="left" vertical="top"/>
    </xf>
    <xf numFmtId="0" fontId="69" fillId="4" borderId="57" xfId="0" applyFont="1" applyFill="1" applyBorder="1" applyAlignment="1">
      <alignment horizontal="left" vertical="top"/>
    </xf>
    <xf numFmtId="0" fontId="69" fillId="23" borderId="57" xfId="0" applyFont="1" applyFill="1" applyBorder="1" applyAlignment="1">
      <alignment horizontal="left" vertical="top"/>
    </xf>
    <xf numFmtId="0" fontId="69" fillId="0" borderId="57" xfId="0" applyFont="1" applyBorder="1" applyAlignment="1">
      <alignment horizontal="left" vertical="top"/>
    </xf>
    <xf numFmtId="9" fontId="0" fillId="0" borderId="0" xfId="2" applyFont="1" applyAlignment="1">
      <alignment horizontal="left" vertical="top"/>
    </xf>
    <xf numFmtId="178" fontId="0" fillId="7" borderId="3" xfId="27" applyFont="1" applyFill="1" applyBorder="1" applyAlignment="1">
      <alignment horizontal="center" vertical="center"/>
    </xf>
    <xf numFmtId="4" fontId="66" fillId="7" borderId="57" xfId="0" applyNumberFormat="1" applyFont="1" applyFill="1" applyBorder="1" applyAlignment="1">
      <alignment horizontal="right" vertical="top" indent="1" shrinkToFit="1"/>
    </xf>
    <xf numFmtId="178" fontId="0" fillId="7" borderId="48" xfId="27" applyFont="1" applyFill="1" applyBorder="1" applyAlignment="1">
      <alignment horizontal="center" vertical="center"/>
    </xf>
    <xf numFmtId="178" fontId="0" fillId="7" borderId="51" xfId="27" applyFont="1" applyFill="1" applyBorder="1" applyAlignment="1">
      <alignment horizontal="center" vertical="center"/>
    </xf>
    <xf numFmtId="178" fontId="0" fillId="7" borderId="3" xfId="27" applyFont="1" applyFill="1" applyBorder="1" applyAlignment="1">
      <alignment horizontal="center" vertical="center" wrapText="1"/>
    </xf>
    <xf numFmtId="182" fontId="0" fillId="7" borderId="3" xfId="0" applyNumberFormat="1" applyFill="1" applyBorder="1" applyAlignment="1">
      <alignment horizontal="center"/>
    </xf>
    <xf numFmtId="0" fontId="7" fillId="2" borderId="0" xfId="0" applyFont="1" applyFill="1"/>
    <xf numFmtId="9" fontId="66" fillId="24" borderId="57" xfId="2" applyFont="1" applyFill="1" applyBorder="1" applyAlignment="1">
      <alignment horizontal="right" vertical="top" indent="1" shrinkToFit="1"/>
    </xf>
    <xf numFmtId="167" fontId="0" fillId="0" borderId="0" xfId="1" applyNumberFormat="1" applyFont="1"/>
    <xf numFmtId="0" fontId="4" fillId="4" borderId="57" xfId="0" applyFont="1" applyFill="1" applyBorder="1" applyAlignment="1">
      <alignment horizontal="left" vertical="top"/>
    </xf>
    <xf numFmtId="0" fontId="38" fillId="0" borderId="63" xfId="0" applyFont="1" applyBorder="1"/>
    <xf numFmtId="0" fontId="73" fillId="0" borderId="0" xfId="0" applyFont="1"/>
    <xf numFmtId="0" fontId="74" fillId="32" borderId="0" xfId="0" applyFont="1" applyFill="1"/>
    <xf numFmtId="0" fontId="76" fillId="7" borderId="57" xfId="0" applyFont="1" applyFill="1" applyBorder="1" applyAlignment="1">
      <alignment horizontal="left" vertical="top"/>
    </xf>
    <xf numFmtId="0" fontId="76" fillId="4" borderId="57" xfId="0" applyFont="1" applyFill="1" applyBorder="1" applyAlignment="1">
      <alignment horizontal="left" vertical="top"/>
    </xf>
    <xf numFmtId="0" fontId="74" fillId="2" borderId="57" xfId="0" applyFont="1" applyFill="1" applyBorder="1" applyAlignment="1">
      <alignment horizontal="left" vertical="top"/>
    </xf>
    <xf numFmtId="167" fontId="73" fillId="0" borderId="0" xfId="1" applyNumberFormat="1" applyFont="1"/>
    <xf numFmtId="167" fontId="73" fillId="0" borderId="61" xfId="1" applyNumberFormat="1" applyFont="1" applyBorder="1"/>
    <xf numFmtId="167" fontId="38" fillId="0" borderId="63" xfId="1" applyNumberFormat="1" applyFont="1" applyBorder="1"/>
    <xf numFmtId="0" fontId="74" fillId="32" borderId="0" xfId="1" applyNumberFormat="1" applyFont="1" applyFill="1"/>
    <xf numFmtId="0" fontId="74" fillId="32" borderId="0" xfId="0" applyFont="1" applyFill="1" applyAlignment="1">
      <alignment horizontal="right"/>
    </xf>
    <xf numFmtId="170" fontId="79" fillId="0" borderId="0" xfId="1" applyNumberFormat="1" applyFont="1" applyFill="1" applyAlignment="1">
      <alignment horizontal="right" vertical="center"/>
    </xf>
    <xf numFmtId="169" fontId="73" fillId="10" borderId="61" xfId="1" applyNumberFormat="1" applyFont="1" applyFill="1" applyBorder="1"/>
    <xf numFmtId="169" fontId="76" fillId="7" borderId="57" xfId="1" applyNumberFormat="1" applyFont="1" applyFill="1" applyBorder="1" applyAlignment="1">
      <alignment horizontal="left" vertical="top"/>
    </xf>
    <xf numFmtId="169" fontId="76" fillId="4" borderId="57" xfId="1" applyNumberFormat="1" applyFont="1" applyFill="1" applyBorder="1" applyAlignment="1">
      <alignment horizontal="left" vertical="top"/>
    </xf>
    <xf numFmtId="169" fontId="74" fillId="2" borderId="57" xfId="1" applyNumberFormat="1" applyFont="1" applyFill="1" applyBorder="1" applyAlignment="1">
      <alignment horizontal="right" vertical="top"/>
    </xf>
    <xf numFmtId="169" fontId="73" fillId="0" borderId="61" xfId="1" applyNumberFormat="1" applyFont="1" applyBorder="1"/>
    <xf numFmtId="0" fontId="6" fillId="0" borderId="0" xfId="0" applyFont="1" applyAlignment="1">
      <alignment horizontal="left" vertical="top"/>
    </xf>
    <xf numFmtId="0" fontId="6" fillId="0" borderId="57" xfId="0" applyFont="1" applyBorder="1" applyAlignment="1">
      <alignment horizontal="left"/>
    </xf>
    <xf numFmtId="169" fontId="66" fillId="7" borderId="57" xfId="0" applyNumberFormat="1" applyFont="1" applyFill="1" applyBorder="1" applyAlignment="1">
      <alignment horizontal="right" vertical="top" indent="1" shrinkToFit="1"/>
    </xf>
    <xf numFmtId="169" fontId="66" fillId="4" borderId="57" xfId="0" applyNumberFormat="1" applyFont="1" applyFill="1" applyBorder="1" applyAlignment="1">
      <alignment horizontal="right" vertical="top" indent="1" shrinkToFit="1"/>
    </xf>
    <xf numFmtId="169" fontId="0" fillId="0" borderId="57" xfId="0" applyNumberFormat="1" applyBorder="1" applyAlignment="1">
      <alignment horizontal="left" wrapText="1"/>
    </xf>
    <xf numFmtId="169" fontId="65" fillId="0" borderId="57" xfId="1" applyNumberFormat="1" applyFont="1" applyBorder="1" applyAlignment="1">
      <alignment horizontal="left" vertical="top"/>
    </xf>
    <xf numFmtId="169" fontId="65" fillId="29" borderId="57" xfId="1" applyNumberFormat="1" applyFont="1" applyFill="1" applyBorder="1" applyAlignment="1">
      <alignment horizontal="left" vertical="top"/>
    </xf>
    <xf numFmtId="169" fontId="63" fillId="4" borderId="57" xfId="1" applyNumberFormat="1" applyFont="1" applyFill="1" applyBorder="1" applyAlignment="1">
      <alignment horizontal="left" vertical="top"/>
    </xf>
    <xf numFmtId="169" fontId="63" fillId="23" borderId="57" xfId="1" applyNumberFormat="1" applyFont="1" applyFill="1" applyBorder="1" applyAlignment="1">
      <alignment horizontal="right" vertical="top"/>
    </xf>
    <xf numFmtId="169" fontId="6" fillId="0" borderId="57" xfId="0" applyNumberFormat="1" applyFont="1" applyBorder="1" applyAlignment="1">
      <alignment horizontal="left" wrapText="1"/>
    </xf>
    <xf numFmtId="169" fontId="0" fillId="29" borderId="57" xfId="0" applyNumberFormat="1" applyFill="1" applyBorder="1" applyAlignment="1">
      <alignment horizontal="left" vertical="center" wrapText="1"/>
    </xf>
    <xf numFmtId="169" fontId="68" fillId="31" borderId="57" xfId="0" applyNumberFormat="1" applyFont="1" applyFill="1" applyBorder="1" applyAlignment="1">
      <alignment horizontal="right" vertical="top" indent="1" shrinkToFit="1"/>
    </xf>
    <xf numFmtId="169" fontId="0" fillId="29" borderId="57" xfId="0" applyNumberFormat="1" applyFill="1" applyBorder="1" applyAlignment="1">
      <alignment horizontal="left" wrapText="1"/>
    </xf>
    <xf numFmtId="169" fontId="0" fillId="4" borderId="57" xfId="0" applyNumberFormat="1" applyFill="1" applyBorder="1" applyAlignment="1">
      <alignment horizontal="left" wrapText="1"/>
    </xf>
    <xf numFmtId="169" fontId="0" fillId="31" borderId="57" xfId="0" applyNumberFormat="1" applyFill="1" applyBorder="1" applyAlignment="1">
      <alignment horizontal="left" wrapText="1"/>
    </xf>
    <xf numFmtId="169" fontId="68" fillId="29" borderId="57" xfId="0" applyNumberFormat="1" applyFont="1" applyFill="1" applyBorder="1" applyAlignment="1">
      <alignment horizontal="right" vertical="top" indent="1" shrinkToFit="1"/>
    </xf>
    <xf numFmtId="169" fontId="66" fillId="29" borderId="57" xfId="0" applyNumberFormat="1" applyFont="1" applyFill="1" applyBorder="1" applyAlignment="1">
      <alignment horizontal="right" vertical="top" indent="1" shrinkToFit="1"/>
    </xf>
    <xf numFmtId="169" fontId="68" fillId="0" borderId="57" xfId="0" applyNumberFormat="1" applyFont="1" applyBorder="1" applyAlignment="1">
      <alignment horizontal="right" vertical="top" indent="1" shrinkToFit="1"/>
    </xf>
    <xf numFmtId="169" fontId="68" fillId="4" borderId="57" xfId="0" applyNumberFormat="1" applyFont="1" applyFill="1" applyBorder="1" applyAlignment="1">
      <alignment horizontal="right" vertical="top" indent="1" shrinkToFit="1"/>
    </xf>
    <xf numFmtId="169" fontId="66" fillId="0" borderId="57" xfId="0" applyNumberFormat="1" applyFont="1" applyBorder="1" applyAlignment="1">
      <alignment horizontal="right" vertical="top" indent="1" shrinkToFit="1"/>
    </xf>
    <xf numFmtId="9" fontId="0" fillId="0" borderId="0" xfId="2" applyFont="1"/>
    <xf numFmtId="166" fontId="73" fillId="0" borderId="0" xfId="2" applyNumberFormat="1" applyFont="1"/>
    <xf numFmtId="166" fontId="38" fillId="0" borderId="0" xfId="2" applyNumberFormat="1" applyFont="1"/>
    <xf numFmtId="166" fontId="74" fillId="2" borderId="0" xfId="2" applyNumberFormat="1" applyFont="1" applyFill="1"/>
    <xf numFmtId="0" fontId="74" fillId="16" borderId="0" xfId="0" applyFont="1" applyFill="1" applyAlignment="1">
      <alignment horizontal="right"/>
    </xf>
    <xf numFmtId="170" fontId="16" fillId="5" borderId="6" xfId="1" applyNumberFormat="1" applyFont="1" applyFill="1" applyBorder="1" applyAlignment="1">
      <alignment horizontal="right" vertical="center"/>
    </xf>
    <xf numFmtId="170" fontId="80" fillId="0" borderId="0" xfId="1" applyNumberFormat="1" applyFont="1" applyFill="1" applyAlignment="1">
      <alignment horizontal="right" vertical="center"/>
    </xf>
    <xf numFmtId="184" fontId="51" fillId="0" borderId="0" xfId="1" applyNumberFormat="1" applyFont="1"/>
    <xf numFmtId="172" fontId="47" fillId="33" borderId="0" xfId="29" applyNumberFormat="1" applyFont="1" applyFill="1"/>
    <xf numFmtId="184" fontId="51" fillId="33" borderId="0" xfId="1" applyNumberFormat="1" applyFont="1" applyFill="1"/>
    <xf numFmtId="167" fontId="0" fillId="0" borderId="0" xfId="0" applyNumberFormat="1"/>
    <xf numFmtId="167" fontId="73" fillId="7" borderId="61" xfId="1" applyNumberFormat="1" applyFont="1" applyFill="1" applyBorder="1"/>
    <xf numFmtId="10" fontId="0" fillId="7" borderId="0" xfId="0" applyNumberFormat="1" applyFill="1"/>
    <xf numFmtId="9" fontId="0" fillId="7" borderId="0" xfId="0" applyNumberFormat="1" applyFill="1"/>
    <xf numFmtId="166" fontId="0" fillId="7" borderId="0" xfId="0" applyNumberFormat="1" applyFill="1"/>
    <xf numFmtId="166" fontId="12" fillId="0" borderId="0" xfId="2" applyNumberFormat="1" applyFont="1"/>
    <xf numFmtId="167" fontId="73" fillId="0" borderId="61" xfId="1" applyNumberFormat="1" applyFont="1" applyFill="1" applyBorder="1"/>
    <xf numFmtId="169" fontId="73" fillId="0" borderId="61" xfId="1" applyNumberFormat="1" applyFont="1" applyFill="1" applyBorder="1"/>
    <xf numFmtId="167" fontId="0" fillId="0" borderId="57" xfId="1" applyNumberFormat="1" applyFont="1" applyBorder="1" applyAlignment="1">
      <alignment horizontal="left"/>
    </xf>
    <xf numFmtId="167" fontId="0" fillId="0" borderId="57" xfId="0" applyNumberFormat="1" applyBorder="1" applyAlignment="1">
      <alignment horizontal="left"/>
    </xf>
    <xf numFmtId="167" fontId="0" fillId="0" borderId="57" xfId="0" applyNumberFormat="1" applyBorder="1" applyAlignment="1">
      <alignment horizontal="left" wrapText="1"/>
    </xf>
    <xf numFmtId="167" fontId="63" fillId="29" borderId="57" xfId="1" applyNumberFormat="1" applyFont="1" applyFill="1" applyBorder="1" applyAlignment="1">
      <alignment horizontal="left" vertical="top"/>
    </xf>
    <xf numFmtId="167" fontId="63" fillId="29" borderId="57" xfId="0" applyNumberFormat="1" applyFont="1" applyFill="1" applyBorder="1" applyAlignment="1">
      <alignment horizontal="left" vertical="top"/>
    </xf>
    <xf numFmtId="167" fontId="0" fillId="29" borderId="57" xfId="0" applyNumberFormat="1" applyFill="1" applyBorder="1" applyAlignment="1">
      <alignment horizontal="left" wrapText="1"/>
    </xf>
    <xf numFmtId="167" fontId="63" fillId="0" borderId="57" xfId="1" applyNumberFormat="1" applyFont="1" applyBorder="1" applyAlignment="1">
      <alignment horizontal="center" vertical="top"/>
    </xf>
    <xf numFmtId="167" fontId="63" fillId="0" borderId="57" xfId="0" applyNumberFormat="1" applyFont="1" applyBorder="1" applyAlignment="1">
      <alignment horizontal="center" vertical="top"/>
    </xf>
    <xf numFmtId="167" fontId="0" fillId="29" borderId="57" xfId="1" applyNumberFormat="1" applyFont="1" applyFill="1" applyBorder="1" applyAlignment="1">
      <alignment horizontal="left" vertical="top"/>
    </xf>
    <xf numFmtId="167" fontId="0" fillId="29" borderId="57" xfId="0" applyNumberFormat="1" applyFill="1" applyBorder="1" applyAlignment="1">
      <alignment horizontal="left" vertical="top"/>
    </xf>
    <xf numFmtId="167" fontId="0" fillId="0" borderId="57" xfId="1" applyNumberFormat="1" applyFont="1" applyBorder="1" applyAlignment="1">
      <alignment horizontal="left" vertical="top"/>
    </xf>
    <xf numFmtId="167" fontId="0" fillId="0" borderId="57" xfId="0" applyNumberFormat="1" applyBorder="1" applyAlignment="1">
      <alignment horizontal="left" vertical="top"/>
    </xf>
    <xf numFmtId="167" fontId="65" fillId="10" borderId="60" xfId="1" applyNumberFormat="1" applyFont="1" applyFill="1" applyBorder="1" applyAlignment="1">
      <alignment horizontal="left" vertical="top"/>
    </xf>
    <xf numFmtId="167" fontId="66" fillId="10" borderId="57" xfId="0" applyNumberFormat="1" applyFont="1" applyFill="1" applyBorder="1" applyAlignment="1">
      <alignment horizontal="right" vertical="top" indent="1" shrinkToFit="1"/>
    </xf>
    <xf numFmtId="167" fontId="66" fillId="29" borderId="57" xfId="0" applyNumberFormat="1" applyFont="1" applyFill="1" applyBorder="1" applyAlignment="1">
      <alignment horizontal="right" vertical="top" indent="1" shrinkToFit="1"/>
    </xf>
    <xf numFmtId="167" fontId="66" fillId="0" borderId="57" xfId="0" applyNumberFormat="1" applyFont="1" applyBorder="1" applyAlignment="1">
      <alignment horizontal="right" vertical="top" indent="1" shrinkToFit="1"/>
    </xf>
    <xf numFmtId="167" fontId="63" fillId="4" borderId="57" xfId="1" applyNumberFormat="1" applyFont="1" applyFill="1" applyBorder="1" applyAlignment="1">
      <alignment horizontal="left" vertical="top"/>
    </xf>
    <xf numFmtId="167" fontId="68" fillId="4" borderId="57" xfId="0" applyNumberFormat="1" applyFont="1" applyFill="1" applyBorder="1" applyAlignment="1">
      <alignment horizontal="right" vertical="top" indent="1" shrinkToFit="1"/>
    </xf>
    <xf numFmtId="167" fontId="0" fillId="10" borderId="57" xfId="0" applyNumberFormat="1" applyFill="1" applyBorder="1" applyAlignment="1">
      <alignment horizontal="left" wrapText="1"/>
    </xf>
    <xf numFmtId="167" fontId="65" fillId="29" borderId="57" xfId="1" applyNumberFormat="1" applyFont="1" applyFill="1" applyBorder="1" applyAlignment="1">
      <alignment horizontal="left" vertical="top"/>
    </xf>
    <xf numFmtId="167" fontId="63" fillId="0" borderId="57" xfId="1" applyNumberFormat="1" applyFont="1" applyBorder="1" applyAlignment="1">
      <alignment horizontal="left" vertical="top"/>
    </xf>
    <xf numFmtId="167" fontId="68" fillId="0" borderId="57" xfId="0" applyNumberFormat="1" applyFont="1" applyBorder="1" applyAlignment="1">
      <alignment horizontal="right" vertical="top" indent="1" shrinkToFit="1"/>
    </xf>
    <xf numFmtId="167" fontId="63" fillId="30" borderId="57" xfId="1" applyNumberFormat="1" applyFont="1" applyFill="1" applyBorder="1" applyAlignment="1">
      <alignment horizontal="right" vertical="top"/>
    </xf>
    <xf numFmtId="167" fontId="68" fillId="30" borderId="57" xfId="0" applyNumberFormat="1" applyFont="1" applyFill="1" applyBorder="1" applyAlignment="1">
      <alignment horizontal="right" vertical="top" indent="1" shrinkToFit="1"/>
    </xf>
    <xf numFmtId="167" fontId="65" fillId="0" borderId="57" xfId="1" applyNumberFormat="1" applyFont="1" applyBorder="1" applyAlignment="1">
      <alignment horizontal="left" vertical="top"/>
    </xf>
    <xf numFmtId="167" fontId="63" fillId="31" borderId="57" xfId="1" applyNumberFormat="1" applyFont="1" applyFill="1" applyBorder="1" applyAlignment="1">
      <alignment horizontal="left" vertical="top"/>
    </xf>
    <xf numFmtId="167" fontId="68" fillId="31" borderId="57" xfId="0" applyNumberFormat="1" applyFont="1" applyFill="1" applyBorder="1" applyAlignment="1">
      <alignment horizontal="right" vertical="top" indent="1" shrinkToFit="1"/>
    </xf>
    <xf numFmtId="167" fontId="63" fillId="31" borderId="57" xfId="1" applyNumberFormat="1" applyFont="1" applyFill="1" applyBorder="1" applyAlignment="1">
      <alignment horizontal="right" vertical="top"/>
    </xf>
    <xf numFmtId="167" fontId="0" fillId="29" borderId="57" xfId="1" applyNumberFormat="1" applyFont="1" applyFill="1" applyBorder="1" applyAlignment="1">
      <alignment horizontal="left"/>
    </xf>
    <xf numFmtId="167" fontId="0" fillId="4" borderId="57" xfId="1" applyNumberFormat="1" applyFont="1" applyFill="1" applyBorder="1" applyAlignment="1">
      <alignment horizontal="right" vertical="top"/>
    </xf>
    <xf numFmtId="167" fontId="63" fillId="0" borderId="57" xfId="1" applyNumberFormat="1" applyFont="1" applyBorder="1" applyAlignment="1">
      <alignment horizontal="right" vertical="top"/>
    </xf>
    <xf numFmtId="167" fontId="68" fillId="29" borderId="57" xfId="0" applyNumberFormat="1" applyFont="1" applyFill="1" applyBorder="1" applyAlignment="1">
      <alignment horizontal="right" vertical="top" indent="1" shrinkToFit="1"/>
    </xf>
    <xf numFmtId="167" fontId="63" fillId="4" borderId="57" xfId="1" applyNumberFormat="1" applyFont="1" applyFill="1" applyBorder="1" applyAlignment="1">
      <alignment horizontal="right" vertical="top"/>
    </xf>
    <xf numFmtId="167" fontId="0" fillId="4" borderId="57" xfId="1" applyNumberFormat="1" applyFont="1" applyFill="1" applyBorder="1" applyAlignment="1">
      <alignment horizontal="left" vertical="top"/>
    </xf>
    <xf numFmtId="167" fontId="0" fillId="29" borderId="57" xfId="0" applyNumberFormat="1" applyFill="1" applyBorder="1" applyAlignment="1">
      <alignment horizontal="left" vertical="center" wrapText="1"/>
    </xf>
    <xf numFmtId="167" fontId="63" fillId="23" borderId="57" xfId="1" applyNumberFormat="1" applyFont="1" applyFill="1" applyBorder="1" applyAlignment="1">
      <alignment horizontal="right" vertical="top"/>
    </xf>
    <xf numFmtId="167" fontId="68" fillId="23" borderId="57" xfId="0" applyNumberFormat="1" applyFont="1" applyFill="1" applyBorder="1" applyAlignment="1">
      <alignment horizontal="right" vertical="top" indent="1" shrinkToFit="1"/>
    </xf>
    <xf numFmtId="167" fontId="0" fillId="23" borderId="57" xfId="1" applyNumberFormat="1" applyFont="1" applyFill="1" applyBorder="1" applyAlignment="1">
      <alignment horizontal="right" vertical="top"/>
    </xf>
    <xf numFmtId="167" fontId="66" fillId="4" borderId="57" xfId="0" applyNumberFormat="1" applyFont="1" applyFill="1" applyBorder="1" applyAlignment="1">
      <alignment horizontal="right" vertical="top" indent="1" shrinkToFit="1"/>
    </xf>
    <xf numFmtId="167" fontId="6" fillId="0" borderId="57" xfId="1" applyNumberFormat="1" applyFont="1" applyBorder="1" applyAlignment="1">
      <alignment horizontal="left"/>
    </xf>
    <xf numFmtId="167" fontId="6" fillId="0" borderId="57" xfId="0" applyNumberFormat="1" applyFont="1" applyBorder="1" applyAlignment="1">
      <alignment horizontal="left" wrapText="1"/>
    </xf>
    <xf numFmtId="167" fontId="65" fillId="4" borderId="57" xfId="1" applyNumberFormat="1" applyFont="1" applyFill="1" applyBorder="1" applyAlignment="1">
      <alignment horizontal="left" vertical="top"/>
    </xf>
    <xf numFmtId="167" fontId="63" fillId="29" borderId="57" xfId="1" applyNumberFormat="1" applyFont="1" applyFill="1" applyBorder="1" applyAlignment="1">
      <alignment horizontal="right" vertical="top"/>
    </xf>
    <xf numFmtId="167" fontId="0" fillId="0" borderId="57" xfId="1" applyNumberFormat="1" applyFont="1" applyBorder="1" applyAlignment="1">
      <alignment horizontal="right" vertical="top"/>
    </xf>
    <xf numFmtId="167" fontId="65" fillId="0" borderId="57" xfId="0" applyNumberFormat="1" applyFont="1" applyBorder="1" applyAlignment="1">
      <alignment horizontal="left" vertical="top"/>
    </xf>
    <xf numFmtId="167" fontId="0" fillId="0" borderId="0" xfId="1" applyNumberFormat="1" applyFont="1" applyAlignment="1">
      <alignment horizontal="left" vertical="top"/>
    </xf>
    <xf numFmtId="167" fontId="0" fillId="0" borderId="0" xfId="0" applyNumberFormat="1" applyAlignment="1">
      <alignment horizontal="left" vertical="top"/>
    </xf>
    <xf numFmtId="0" fontId="4" fillId="0" borderId="5" xfId="0" applyFont="1" applyBorder="1"/>
    <xf numFmtId="166" fontId="73" fillId="0" borderId="61" xfId="2" applyNumberFormat="1" applyFont="1" applyBorder="1"/>
    <xf numFmtId="166" fontId="73" fillId="10" borderId="61" xfId="2" applyNumberFormat="1" applyFont="1" applyFill="1" applyBorder="1"/>
    <xf numFmtId="167" fontId="73" fillId="0" borderId="0" xfId="1" applyNumberFormat="1" applyFont="1" applyFill="1" applyBorder="1"/>
    <xf numFmtId="166" fontId="0" fillId="0" borderId="0" xfId="2" applyNumberFormat="1" applyFont="1"/>
    <xf numFmtId="10" fontId="0" fillId="0" borderId="0" xfId="2" applyNumberFormat="1" applyFont="1"/>
    <xf numFmtId="167" fontId="81" fillId="0" borderId="0" xfId="1" applyNumberFormat="1" applyFont="1" applyFill="1" applyBorder="1"/>
    <xf numFmtId="0" fontId="75" fillId="0" borderId="0" xfId="4" applyFont="1"/>
    <xf numFmtId="0" fontId="76" fillId="0" borderId="0" xfId="4" applyFont="1"/>
    <xf numFmtId="3" fontId="76" fillId="8" borderId="5" xfId="21" applyNumberFormat="1" applyFont="1" applyFill="1" applyBorder="1"/>
    <xf numFmtId="167" fontId="76" fillId="8" borderId="5" xfId="1" applyNumberFormat="1" applyFont="1" applyFill="1" applyBorder="1"/>
    <xf numFmtId="0" fontId="75" fillId="0" borderId="0" xfId="21" applyFont="1" applyBorder="1" applyAlignment="1">
      <alignment horizontal="left"/>
    </xf>
    <xf numFmtId="3" fontId="76" fillId="0" borderId="0" xfId="21" applyNumberFormat="1" applyFont="1" applyBorder="1" applyAlignment="1">
      <alignment horizontal="left"/>
    </xf>
    <xf numFmtId="0" fontId="79" fillId="0" borderId="0" xfId="4" applyFont="1"/>
    <xf numFmtId="3" fontId="82" fillId="0" borderId="0" xfId="21" applyNumberFormat="1" applyFont="1" applyBorder="1" applyAlignment="1">
      <alignment horizontal="left"/>
    </xf>
    <xf numFmtId="0" fontId="74" fillId="2" borderId="0" xfId="4" applyFont="1" applyFill="1"/>
    <xf numFmtId="3" fontId="75" fillId="0" borderId="0" xfId="21" applyNumberFormat="1" applyFont="1" applyBorder="1" applyAlignment="1">
      <alignment horizontal="left"/>
    </xf>
    <xf numFmtId="167" fontId="75" fillId="10" borderId="64" xfId="1" applyNumberFormat="1" applyFont="1" applyFill="1" applyBorder="1"/>
    <xf numFmtId="0" fontId="75" fillId="0" borderId="0" xfId="21" applyFont="1" applyBorder="1"/>
    <xf numFmtId="167" fontId="75" fillId="0" borderId="0" xfId="1" applyNumberFormat="1" applyFont="1"/>
    <xf numFmtId="167" fontId="79" fillId="0" borderId="0" xfId="1" applyNumberFormat="1" applyFont="1"/>
    <xf numFmtId="9" fontId="73" fillId="0" borderId="0" xfId="0" applyNumberFormat="1" applyFont="1"/>
    <xf numFmtId="169" fontId="75" fillId="0" borderId="0" xfId="4" applyNumberFormat="1" applyFont="1"/>
    <xf numFmtId="3" fontId="66" fillId="34" borderId="57" xfId="0" applyNumberFormat="1" applyFont="1" applyFill="1" applyBorder="1" applyAlignment="1">
      <alignment horizontal="right" vertical="top" indent="1" shrinkToFit="1"/>
    </xf>
    <xf numFmtId="4" fontId="66" fillId="34" borderId="57" xfId="0" applyNumberFormat="1" applyFont="1" applyFill="1" applyBorder="1" applyAlignment="1">
      <alignment horizontal="right" vertical="top" indent="1" shrinkToFit="1"/>
    </xf>
    <xf numFmtId="166" fontId="0" fillId="0" borderId="0" xfId="0" applyNumberFormat="1"/>
    <xf numFmtId="9" fontId="75" fillId="0" borderId="0" xfId="2" applyFont="1"/>
    <xf numFmtId="9" fontId="76" fillId="7" borderId="0" xfId="4" applyNumberFormat="1" applyFont="1" applyFill="1"/>
    <xf numFmtId="166" fontId="75" fillId="0" borderId="0" xfId="2" applyNumberFormat="1" applyFont="1"/>
    <xf numFmtId="0" fontId="38" fillId="0" borderId="0" xfId="0" applyFont="1"/>
    <xf numFmtId="169" fontId="38" fillId="0" borderId="0" xfId="0" applyNumberFormat="1" applyFont="1"/>
    <xf numFmtId="9" fontId="73" fillId="0" borderId="0" xfId="2" applyFont="1"/>
    <xf numFmtId="0" fontId="73" fillId="0" borderId="63" xfId="0" applyFont="1" applyBorder="1"/>
    <xf numFmtId="0" fontId="73" fillId="0" borderId="9" xfId="0" applyFont="1" applyBorder="1"/>
    <xf numFmtId="0" fontId="73" fillId="0" borderId="14" xfId="0" applyFont="1" applyBorder="1"/>
    <xf numFmtId="0" fontId="74" fillId="32" borderId="11" xfId="0" applyFont="1" applyFill="1" applyBorder="1"/>
    <xf numFmtId="0" fontId="74" fillId="32" borderId="12" xfId="0" applyFont="1" applyFill="1" applyBorder="1"/>
    <xf numFmtId="0" fontId="74" fillId="32" borderId="0" xfId="0" applyFont="1" applyFill="1" applyProtection="1">
      <protection locked="0"/>
    </xf>
    <xf numFmtId="9" fontId="74" fillId="32" borderId="0" xfId="2" applyFont="1" applyFill="1"/>
    <xf numFmtId="9" fontId="73" fillId="0" borderId="61" xfId="2" applyFont="1" applyBorder="1"/>
    <xf numFmtId="167" fontId="73" fillId="0" borderId="65" xfId="1" applyNumberFormat="1" applyFont="1" applyBorder="1"/>
    <xf numFmtId="167" fontId="73" fillId="0" borderId="66" xfId="1" applyNumberFormat="1" applyFont="1" applyBorder="1"/>
    <xf numFmtId="167" fontId="73" fillId="0" borderId="67" xfId="1" applyNumberFormat="1" applyFont="1" applyBorder="1"/>
    <xf numFmtId="167" fontId="73" fillId="0" borderId="68" xfId="1" applyNumberFormat="1" applyFont="1" applyBorder="1"/>
    <xf numFmtId="167" fontId="73" fillId="0" borderId="69" xfId="1" applyNumberFormat="1" applyFont="1" applyBorder="1"/>
    <xf numFmtId="167" fontId="73" fillId="0" borderId="70" xfId="1" applyNumberFormat="1" applyFont="1" applyBorder="1"/>
    <xf numFmtId="0" fontId="73" fillId="0" borderId="61" xfId="1" applyNumberFormat="1" applyFont="1" applyBorder="1"/>
    <xf numFmtId="167" fontId="73" fillId="0" borderId="0" xfId="0" applyNumberFormat="1" applyFont="1"/>
    <xf numFmtId="167" fontId="38" fillId="0" borderId="0" xfId="1" applyNumberFormat="1" applyFont="1"/>
    <xf numFmtId="171" fontId="73" fillId="0" borderId="0" xfId="0" applyNumberFormat="1" applyFont="1"/>
    <xf numFmtId="167" fontId="73" fillId="35" borderId="61" xfId="1" applyNumberFormat="1" applyFont="1" applyFill="1" applyBorder="1"/>
    <xf numFmtId="0" fontId="73" fillId="35" borderId="61" xfId="1" applyNumberFormat="1" applyFont="1" applyFill="1" applyBorder="1"/>
    <xf numFmtId="9" fontId="73" fillId="35" borderId="61" xfId="2" applyFont="1" applyFill="1" applyBorder="1"/>
    <xf numFmtId="167" fontId="73" fillId="35" borderId="65" xfId="1" applyNumberFormat="1" applyFont="1" applyFill="1" applyBorder="1"/>
    <xf numFmtId="167" fontId="73" fillId="35" borderId="67" xfId="1" applyNumberFormat="1" applyFont="1" applyFill="1" applyBorder="1"/>
    <xf numFmtId="167" fontId="73" fillId="35" borderId="68" xfId="1" applyNumberFormat="1" applyFont="1" applyFill="1" applyBorder="1"/>
    <xf numFmtId="167" fontId="73" fillId="35" borderId="66" xfId="1" applyNumberFormat="1" applyFont="1" applyFill="1" applyBorder="1"/>
    <xf numFmtId="0" fontId="38" fillId="0" borderId="5" xfId="0" applyFont="1" applyBorder="1"/>
    <xf numFmtId="9" fontId="38" fillId="0" borderId="5" xfId="2" applyFont="1" applyBorder="1"/>
    <xf numFmtId="167" fontId="38" fillId="0" borderId="5" xfId="1" applyNumberFormat="1" applyFont="1" applyBorder="1"/>
    <xf numFmtId="0" fontId="73" fillId="7" borderId="0" xfId="0" applyFont="1" applyFill="1"/>
    <xf numFmtId="0" fontId="38" fillId="0" borderId="8" xfId="0" applyFont="1" applyBorder="1"/>
    <xf numFmtId="9" fontId="73" fillId="0" borderId="9" xfId="2" applyFont="1" applyBorder="1"/>
    <xf numFmtId="167" fontId="38" fillId="0" borderId="9" xfId="1" applyNumberFormat="1" applyFont="1" applyBorder="1"/>
    <xf numFmtId="9" fontId="73" fillId="0" borderId="63" xfId="2" applyFont="1" applyBorder="1"/>
    <xf numFmtId="167" fontId="73" fillId="0" borderId="63" xfId="0" applyNumberFormat="1" applyFont="1" applyBorder="1"/>
    <xf numFmtId="0" fontId="83" fillId="2" borderId="0" xfId="4" applyFont="1" applyFill="1"/>
    <xf numFmtId="0" fontId="84" fillId="0" borderId="0" xfId="4" applyFont="1"/>
    <xf numFmtId="9" fontId="84" fillId="0" borderId="0" xfId="4" applyNumberFormat="1" applyFont="1"/>
    <xf numFmtId="167" fontId="84" fillId="0" borderId="0" xfId="1" applyNumberFormat="1" applyFont="1"/>
    <xf numFmtId="0" fontId="84" fillId="0" borderId="5" xfId="4" applyFont="1" applyBorder="1"/>
    <xf numFmtId="167" fontId="84" fillId="0" borderId="5" xfId="1" applyNumberFormat="1" applyFont="1" applyBorder="1"/>
    <xf numFmtId="167" fontId="83" fillId="2" borderId="0" xfId="4" applyNumberFormat="1" applyFont="1" applyFill="1"/>
    <xf numFmtId="166" fontId="38" fillId="7" borderId="0" xfId="0" applyNumberFormat="1" applyFont="1" applyFill="1"/>
    <xf numFmtId="169" fontId="38" fillId="10" borderId="61" xfId="1" applyNumberFormat="1" applyFont="1" applyFill="1" applyBorder="1"/>
    <xf numFmtId="167" fontId="85" fillId="0" borderId="5" xfId="1" applyNumberFormat="1" applyFont="1" applyBorder="1"/>
    <xf numFmtId="167" fontId="73" fillId="0" borderId="72" xfId="1" applyNumberFormat="1" applyFont="1" applyBorder="1"/>
    <xf numFmtId="167" fontId="38" fillId="0" borderId="73" xfId="1" applyNumberFormat="1" applyFont="1" applyFill="1" applyBorder="1"/>
    <xf numFmtId="169" fontId="38" fillId="0" borderId="5" xfId="0" applyNumberFormat="1" applyFont="1" applyBorder="1"/>
    <xf numFmtId="167" fontId="86" fillId="0" borderId="71" xfId="1" applyNumberFormat="1" applyFont="1" applyFill="1" applyBorder="1"/>
    <xf numFmtId="169" fontId="6" fillId="0" borderId="0" xfId="0" applyNumberFormat="1" applyFont="1"/>
    <xf numFmtId="169" fontId="0" fillId="0" borderId="0" xfId="0" applyNumberFormat="1"/>
    <xf numFmtId="169" fontId="86" fillId="0" borderId="0" xfId="0" applyNumberFormat="1" applyFont="1"/>
    <xf numFmtId="166" fontId="86" fillId="0" borderId="0" xfId="2" applyNumberFormat="1" applyFont="1"/>
    <xf numFmtId="0" fontId="2" fillId="3" borderId="0" xfId="0" applyFont="1" applyFill="1" applyAlignment="1">
      <alignment horizontal="right"/>
    </xf>
    <xf numFmtId="167" fontId="73" fillId="10" borderId="61" xfId="1" applyNumberFormat="1" applyFont="1" applyFill="1" applyBorder="1"/>
    <xf numFmtId="167" fontId="38" fillId="0" borderId="13" xfId="1" applyNumberFormat="1" applyFont="1" applyFill="1" applyBorder="1"/>
    <xf numFmtId="0" fontId="4" fillId="0" borderId="13" xfId="0" applyFont="1" applyBorder="1"/>
    <xf numFmtId="169" fontId="4" fillId="0" borderId="13" xfId="0" applyNumberFormat="1" applyFont="1" applyBorder="1"/>
    <xf numFmtId="169" fontId="73" fillId="34" borderId="61" xfId="1" applyNumberFormat="1" applyFont="1" applyFill="1" applyBorder="1"/>
    <xf numFmtId="0" fontId="89" fillId="37" borderId="0" xfId="0" applyFont="1" applyFill="1"/>
    <xf numFmtId="0" fontId="0" fillId="37" borderId="0" xfId="0" applyFill="1"/>
    <xf numFmtId="0" fontId="0" fillId="0" borderId="0" xfId="0" applyAlignment="1">
      <alignment horizontal="left" vertical="center"/>
    </xf>
    <xf numFmtId="0" fontId="4" fillId="7" borderId="61" xfId="0" applyFont="1" applyFill="1" applyBorder="1"/>
    <xf numFmtId="0" fontId="0" fillId="0" borderId="61" xfId="0" applyBorder="1"/>
    <xf numFmtId="167" fontId="0" fillId="0" borderId="61" xfId="1" applyNumberFormat="1" applyFont="1" applyBorder="1"/>
    <xf numFmtId="0" fontId="0" fillId="0" borderId="72" xfId="0" applyBorder="1"/>
    <xf numFmtId="167" fontId="0" fillId="0" borderId="72" xfId="1" applyNumberFormat="1" applyFont="1" applyBorder="1"/>
    <xf numFmtId="167" fontId="4" fillId="0" borderId="5" xfId="0" applyNumberFormat="1" applyFont="1" applyBorder="1"/>
    <xf numFmtId="0" fontId="4" fillId="7" borderId="0" xfId="0" applyFont="1" applyFill="1"/>
    <xf numFmtId="167" fontId="0" fillId="0" borderId="0" xfId="1" applyNumberFormat="1" applyFont="1" applyBorder="1"/>
    <xf numFmtId="167" fontId="0" fillId="0" borderId="0" xfId="1" applyNumberFormat="1" applyFont="1" applyFill="1" applyBorder="1"/>
    <xf numFmtId="17" fontId="4" fillId="35" borderId="61" xfId="0" applyNumberFormat="1" applyFont="1" applyFill="1" applyBorder="1"/>
    <xf numFmtId="17" fontId="4" fillId="14" borderId="73" xfId="0" applyNumberFormat="1" applyFont="1" applyFill="1" applyBorder="1" applyAlignment="1">
      <alignment horizontal="center"/>
    </xf>
    <xf numFmtId="167" fontId="4" fillId="14" borderId="5" xfId="1" applyNumberFormat="1" applyFont="1" applyFill="1" applyBorder="1"/>
    <xf numFmtId="0" fontId="2" fillId="3" borderId="0" xfId="0" applyFont="1" applyFill="1" applyAlignment="1">
      <alignment horizontal="center"/>
    </xf>
    <xf numFmtId="9" fontId="4" fillId="14" borderId="5" xfId="2" applyFont="1" applyFill="1" applyBorder="1"/>
    <xf numFmtId="17" fontId="4" fillId="7" borderId="0" xfId="0" applyNumberFormat="1" applyFont="1" applyFill="1" applyAlignment="1">
      <alignment horizontal="center"/>
    </xf>
    <xf numFmtId="166" fontId="4" fillId="0" borderId="0" xfId="0" applyNumberFormat="1" applyFont="1"/>
    <xf numFmtId="167" fontId="6" fillId="0" borderId="0" xfId="0" applyNumberFormat="1" applyFont="1"/>
    <xf numFmtId="167" fontId="0" fillId="7" borderId="61" xfId="1" applyNumberFormat="1" applyFont="1" applyFill="1" applyBorder="1"/>
    <xf numFmtId="167" fontId="0" fillId="7" borderId="72" xfId="1" applyNumberFormat="1" applyFont="1" applyFill="1" applyBorder="1"/>
    <xf numFmtId="166" fontId="4" fillId="8" borderId="0" xfId="0" applyNumberFormat="1" applyFont="1" applyFill="1"/>
    <xf numFmtId="9" fontId="49" fillId="0" borderId="56" xfId="2" applyFont="1" applyBorder="1" applyAlignment="1">
      <alignment horizontal="center" vertical="center"/>
    </xf>
    <xf numFmtId="166" fontId="4" fillId="0" borderId="13" xfId="2" applyNumberFormat="1" applyFont="1" applyBorder="1"/>
    <xf numFmtId="167" fontId="4" fillId="0" borderId="13" xfId="1" applyNumberFormat="1" applyFont="1" applyBorder="1"/>
    <xf numFmtId="9" fontId="14" fillId="0" borderId="0" xfId="2" applyFont="1"/>
    <xf numFmtId="166" fontId="10" fillId="35" borderId="0" xfId="2" applyNumberFormat="1" applyFont="1" applyFill="1"/>
    <xf numFmtId="166" fontId="11" fillId="0" borderId="0" xfId="6" applyNumberFormat="1" applyFont="1"/>
    <xf numFmtId="166" fontId="4" fillId="7" borderId="0" xfId="0" applyNumberFormat="1" applyFont="1" applyFill="1"/>
    <xf numFmtId="166" fontId="4" fillId="7" borderId="13" xfId="2" applyNumberFormat="1" applyFont="1" applyFill="1" applyBorder="1"/>
    <xf numFmtId="0" fontId="13" fillId="16" borderId="0" xfId="4" applyFont="1" applyFill="1"/>
    <xf numFmtId="174" fontId="0" fillId="0" borderId="0" xfId="0" applyNumberFormat="1"/>
    <xf numFmtId="169" fontId="73" fillId="0" borderId="0" xfId="0" applyNumberFormat="1" applyFont="1"/>
    <xf numFmtId="167" fontId="4" fillId="0" borderId="0" xfId="1" applyNumberFormat="1" applyFont="1"/>
    <xf numFmtId="9" fontId="6" fillId="0" borderId="0" xfId="2" applyFont="1"/>
    <xf numFmtId="178" fontId="48" fillId="7" borderId="40" xfId="0" applyNumberFormat="1" applyFont="1" applyFill="1" applyBorder="1" applyAlignment="1">
      <alignment vertical="center"/>
    </xf>
    <xf numFmtId="178" fontId="48" fillId="7" borderId="10" xfId="0" applyNumberFormat="1" applyFont="1" applyFill="1" applyBorder="1" applyAlignment="1">
      <alignment vertical="center"/>
    </xf>
    <xf numFmtId="167" fontId="79" fillId="11" borderId="0" xfId="1" applyNumberFormat="1" applyFont="1" applyFill="1"/>
    <xf numFmtId="166" fontId="4" fillId="0" borderId="1" xfId="2" applyNumberFormat="1" applyFont="1" applyBorder="1"/>
    <xf numFmtId="167" fontId="4" fillId="0" borderId="1" xfId="1" applyNumberFormat="1" applyFont="1" applyBorder="1"/>
    <xf numFmtId="167" fontId="73" fillId="0" borderId="87" xfId="1" applyNumberFormat="1" applyFont="1" applyBorder="1"/>
    <xf numFmtId="167" fontId="73" fillId="0" borderId="74" xfId="0" applyNumberFormat="1" applyFont="1" applyBorder="1"/>
    <xf numFmtId="167" fontId="73" fillId="0" borderId="75" xfId="0" applyNumberFormat="1" applyFont="1" applyBorder="1"/>
    <xf numFmtId="167" fontId="73" fillId="0" borderId="76" xfId="0" applyNumberFormat="1" applyFont="1" applyBorder="1"/>
    <xf numFmtId="167" fontId="73" fillId="7" borderId="88" xfId="1" applyNumberFormat="1" applyFont="1" applyFill="1" applyBorder="1"/>
    <xf numFmtId="167" fontId="73" fillId="7" borderId="89" xfId="1" applyNumberFormat="1" applyFont="1" applyFill="1" applyBorder="1"/>
    <xf numFmtId="167" fontId="73" fillId="7" borderId="90" xfId="1" applyNumberFormat="1" applyFont="1" applyFill="1" applyBorder="1"/>
    <xf numFmtId="167" fontId="73" fillId="0" borderId="88" xfId="1" applyNumberFormat="1" applyFont="1" applyFill="1" applyBorder="1"/>
    <xf numFmtId="167" fontId="73" fillId="0" borderId="89" xfId="1" applyNumberFormat="1" applyFont="1" applyFill="1" applyBorder="1"/>
    <xf numFmtId="167" fontId="73" fillId="0" borderId="90" xfId="1" applyNumberFormat="1" applyFont="1" applyFill="1" applyBorder="1"/>
    <xf numFmtId="0" fontId="86" fillId="0" borderId="0" xfId="0" applyFont="1"/>
    <xf numFmtId="167" fontId="73" fillId="34" borderId="88" xfId="1" applyNumberFormat="1" applyFont="1" applyFill="1" applyBorder="1"/>
    <xf numFmtId="167" fontId="73" fillId="34" borderId="90" xfId="1" applyNumberFormat="1" applyFont="1" applyFill="1" applyBorder="1"/>
    <xf numFmtId="167" fontId="73" fillId="13" borderId="88" xfId="1" applyNumberFormat="1" applyFont="1" applyFill="1" applyBorder="1"/>
    <xf numFmtId="167" fontId="73" fillId="13" borderId="89" xfId="1" applyNumberFormat="1" applyFont="1" applyFill="1" applyBorder="1"/>
    <xf numFmtId="167" fontId="73" fillId="13" borderId="90" xfId="1" applyNumberFormat="1" applyFont="1" applyFill="1" applyBorder="1"/>
    <xf numFmtId="167" fontId="73" fillId="24" borderId="88" xfId="1" applyNumberFormat="1" applyFont="1" applyFill="1" applyBorder="1"/>
    <xf numFmtId="167" fontId="73" fillId="24" borderId="89" xfId="1" applyNumberFormat="1" applyFont="1" applyFill="1" applyBorder="1"/>
    <xf numFmtId="167" fontId="73" fillId="24" borderId="90" xfId="1" applyNumberFormat="1" applyFont="1" applyFill="1" applyBorder="1"/>
    <xf numFmtId="167" fontId="73" fillId="35" borderId="88" xfId="1" applyNumberFormat="1" applyFont="1" applyFill="1" applyBorder="1"/>
    <xf numFmtId="167" fontId="73" fillId="35" borderId="89" xfId="1" applyNumberFormat="1" applyFont="1" applyFill="1" applyBorder="1"/>
    <xf numFmtId="167" fontId="73" fillId="35" borderId="90" xfId="1" applyNumberFormat="1" applyFont="1" applyFill="1" applyBorder="1"/>
    <xf numFmtId="167" fontId="73" fillId="0" borderId="71" xfId="1" applyNumberFormat="1" applyFont="1" applyBorder="1"/>
    <xf numFmtId="167" fontId="73" fillId="8" borderId="88" xfId="1" applyNumberFormat="1" applyFont="1" applyFill="1" applyBorder="1"/>
    <xf numFmtId="167" fontId="73" fillId="8" borderId="89" xfId="1" applyNumberFormat="1" applyFont="1" applyFill="1" applyBorder="1"/>
    <xf numFmtId="167" fontId="73" fillId="8" borderId="90" xfId="1" applyNumberFormat="1" applyFont="1" applyFill="1" applyBorder="1"/>
    <xf numFmtId="167" fontId="73" fillId="10" borderId="88" xfId="1" applyNumberFormat="1" applyFont="1" applyFill="1" applyBorder="1"/>
    <xf numFmtId="167" fontId="73" fillId="10" borderId="89" xfId="1" applyNumberFormat="1" applyFont="1" applyFill="1" applyBorder="1"/>
    <xf numFmtId="167" fontId="73" fillId="10" borderId="90" xfId="1" applyNumberFormat="1" applyFont="1" applyFill="1" applyBorder="1"/>
    <xf numFmtId="167" fontId="73" fillId="23" borderId="88" xfId="1" applyNumberFormat="1" applyFont="1" applyFill="1" applyBorder="1"/>
    <xf numFmtId="167" fontId="73" fillId="23" borderId="89" xfId="1" applyNumberFormat="1" applyFont="1" applyFill="1" applyBorder="1"/>
    <xf numFmtId="167" fontId="73" fillId="23" borderId="90" xfId="1" applyNumberFormat="1" applyFont="1" applyFill="1" applyBorder="1"/>
    <xf numFmtId="167" fontId="73" fillId="34" borderId="89" xfId="1" applyNumberFormat="1" applyFont="1" applyFill="1" applyBorder="1"/>
    <xf numFmtId="0" fontId="86" fillId="13" borderId="0" xfId="0" applyFont="1" applyFill="1"/>
    <xf numFmtId="167" fontId="73" fillId="22" borderId="89" xfId="1" applyNumberFormat="1" applyFont="1" applyFill="1" applyBorder="1"/>
    <xf numFmtId="167" fontId="86" fillId="0" borderId="0" xfId="0" applyNumberFormat="1" applyFont="1"/>
    <xf numFmtId="167" fontId="73" fillId="0" borderId="66" xfId="1" applyNumberFormat="1" applyFont="1" applyFill="1" applyBorder="1"/>
    <xf numFmtId="165" fontId="73" fillId="0" borderId="0" xfId="1" applyFont="1"/>
    <xf numFmtId="186" fontId="12" fillId="0" borderId="0" xfId="1" applyNumberFormat="1" applyFont="1" applyFill="1" applyAlignment="1">
      <alignment horizontal="left" vertical="center"/>
    </xf>
    <xf numFmtId="166" fontId="12" fillId="0" borderId="0" xfId="2" applyNumberFormat="1" applyFont="1" applyFill="1" applyAlignment="1">
      <alignment horizontal="right" vertical="center"/>
    </xf>
    <xf numFmtId="0" fontId="13" fillId="9" borderId="0" xfId="4" applyFont="1" applyFill="1"/>
    <xf numFmtId="0" fontId="13" fillId="16" borderId="0" xfId="4" applyFont="1" applyFill="1" applyAlignment="1">
      <alignment horizontal="right"/>
    </xf>
    <xf numFmtId="166" fontId="6" fillId="0" borderId="0" xfId="0" applyNumberFormat="1" applyFont="1"/>
    <xf numFmtId="166" fontId="0" fillId="0" borderId="0" xfId="2" applyNumberFormat="1" applyFont="1" applyAlignment="1">
      <alignment horizontal="right"/>
    </xf>
    <xf numFmtId="0" fontId="2" fillId="9" borderId="0" xfId="0" applyFont="1" applyFill="1"/>
    <xf numFmtId="167" fontId="2" fillId="9" borderId="0" xfId="1" applyNumberFormat="1" applyFont="1" applyFill="1"/>
    <xf numFmtId="187" fontId="0" fillId="0" borderId="0" xfId="0" applyNumberFormat="1"/>
    <xf numFmtId="167" fontId="0" fillId="39" borderId="0" xfId="1" applyNumberFormat="1" applyFont="1" applyFill="1"/>
    <xf numFmtId="166" fontId="4" fillId="0" borderId="0" xfId="2" applyNumberFormat="1" applyFont="1"/>
    <xf numFmtId="166" fontId="2" fillId="9" borderId="0" xfId="2" applyNumberFormat="1" applyFont="1" applyFill="1"/>
    <xf numFmtId="166" fontId="2" fillId="9" borderId="0" xfId="2" applyNumberFormat="1" applyFont="1" applyFill="1" applyBorder="1"/>
    <xf numFmtId="166" fontId="0" fillId="9" borderId="0" xfId="2" applyNumberFormat="1" applyFont="1" applyFill="1"/>
    <xf numFmtId="166" fontId="6" fillId="0" borderId="0" xfId="2" applyNumberFormat="1" applyFont="1"/>
    <xf numFmtId="0" fontId="0" fillId="0" borderId="75" xfId="0" applyBorder="1"/>
    <xf numFmtId="167" fontId="0" fillId="35" borderId="0" xfId="1" applyNumberFormat="1" applyFont="1" applyFill="1"/>
    <xf numFmtId="0" fontId="2" fillId="9" borderId="13" xfId="0" applyFont="1" applyFill="1" applyBorder="1"/>
    <xf numFmtId="167" fontId="2" fillId="9" borderId="13" xfId="0" applyNumberFormat="1" applyFont="1" applyFill="1" applyBorder="1"/>
    <xf numFmtId="170" fontId="80" fillId="7" borderId="0" xfId="1" applyNumberFormat="1" applyFont="1" applyFill="1" applyAlignment="1">
      <alignment horizontal="right" vertical="center"/>
    </xf>
    <xf numFmtId="0" fontId="4" fillId="7" borderId="13" xfId="0" applyFont="1" applyFill="1" applyBorder="1"/>
    <xf numFmtId="166" fontId="5" fillId="7" borderId="13" xfId="2" applyNumberFormat="1" applyFont="1" applyFill="1" applyBorder="1"/>
    <xf numFmtId="0" fontId="0" fillId="0" borderId="0" xfId="0" applyAlignment="1">
      <alignment vertical="top"/>
    </xf>
    <xf numFmtId="0" fontId="4" fillId="0" borderId="0" xfId="0" applyFont="1" applyAlignment="1">
      <alignment vertical="center"/>
    </xf>
    <xf numFmtId="166" fontId="10" fillId="0" borderId="0" xfId="2" applyNumberFormat="1" applyFont="1" applyFill="1" applyAlignment="1">
      <alignment horizontal="right" vertical="center"/>
    </xf>
    <xf numFmtId="167" fontId="86" fillId="0" borderId="0" xfId="1" applyNumberFormat="1" applyFont="1" applyFill="1" applyBorder="1"/>
    <xf numFmtId="166" fontId="86" fillId="10" borderId="61" xfId="2" applyNumberFormat="1" applyFont="1" applyFill="1" applyBorder="1"/>
    <xf numFmtId="166" fontId="38" fillId="7" borderId="61" xfId="2" applyNumberFormat="1" applyFont="1" applyFill="1" applyBorder="1"/>
    <xf numFmtId="166" fontId="73" fillId="0" borderId="0" xfId="2" applyNumberFormat="1" applyFont="1" applyFill="1"/>
    <xf numFmtId="9" fontId="73" fillId="0" borderId="61" xfId="2" applyFont="1" applyFill="1" applyBorder="1"/>
    <xf numFmtId="167" fontId="73" fillId="0" borderId="65" xfId="1" applyNumberFormat="1" applyFont="1" applyFill="1" applyBorder="1"/>
    <xf numFmtId="167" fontId="73" fillId="0" borderId="67" xfId="1" applyNumberFormat="1" applyFont="1" applyFill="1" applyBorder="1"/>
    <xf numFmtId="167" fontId="73" fillId="0" borderId="68" xfId="1" applyNumberFormat="1" applyFont="1" applyFill="1" applyBorder="1"/>
    <xf numFmtId="0" fontId="0" fillId="0" borderId="0" xfId="0" applyAlignment="1">
      <alignment horizontal="left" vertical="center" wrapText="1"/>
    </xf>
    <xf numFmtId="10" fontId="75" fillId="0" borderId="0" xfId="2" applyNumberFormat="1" applyFont="1"/>
    <xf numFmtId="10" fontId="76" fillId="7" borderId="0" xfId="4" applyNumberFormat="1" applyFont="1" applyFill="1"/>
    <xf numFmtId="167" fontId="66" fillId="21" borderId="57" xfId="0" applyNumberFormat="1" applyFont="1" applyFill="1" applyBorder="1" applyAlignment="1">
      <alignment horizontal="right" vertical="top" indent="1" shrinkToFit="1"/>
    </xf>
    <xf numFmtId="0" fontId="62" fillId="29" borderId="57" xfId="0" applyFont="1" applyFill="1" applyBorder="1" applyAlignment="1">
      <alignment horizontal="left" vertical="top"/>
    </xf>
    <xf numFmtId="0" fontId="93" fillId="0" borderId="0" xfId="0" applyFont="1"/>
    <xf numFmtId="0" fontId="93" fillId="7" borderId="0" xfId="0" applyFont="1" applyFill="1"/>
    <xf numFmtId="0" fontId="0" fillId="7" borderId="0" xfId="0" applyFill="1"/>
    <xf numFmtId="167" fontId="86" fillId="0" borderId="0" xfId="1" applyNumberFormat="1" applyFont="1"/>
    <xf numFmtId="0" fontId="19" fillId="0" borderId="5" xfId="0" applyFont="1" applyBorder="1"/>
    <xf numFmtId="169" fontId="19" fillId="0" borderId="5" xfId="0" applyNumberFormat="1" applyFont="1" applyBorder="1"/>
    <xf numFmtId="0" fontId="94" fillId="0" borderId="0" xfId="0" applyFont="1"/>
    <xf numFmtId="169" fontId="94" fillId="0" borderId="0" xfId="0" applyNumberFormat="1" applyFont="1"/>
    <xf numFmtId="0" fontId="10" fillId="0" borderId="0" xfId="6" applyFont="1" applyAlignment="1">
      <alignment horizontal="right"/>
    </xf>
    <xf numFmtId="167" fontId="12" fillId="0" borderId="0" xfId="6" applyNumberFormat="1" applyFont="1" applyAlignment="1">
      <alignment horizontal="right"/>
    </xf>
    <xf numFmtId="9" fontId="14" fillId="0" borderId="0" xfId="2" applyFont="1" applyAlignment="1">
      <alignment horizontal="right"/>
    </xf>
    <xf numFmtId="174" fontId="12" fillId="0" borderId="0" xfId="6" applyNumberFormat="1" applyFont="1" applyAlignment="1">
      <alignment horizontal="right"/>
    </xf>
    <xf numFmtId="0" fontId="12" fillId="0" borderId="9" xfId="6" applyFont="1" applyBorder="1" applyAlignment="1">
      <alignment horizontal="right"/>
    </xf>
    <xf numFmtId="0" fontId="13" fillId="15" borderId="0" xfId="4" applyFont="1" applyFill="1" applyAlignment="1">
      <alignment horizontal="right"/>
    </xf>
    <xf numFmtId="9" fontId="12" fillId="0" borderId="0" xfId="2" applyFont="1" applyAlignment="1">
      <alignment horizontal="right"/>
    </xf>
    <xf numFmtId="0" fontId="13" fillId="18" borderId="51" xfId="4" applyFont="1" applyFill="1" applyBorder="1" applyAlignment="1">
      <alignment horizontal="right"/>
    </xf>
    <xf numFmtId="175" fontId="12" fillId="0" borderId="51" xfId="6" applyNumberFormat="1" applyFont="1" applyBorder="1"/>
    <xf numFmtId="174" fontId="12" fillId="7" borderId="0" xfId="1" applyNumberFormat="1" applyFont="1" applyFill="1" applyAlignment="1">
      <alignment horizontal="left" vertical="center"/>
    </xf>
    <xf numFmtId="167" fontId="38" fillId="0" borderId="6" xfId="1" applyNumberFormat="1" applyFont="1" applyBorder="1"/>
    <xf numFmtId="0" fontId="74" fillId="32" borderId="0" xfId="1" applyNumberFormat="1" applyFont="1" applyFill="1" applyAlignment="1">
      <alignment horizontal="right"/>
    </xf>
    <xf numFmtId="185" fontId="12" fillId="0" borderId="0" xfId="1" applyNumberFormat="1" applyFont="1"/>
    <xf numFmtId="0" fontId="60" fillId="0" borderId="0" xfId="0" applyFont="1"/>
    <xf numFmtId="10" fontId="60" fillId="0" borderId="0" xfId="2" applyNumberFormat="1" applyFont="1"/>
    <xf numFmtId="0" fontId="2" fillId="32" borderId="0" xfId="0" applyFont="1" applyFill="1" applyAlignment="1">
      <alignment horizontal="right"/>
    </xf>
    <xf numFmtId="167" fontId="4" fillId="0" borderId="5" xfId="1" applyNumberFormat="1" applyFont="1" applyBorder="1"/>
    <xf numFmtId="0" fontId="2" fillId="3" borderId="74" xfId="0" applyFont="1" applyFill="1" applyBorder="1" applyAlignment="1">
      <alignment horizontal="right"/>
    </xf>
    <xf numFmtId="167" fontId="0" fillId="0" borderId="75" xfId="1" applyNumberFormat="1" applyFont="1" applyBorder="1"/>
    <xf numFmtId="167" fontId="4" fillId="0" borderId="91" xfId="1" applyNumberFormat="1" applyFont="1" applyBorder="1"/>
    <xf numFmtId="167" fontId="60" fillId="0" borderId="0" xfId="0" applyNumberFormat="1" applyFont="1"/>
    <xf numFmtId="0" fontId="95" fillId="0" borderId="5" xfId="0" applyFont="1" applyBorder="1"/>
    <xf numFmtId="167" fontId="95" fillId="0" borderId="5" xfId="0" applyNumberFormat="1" applyFont="1" applyBorder="1"/>
    <xf numFmtId="166" fontId="60" fillId="0" borderId="0" xfId="2" applyNumberFormat="1" applyFont="1"/>
    <xf numFmtId="166" fontId="95" fillId="0" borderId="5" xfId="2" applyNumberFormat="1" applyFont="1" applyBorder="1"/>
    <xf numFmtId="10" fontId="60" fillId="0" borderId="0" xfId="0" applyNumberFormat="1" applyFont="1"/>
    <xf numFmtId="10" fontId="95" fillId="0" borderId="5" xfId="0" applyNumberFormat="1" applyFont="1" applyBorder="1"/>
    <xf numFmtId="166" fontId="6" fillId="0" borderId="0" xfId="2" applyNumberFormat="1" applyFont="1" applyFill="1"/>
    <xf numFmtId="0" fontId="43" fillId="0" borderId="55" xfId="0" applyFont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43" fillId="14" borderId="28" xfId="0" applyFont="1" applyFill="1" applyBorder="1" applyAlignment="1">
      <alignment horizontal="center" vertical="center" wrapText="1"/>
    </xf>
    <xf numFmtId="0" fontId="48" fillId="0" borderId="35" xfId="0" applyFont="1" applyBorder="1" applyAlignment="1">
      <alignment vertical="center"/>
    </xf>
    <xf numFmtId="0" fontId="48" fillId="0" borderId="74" xfId="0" applyFont="1" applyBorder="1" applyAlignment="1">
      <alignment horizontal="center" vertical="center"/>
    </xf>
    <xf numFmtId="178" fontId="48" fillId="0" borderId="83" xfId="0" applyNumberFormat="1" applyFont="1" applyBorder="1" applyAlignment="1">
      <alignment vertical="center"/>
    </xf>
    <xf numFmtId="178" fontId="48" fillId="0" borderId="92" xfId="0" applyNumberFormat="1" applyFont="1" applyBorder="1" applyAlignment="1">
      <alignment vertical="center"/>
    </xf>
    <xf numFmtId="178" fontId="46" fillId="12" borderId="92" xfId="0" applyNumberFormat="1" applyFont="1" applyFill="1" applyBorder="1" applyAlignment="1">
      <alignment vertical="center"/>
    </xf>
    <xf numFmtId="178" fontId="46" fillId="14" borderId="92" xfId="0" applyNumberFormat="1" applyFont="1" applyFill="1" applyBorder="1" applyAlignment="1">
      <alignment vertical="center"/>
    </xf>
    <xf numFmtId="178" fontId="48" fillId="0" borderId="37" xfId="0" applyNumberFormat="1" applyFont="1" applyBorder="1" applyAlignment="1">
      <alignment vertical="center"/>
    </xf>
    <xf numFmtId="178" fontId="48" fillId="0" borderId="79" xfId="0" applyNumberFormat="1" applyFont="1" applyBorder="1" applyAlignment="1">
      <alignment vertical="center"/>
    </xf>
    <xf numFmtId="49" fontId="48" fillId="0" borderId="39" xfId="0" applyNumberFormat="1" applyFont="1" applyBorder="1" applyAlignment="1">
      <alignment horizontal="left" vertical="center"/>
    </xf>
    <xf numFmtId="178" fontId="49" fillId="0" borderId="10" xfId="22" applyFont="1" applyFill="1" applyBorder="1" applyAlignment="1">
      <alignment horizontal="center" vertical="center" wrapText="1"/>
    </xf>
    <xf numFmtId="9" fontId="48" fillId="0" borderId="36" xfId="2" applyFont="1" applyFill="1" applyBorder="1" applyAlignment="1">
      <alignment vertical="center"/>
    </xf>
    <xf numFmtId="9" fontId="48" fillId="0" borderId="49" xfId="2" applyFont="1" applyFill="1" applyBorder="1" applyAlignment="1">
      <alignment vertical="center"/>
    </xf>
    <xf numFmtId="9" fontId="48" fillId="0" borderId="8" xfId="2" applyFont="1" applyFill="1" applyBorder="1" applyAlignment="1">
      <alignment vertical="center"/>
    </xf>
    <xf numFmtId="9" fontId="48" fillId="0" borderId="43" xfId="2" applyFont="1" applyFill="1" applyBorder="1" applyAlignment="1">
      <alignment horizontal="center" vertical="center"/>
    </xf>
    <xf numFmtId="9" fontId="48" fillId="0" borderId="83" xfId="2" applyFont="1" applyFill="1" applyBorder="1" applyAlignment="1">
      <alignment vertical="center"/>
    </xf>
    <xf numFmtId="178" fontId="43" fillId="0" borderId="0" xfId="0" applyNumberFormat="1" applyFont="1"/>
    <xf numFmtId="0" fontId="48" fillId="0" borderId="43" xfId="0" applyFont="1" applyBorder="1" applyAlignment="1">
      <alignment horizontal="center" vertical="center"/>
    </xf>
    <xf numFmtId="178" fontId="48" fillId="0" borderId="92" xfId="0" applyNumberFormat="1" applyFont="1" applyBorder="1" applyAlignment="1">
      <alignment horizontal="center" vertical="center"/>
    </xf>
    <xf numFmtId="178" fontId="47" fillId="0" borderId="92" xfId="0" applyNumberFormat="1" applyFont="1" applyBorder="1" applyAlignment="1">
      <alignment horizontal="center" vertical="center"/>
    </xf>
    <xf numFmtId="178" fontId="48" fillId="0" borderId="81" xfId="0" applyNumberFormat="1" applyFont="1" applyBorder="1" applyAlignment="1">
      <alignment horizontal="center" vertical="center"/>
    </xf>
    <xf numFmtId="0" fontId="47" fillId="0" borderId="43" xfId="0" applyFont="1" applyBorder="1" applyAlignment="1">
      <alignment horizontal="center" vertical="center"/>
    </xf>
    <xf numFmtId="178" fontId="48" fillId="0" borderId="83" xfId="0" applyNumberFormat="1" applyFont="1" applyBorder="1" applyAlignment="1">
      <alignment horizontal="center" vertical="center"/>
    </xf>
    <xf numFmtId="0" fontId="47" fillId="0" borderId="8" xfId="0" applyFont="1" applyBorder="1" applyAlignment="1">
      <alignment vertical="center"/>
    </xf>
    <xf numFmtId="178" fontId="47" fillId="0" borderId="10" xfId="0" applyNumberFormat="1" applyFont="1" applyBorder="1" applyAlignment="1">
      <alignment vertical="center"/>
    </xf>
    <xf numFmtId="0" fontId="47" fillId="0" borderId="0" xfId="0" applyFont="1" applyAlignment="1">
      <alignment horizontal="center" vertical="center"/>
    </xf>
    <xf numFmtId="0" fontId="0" fillId="0" borderId="43" xfId="0" applyBorder="1"/>
    <xf numFmtId="0" fontId="47" fillId="0" borderId="82" xfId="0" applyFont="1" applyBorder="1" applyAlignment="1">
      <alignment horizontal="left" vertical="center"/>
    </xf>
    <xf numFmtId="0" fontId="47" fillId="0" borderId="44" xfId="0" applyFont="1" applyBorder="1" applyAlignment="1">
      <alignment horizontal="center" vertical="center"/>
    </xf>
    <xf numFmtId="0" fontId="47" fillId="0" borderId="82" xfId="0" applyFont="1" applyBorder="1" applyAlignment="1">
      <alignment vertical="center"/>
    </xf>
    <xf numFmtId="0" fontId="48" fillId="0" borderId="82" xfId="0" applyFont="1" applyBorder="1" applyAlignment="1">
      <alignment vertical="center"/>
    </xf>
    <xf numFmtId="0" fontId="48" fillId="0" borderId="44" xfId="0" applyFont="1" applyBorder="1" applyAlignment="1">
      <alignment horizontal="center" vertical="center"/>
    </xf>
    <xf numFmtId="0" fontId="0" fillId="0" borderId="83" xfId="0" applyBorder="1"/>
    <xf numFmtId="0" fontId="48" fillId="0" borderId="82" xfId="0" applyFont="1" applyBorder="1" applyAlignment="1">
      <alignment horizontal="left" vertical="center"/>
    </xf>
    <xf numFmtId="0" fontId="48" fillId="0" borderId="92" xfId="0" applyFont="1" applyBorder="1" applyAlignment="1">
      <alignment vertical="center"/>
    </xf>
    <xf numFmtId="0" fontId="48" fillId="0" borderId="39" xfId="0" applyFont="1" applyBorder="1" applyAlignment="1">
      <alignment horizontal="center" vertical="center"/>
    </xf>
    <xf numFmtId="178" fontId="48" fillId="0" borderId="93" xfId="0" applyNumberFormat="1" applyFont="1" applyBorder="1" applyAlignment="1">
      <alignment vertical="center"/>
    </xf>
    <xf numFmtId="178" fontId="48" fillId="0" borderId="80" xfId="0" applyNumberFormat="1" applyFont="1" applyBorder="1" applyAlignment="1">
      <alignment vertical="center"/>
    </xf>
    <xf numFmtId="178" fontId="48" fillId="0" borderId="80" xfId="0" applyNumberFormat="1" applyFont="1" applyBorder="1" applyAlignment="1">
      <alignment horizontal="center" vertical="center"/>
    </xf>
    <xf numFmtId="0" fontId="47" fillId="0" borderId="23" xfId="0" applyFont="1" applyBorder="1" applyAlignment="1">
      <alignment horizontal="left" vertical="center"/>
    </xf>
    <xf numFmtId="49" fontId="48" fillId="0" borderId="92" xfId="0" applyNumberFormat="1" applyFont="1" applyBorder="1" applyAlignment="1">
      <alignment horizontal="left" vertical="center"/>
    </xf>
    <xf numFmtId="178" fontId="48" fillId="0" borderId="1" xfId="0" applyNumberFormat="1" applyFont="1" applyBorder="1" applyAlignment="1">
      <alignment horizontal="center" vertical="center"/>
    </xf>
    <xf numFmtId="0" fontId="48" fillId="0" borderId="83" xfId="0" applyFont="1" applyBorder="1" applyAlignment="1">
      <alignment vertical="center"/>
    </xf>
    <xf numFmtId="178" fontId="48" fillId="0" borderId="84" xfId="0" applyNumberFormat="1" applyFont="1" applyBorder="1" applyAlignment="1">
      <alignment horizontal="center" vertical="center"/>
    </xf>
    <xf numFmtId="0" fontId="47" fillId="0" borderId="83" xfId="0" applyFont="1" applyBorder="1" applyAlignment="1">
      <alignment vertical="center"/>
    </xf>
    <xf numFmtId="178" fontId="47" fillId="0" borderId="42" xfId="0" applyNumberFormat="1" applyFont="1" applyBorder="1" applyAlignment="1">
      <alignment vertical="center"/>
    </xf>
    <xf numFmtId="0" fontId="48" fillId="0" borderId="22" xfId="0" applyFont="1" applyBorder="1" applyAlignment="1">
      <alignment vertical="center"/>
    </xf>
    <xf numFmtId="0" fontId="48" fillId="0" borderId="0" xfId="0" applyFont="1" applyAlignment="1">
      <alignment vertical="center"/>
    </xf>
    <xf numFmtId="0" fontId="48" fillId="0" borderId="0" xfId="0" applyFont="1" applyAlignment="1">
      <alignment horizontal="center" vertical="center"/>
    </xf>
    <xf numFmtId="178" fontId="48" fillId="0" borderId="0" xfId="0" applyNumberFormat="1" applyFont="1" applyAlignment="1">
      <alignment vertical="center"/>
    </xf>
    <xf numFmtId="178" fontId="48" fillId="0" borderId="0" xfId="0" applyNumberFormat="1" applyFont="1" applyAlignment="1">
      <alignment horizontal="center" vertical="center"/>
    </xf>
    <xf numFmtId="178" fontId="47" fillId="0" borderId="0" xfId="0" applyNumberFormat="1" applyFont="1" applyAlignment="1">
      <alignment horizontal="center" vertical="center"/>
    </xf>
    <xf numFmtId="49" fontId="47" fillId="0" borderId="59" xfId="0" applyNumberFormat="1" applyFont="1" applyBorder="1" applyAlignment="1">
      <alignment horizontal="left" vertical="center"/>
    </xf>
    <xf numFmtId="178" fontId="46" fillId="0" borderId="0" xfId="0" applyNumberFormat="1" applyFont="1" applyAlignment="1">
      <alignment vertical="center"/>
    </xf>
    <xf numFmtId="49" fontId="48" fillId="0" borderId="59" xfId="0" applyNumberFormat="1" applyFont="1" applyBorder="1" applyAlignment="1">
      <alignment horizontal="left" vertical="center"/>
    </xf>
    <xf numFmtId="0" fontId="43" fillId="0" borderId="31" xfId="0" applyFont="1" applyBorder="1" applyAlignment="1">
      <alignment vertical="center"/>
    </xf>
    <xf numFmtId="0" fontId="43" fillId="0" borderId="34" xfId="0" applyFont="1" applyBorder="1" applyAlignment="1">
      <alignment vertical="center"/>
    </xf>
    <xf numFmtId="0" fontId="43" fillId="0" borderId="32" xfId="0" applyFont="1" applyBorder="1" applyAlignment="1">
      <alignment vertical="center"/>
    </xf>
    <xf numFmtId="0" fontId="49" fillId="0" borderId="38" xfId="0" applyFont="1" applyBorder="1" applyAlignment="1">
      <alignment vertical="center"/>
    </xf>
    <xf numFmtId="0" fontId="49" fillId="0" borderId="94" xfId="0" applyFont="1" applyBorder="1" applyAlignment="1">
      <alignment horizontal="center" vertical="center"/>
    </xf>
    <xf numFmtId="178" fontId="49" fillId="0" borderId="83" xfId="0" applyNumberFormat="1" applyFont="1" applyBorder="1" applyAlignment="1">
      <alignment vertical="center"/>
    </xf>
    <xf numFmtId="178" fontId="49" fillId="0" borderId="80" xfId="0" applyNumberFormat="1" applyFont="1" applyBorder="1" applyAlignment="1">
      <alignment vertical="center"/>
    </xf>
    <xf numFmtId="178" fontId="49" fillId="0" borderId="92" xfId="0" applyNumberFormat="1" applyFont="1" applyBorder="1" applyAlignment="1">
      <alignment vertical="center"/>
    </xf>
    <xf numFmtId="178" fontId="49" fillId="0" borderId="79" xfId="0" applyNumberFormat="1" applyFont="1" applyBorder="1" applyAlignment="1">
      <alignment horizontal="center" vertical="center"/>
    </xf>
    <xf numFmtId="0" fontId="49" fillId="0" borderId="44" xfId="0" applyFont="1" applyBorder="1" applyAlignment="1">
      <alignment horizontal="center" vertical="center"/>
    </xf>
    <xf numFmtId="178" fontId="49" fillId="0" borderId="84" xfId="0" applyNumberFormat="1" applyFont="1" applyBorder="1" applyAlignment="1">
      <alignment horizontal="center" vertical="center"/>
    </xf>
    <xf numFmtId="0" fontId="49" fillId="0" borderId="43" xfId="0" applyFont="1" applyBorder="1" applyAlignment="1">
      <alignment horizontal="center" vertical="center"/>
    </xf>
    <xf numFmtId="178" fontId="49" fillId="0" borderId="50" xfId="0" applyNumberFormat="1" applyFont="1" applyBorder="1" applyAlignment="1">
      <alignment horizontal="center" vertical="center"/>
    </xf>
    <xf numFmtId="0" fontId="49" fillId="0" borderId="9" xfId="0" applyFont="1" applyBorder="1" applyAlignment="1">
      <alignment vertical="center"/>
    </xf>
    <xf numFmtId="0" fontId="49" fillId="0" borderId="83" xfId="0" applyFont="1" applyBorder="1" applyAlignment="1">
      <alignment vertical="center"/>
    </xf>
    <xf numFmtId="0" fontId="49" fillId="0" borderId="85" xfId="0" applyFont="1" applyBorder="1" applyAlignment="1">
      <alignment vertical="center"/>
    </xf>
    <xf numFmtId="0" fontId="49" fillId="0" borderId="91" xfId="0" applyFont="1" applyBorder="1" applyAlignment="1">
      <alignment horizontal="center" vertical="center"/>
    </xf>
    <xf numFmtId="178" fontId="49" fillId="0" borderId="95" xfId="0" applyNumberFormat="1" applyFont="1" applyBorder="1" applyAlignment="1">
      <alignment vertical="center"/>
    </xf>
    <xf numFmtId="0" fontId="47" fillId="0" borderId="31" xfId="0" applyFont="1" applyBorder="1" applyAlignment="1">
      <alignment vertical="center"/>
    </xf>
    <xf numFmtId="0" fontId="47" fillId="0" borderId="34" xfId="0" applyFont="1" applyBorder="1" applyAlignment="1">
      <alignment vertical="center"/>
    </xf>
    <xf numFmtId="0" fontId="47" fillId="0" borderId="30" xfId="0" applyFont="1" applyBorder="1" applyAlignment="1">
      <alignment horizontal="right" vertical="center"/>
    </xf>
    <xf numFmtId="0" fontId="41" fillId="0" borderId="19" xfId="0" applyFont="1" applyBorder="1" applyAlignment="1">
      <alignment vertical="center"/>
    </xf>
    <xf numFmtId="0" fontId="41" fillId="0" borderId="20" xfId="0" applyFont="1" applyBorder="1" applyAlignment="1">
      <alignment vertical="center"/>
    </xf>
    <xf numFmtId="0" fontId="41" fillId="0" borderId="21" xfId="0" applyFont="1" applyBorder="1" applyAlignment="1">
      <alignment vertical="center"/>
    </xf>
    <xf numFmtId="178" fontId="49" fillId="0" borderId="86" xfId="0" applyNumberFormat="1" applyFont="1" applyBorder="1" applyAlignment="1">
      <alignment vertical="center"/>
    </xf>
    <xf numFmtId="178" fontId="49" fillId="0" borderId="86" xfId="0" applyNumberFormat="1" applyFont="1" applyBorder="1" applyAlignment="1">
      <alignment horizontal="center" vertical="center"/>
    </xf>
    <xf numFmtId="178" fontId="49" fillId="0" borderId="13" xfId="0" applyNumberFormat="1" applyFont="1" applyBorder="1" applyAlignment="1">
      <alignment horizontal="center" vertical="center"/>
    </xf>
    <xf numFmtId="0" fontId="43" fillId="0" borderId="0" xfId="0" applyFont="1"/>
    <xf numFmtId="0" fontId="96" fillId="2" borderId="5" xfId="0" applyFont="1" applyFill="1" applyBorder="1"/>
    <xf numFmtId="178" fontId="96" fillId="2" borderId="5" xfId="0" applyNumberFormat="1" applyFont="1" applyFill="1" applyBorder="1"/>
    <xf numFmtId="181" fontId="96" fillId="2" borderId="5" xfId="0" applyNumberFormat="1" applyFont="1" applyFill="1" applyBorder="1"/>
    <xf numFmtId="15" fontId="43" fillId="0" borderId="0" xfId="0" applyNumberFormat="1" applyFont="1"/>
    <xf numFmtId="0" fontId="43" fillId="0" borderId="0" xfId="0" applyFont="1" applyAlignment="1">
      <alignment horizontal="right"/>
    </xf>
    <xf numFmtId="167" fontId="43" fillId="0" borderId="0" xfId="1" applyNumberFormat="1" applyFont="1" applyAlignment="1">
      <alignment horizontal="right"/>
    </xf>
    <xf numFmtId="17" fontId="4" fillId="0" borderId="57" xfId="0" applyNumberFormat="1" applyFont="1" applyBorder="1" applyAlignment="1">
      <alignment horizontal="center" wrapText="1"/>
    </xf>
    <xf numFmtId="9" fontId="66" fillId="24" borderId="0" xfId="2" applyFont="1" applyFill="1" applyBorder="1" applyAlignment="1">
      <alignment horizontal="right" vertical="top" indent="1" shrinkToFit="1"/>
    </xf>
    <xf numFmtId="0" fontId="73" fillId="0" borderId="0" xfId="0" applyFont="1" applyAlignment="1">
      <alignment horizontal="center"/>
    </xf>
    <xf numFmtId="0" fontId="65" fillId="21" borderId="57" xfId="0" applyFont="1" applyFill="1" applyBorder="1" applyAlignment="1">
      <alignment horizontal="left" vertical="top"/>
    </xf>
    <xf numFmtId="17" fontId="13" fillId="16" borderId="0" xfId="4" applyNumberFormat="1" applyFont="1" applyFill="1"/>
    <xf numFmtId="0" fontId="12" fillId="0" borderId="51" xfId="6" applyFont="1" applyBorder="1"/>
    <xf numFmtId="175" fontId="11" fillId="14" borderId="51" xfId="1" applyNumberFormat="1" applyFont="1" applyFill="1" applyBorder="1"/>
    <xf numFmtId="175" fontId="12" fillId="0" borderId="51" xfId="1" applyNumberFormat="1" applyFont="1" applyFill="1" applyBorder="1" applyAlignment="1">
      <alignment horizontal="left" vertical="center"/>
    </xf>
    <xf numFmtId="175" fontId="11" fillId="8" borderId="80" xfId="1" applyNumberFormat="1" applyFont="1" applyFill="1" applyBorder="1"/>
    <xf numFmtId="175" fontId="12" fillId="0" borderId="51" xfId="1" applyNumberFormat="1" applyFont="1" applyFill="1" applyBorder="1"/>
    <xf numFmtId="175" fontId="11" fillId="0" borderId="51" xfId="1" applyNumberFormat="1" applyFont="1" applyFill="1" applyBorder="1" applyAlignment="1">
      <alignment horizontal="left" vertical="center"/>
    </xf>
    <xf numFmtId="175" fontId="11" fillId="8" borderId="80" xfId="1" applyNumberFormat="1" applyFont="1" applyFill="1" applyBorder="1" applyAlignment="1">
      <alignment horizontal="left" vertical="center"/>
    </xf>
    <xf numFmtId="167" fontId="10" fillId="0" borderId="80" xfId="1" applyNumberFormat="1" applyFont="1" applyBorder="1"/>
    <xf numFmtId="167" fontId="66" fillId="34" borderId="57" xfId="0" applyNumberFormat="1" applyFont="1" applyFill="1" applyBorder="1" applyAlignment="1">
      <alignment horizontal="right" vertical="top" indent="1" shrinkToFit="1"/>
    </xf>
    <xf numFmtId="165" fontId="0" fillId="0" borderId="0" xfId="0" applyNumberFormat="1" applyAlignment="1">
      <alignment horizontal="left" vertical="top"/>
    </xf>
    <xf numFmtId="167" fontId="0" fillId="29" borderId="57" xfId="1" applyNumberFormat="1" applyFont="1" applyFill="1" applyBorder="1" applyAlignment="1">
      <alignment horizontal="left" wrapText="1"/>
    </xf>
    <xf numFmtId="17" fontId="74" fillId="32" borderId="0" xfId="1" applyNumberFormat="1" applyFont="1" applyFill="1"/>
    <xf numFmtId="167" fontId="73" fillId="0" borderId="0" xfId="1" applyNumberFormat="1" applyFont="1" applyBorder="1"/>
    <xf numFmtId="166" fontId="73" fillId="0" borderId="65" xfId="2" applyNumberFormat="1" applyFont="1" applyFill="1" applyBorder="1"/>
    <xf numFmtId="166" fontId="73" fillId="10" borderId="72" xfId="2" applyNumberFormat="1" applyFont="1" applyFill="1" applyBorder="1"/>
    <xf numFmtId="17" fontId="74" fillId="2" borderId="0" xfId="4" applyNumberFormat="1" applyFont="1" applyFill="1"/>
    <xf numFmtId="17" fontId="74" fillId="40" borderId="0" xfId="1" applyNumberFormat="1" applyFont="1" applyFill="1" applyAlignment="1">
      <alignment horizontal="right"/>
    </xf>
    <xf numFmtId="169" fontId="73" fillId="10" borderId="72" xfId="1" applyNumberFormat="1" applyFont="1" applyFill="1" applyBorder="1"/>
    <xf numFmtId="0" fontId="38" fillId="0" borderId="22" xfId="0" applyFont="1" applyBorder="1"/>
    <xf numFmtId="167" fontId="38" fillId="0" borderId="0" xfId="1" applyNumberFormat="1" applyFont="1" applyBorder="1"/>
    <xf numFmtId="17" fontId="74" fillId="20" borderId="0" xfId="1" applyNumberFormat="1" applyFont="1" applyFill="1"/>
    <xf numFmtId="169" fontId="73" fillId="20" borderId="61" xfId="1" applyNumberFormat="1" applyFont="1" applyFill="1" applyBorder="1"/>
    <xf numFmtId="169" fontId="73" fillId="20" borderId="65" xfId="1" applyNumberFormat="1" applyFont="1" applyFill="1" applyBorder="1"/>
    <xf numFmtId="167" fontId="38" fillId="0" borderId="59" xfId="1" applyNumberFormat="1" applyFont="1" applyBorder="1"/>
    <xf numFmtId="0" fontId="81" fillId="0" borderId="25" xfId="0" applyFont="1" applyBorder="1"/>
    <xf numFmtId="167" fontId="81" fillId="0" borderId="13" xfId="1" applyNumberFormat="1" applyFont="1" applyBorder="1"/>
    <xf numFmtId="167" fontId="81" fillId="0" borderId="13" xfId="0" applyNumberFormat="1" applyFont="1" applyBorder="1"/>
    <xf numFmtId="167" fontId="81" fillId="0" borderId="26" xfId="0" applyNumberFormat="1" applyFont="1" applyBorder="1"/>
    <xf numFmtId="0" fontId="38" fillId="7" borderId="17" xfId="0" applyFont="1" applyFill="1" applyBorder="1"/>
    <xf numFmtId="167" fontId="38" fillId="7" borderId="18" xfId="1" applyNumberFormat="1" applyFont="1" applyFill="1" applyBorder="1"/>
    <xf numFmtId="0" fontId="38" fillId="7" borderId="18" xfId="0" applyFont="1" applyFill="1" applyBorder="1"/>
    <xf numFmtId="0" fontId="38" fillId="7" borderId="78" xfId="0" applyFont="1" applyFill="1" applyBorder="1"/>
    <xf numFmtId="0" fontId="81" fillId="0" borderId="13" xfId="0" applyFont="1" applyBorder="1"/>
    <xf numFmtId="166" fontId="81" fillId="0" borderId="13" xfId="0" applyNumberFormat="1" applyFont="1" applyBorder="1"/>
    <xf numFmtId="0" fontId="73" fillId="0" borderId="8" xfId="0" applyFont="1" applyBorder="1"/>
    <xf numFmtId="167" fontId="73" fillId="0" borderId="9" xfId="1" applyNumberFormat="1" applyFont="1" applyBorder="1"/>
    <xf numFmtId="0" fontId="73" fillId="0" borderId="11" xfId="0" applyFont="1" applyBorder="1"/>
    <xf numFmtId="9" fontId="73" fillId="0" borderId="12" xfId="0" applyNumberFormat="1" applyFont="1" applyBorder="1"/>
    <xf numFmtId="0" fontId="38" fillId="0" borderId="92" xfId="0" applyFont="1" applyBorder="1"/>
    <xf numFmtId="10" fontId="38" fillId="0" borderId="63" xfId="0" applyNumberFormat="1" applyFont="1" applyBorder="1"/>
    <xf numFmtId="10" fontId="38" fillId="0" borderId="93" xfId="0" applyNumberFormat="1" applyFont="1" applyBorder="1"/>
    <xf numFmtId="0" fontId="81" fillId="0" borderId="92" xfId="0" applyFont="1" applyBorder="1"/>
    <xf numFmtId="167" fontId="81" fillId="0" borderId="63" xfId="1" applyNumberFormat="1" applyFont="1" applyBorder="1"/>
    <xf numFmtId="10" fontId="81" fillId="0" borderId="63" xfId="0" applyNumberFormat="1" applyFont="1" applyBorder="1"/>
    <xf numFmtId="10" fontId="81" fillId="0" borderId="93" xfId="0" applyNumberFormat="1" applyFont="1" applyBorder="1"/>
    <xf numFmtId="166" fontId="73" fillId="0" borderId="9" xfId="2" applyNumberFormat="1" applyFont="1" applyBorder="1"/>
    <xf numFmtId="166" fontId="73" fillId="7" borderId="10" xfId="2" applyNumberFormat="1" applyFont="1" applyFill="1" applyBorder="1"/>
    <xf numFmtId="10" fontId="38" fillId="0" borderId="9" xfId="0" applyNumberFormat="1" applyFont="1" applyBorder="1"/>
    <xf numFmtId="10" fontId="38" fillId="0" borderId="10" xfId="0" applyNumberFormat="1" applyFont="1" applyBorder="1"/>
    <xf numFmtId="0" fontId="73" fillId="0" borderId="0" xfId="1" applyNumberFormat="1" applyFont="1"/>
    <xf numFmtId="184" fontId="73" fillId="0" borderId="0" xfId="1" applyNumberFormat="1" applyFont="1"/>
    <xf numFmtId="17" fontId="13" fillId="16" borderId="0" xfId="4" applyNumberFormat="1" applyFont="1" applyFill="1" applyAlignment="1">
      <alignment horizontal="right"/>
    </xf>
    <xf numFmtId="0" fontId="98" fillId="0" borderId="0" xfId="0" applyFont="1" applyAlignment="1">
      <alignment vertical="center"/>
    </xf>
    <xf numFmtId="0" fontId="0" fillId="0" borderId="96" xfId="0" applyBorder="1" applyAlignment="1">
      <alignment vertical="center"/>
    </xf>
    <xf numFmtId="0" fontId="4" fillId="0" borderId="96" xfId="0" applyFont="1" applyBorder="1" applyAlignment="1">
      <alignment horizontal="center" vertical="center"/>
    </xf>
    <xf numFmtId="0" fontId="0" fillId="0" borderId="96" xfId="0" applyBorder="1" applyAlignment="1">
      <alignment horizontal="center" vertical="center"/>
    </xf>
    <xf numFmtId="0" fontId="0" fillId="0" borderId="93" xfId="0" applyBorder="1" applyAlignment="1">
      <alignment horizontal="center" vertical="center"/>
    </xf>
    <xf numFmtId="0" fontId="4" fillId="0" borderId="83" xfId="0" applyFont="1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3" xfId="0" applyBorder="1" applyAlignment="1">
      <alignment horizontal="center" vertical="center" wrapText="1"/>
    </xf>
    <xf numFmtId="0" fontId="4" fillId="0" borderId="83" xfId="0" applyFont="1" applyBorder="1" applyAlignment="1">
      <alignment horizontal="center" vertical="center" wrapText="1"/>
    </xf>
    <xf numFmtId="4" fontId="0" fillId="0" borderId="83" xfId="0" applyNumberFormat="1" applyBorder="1" applyAlignment="1">
      <alignment vertical="center" wrapText="1"/>
    </xf>
    <xf numFmtId="0" fontId="4" fillId="0" borderId="83" xfId="0" applyFont="1" applyBorder="1" applyAlignment="1">
      <alignment vertical="center"/>
    </xf>
    <xf numFmtId="14" fontId="4" fillId="0" borderId="83" xfId="0" applyNumberFormat="1" applyFont="1" applyBorder="1" applyAlignment="1">
      <alignment horizontal="center" vertical="center"/>
    </xf>
    <xf numFmtId="4" fontId="4" fillId="0" borderId="83" xfId="0" applyNumberFormat="1" applyFont="1" applyBorder="1" applyAlignment="1">
      <alignment vertical="center"/>
    </xf>
    <xf numFmtId="0" fontId="99" fillId="0" borderId="83" xfId="0" applyFont="1" applyBorder="1" applyAlignment="1">
      <alignment horizontal="center" vertical="center" wrapText="1"/>
    </xf>
    <xf numFmtId="49" fontId="8" fillId="0" borderId="83" xfId="0" applyNumberFormat="1" applyFont="1" applyBorder="1" applyAlignment="1">
      <alignment horizontal="center" vertical="center" wrapText="1"/>
    </xf>
    <xf numFmtId="0" fontId="8" fillId="0" borderId="83" xfId="0" applyFont="1" applyBorder="1" applyAlignment="1">
      <alignment horizontal="center" vertical="center" wrapText="1"/>
    </xf>
    <xf numFmtId="178" fontId="0" fillId="11" borderId="83" xfId="27" applyFont="1" applyFill="1" applyBorder="1" applyAlignment="1">
      <alignment vertical="center"/>
    </xf>
    <xf numFmtId="14" fontId="0" fillId="0" borderId="83" xfId="0" applyNumberFormat="1" applyBorder="1" applyAlignment="1">
      <alignment horizontal="center" vertical="center"/>
    </xf>
    <xf numFmtId="14" fontId="3" fillId="0" borderId="83" xfId="0" applyNumberFormat="1" applyFont="1" applyBorder="1" applyAlignment="1">
      <alignment horizontal="center" vertical="center" wrapText="1"/>
    </xf>
    <xf numFmtId="165" fontId="4" fillId="0" borderId="83" xfId="1" applyFont="1" applyBorder="1" applyAlignment="1">
      <alignment horizontal="center" vertical="center"/>
    </xf>
    <xf numFmtId="165" fontId="0" fillId="0" borderId="83" xfId="1" applyFont="1" applyBorder="1" applyAlignment="1">
      <alignment horizontal="center" vertical="center"/>
    </xf>
    <xf numFmtId="4" fontId="0" fillId="0" borderId="83" xfId="1" applyNumberFormat="1" applyFont="1" applyBorder="1" applyAlignment="1">
      <alignment horizontal="center" vertical="center"/>
    </xf>
    <xf numFmtId="0" fontId="8" fillId="0" borderId="83" xfId="0" applyFont="1" applyBorder="1" applyAlignment="1">
      <alignment horizontal="center" vertical="center"/>
    </xf>
    <xf numFmtId="14" fontId="0" fillId="0" borderId="83" xfId="0" applyNumberFormat="1" applyBorder="1" applyAlignment="1">
      <alignment horizontal="center" vertical="center" wrapText="1"/>
    </xf>
    <xf numFmtId="0" fontId="0" fillId="0" borderId="83" xfId="0" applyBorder="1" applyAlignment="1">
      <alignment vertical="center"/>
    </xf>
    <xf numFmtId="178" fontId="0" fillId="0" borderId="83" xfId="27" applyFont="1" applyFill="1" applyBorder="1" applyAlignment="1">
      <alignment vertical="center"/>
    </xf>
    <xf numFmtId="0" fontId="99" fillId="11" borderId="83" xfId="0" applyFont="1" applyFill="1" applyBorder="1" applyAlignment="1">
      <alignment horizontal="center" vertical="center" wrapText="1"/>
    </xf>
    <xf numFmtId="164" fontId="4" fillId="0" borderId="83" xfId="0" applyNumberFormat="1" applyFont="1" applyBorder="1" applyAlignment="1">
      <alignment horizontal="center" vertical="center"/>
    </xf>
    <xf numFmtId="164" fontId="0" fillId="0" borderId="83" xfId="0" applyNumberFormat="1" applyBorder="1" applyAlignment="1">
      <alignment horizontal="center" vertical="center"/>
    </xf>
    <xf numFmtId="178" fontId="0" fillId="11" borderId="83" xfId="27" applyFont="1" applyFill="1" applyBorder="1" applyAlignment="1">
      <alignment vertical="center" wrapText="1"/>
    </xf>
    <xf numFmtId="4" fontId="4" fillId="0" borderId="83" xfId="0" applyNumberFormat="1" applyFont="1" applyBorder="1" applyAlignment="1">
      <alignment horizontal="center" vertical="center"/>
    </xf>
    <xf numFmtId="4" fontId="0" fillId="0" borderId="83" xfId="0" applyNumberFormat="1" applyBorder="1" applyAlignment="1">
      <alignment horizontal="center" vertical="center"/>
    </xf>
    <xf numFmtId="4" fontId="0" fillId="0" borderId="83" xfId="1" applyNumberFormat="1" applyFont="1" applyFill="1" applyBorder="1" applyAlignment="1">
      <alignment horizontal="center" vertical="center"/>
    </xf>
    <xf numFmtId="164" fontId="4" fillId="0" borderId="80" xfId="0" applyNumberFormat="1" applyFont="1" applyBorder="1" applyAlignment="1">
      <alignment vertical="center"/>
    </xf>
    <xf numFmtId="164" fontId="0" fillId="0" borderId="80" xfId="0" applyNumberFormat="1" applyBorder="1" applyAlignment="1">
      <alignment vertical="center"/>
    </xf>
    <xf numFmtId="165" fontId="4" fillId="0" borderId="80" xfId="1" applyFont="1" applyBorder="1" applyAlignment="1">
      <alignment horizontal="center" vertical="center"/>
    </xf>
    <xf numFmtId="164" fontId="0" fillId="0" borderId="0" xfId="0" applyNumberFormat="1" applyAlignment="1">
      <alignment vertical="center"/>
    </xf>
    <xf numFmtId="4" fontId="0" fillId="0" borderId="0" xfId="0" applyNumberFormat="1" applyAlignment="1">
      <alignment vertical="center"/>
    </xf>
    <xf numFmtId="0" fontId="4" fillId="21" borderId="0" xfId="0" applyFont="1" applyFill="1"/>
    <xf numFmtId="0" fontId="4" fillId="0" borderId="0" xfId="0" applyFont="1" applyAlignment="1">
      <alignment horizontal="center"/>
    </xf>
    <xf numFmtId="0" fontId="53" fillId="0" borderId="0" xfId="28" applyFont="1" applyAlignment="1">
      <alignment horizontal="center" vertical="center"/>
    </xf>
    <xf numFmtId="0" fontId="60" fillId="0" borderId="0" xfId="28" applyFont="1" applyAlignment="1">
      <alignment wrapText="1"/>
    </xf>
    <xf numFmtId="172" fontId="1" fillId="0" borderId="0" xfId="29" applyNumberFormat="1" applyFont="1" applyFill="1"/>
    <xf numFmtId="178" fontId="60" fillId="0" borderId="0" xfId="28" applyNumberFormat="1" applyFont="1"/>
    <xf numFmtId="0" fontId="60" fillId="38" borderId="0" xfId="28" applyFont="1" applyFill="1"/>
    <xf numFmtId="0" fontId="56" fillId="0" borderId="38" xfId="28" applyFont="1" applyBorder="1"/>
    <xf numFmtId="0" fontId="56" fillId="0" borderId="1" xfId="28" applyFont="1" applyBorder="1"/>
    <xf numFmtId="0" fontId="56" fillId="0" borderId="96" xfId="28" applyFont="1" applyBorder="1"/>
    <xf numFmtId="0" fontId="53" fillId="0" borderId="80" xfId="28" applyFont="1" applyBorder="1" applyAlignment="1">
      <alignment horizontal="center"/>
    </xf>
    <xf numFmtId="0" fontId="53" fillId="0" borderId="83" xfId="28" applyFont="1" applyBorder="1" applyAlignment="1">
      <alignment horizontal="center" vertical="center"/>
    </xf>
    <xf numFmtId="0" fontId="56" fillId="0" borderId="80" xfId="30" applyFont="1" applyBorder="1" applyAlignment="1">
      <alignment horizontal="center" vertical="center"/>
    </xf>
    <xf numFmtId="0" fontId="56" fillId="0" borderId="80" xfId="28" applyFont="1" applyBorder="1" applyAlignment="1">
      <alignment horizontal="center" vertical="center" wrapText="1"/>
    </xf>
    <xf numFmtId="178" fontId="56" fillId="0" borderId="80" xfId="28" applyNumberFormat="1" applyFont="1" applyBorder="1" applyAlignment="1">
      <alignment horizontal="center" vertical="center" wrapText="1"/>
    </xf>
    <xf numFmtId="0" fontId="56" fillId="0" borderId="80" xfId="28" applyFont="1" applyBorder="1" applyAlignment="1">
      <alignment horizontal="center" vertical="center"/>
    </xf>
    <xf numFmtId="0" fontId="56" fillId="0" borderId="83" xfId="28" applyFont="1" applyBorder="1" applyAlignment="1">
      <alignment horizontal="center" vertical="center"/>
    </xf>
    <xf numFmtId="0" fontId="56" fillId="0" borderId="83" xfId="28" applyFont="1" applyBorder="1" applyAlignment="1">
      <alignment horizontal="center" vertical="center" wrapText="1"/>
    </xf>
    <xf numFmtId="0" fontId="51" fillId="0" borderId="83" xfId="28" applyFont="1" applyBorder="1" applyAlignment="1">
      <alignment horizontal="center" vertical="center"/>
    </xf>
    <xf numFmtId="0" fontId="51" fillId="0" borderId="83" xfId="28" applyFont="1" applyBorder="1" applyAlignment="1">
      <alignment horizontal="center" vertical="center" wrapText="1"/>
    </xf>
    <xf numFmtId="178" fontId="56" fillId="0" borderId="83" xfId="28" applyNumberFormat="1" applyFont="1" applyBorder="1" applyAlignment="1">
      <alignment horizontal="center" vertical="center" wrapText="1"/>
    </xf>
    <xf numFmtId="178" fontId="56" fillId="0" borderId="0" xfId="28" applyNumberFormat="1" applyFont="1" applyAlignment="1">
      <alignment horizontal="center" vertical="center" wrapText="1"/>
    </xf>
    <xf numFmtId="178" fontId="53" fillId="38" borderId="0" xfId="28" applyNumberFormat="1" applyFont="1" applyFill="1" applyAlignment="1">
      <alignment horizontal="center" vertical="center" wrapText="1"/>
    </xf>
    <xf numFmtId="0" fontId="100" fillId="0" borderId="0" xfId="28" applyFont="1"/>
    <xf numFmtId="0" fontId="53" fillId="0" borderId="83" xfId="30" applyFont="1" applyBorder="1" applyAlignment="1">
      <alignment horizontal="center" vertical="center" wrapText="1"/>
    </xf>
    <xf numFmtId="178" fontId="47" fillId="0" borderId="83" xfId="27" applyFont="1" applyFill="1" applyBorder="1" applyAlignment="1">
      <alignment horizontal="center" vertical="center"/>
    </xf>
    <xf numFmtId="178" fontId="56" fillId="0" borderId="80" xfId="30" applyNumberFormat="1" applyFont="1" applyBorder="1" applyAlignment="1">
      <alignment horizontal="center" vertical="center"/>
    </xf>
    <xf numFmtId="14" fontId="53" fillId="0" borderId="80" xfId="30" applyNumberFormat="1" applyFont="1" applyBorder="1" applyAlignment="1">
      <alignment horizontal="center" vertical="center"/>
    </xf>
    <xf numFmtId="1" fontId="53" fillId="0" borderId="83" xfId="28" applyNumberFormat="1" applyFont="1" applyBorder="1" applyAlignment="1">
      <alignment horizontal="center"/>
    </xf>
    <xf numFmtId="0" fontId="59" fillId="0" borderId="83" xfId="28" applyFont="1" applyBorder="1" applyAlignment="1">
      <alignment horizontal="center"/>
    </xf>
    <xf numFmtId="178" fontId="53" fillId="0" borderId="83" xfId="28" applyNumberFormat="1" applyFont="1" applyBorder="1"/>
    <xf numFmtId="178" fontId="53" fillId="21" borderId="83" xfId="28" applyNumberFormat="1" applyFont="1" applyFill="1" applyBorder="1"/>
    <xf numFmtId="178" fontId="101" fillId="38" borderId="83" xfId="28" applyNumberFormat="1" applyFont="1" applyFill="1" applyBorder="1"/>
    <xf numFmtId="0" fontId="53" fillId="0" borderId="0" xfId="28" applyFont="1" applyAlignment="1">
      <alignment horizontal="left"/>
    </xf>
    <xf numFmtId="178" fontId="58" fillId="0" borderId="80" xfId="30" applyNumberFormat="1" applyFont="1" applyBorder="1" applyAlignment="1">
      <alignment horizontal="center" vertical="center"/>
    </xf>
    <xf numFmtId="178" fontId="54" fillId="0" borderId="80" xfId="30" applyNumberFormat="1" applyFont="1" applyBorder="1" applyAlignment="1">
      <alignment horizontal="center" vertical="center"/>
    </xf>
    <xf numFmtId="0" fontId="53" fillId="0" borderId="42" xfId="30" applyFont="1" applyBorder="1" applyAlignment="1">
      <alignment horizontal="center" vertical="center" wrapText="1"/>
    </xf>
    <xf numFmtId="14" fontId="101" fillId="0" borderId="80" xfId="30" applyNumberFormat="1" applyFont="1" applyBorder="1" applyAlignment="1">
      <alignment horizontal="center" vertical="center"/>
    </xf>
    <xf numFmtId="14" fontId="53" fillId="0" borderId="83" xfId="30" applyNumberFormat="1" applyFont="1" applyBorder="1" applyAlignment="1">
      <alignment horizontal="center" vertical="center"/>
    </xf>
    <xf numFmtId="1" fontId="51" fillId="0" borderId="83" xfId="28" applyNumberFormat="1" applyFont="1" applyBorder="1" applyAlignment="1">
      <alignment horizontal="center"/>
    </xf>
    <xf numFmtId="0" fontId="51" fillId="0" borderId="83" xfId="28" applyFont="1" applyBorder="1" applyAlignment="1">
      <alignment horizontal="center"/>
    </xf>
    <xf numFmtId="178" fontId="53" fillId="38" borderId="83" xfId="28" applyNumberFormat="1" applyFont="1" applyFill="1" applyBorder="1"/>
    <xf numFmtId="0" fontId="53" fillId="0" borderId="83" xfId="28" applyFont="1" applyBorder="1" applyAlignment="1">
      <alignment horizontal="center" vertical="center" wrapText="1"/>
    </xf>
    <xf numFmtId="0" fontId="100" fillId="0" borderId="0" xfId="28" applyFont="1" applyAlignment="1">
      <alignment vertical="center"/>
    </xf>
    <xf numFmtId="1" fontId="51" fillId="0" borderId="83" xfId="28" applyNumberFormat="1" applyFont="1" applyBorder="1" applyAlignment="1">
      <alignment horizontal="center" vertical="center"/>
    </xf>
    <xf numFmtId="178" fontId="53" fillId="0" borderId="83" xfId="28" applyNumberFormat="1" applyFont="1" applyBorder="1" applyAlignment="1">
      <alignment vertical="center"/>
    </xf>
    <xf numFmtId="178" fontId="53" fillId="21" borderId="83" xfId="28" applyNumberFormat="1" applyFont="1" applyFill="1" applyBorder="1" applyAlignment="1">
      <alignment vertical="center"/>
    </xf>
    <xf numFmtId="178" fontId="53" fillId="38" borderId="83" xfId="28" applyNumberFormat="1" applyFont="1" applyFill="1" applyBorder="1" applyAlignment="1">
      <alignment vertical="center"/>
    </xf>
    <xf numFmtId="0" fontId="60" fillId="0" borderId="0" xfId="28" applyFont="1" applyAlignment="1">
      <alignment vertical="center"/>
    </xf>
    <xf numFmtId="178" fontId="56" fillId="0" borderId="83" xfId="30" applyNumberFormat="1" applyFont="1" applyBorder="1" applyAlignment="1">
      <alignment horizontal="center" vertical="center"/>
    </xf>
    <xf numFmtId="0" fontId="53" fillId="0" borderId="0" xfId="28" applyFont="1" applyAlignment="1">
      <alignment horizontal="center" wrapText="1"/>
    </xf>
    <xf numFmtId="172" fontId="53" fillId="0" borderId="0" xfId="29" applyNumberFormat="1" applyFont="1" applyFill="1"/>
    <xf numFmtId="0" fontId="53" fillId="0" borderId="0" xfId="28" applyFont="1" applyAlignment="1">
      <alignment horizontal="center"/>
    </xf>
    <xf numFmtId="178" fontId="56" fillId="0" borderId="0" xfId="28" applyNumberFormat="1" applyFont="1"/>
    <xf numFmtId="0" fontId="53" fillId="0" borderId="51" xfId="28" applyFont="1" applyBorder="1"/>
    <xf numFmtId="178" fontId="53" fillId="0" borderId="0" xfId="28" applyNumberFormat="1" applyFont="1"/>
    <xf numFmtId="0" fontId="53" fillId="0" borderId="0" xfId="28" applyFont="1" applyAlignment="1">
      <alignment vertical="center"/>
    </xf>
    <xf numFmtId="0" fontId="53" fillId="0" borderId="0" xfId="28" applyFont="1" applyAlignment="1">
      <alignment horizontal="center" vertical="center" wrapText="1"/>
    </xf>
    <xf numFmtId="172" fontId="53" fillId="0" borderId="0" xfId="29" applyNumberFormat="1" applyFont="1" applyFill="1" applyAlignment="1">
      <alignment vertical="center"/>
    </xf>
    <xf numFmtId="178" fontId="56" fillId="0" borderId="83" xfId="28" applyNumberFormat="1" applyFont="1" applyBorder="1" applyAlignment="1">
      <alignment vertical="center"/>
    </xf>
    <xf numFmtId="0" fontId="53" fillId="0" borderId="83" xfId="28" applyFont="1" applyBorder="1" applyAlignment="1">
      <alignment vertical="center"/>
    </xf>
    <xf numFmtId="178" fontId="56" fillId="38" borderId="83" xfId="28" applyNumberFormat="1" applyFont="1" applyFill="1" applyBorder="1"/>
    <xf numFmtId="0" fontId="102" fillId="0" borderId="0" xfId="28" applyFont="1" applyAlignment="1">
      <alignment horizontal="center" vertical="center"/>
    </xf>
    <xf numFmtId="0" fontId="103" fillId="0" borderId="0" xfId="28" applyFont="1"/>
    <xf numFmtId="0" fontId="103" fillId="0" borderId="96" xfId="28" applyFont="1" applyBorder="1"/>
    <xf numFmtId="0" fontId="0" fillId="21" borderId="42" xfId="0" applyFill="1" applyBorder="1" applyAlignment="1">
      <alignment horizontal="center" vertical="center"/>
    </xf>
    <xf numFmtId="0" fontId="0" fillId="21" borderId="42" xfId="0" applyFill="1" applyBorder="1" applyAlignment="1">
      <alignment horizontal="center" vertical="center" wrapText="1"/>
    </xf>
    <xf numFmtId="178" fontId="0" fillId="21" borderId="42" xfId="27" applyFont="1" applyFill="1" applyBorder="1" applyAlignment="1">
      <alignment vertical="center" wrapText="1"/>
    </xf>
    <xf numFmtId="14" fontId="0" fillId="21" borderId="42" xfId="0" applyNumberFormat="1" applyFill="1" applyBorder="1" applyAlignment="1">
      <alignment horizontal="center" vertical="center"/>
    </xf>
    <xf numFmtId="0" fontId="22" fillId="21" borderId="42" xfId="0" applyFont="1" applyFill="1" applyBorder="1" applyAlignment="1">
      <alignment horizontal="center" vertical="center"/>
    </xf>
    <xf numFmtId="4" fontId="4" fillId="21" borderId="42" xfId="0" applyNumberFormat="1" applyFont="1" applyFill="1" applyBorder="1" applyAlignment="1">
      <alignment horizontal="center" vertical="center"/>
    </xf>
    <xf numFmtId="4" fontId="0" fillId="21" borderId="42" xfId="0" applyNumberFormat="1" applyFill="1" applyBorder="1" applyAlignment="1">
      <alignment horizontal="center" vertical="center"/>
    </xf>
    <xf numFmtId="165" fontId="4" fillId="21" borderId="42" xfId="1" applyFont="1" applyFill="1" applyBorder="1" applyAlignment="1">
      <alignment horizontal="center" vertical="center"/>
    </xf>
    <xf numFmtId="165" fontId="0" fillId="21" borderId="42" xfId="1" applyFont="1" applyFill="1" applyBorder="1" applyAlignment="1">
      <alignment horizontal="center" vertical="center"/>
    </xf>
    <xf numFmtId="0" fontId="4" fillId="0" borderId="80" xfId="0" applyFont="1" applyBorder="1" applyAlignment="1">
      <alignment vertical="center"/>
    </xf>
    <xf numFmtId="0" fontId="0" fillId="0" borderId="80" xfId="0" applyBorder="1" applyAlignment="1">
      <alignment vertical="center"/>
    </xf>
    <xf numFmtId="0" fontId="0" fillId="0" borderId="80" xfId="0" applyBorder="1" applyAlignment="1">
      <alignment horizontal="center" vertical="center"/>
    </xf>
    <xf numFmtId="178" fontId="0" fillId="11" borderId="80" xfId="27" applyFont="1" applyFill="1" applyBorder="1" applyAlignment="1">
      <alignment vertical="center" wrapText="1"/>
    </xf>
    <xf numFmtId="14" fontId="0" fillId="0" borderId="80" xfId="0" applyNumberFormat="1" applyBorder="1" applyAlignment="1">
      <alignment horizontal="center" vertical="center"/>
    </xf>
    <xf numFmtId="0" fontId="0" fillId="0" borderId="29" xfId="0" applyBorder="1" applyAlignment="1">
      <alignment vertical="center"/>
    </xf>
    <xf numFmtId="0" fontId="0" fillId="0" borderId="29" xfId="0" applyBorder="1" applyAlignment="1">
      <alignment horizontal="center" vertical="center"/>
    </xf>
    <xf numFmtId="178" fontId="0" fillId="11" borderId="29" xfId="27" applyFont="1" applyFill="1" applyBorder="1" applyAlignment="1">
      <alignment vertical="center" wrapText="1"/>
    </xf>
    <xf numFmtId="14" fontId="0" fillId="0" borderId="29" xfId="0" applyNumberFormat="1" applyBorder="1" applyAlignment="1">
      <alignment horizontal="center" vertical="center"/>
    </xf>
    <xf numFmtId="164" fontId="4" fillId="0" borderId="29" xfId="0" applyNumberFormat="1" applyFont="1" applyBorder="1" applyAlignment="1">
      <alignment vertical="center"/>
    </xf>
    <xf numFmtId="164" fontId="0" fillId="0" borderId="29" xfId="0" applyNumberFormat="1" applyBorder="1" applyAlignment="1">
      <alignment vertical="center"/>
    </xf>
    <xf numFmtId="165" fontId="4" fillId="0" borderId="29" xfId="1" applyFont="1" applyBorder="1" applyAlignment="1">
      <alignment horizontal="center" vertical="center"/>
    </xf>
    <xf numFmtId="165" fontId="0" fillId="0" borderId="29" xfId="1" applyFont="1" applyBorder="1" applyAlignment="1">
      <alignment horizontal="center" vertical="center"/>
    </xf>
    <xf numFmtId="4" fontId="0" fillId="0" borderId="29" xfId="0" applyNumberFormat="1" applyBorder="1" applyAlignment="1">
      <alignment horizontal="center" vertical="center"/>
    </xf>
    <xf numFmtId="0" fontId="5" fillId="0" borderId="32" xfId="0" applyFont="1" applyBorder="1" applyAlignment="1">
      <alignment vertical="center"/>
    </xf>
    <xf numFmtId="0" fontId="4" fillId="21" borderId="42" xfId="0" applyFont="1" applyFill="1" applyBorder="1" applyAlignment="1">
      <alignment horizontal="center" vertical="center"/>
    </xf>
    <xf numFmtId="182" fontId="0" fillId="21" borderId="42" xfId="0" applyNumberFormat="1" applyFill="1" applyBorder="1" applyAlignment="1">
      <alignment vertical="center"/>
    </xf>
    <xf numFmtId="171" fontId="0" fillId="21" borderId="42" xfId="0" applyNumberFormat="1" applyFill="1" applyBorder="1" applyAlignment="1">
      <alignment horizontal="center" vertical="center"/>
    </xf>
    <xf numFmtId="0" fontId="0" fillId="0" borderId="97" xfId="0" applyBorder="1" applyAlignment="1">
      <alignment horizontal="center" vertical="center"/>
    </xf>
    <xf numFmtId="0" fontId="0" fillId="0" borderId="97" xfId="0" applyBorder="1" applyAlignment="1">
      <alignment horizontal="center" vertical="center" wrapText="1"/>
    </xf>
    <xf numFmtId="178" fontId="0" fillId="11" borderId="97" xfId="27" applyFont="1" applyFill="1" applyBorder="1" applyAlignment="1">
      <alignment vertical="center" wrapText="1"/>
    </xf>
    <xf numFmtId="14" fontId="0" fillId="0" borderId="97" xfId="0" applyNumberFormat="1" applyBorder="1" applyAlignment="1">
      <alignment horizontal="center" vertical="center"/>
    </xf>
    <xf numFmtId="4" fontId="4" fillId="0" borderId="97" xfId="0" applyNumberFormat="1" applyFont="1" applyBorder="1" applyAlignment="1">
      <alignment horizontal="center" vertical="center"/>
    </xf>
    <xf numFmtId="4" fontId="0" fillId="0" borderId="97" xfId="0" applyNumberFormat="1" applyBorder="1" applyAlignment="1">
      <alignment horizontal="center" vertical="center"/>
    </xf>
    <xf numFmtId="165" fontId="4" fillId="0" borderId="97" xfId="1" applyFont="1" applyBorder="1" applyAlignment="1">
      <alignment horizontal="center" vertical="center"/>
    </xf>
    <xf numFmtId="165" fontId="0" fillId="0" borderId="97" xfId="1" applyFont="1" applyBorder="1" applyAlignment="1">
      <alignment horizontal="center" vertical="center"/>
    </xf>
    <xf numFmtId="0" fontId="0" fillId="0" borderId="78" xfId="0" applyBorder="1"/>
    <xf numFmtId="0" fontId="0" fillId="0" borderId="59" xfId="0" applyBorder="1"/>
    <xf numFmtId="0" fontId="4" fillId="7" borderId="77" xfId="0" applyFont="1" applyFill="1" applyBorder="1" applyAlignment="1">
      <alignment horizontal="center" vertical="center" wrapText="1"/>
    </xf>
    <xf numFmtId="0" fontId="4" fillId="7" borderId="36" xfId="0" applyFont="1" applyFill="1" applyBorder="1" applyAlignment="1">
      <alignment horizontal="center" vertical="center" wrapText="1"/>
    </xf>
    <xf numFmtId="0" fontId="4" fillId="7" borderId="27" xfId="0" applyFont="1" applyFill="1" applyBorder="1" applyAlignment="1">
      <alignment vertical="center"/>
    </xf>
    <xf numFmtId="166" fontId="0" fillId="13" borderId="0" xfId="0" applyNumberFormat="1" applyFill="1"/>
    <xf numFmtId="0" fontId="4" fillId="13" borderId="0" xfId="0" applyFont="1" applyFill="1" applyAlignment="1">
      <alignment horizontal="center"/>
    </xf>
    <xf numFmtId="0" fontId="13" fillId="18" borderId="75" xfId="4" applyFont="1" applyFill="1" applyBorder="1" applyAlignment="1">
      <alignment horizontal="right"/>
    </xf>
    <xf numFmtId="174" fontId="11" fillId="0" borderId="75" xfId="1" applyNumberFormat="1" applyFont="1" applyFill="1" applyBorder="1" applyAlignment="1">
      <alignment horizontal="left" vertical="center"/>
    </xf>
    <xf numFmtId="17" fontId="13" fillId="36" borderId="74" xfId="4" applyNumberFormat="1" applyFont="1" applyFill="1" applyBorder="1" applyAlignment="1">
      <alignment horizontal="right"/>
    </xf>
    <xf numFmtId="174" fontId="12" fillId="0" borderId="75" xfId="1" applyNumberFormat="1" applyFont="1" applyFill="1" applyBorder="1" applyAlignment="1">
      <alignment horizontal="right" vertical="center"/>
    </xf>
    <xf numFmtId="167" fontId="33" fillId="11" borderId="75" xfId="1" applyNumberFormat="1" applyFont="1" applyFill="1" applyBorder="1" applyAlignment="1">
      <alignment horizontal="right"/>
    </xf>
    <xf numFmtId="170" fontId="10" fillId="0" borderId="75" xfId="2" applyNumberFormat="1" applyFont="1" applyBorder="1" applyAlignment="1">
      <alignment horizontal="right"/>
    </xf>
    <xf numFmtId="175" fontId="16" fillId="19" borderId="75" xfId="1" applyNumberFormat="1" applyFont="1" applyFill="1" applyBorder="1" applyAlignment="1">
      <alignment horizontal="right"/>
    </xf>
    <xf numFmtId="166" fontId="10" fillId="0" borderId="75" xfId="2" applyNumberFormat="1" applyFont="1" applyBorder="1" applyAlignment="1">
      <alignment horizontal="right"/>
    </xf>
    <xf numFmtId="174" fontId="11" fillId="0" borderId="75" xfId="1" applyNumberFormat="1" applyFont="1" applyFill="1" applyBorder="1" applyAlignment="1">
      <alignment horizontal="right" vertical="center"/>
    </xf>
    <xf numFmtId="10" fontId="12" fillId="0" borderId="75" xfId="2" applyNumberFormat="1" applyFont="1" applyBorder="1" applyAlignment="1">
      <alignment horizontal="right"/>
    </xf>
    <xf numFmtId="166" fontId="16" fillId="11" borderId="75" xfId="2" applyNumberFormat="1" applyFont="1" applyFill="1" applyBorder="1" applyAlignment="1">
      <alignment horizontal="right"/>
    </xf>
    <xf numFmtId="175" fontId="16" fillId="11" borderId="75" xfId="1" applyNumberFormat="1" applyFont="1" applyFill="1" applyBorder="1" applyAlignment="1">
      <alignment horizontal="right"/>
    </xf>
    <xf numFmtId="175" fontId="12" fillId="0" borderId="75" xfId="1" applyNumberFormat="1" applyFont="1" applyBorder="1" applyAlignment="1">
      <alignment horizontal="right"/>
    </xf>
    <xf numFmtId="175" fontId="12" fillId="0" borderId="75" xfId="6" applyNumberFormat="1" applyFont="1" applyBorder="1" applyAlignment="1">
      <alignment horizontal="right"/>
    </xf>
    <xf numFmtId="175" fontId="16" fillId="5" borderId="76" xfId="1" applyNumberFormat="1" applyFont="1" applyFill="1" applyBorder="1" applyAlignment="1">
      <alignment horizontal="right"/>
    </xf>
    <xf numFmtId="167" fontId="81" fillId="0" borderId="0" xfId="1" applyNumberFormat="1" applyFont="1"/>
    <xf numFmtId="167" fontId="81" fillId="0" borderId="0" xfId="1" applyNumberFormat="1" applyFont="1" applyFill="1"/>
    <xf numFmtId="166" fontId="81" fillId="0" borderId="0" xfId="2" applyNumberFormat="1" applyFont="1"/>
    <xf numFmtId="167" fontId="81" fillId="0" borderId="5" xfId="1" applyNumberFormat="1" applyFont="1" applyFill="1" applyBorder="1"/>
    <xf numFmtId="167" fontId="5" fillId="0" borderId="5" xfId="1" applyNumberFormat="1" applyFont="1" applyBorder="1"/>
    <xf numFmtId="0" fontId="38" fillId="0" borderId="17" xfId="0" applyFont="1" applyBorder="1"/>
    <xf numFmtId="167" fontId="38" fillId="0" borderId="78" xfId="0" applyNumberFormat="1" applyFont="1" applyBorder="1"/>
    <xf numFmtId="0" fontId="38" fillId="0" borderId="4" xfId="0" applyFont="1" applyBorder="1"/>
    <xf numFmtId="167" fontId="38" fillId="0" borderId="98" xfId="0" applyNumberFormat="1" applyFont="1" applyBorder="1"/>
    <xf numFmtId="0" fontId="76" fillId="7" borderId="57" xfId="1" applyNumberFormat="1" applyFont="1" applyFill="1" applyBorder="1" applyAlignment="1">
      <alignment horizontal="right" vertical="top"/>
    </xf>
    <xf numFmtId="0" fontId="73" fillId="0" borderId="61" xfId="1" applyNumberFormat="1" applyFont="1" applyFill="1" applyBorder="1"/>
    <xf numFmtId="167" fontId="38" fillId="0" borderId="0" xfId="0" applyNumberFormat="1" applyFont="1"/>
    <xf numFmtId="166" fontId="74" fillId="3" borderId="0" xfId="2" applyNumberFormat="1" applyFont="1" applyFill="1"/>
    <xf numFmtId="169" fontId="73" fillId="0" borderId="72" xfId="1" applyNumberFormat="1" applyFont="1" applyBorder="1"/>
    <xf numFmtId="167" fontId="38" fillId="7" borderId="99" xfId="1" applyNumberFormat="1" applyFont="1" applyFill="1" applyBorder="1"/>
    <xf numFmtId="169" fontId="38" fillId="7" borderId="100" xfId="1" applyNumberFormat="1" applyFont="1" applyFill="1" applyBorder="1"/>
    <xf numFmtId="167" fontId="38" fillId="10" borderId="99" xfId="1" applyNumberFormat="1" applyFont="1" applyFill="1" applyBorder="1"/>
    <xf numFmtId="169" fontId="38" fillId="10" borderId="100" xfId="1" applyNumberFormat="1" applyFont="1" applyFill="1" applyBorder="1"/>
    <xf numFmtId="169" fontId="73" fillId="0" borderId="65" xfId="1" applyNumberFormat="1" applyFont="1" applyBorder="1"/>
    <xf numFmtId="169" fontId="73" fillId="0" borderId="101" xfId="1" applyNumberFormat="1" applyFont="1" applyBorder="1"/>
    <xf numFmtId="169" fontId="38" fillId="7" borderId="102" xfId="1" applyNumberFormat="1" applyFont="1" applyFill="1" applyBorder="1"/>
    <xf numFmtId="169" fontId="38" fillId="10" borderId="102" xfId="1" applyNumberFormat="1" applyFont="1" applyFill="1" applyBorder="1"/>
    <xf numFmtId="166" fontId="73" fillId="0" borderId="65" xfId="2" applyNumberFormat="1" applyFont="1" applyBorder="1"/>
    <xf numFmtId="166" fontId="73" fillId="0" borderId="89" xfId="2" applyNumberFormat="1" applyFont="1" applyBorder="1"/>
    <xf numFmtId="166" fontId="73" fillId="0" borderId="90" xfId="2" applyNumberFormat="1" applyFont="1" applyBorder="1"/>
    <xf numFmtId="17" fontId="74" fillId="16" borderId="74" xfId="1" applyNumberFormat="1" applyFont="1" applyFill="1" applyBorder="1" applyAlignment="1">
      <alignment horizontal="center"/>
    </xf>
    <xf numFmtId="10" fontId="86" fillId="0" borderId="0" xfId="2" applyNumberFormat="1" applyFont="1"/>
    <xf numFmtId="0" fontId="76" fillId="0" borderId="5" xfId="4" applyFont="1" applyBorder="1"/>
    <xf numFmtId="169" fontId="76" fillId="0" borderId="5" xfId="4" applyNumberFormat="1" applyFont="1" applyBorder="1"/>
    <xf numFmtId="0" fontId="75" fillId="0" borderId="38" xfId="4" applyFont="1" applyBorder="1"/>
    <xf numFmtId="0" fontId="75" fillId="0" borderId="1" xfId="4" applyFont="1" applyBorder="1"/>
    <xf numFmtId="169" fontId="75" fillId="0" borderId="1" xfId="4" applyNumberFormat="1" applyFont="1" applyBorder="1"/>
    <xf numFmtId="188" fontId="73" fillId="10" borderId="103" xfId="1" applyNumberFormat="1" applyFont="1" applyFill="1" applyBorder="1"/>
    <xf numFmtId="0" fontId="104" fillId="0" borderId="1" xfId="28" applyFont="1" applyBorder="1" applyAlignment="1">
      <alignment horizontal="center"/>
    </xf>
    <xf numFmtId="0" fontId="51" fillId="7" borderId="1" xfId="28" applyFont="1" applyFill="1" applyBorder="1" applyAlignment="1">
      <alignment horizontal="left"/>
    </xf>
    <xf numFmtId="0" fontId="51" fillId="7" borderId="1" xfId="28" applyFont="1" applyFill="1" applyBorder="1" applyAlignment="1">
      <alignment horizontal="center"/>
    </xf>
    <xf numFmtId="0" fontId="51" fillId="25" borderId="1" xfId="28" applyFont="1" applyFill="1" applyBorder="1" applyAlignment="1">
      <alignment horizontal="left"/>
    </xf>
    <xf numFmtId="0" fontId="51" fillId="25" borderId="1" xfId="28" applyFont="1" applyFill="1" applyBorder="1" applyAlignment="1">
      <alignment horizontal="center"/>
    </xf>
    <xf numFmtId="0" fontId="53" fillId="34" borderId="1" xfId="28" applyFont="1" applyFill="1" applyBorder="1" applyAlignment="1">
      <alignment horizontal="center"/>
    </xf>
    <xf numFmtId="0" fontId="51" fillId="34" borderId="41" xfId="28" applyFont="1" applyFill="1" applyBorder="1" applyAlignment="1">
      <alignment horizontal="center"/>
    </xf>
    <xf numFmtId="0" fontId="54" fillId="0" borderId="83" xfId="28" applyFont="1" applyBorder="1"/>
    <xf numFmtId="0" fontId="51" fillId="0" borderId="83" xfId="28" applyFont="1" applyBorder="1"/>
    <xf numFmtId="14" fontId="54" fillId="0" borderId="83" xfId="28" applyNumberFormat="1" applyFont="1" applyBorder="1" applyAlignment="1">
      <alignment horizontal="center" wrapText="1"/>
    </xf>
    <xf numFmtId="172" fontId="51" fillId="0" borderId="83" xfId="29" applyNumberFormat="1" applyFont="1" applyFill="1" applyBorder="1"/>
    <xf numFmtId="0" fontId="51" fillId="38" borderId="83" xfId="28" applyFont="1" applyFill="1" applyBorder="1" applyAlignment="1">
      <alignment horizontal="center"/>
    </xf>
    <xf numFmtId="14" fontId="51" fillId="0" borderId="83" xfId="28" applyNumberFormat="1" applyFont="1" applyBorder="1"/>
    <xf numFmtId="0" fontId="54" fillId="0" borderId="96" xfId="28" applyFont="1" applyBorder="1"/>
    <xf numFmtId="0" fontId="51" fillId="0" borderId="80" xfId="28" applyFont="1" applyBorder="1" applyAlignment="1">
      <alignment horizontal="center"/>
    </xf>
    <xf numFmtId="0" fontId="59" fillId="0" borderId="80" xfId="28" applyFont="1" applyBorder="1" applyAlignment="1">
      <alignment horizontal="center"/>
    </xf>
    <xf numFmtId="14" fontId="51" fillId="0" borderId="80" xfId="28" applyNumberFormat="1" applyFont="1" applyBorder="1"/>
    <xf numFmtId="0" fontId="51" fillId="0" borderId="80" xfId="28" applyFont="1" applyBorder="1"/>
    <xf numFmtId="0" fontId="51" fillId="0" borderId="83" xfId="28" applyFont="1" applyBorder="1" applyAlignment="1">
      <alignment vertical="center"/>
    </xf>
    <xf numFmtId="0" fontId="54" fillId="0" borderId="80" xfId="30" applyFont="1" applyBorder="1" applyAlignment="1">
      <alignment horizontal="center" vertical="center"/>
    </xf>
    <xf numFmtId="0" fontId="54" fillId="0" borderId="80" xfId="28" applyFont="1" applyBorder="1" applyAlignment="1">
      <alignment horizontal="center" vertical="center" wrapText="1"/>
    </xf>
    <xf numFmtId="178" fontId="54" fillId="0" borderId="80" xfId="28" applyNumberFormat="1" applyFont="1" applyBorder="1" applyAlignment="1">
      <alignment horizontal="center" vertical="center" wrapText="1"/>
    </xf>
    <xf numFmtId="0" fontId="58" fillId="0" borderId="80" xfId="28" applyFont="1" applyBorder="1" applyAlignment="1">
      <alignment horizontal="center" vertical="center" wrapText="1"/>
    </xf>
    <xf numFmtId="14" fontId="104" fillId="7" borderId="83" xfId="0" applyNumberFormat="1" applyFont="1" applyFill="1" applyBorder="1" applyAlignment="1">
      <alignment vertical="center"/>
    </xf>
    <xf numFmtId="0" fontId="104" fillId="7" borderId="83" xfId="28" applyFont="1" applyFill="1" applyBorder="1" applyAlignment="1">
      <alignment horizontal="center" vertical="center"/>
    </xf>
    <xf numFmtId="0" fontId="104" fillId="7" borderId="83" xfId="31" applyFont="1" applyFill="1" applyBorder="1" applyAlignment="1">
      <alignment horizontal="center" vertical="center" wrapText="1"/>
    </xf>
    <xf numFmtId="178" fontId="105" fillId="7" borderId="83" xfId="27" applyFont="1" applyFill="1" applyBorder="1" applyAlignment="1">
      <alignment horizontal="center" vertical="center"/>
    </xf>
    <xf numFmtId="178" fontId="106" fillId="7" borderId="80" xfId="30" applyNumberFormat="1" applyFont="1" applyFill="1" applyBorder="1" applyAlignment="1">
      <alignment horizontal="center" vertical="center"/>
    </xf>
    <xf numFmtId="14" fontId="105" fillId="7" borderId="80" xfId="31" applyNumberFormat="1" applyFont="1" applyFill="1" applyBorder="1" applyAlignment="1">
      <alignment horizontal="center" vertical="center"/>
    </xf>
    <xf numFmtId="14" fontId="106" fillId="7" borderId="80" xfId="30" applyNumberFormat="1" applyFont="1" applyFill="1" applyBorder="1" applyAlignment="1">
      <alignment horizontal="center" vertical="center"/>
    </xf>
    <xf numFmtId="0" fontId="107" fillId="0" borderId="0" xfId="28" applyFont="1" applyAlignment="1">
      <alignment vertical="center"/>
    </xf>
    <xf numFmtId="0" fontId="101" fillId="7" borderId="83" xfId="28" applyFont="1" applyFill="1" applyBorder="1" applyAlignment="1">
      <alignment vertical="center"/>
    </xf>
    <xf numFmtId="0" fontId="101" fillId="7" borderId="83" xfId="28" applyFont="1" applyFill="1" applyBorder="1" applyAlignment="1">
      <alignment horizontal="center" vertical="center"/>
    </xf>
    <xf numFmtId="0" fontId="101" fillId="7" borderId="83" xfId="30" applyFont="1" applyFill="1" applyBorder="1" applyAlignment="1">
      <alignment horizontal="center" vertical="center" wrapText="1"/>
    </xf>
    <xf numFmtId="0" fontId="101" fillId="7" borderId="83" xfId="30" applyFont="1" applyFill="1" applyBorder="1" applyAlignment="1">
      <alignment horizontal="center" vertical="center"/>
    </xf>
    <xf numFmtId="178" fontId="108" fillId="7" borderId="83" xfId="27" applyFont="1" applyFill="1" applyBorder="1" applyAlignment="1">
      <alignment horizontal="center" vertical="center"/>
    </xf>
    <xf numFmtId="178" fontId="109" fillId="7" borderId="80" xfId="30" applyNumberFormat="1" applyFont="1" applyFill="1" applyBorder="1" applyAlignment="1">
      <alignment horizontal="center" vertical="center"/>
    </xf>
    <xf numFmtId="14" fontId="101" fillId="7" borderId="80" xfId="30" applyNumberFormat="1" applyFont="1" applyFill="1" applyBorder="1" applyAlignment="1">
      <alignment horizontal="center" vertical="center"/>
    </xf>
    <xf numFmtId="14" fontId="109" fillId="7" borderId="80" xfId="30" applyNumberFormat="1" applyFont="1" applyFill="1" applyBorder="1" applyAlignment="1">
      <alignment horizontal="center" vertical="center"/>
    </xf>
    <xf numFmtId="0" fontId="51" fillId="25" borderId="83" xfId="28" applyFont="1" applyFill="1" applyBorder="1" applyAlignment="1">
      <alignment vertical="center"/>
    </xf>
    <xf numFmtId="0" fontId="51" fillId="25" borderId="83" xfId="28" applyFont="1" applyFill="1" applyBorder="1" applyAlignment="1">
      <alignment horizontal="center" vertical="center"/>
    </xf>
    <xf numFmtId="0" fontId="51" fillId="25" borderId="83" xfId="30" applyFont="1" applyFill="1" applyBorder="1" applyAlignment="1">
      <alignment horizontal="center" vertical="center" wrapText="1"/>
    </xf>
    <xf numFmtId="0" fontId="51" fillId="25" borderId="83" xfId="30" applyFont="1" applyFill="1" applyBorder="1" applyAlignment="1">
      <alignment horizontal="center" vertical="center"/>
    </xf>
    <xf numFmtId="178" fontId="48" fillId="25" borderId="83" xfId="27" applyFont="1" applyFill="1" applyBorder="1" applyAlignment="1">
      <alignment horizontal="center" vertical="center"/>
    </xf>
    <xf numFmtId="178" fontId="54" fillId="25" borderId="80" xfId="30" applyNumberFormat="1" applyFont="1" applyFill="1" applyBorder="1" applyAlignment="1">
      <alignment horizontal="center" vertical="center"/>
    </xf>
    <xf numFmtId="178" fontId="58" fillId="25" borderId="80" xfId="30" applyNumberFormat="1" applyFont="1" applyFill="1" applyBorder="1" applyAlignment="1">
      <alignment horizontal="center" vertical="center"/>
    </xf>
    <xf numFmtId="14" fontId="51" fillId="25" borderId="80" xfId="30" applyNumberFormat="1" applyFont="1" applyFill="1" applyBorder="1" applyAlignment="1">
      <alignment horizontal="center" vertical="center"/>
    </xf>
    <xf numFmtId="14" fontId="54" fillId="25" borderId="80" xfId="30" applyNumberFormat="1" applyFont="1" applyFill="1" applyBorder="1" applyAlignment="1">
      <alignment horizontal="center" vertical="center"/>
    </xf>
    <xf numFmtId="0" fontId="107" fillId="0" borderId="0" xfId="28" applyFont="1"/>
    <xf numFmtId="0" fontId="51" fillId="0" borderId="83" xfId="30" applyFont="1" applyBorder="1" applyAlignment="1">
      <alignment horizontal="center" vertical="center"/>
    </xf>
    <xf numFmtId="0" fontId="51" fillId="0" borderId="83" xfId="30" applyFont="1" applyBorder="1" applyAlignment="1">
      <alignment horizontal="center" vertical="center" wrapText="1"/>
    </xf>
    <xf numFmtId="178" fontId="48" fillId="0" borderId="83" xfId="27" applyFont="1" applyFill="1" applyBorder="1" applyAlignment="1">
      <alignment horizontal="center" vertical="center"/>
    </xf>
    <xf numFmtId="178" fontId="54" fillId="0" borderId="83" xfId="30" applyNumberFormat="1" applyFont="1" applyBorder="1" applyAlignment="1">
      <alignment horizontal="center" vertical="center"/>
    </xf>
    <xf numFmtId="14" fontId="51" fillId="0" borderId="83" xfId="30" applyNumberFormat="1" applyFont="1" applyBorder="1" applyAlignment="1">
      <alignment horizontal="center" vertical="center"/>
    </xf>
    <xf numFmtId="14" fontId="54" fillId="0" borderId="83" xfId="30" applyNumberFormat="1" applyFont="1" applyBorder="1" applyAlignment="1">
      <alignment horizontal="center" vertical="center"/>
    </xf>
    <xf numFmtId="0" fontId="110" fillId="0" borderId="0" xfId="28" applyFont="1"/>
    <xf numFmtId="0" fontId="104" fillId="7" borderId="83" xfId="28" applyFont="1" applyFill="1" applyBorder="1" applyAlignment="1">
      <alignment vertical="center"/>
    </xf>
    <xf numFmtId="0" fontId="104" fillId="7" borderId="80" xfId="28" applyFont="1" applyFill="1" applyBorder="1" applyAlignment="1">
      <alignment horizontal="center" vertical="center"/>
    </xf>
    <xf numFmtId="0" fontId="104" fillId="7" borderId="80" xfId="30" applyFont="1" applyFill="1" applyBorder="1" applyAlignment="1">
      <alignment horizontal="center" vertical="center" wrapText="1"/>
    </xf>
    <xf numFmtId="178" fontId="105" fillId="7" borderId="80" xfId="27" applyFont="1" applyFill="1" applyBorder="1" applyAlignment="1">
      <alignment horizontal="center" vertical="center"/>
    </xf>
    <xf numFmtId="14" fontId="104" fillId="7" borderId="80" xfId="30" applyNumberFormat="1" applyFont="1" applyFill="1" applyBorder="1" applyAlignment="1">
      <alignment horizontal="center" vertical="center"/>
    </xf>
    <xf numFmtId="0" fontId="104" fillId="7" borderId="83" xfId="30" applyFont="1" applyFill="1" applyBorder="1" applyAlignment="1">
      <alignment horizontal="center" vertical="center" wrapText="1"/>
    </xf>
    <xf numFmtId="14" fontId="56" fillId="0" borderId="80" xfId="30" applyNumberFormat="1" applyFont="1" applyBorder="1" applyAlignment="1">
      <alignment horizontal="center" vertical="center"/>
    </xf>
    <xf numFmtId="0" fontId="109" fillId="7" borderId="83" xfId="28" applyFont="1" applyFill="1" applyBorder="1" applyAlignment="1">
      <alignment vertical="center"/>
    </xf>
    <xf numFmtId="0" fontId="109" fillId="7" borderId="83" xfId="28" applyFont="1" applyFill="1" applyBorder="1" applyAlignment="1">
      <alignment horizontal="center" vertical="center"/>
    </xf>
    <xf numFmtId="0" fontId="109" fillId="7" borderId="83" xfId="30" applyFont="1" applyFill="1" applyBorder="1" applyAlignment="1">
      <alignment horizontal="center" vertical="center" wrapText="1"/>
    </xf>
    <xf numFmtId="0" fontId="111" fillId="7" borderId="83" xfId="30" applyFont="1" applyFill="1" applyBorder="1" applyAlignment="1">
      <alignment horizontal="center" vertical="center" wrapText="1"/>
    </xf>
    <xf numFmtId="178" fontId="112" fillId="7" borderId="83" xfId="27" applyFont="1" applyFill="1" applyBorder="1" applyAlignment="1">
      <alignment horizontal="center" vertical="center"/>
    </xf>
    <xf numFmtId="0" fontId="56" fillId="0" borderId="0" xfId="28" applyFont="1"/>
    <xf numFmtId="0" fontId="51" fillId="0" borderId="83" xfId="28" applyFont="1" applyBorder="1" applyAlignment="1">
      <alignment vertical="center" wrapText="1"/>
    </xf>
    <xf numFmtId="14" fontId="51" fillId="0" borderId="80" xfId="30" applyNumberFormat="1" applyFont="1" applyBorder="1" applyAlignment="1">
      <alignment horizontal="center" vertical="center"/>
    </xf>
    <xf numFmtId="14" fontId="54" fillId="0" borderId="80" xfId="30" applyNumberFormat="1" applyFont="1" applyBorder="1" applyAlignment="1">
      <alignment horizontal="center" vertical="center"/>
    </xf>
    <xf numFmtId="178" fontId="51" fillId="25" borderId="80" xfId="30" applyNumberFormat="1" applyFont="1" applyFill="1" applyBorder="1" applyAlignment="1">
      <alignment horizontal="center" vertical="center"/>
    </xf>
    <xf numFmtId="178" fontId="59" fillId="25" borderId="80" xfId="30" applyNumberFormat="1" applyFont="1" applyFill="1" applyBorder="1" applyAlignment="1">
      <alignment horizontal="center" vertical="center"/>
    </xf>
    <xf numFmtId="0" fontId="104" fillId="0" borderId="0" xfId="28" applyFont="1"/>
    <xf numFmtId="0" fontId="53" fillId="25" borderId="83" xfId="28" applyFont="1" applyFill="1" applyBorder="1" applyAlignment="1">
      <alignment vertical="center"/>
    </xf>
    <xf numFmtId="0" fontId="53" fillId="25" borderId="83" xfId="28" applyFont="1" applyFill="1" applyBorder="1" applyAlignment="1">
      <alignment horizontal="center" vertical="center"/>
    </xf>
    <xf numFmtId="0" fontId="53" fillId="25" borderId="42" xfId="30" applyFont="1" applyFill="1" applyBorder="1" applyAlignment="1">
      <alignment horizontal="center" vertical="center" wrapText="1"/>
    </xf>
    <xf numFmtId="0" fontId="53" fillId="25" borderId="83" xfId="30" applyFont="1" applyFill="1" applyBorder="1" applyAlignment="1">
      <alignment horizontal="center" vertical="center" wrapText="1"/>
    </xf>
    <xf numFmtId="178" fontId="47" fillId="25" borderId="83" xfId="27" applyFont="1" applyFill="1" applyBorder="1" applyAlignment="1">
      <alignment horizontal="center" vertical="center"/>
    </xf>
    <xf numFmtId="178" fontId="56" fillId="25" borderId="80" xfId="30" applyNumberFormat="1" applyFont="1" applyFill="1" applyBorder="1" applyAlignment="1">
      <alignment horizontal="center" vertical="center"/>
    </xf>
    <xf numFmtId="14" fontId="53" fillId="25" borderId="80" xfId="30" applyNumberFormat="1" applyFont="1" applyFill="1" applyBorder="1" applyAlignment="1">
      <alignment horizontal="center" vertical="center"/>
    </xf>
    <xf numFmtId="14" fontId="56" fillId="25" borderId="80" xfId="30" applyNumberFormat="1" applyFont="1" applyFill="1" applyBorder="1" applyAlignment="1">
      <alignment horizontal="center" vertical="center"/>
    </xf>
    <xf numFmtId="0" fontId="101" fillId="0" borderId="0" xfId="28" applyFont="1"/>
    <xf numFmtId="178" fontId="53" fillId="25" borderId="80" xfId="30" applyNumberFormat="1" applyFont="1" applyFill="1" applyBorder="1" applyAlignment="1">
      <alignment horizontal="center" vertical="center"/>
    </xf>
    <xf numFmtId="0" fontId="113" fillId="7" borderId="83" xfId="28" applyFont="1" applyFill="1" applyBorder="1" applyAlignment="1">
      <alignment vertical="center"/>
    </xf>
    <xf numFmtId="0" fontId="113" fillId="7" borderId="83" xfId="28" applyFont="1" applyFill="1" applyBorder="1" applyAlignment="1">
      <alignment horizontal="center" vertical="center"/>
    </xf>
    <xf numFmtId="0" fontId="113" fillId="7" borderId="42" xfId="30" applyFont="1" applyFill="1" applyBorder="1" applyAlignment="1">
      <alignment horizontal="center" vertical="center" wrapText="1"/>
    </xf>
    <xf numFmtId="0" fontId="113" fillId="7" borderId="83" xfId="30" applyFont="1" applyFill="1" applyBorder="1" applyAlignment="1">
      <alignment horizontal="center" vertical="center" wrapText="1"/>
    </xf>
    <xf numFmtId="178" fontId="114" fillId="7" borderId="83" xfId="27" applyFont="1" applyFill="1" applyBorder="1" applyAlignment="1">
      <alignment horizontal="center" vertical="center"/>
    </xf>
    <xf numFmtId="178" fontId="115" fillId="7" borderId="80" xfId="30" applyNumberFormat="1" applyFont="1" applyFill="1" applyBorder="1" applyAlignment="1">
      <alignment horizontal="center" vertical="center"/>
    </xf>
    <xf numFmtId="14" fontId="113" fillId="7" borderId="80" xfId="30" applyNumberFormat="1" applyFont="1" applyFill="1" applyBorder="1" applyAlignment="1">
      <alignment horizontal="center" vertical="center"/>
    </xf>
    <xf numFmtId="0" fontId="113" fillId="7" borderId="83" xfId="28" applyFont="1" applyFill="1" applyBorder="1" applyAlignment="1">
      <alignment vertical="center" wrapText="1"/>
    </xf>
    <xf numFmtId="0" fontId="104" fillId="7" borderId="42" xfId="30" applyFont="1" applyFill="1" applyBorder="1" applyAlignment="1">
      <alignment horizontal="center" vertical="center" wrapText="1"/>
    </xf>
    <xf numFmtId="178" fontId="58" fillId="7" borderId="80" xfId="30" applyNumberFormat="1" applyFont="1" applyFill="1" applyBorder="1" applyAlignment="1">
      <alignment horizontal="center" vertical="center"/>
    </xf>
    <xf numFmtId="0" fontId="53" fillId="0" borderId="42" xfId="30" applyFont="1" applyBorder="1" applyAlignment="1">
      <alignment horizontal="center" vertical="center"/>
    </xf>
    <xf numFmtId="0" fontId="53" fillId="0" borderId="83" xfId="30" applyFont="1" applyBorder="1" applyAlignment="1">
      <alignment horizontal="center" vertical="center"/>
    </xf>
    <xf numFmtId="14" fontId="47" fillId="0" borderId="80" xfId="32" applyNumberFormat="1" applyFont="1" applyFill="1" applyBorder="1" applyAlignment="1">
      <alignment horizontal="center" vertical="center"/>
    </xf>
    <xf numFmtId="14" fontId="47" fillId="0" borderId="83" xfId="32" applyNumberFormat="1" applyFont="1" applyFill="1" applyBorder="1" applyAlignment="1">
      <alignment horizontal="center" vertical="center"/>
    </xf>
    <xf numFmtId="0" fontId="51" fillId="38" borderId="83" xfId="28" applyFont="1" applyFill="1" applyBorder="1" applyAlignment="1">
      <alignment vertical="center"/>
    </xf>
    <xf numFmtId="0" fontId="51" fillId="38" borderId="83" xfId="28" applyFont="1" applyFill="1" applyBorder="1" applyAlignment="1">
      <alignment horizontal="center" vertical="center"/>
    </xf>
    <xf numFmtId="0" fontId="51" fillId="38" borderId="83" xfId="30" applyFont="1" applyFill="1" applyBorder="1" applyAlignment="1">
      <alignment horizontal="center" vertical="center" wrapText="1"/>
    </xf>
    <xf numFmtId="178" fontId="48" fillId="38" borderId="83" xfId="27" applyFont="1" applyFill="1" applyBorder="1" applyAlignment="1">
      <alignment horizontal="center" vertical="center"/>
    </xf>
    <xf numFmtId="178" fontId="54" fillId="38" borderId="80" xfId="30" applyNumberFormat="1" applyFont="1" applyFill="1" applyBorder="1" applyAlignment="1">
      <alignment horizontal="center" vertical="center"/>
    </xf>
    <xf numFmtId="178" fontId="58" fillId="38" borderId="80" xfId="30" applyNumberFormat="1" applyFont="1" applyFill="1" applyBorder="1" applyAlignment="1">
      <alignment horizontal="center" vertical="center"/>
    </xf>
    <xf numFmtId="14" fontId="51" fillId="38" borderId="83" xfId="30" applyNumberFormat="1" applyFont="1" applyFill="1" applyBorder="1" applyAlignment="1">
      <alignment horizontal="center" vertical="center"/>
    </xf>
    <xf numFmtId="0" fontId="116" fillId="0" borderId="0" xfId="28" applyFont="1"/>
    <xf numFmtId="0" fontId="53" fillId="0" borderId="80" xfId="28" applyFont="1" applyBorder="1" applyAlignment="1">
      <alignment horizontal="center" vertical="center" wrapText="1"/>
    </xf>
    <xf numFmtId="178" fontId="47" fillId="0" borderId="80" xfId="27" applyFont="1" applyFill="1" applyBorder="1" applyAlignment="1">
      <alignment horizontal="center" vertical="center"/>
    </xf>
    <xf numFmtId="0" fontId="53" fillId="0" borderId="42" xfId="31" applyFont="1" applyBorder="1" applyAlignment="1">
      <alignment horizontal="center" vertical="center" wrapText="1"/>
    </xf>
    <xf numFmtId="0" fontId="53" fillId="0" borderId="83" xfId="31" applyFont="1" applyBorder="1" applyAlignment="1">
      <alignment horizontal="center" vertical="center" wrapText="1"/>
    </xf>
    <xf numFmtId="14" fontId="47" fillId="0" borderId="80" xfId="31" applyNumberFormat="1" applyFont="1" applyBorder="1" applyAlignment="1">
      <alignment horizontal="center" vertical="center"/>
    </xf>
    <xf numFmtId="0" fontId="53" fillId="0" borderId="42" xfId="28" applyFont="1" applyBorder="1" applyAlignment="1">
      <alignment horizontal="center" vertical="center" wrapText="1"/>
    </xf>
    <xf numFmtId="0" fontId="53" fillId="34" borderId="83" xfId="28" applyFont="1" applyFill="1" applyBorder="1" applyAlignment="1">
      <alignment vertical="center"/>
    </xf>
    <xf numFmtId="0" fontId="53" fillId="34" borderId="83" xfId="28" applyFont="1" applyFill="1" applyBorder="1" applyAlignment="1">
      <alignment horizontal="center" vertical="center"/>
    </xf>
    <xf numFmtId="0" fontId="53" fillId="34" borderId="83" xfId="28" applyFont="1" applyFill="1" applyBorder="1" applyAlignment="1">
      <alignment horizontal="center" vertical="center" wrapText="1"/>
    </xf>
    <xf numFmtId="178" fontId="47" fillId="34" borderId="83" xfId="27" applyFont="1" applyFill="1" applyBorder="1" applyAlignment="1">
      <alignment horizontal="center" vertical="center"/>
    </xf>
    <xf numFmtId="178" fontId="56" fillId="34" borderId="80" xfId="30" applyNumberFormat="1" applyFont="1" applyFill="1" applyBorder="1" applyAlignment="1">
      <alignment horizontal="center" vertical="center"/>
    </xf>
    <xf numFmtId="178" fontId="58" fillId="34" borderId="80" xfId="30" applyNumberFormat="1" applyFont="1" applyFill="1" applyBorder="1" applyAlignment="1">
      <alignment horizontal="center" vertical="center"/>
    </xf>
    <xf numFmtId="14" fontId="53" fillId="34" borderId="83" xfId="30" applyNumberFormat="1" applyFont="1" applyFill="1" applyBorder="1" applyAlignment="1">
      <alignment horizontal="center" vertical="center"/>
    </xf>
    <xf numFmtId="178" fontId="56" fillId="38" borderId="80" xfId="30" applyNumberFormat="1" applyFont="1" applyFill="1" applyBorder="1" applyAlignment="1">
      <alignment horizontal="center" vertical="center"/>
    </xf>
    <xf numFmtId="0" fontId="51" fillId="34" borderId="83" xfId="28" applyFont="1" applyFill="1" applyBorder="1" applyAlignment="1">
      <alignment vertical="center"/>
    </xf>
    <xf numFmtId="0" fontId="51" fillId="34" borderId="83" xfId="28" applyFont="1" applyFill="1" applyBorder="1" applyAlignment="1">
      <alignment horizontal="center" vertical="center"/>
    </xf>
    <xf numFmtId="0" fontId="51" fillId="34" borderId="83" xfId="28" applyFont="1" applyFill="1" applyBorder="1" applyAlignment="1">
      <alignment horizontal="center" vertical="center" wrapText="1"/>
    </xf>
    <xf numFmtId="178" fontId="48" fillId="34" borderId="83" xfId="27" applyFont="1" applyFill="1" applyBorder="1" applyAlignment="1">
      <alignment horizontal="center" vertical="center"/>
    </xf>
    <xf numFmtId="178" fontId="54" fillId="34" borderId="80" xfId="30" applyNumberFormat="1" applyFont="1" applyFill="1" applyBorder="1" applyAlignment="1">
      <alignment horizontal="center" vertical="center"/>
    </xf>
    <xf numFmtId="14" fontId="51" fillId="34" borderId="83" xfId="30" applyNumberFormat="1" applyFont="1" applyFill="1" applyBorder="1" applyAlignment="1">
      <alignment horizontal="center" vertical="center"/>
    </xf>
    <xf numFmtId="178" fontId="58" fillId="0" borderId="0" xfId="28" applyNumberFormat="1" applyFont="1"/>
    <xf numFmtId="178" fontId="54" fillId="0" borderId="83" xfId="28" applyNumberFormat="1" applyFont="1" applyBorder="1" applyAlignment="1">
      <alignment vertical="center"/>
    </xf>
    <xf numFmtId="4" fontId="51" fillId="0" borderId="38" xfId="28" applyNumberFormat="1" applyFont="1" applyBorder="1" applyAlignment="1">
      <alignment vertical="center"/>
    </xf>
    <xf numFmtId="4" fontId="51" fillId="0" borderId="41" xfId="28" applyNumberFormat="1" applyFont="1" applyBorder="1" applyAlignment="1">
      <alignment vertical="center"/>
    </xf>
    <xf numFmtId="178" fontId="58" fillId="0" borderId="83" xfId="28" applyNumberFormat="1" applyFont="1" applyBorder="1" applyAlignment="1">
      <alignment vertical="center"/>
    </xf>
    <xf numFmtId="178" fontId="59" fillId="0" borderId="0" xfId="28" applyNumberFormat="1" applyFont="1"/>
    <xf numFmtId="164" fontId="51" fillId="38" borderId="0" xfId="28" applyNumberFormat="1" applyFont="1" applyFill="1"/>
    <xf numFmtId="178" fontId="117" fillId="0" borderId="0" xfId="28" applyNumberFormat="1" applyFont="1"/>
    <xf numFmtId="178" fontId="116" fillId="0" borderId="0" xfId="28" applyNumberFormat="1" applyFont="1"/>
    <xf numFmtId="164" fontId="95" fillId="0" borderId="0" xfId="28" applyNumberFormat="1" applyFont="1"/>
    <xf numFmtId="0" fontId="53" fillId="0" borderId="0" xfId="1" applyNumberFormat="1" applyFont="1" applyAlignment="1">
      <alignment horizontal="center"/>
    </xf>
    <xf numFmtId="0" fontId="53" fillId="0" borderId="0" xfId="1" applyNumberFormat="1" applyFont="1" applyFill="1" applyAlignment="1">
      <alignment horizontal="center"/>
    </xf>
    <xf numFmtId="0" fontId="56" fillId="7" borderId="17" xfId="28" applyFont="1" applyFill="1" applyBorder="1"/>
    <xf numFmtId="0" fontId="56" fillId="7" borderId="18" xfId="28" applyFont="1" applyFill="1" applyBorder="1"/>
    <xf numFmtId="0" fontId="56" fillId="7" borderId="78" xfId="28" applyFont="1" applyFill="1" applyBorder="1"/>
    <xf numFmtId="178" fontId="53" fillId="0" borderId="22" xfId="28" applyNumberFormat="1" applyFont="1" applyBorder="1"/>
    <xf numFmtId="178" fontId="53" fillId="0" borderId="59" xfId="28" applyNumberFormat="1" applyFont="1" applyBorder="1"/>
    <xf numFmtId="178" fontId="56" fillId="7" borderId="4" xfId="28" applyNumberFormat="1" applyFont="1" applyFill="1" applyBorder="1"/>
    <xf numFmtId="178" fontId="56" fillId="7" borderId="2" xfId="28" applyNumberFormat="1" applyFont="1" applyFill="1" applyBorder="1"/>
    <xf numFmtId="178" fontId="56" fillId="7" borderId="98" xfId="28" applyNumberFormat="1" applyFont="1" applyFill="1" applyBorder="1"/>
    <xf numFmtId="0" fontId="118" fillId="0" borderId="0" xfId="0" applyFont="1" applyAlignment="1">
      <alignment vertical="top"/>
    </xf>
    <xf numFmtId="0" fontId="119" fillId="0" borderId="0" xfId="0" applyFont="1" applyAlignment="1">
      <alignment vertical="top" wrapText="1" readingOrder="1"/>
    </xf>
    <xf numFmtId="0" fontId="120" fillId="34" borderId="0" xfId="0" applyFont="1" applyFill="1" applyAlignment="1">
      <alignment vertical="top" wrapText="1" readingOrder="1"/>
    </xf>
    <xf numFmtId="0" fontId="121" fillId="0" borderId="0" xfId="0" applyFont="1" applyAlignment="1">
      <alignment vertical="top"/>
    </xf>
    <xf numFmtId="4" fontId="118" fillId="0" borderId="0" xfId="0" applyNumberFormat="1" applyFont="1" applyAlignment="1">
      <alignment vertical="top"/>
    </xf>
    <xf numFmtId="167" fontId="0" fillId="0" borderId="0" xfId="0" applyNumberFormat="1" applyAlignment="1">
      <alignment vertical="top"/>
    </xf>
    <xf numFmtId="189" fontId="0" fillId="0" borderId="0" xfId="0" applyNumberFormat="1" applyAlignment="1">
      <alignment vertical="top"/>
    </xf>
    <xf numFmtId="0" fontId="120" fillId="7" borderId="0" xfId="0" applyFont="1" applyFill="1" applyAlignment="1">
      <alignment vertical="top"/>
    </xf>
    <xf numFmtId="0" fontId="120" fillId="7" borderId="0" xfId="0" applyFont="1" applyFill="1" applyAlignment="1">
      <alignment vertical="top" wrapText="1" readingOrder="1"/>
    </xf>
    <xf numFmtId="4" fontId="120" fillId="0" borderId="0" xfId="0" applyNumberFormat="1" applyFont="1" applyAlignment="1">
      <alignment vertical="top"/>
    </xf>
    <xf numFmtId="4" fontId="120" fillId="34" borderId="5" xfId="0" applyNumberFormat="1" applyFont="1" applyFill="1" applyBorder="1" applyAlignment="1">
      <alignment vertical="top"/>
    </xf>
    <xf numFmtId="167" fontId="121" fillId="34" borderId="5" xfId="1" applyNumberFormat="1" applyFont="1" applyFill="1" applyBorder="1" applyAlignment="1">
      <alignment vertical="top"/>
    </xf>
    <xf numFmtId="3" fontId="118" fillId="0" borderId="0" xfId="0" applyNumberFormat="1" applyFont="1" applyAlignment="1">
      <alignment vertical="top"/>
    </xf>
    <xf numFmtId="0" fontId="74" fillId="28" borderId="12" xfId="0" applyFont="1" applyFill="1" applyBorder="1"/>
    <xf numFmtId="0" fontId="74" fillId="28" borderId="0" xfId="0" applyFont="1" applyFill="1"/>
    <xf numFmtId="9" fontId="74" fillId="28" borderId="0" xfId="2" applyFont="1" applyFill="1"/>
    <xf numFmtId="169" fontId="73" fillId="35" borderId="61" xfId="1" applyNumberFormat="1" applyFont="1" applyFill="1" applyBorder="1"/>
    <xf numFmtId="0" fontId="0" fillId="0" borderId="5" xfId="0" applyBorder="1" applyAlignment="1">
      <alignment horizontal="left"/>
    </xf>
    <xf numFmtId="10" fontId="0" fillId="0" borderId="0" xfId="0" applyNumberFormat="1" applyAlignment="1">
      <alignment horizontal="left" vertical="center"/>
    </xf>
    <xf numFmtId="10" fontId="0" fillId="0" borderId="0" xfId="0" applyNumberFormat="1" applyAlignment="1">
      <alignment horizontal="left" vertical="center" wrapText="1"/>
    </xf>
    <xf numFmtId="10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10" fontId="0" fillId="0" borderId="0" xfId="2" applyNumberFormat="1" applyFont="1" applyAlignment="1">
      <alignment horizontal="center" vertical="center"/>
    </xf>
    <xf numFmtId="169" fontId="38" fillId="0" borderId="9" xfId="0" applyNumberFormat="1" applyFont="1" applyBorder="1"/>
    <xf numFmtId="166" fontId="38" fillId="7" borderId="55" xfId="0" applyNumberFormat="1" applyFont="1" applyFill="1" applyBorder="1"/>
    <xf numFmtId="0" fontId="2" fillId="3" borderId="0" xfId="0" applyFont="1" applyFill="1" applyAlignment="1">
      <alignment horizontal="left"/>
    </xf>
    <xf numFmtId="0" fontId="73" fillId="0" borderId="0" xfId="0" applyFont="1" applyAlignment="1">
      <alignment vertical="top"/>
    </xf>
    <xf numFmtId="0" fontId="122" fillId="0" borderId="0" xfId="0" applyFont="1" applyAlignment="1">
      <alignment vertical="top"/>
    </xf>
    <xf numFmtId="167" fontId="73" fillId="0" borderId="0" xfId="0" applyNumberFormat="1" applyFont="1" applyAlignment="1">
      <alignment vertical="top"/>
    </xf>
    <xf numFmtId="167" fontId="122" fillId="34" borderId="5" xfId="0" applyNumberFormat="1" applyFont="1" applyFill="1" applyBorder="1" applyAlignment="1">
      <alignment vertical="top"/>
    </xf>
    <xf numFmtId="0" fontId="123" fillId="0" borderId="0" xfId="0" applyFont="1" applyAlignment="1">
      <alignment vertical="top"/>
    </xf>
    <xf numFmtId="0" fontId="124" fillId="34" borderId="0" xfId="0" applyFont="1" applyFill="1" applyAlignment="1">
      <alignment vertical="top" wrapText="1" readingOrder="1"/>
    </xf>
    <xf numFmtId="189" fontId="123" fillId="0" borderId="0" xfId="0" applyNumberFormat="1" applyFont="1" applyAlignment="1">
      <alignment vertical="top"/>
    </xf>
    <xf numFmtId="189" fontId="124" fillId="7" borderId="0" xfId="0" applyNumberFormat="1" applyFont="1" applyFill="1" applyAlignment="1">
      <alignment vertical="top"/>
    </xf>
    <xf numFmtId="189" fontId="124" fillId="34" borderId="5" xfId="0" applyNumberFormat="1" applyFont="1" applyFill="1" applyBorder="1" applyAlignment="1">
      <alignment vertical="top"/>
    </xf>
    <xf numFmtId="189" fontId="124" fillId="34" borderId="0" xfId="0" applyNumberFormat="1" applyFont="1" applyFill="1" applyAlignment="1">
      <alignment vertical="top"/>
    </xf>
    <xf numFmtId="3" fontId="123" fillId="0" borderId="0" xfId="0" applyNumberFormat="1" applyFont="1" applyAlignment="1">
      <alignment vertical="top"/>
    </xf>
    <xf numFmtId="174" fontId="12" fillId="0" borderId="0" xfId="1" applyNumberFormat="1" applyFont="1" applyFill="1" applyBorder="1" applyAlignment="1">
      <alignment horizontal="left" vertical="center"/>
    </xf>
    <xf numFmtId="167" fontId="33" fillId="11" borderId="0" xfId="1" applyNumberFormat="1" applyFont="1" applyFill="1" applyBorder="1"/>
    <xf numFmtId="174" fontId="10" fillId="0" borderId="0" xfId="1" applyNumberFormat="1" applyFont="1" applyFill="1" applyBorder="1" applyAlignment="1">
      <alignment horizontal="left" vertical="center"/>
    </xf>
    <xf numFmtId="174" fontId="11" fillId="0" borderId="0" xfId="1" applyNumberFormat="1" applyFont="1" applyFill="1" applyBorder="1" applyAlignment="1">
      <alignment horizontal="left" vertical="center"/>
    </xf>
    <xf numFmtId="170" fontId="10" fillId="0" borderId="0" xfId="2" applyNumberFormat="1" applyFont="1" applyBorder="1"/>
    <xf numFmtId="175" fontId="16" fillId="19" borderId="0" xfId="1" applyNumberFormat="1" applyFont="1" applyFill="1" applyBorder="1"/>
    <xf numFmtId="166" fontId="10" fillId="0" borderId="0" xfId="2" applyNumberFormat="1" applyFont="1" applyBorder="1"/>
    <xf numFmtId="10" fontId="12" fillId="0" borderId="0" xfId="2" applyNumberFormat="1" applyFont="1" applyBorder="1"/>
    <xf numFmtId="166" fontId="16" fillId="11" borderId="0" xfId="2" applyNumberFormat="1" applyFont="1" applyFill="1" applyBorder="1"/>
    <xf numFmtId="175" fontId="16" fillId="11" borderId="0" xfId="1" applyNumberFormat="1" applyFont="1" applyFill="1" applyBorder="1"/>
    <xf numFmtId="175" fontId="12" fillId="0" borderId="0" xfId="1" applyNumberFormat="1" applyFont="1" applyBorder="1"/>
    <xf numFmtId="167" fontId="12" fillId="0" borderId="0" xfId="1" applyNumberFormat="1" applyFont="1" applyBorder="1"/>
    <xf numFmtId="166" fontId="86" fillId="7" borderId="0" xfId="2" applyNumberFormat="1" applyFont="1" applyFill="1"/>
    <xf numFmtId="167" fontId="73" fillId="34" borderId="61" xfId="1" applyNumberFormat="1" applyFont="1" applyFill="1" applyBorder="1"/>
    <xf numFmtId="0" fontId="125" fillId="3" borderId="0" xfId="0" applyFont="1" applyFill="1"/>
    <xf numFmtId="0" fontId="2" fillId="3" borderId="17" xfId="0" applyFont="1" applyFill="1" applyBorder="1"/>
    <xf numFmtId="0" fontId="2" fillId="3" borderId="4" xfId="0" applyFont="1" applyFill="1" applyBorder="1"/>
    <xf numFmtId="0" fontId="2" fillId="3" borderId="2" xfId="0" applyFont="1" applyFill="1" applyBorder="1"/>
    <xf numFmtId="169" fontId="2" fillId="3" borderId="18" xfId="0" applyNumberFormat="1" applyFont="1" applyFill="1" applyBorder="1"/>
    <xf numFmtId="169" fontId="2" fillId="3" borderId="0" xfId="0" applyNumberFormat="1" applyFont="1" applyFill="1"/>
    <xf numFmtId="169" fontId="2" fillId="3" borderId="78" xfId="0" applyNumberFormat="1" applyFont="1" applyFill="1" applyBorder="1"/>
    <xf numFmtId="169" fontId="2" fillId="3" borderId="2" xfId="0" applyNumberFormat="1" applyFont="1" applyFill="1" applyBorder="1"/>
    <xf numFmtId="169" fontId="2" fillId="3" borderId="98" xfId="0" applyNumberFormat="1" applyFont="1" applyFill="1" applyBorder="1"/>
    <xf numFmtId="0" fontId="2" fillId="3" borderId="22" xfId="0" applyFont="1" applyFill="1" applyBorder="1"/>
    <xf numFmtId="169" fontId="2" fillId="3" borderId="59" xfId="0" applyNumberFormat="1" applyFont="1" applyFill="1" applyBorder="1"/>
    <xf numFmtId="0" fontId="74" fillId="3" borderId="0" xfId="0" applyFont="1" applyFill="1"/>
    <xf numFmtId="0" fontId="76" fillId="8" borderId="0" xfId="0" applyFont="1" applyFill="1" applyAlignment="1">
      <alignment horizontal="right"/>
    </xf>
    <xf numFmtId="17" fontId="76" fillId="8" borderId="0" xfId="0" applyNumberFormat="1" applyFont="1" applyFill="1" applyAlignment="1">
      <alignment horizontal="right"/>
    </xf>
    <xf numFmtId="0" fontId="74" fillId="3" borderId="0" xfId="0" applyFont="1" applyFill="1" applyAlignment="1">
      <alignment horizontal="right"/>
    </xf>
    <xf numFmtId="17" fontId="74" fillId="3" borderId="0" xfId="0" applyNumberFormat="1" applyFont="1" applyFill="1" applyAlignment="1">
      <alignment horizontal="right"/>
    </xf>
    <xf numFmtId="0" fontId="74" fillId="39" borderId="0" xfId="0" applyFont="1" applyFill="1"/>
    <xf numFmtId="0" fontId="76" fillId="8" borderId="5" xfId="0" applyFont="1" applyFill="1" applyBorder="1"/>
    <xf numFmtId="166" fontId="76" fillId="8" borderId="5" xfId="2" applyNumberFormat="1" applyFont="1" applyFill="1" applyBorder="1"/>
    <xf numFmtId="9" fontId="86" fillId="0" borderId="0" xfId="2" applyFont="1"/>
    <xf numFmtId="9" fontId="38" fillId="0" borderId="0" xfId="0" applyNumberFormat="1" applyFont="1"/>
    <xf numFmtId="17" fontId="74" fillId="3" borderId="0" xfId="0" applyNumberFormat="1" applyFont="1" applyFill="1"/>
    <xf numFmtId="0" fontId="38" fillId="14" borderId="0" xfId="0" applyFont="1" applyFill="1"/>
    <xf numFmtId="166" fontId="38" fillId="35" borderId="0" xfId="0" applyNumberFormat="1" applyFont="1" applyFill="1"/>
    <xf numFmtId="0" fontId="74" fillId="3" borderId="0" xfId="0" applyFont="1" applyFill="1" applyAlignment="1">
      <alignment horizontal="center"/>
    </xf>
    <xf numFmtId="167" fontId="73" fillId="0" borderId="0" xfId="1" applyNumberFormat="1" applyFont="1" applyFill="1"/>
    <xf numFmtId="167" fontId="74" fillId="3" borderId="5" xfId="0" applyNumberFormat="1" applyFont="1" applyFill="1" applyBorder="1"/>
    <xf numFmtId="166" fontId="73" fillId="0" borderId="0" xfId="0" applyNumberFormat="1" applyFont="1"/>
    <xf numFmtId="17" fontId="13" fillId="15" borderId="0" xfId="4" applyNumberFormat="1" applyFont="1" applyFill="1"/>
    <xf numFmtId="0" fontId="38" fillId="0" borderId="96" xfId="0" applyFont="1" applyBorder="1"/>
    <xf numFmtId="167" fontId="38" fillId="0" borderId="96" xfId="1" applyNumberFormat="1" applyFont="1" applyBorder="1"/>
    <xf numFmtId="15" fontId="74" fillId="32" borderId="0" xfId="1" applyNumberFormat="1" applyFont="1" applyFill="1"/>
    <xf numFmtId="169" fontId="4" fillId="0" borderId="5" xfId="0" applyNumberFormat="1" applyFont="1" applyBorder="1"/>
    <xf numFmtId="0" fontId="74" fillId="9" borderId="0" xfId="4" applyFont="1" applyFill="1" applyAlignment="1">
      <alignment horizontal="right"/>
    </xf>
    <xf numFmtId="169" fontId="73" fillId="0" borderId="61" xfId="1" applyNumberFormat="1" applyFont="1" applyFill="1" applyBorder="1" applyAlignment="1">
      <alignment horizontal="right"/>
    </xf>
    <xf numFmtId="166" fontId="75" fillId="0" borderId="0" xfId="4" applyNumberFormat="1" applyFont="1"/>
    <xf numFmtId="15" fontId="75" fillId="0" borderId="0" xfId="4" applyNumberFormat="1" applyFont="1"/>
    <xf numFmtId="0" fontId="0" fillId="21" borderId="61" xfId="0" applyFill="1" applyBorder="1" applyAlignment="1">
      <alignment horizontal="left" vertical="top"/>
    </xf>
    <xf numFmtId="9" fontId="75" fillId="35" borderId="0" xfId="4" applyNumberFormat="1" applyFont="1" applyFill="1"/>
    <xf numFmtId="167" fontId="11" fillId="13" borderId="13" xfId="1" applyNumberFormat="1" applyFont="1" applyFill="1" applyBorder="1" applyAlignment="1">
      <alignment horizontal="left"/>
    </xf>
    <xf numFmtId="174" fontId="11" fillId="13" borderId="13" xfId="1" applyNumberFormat="1" applyFont="1" applyFill="1" applyBorder="1" applyAlignment="1">
      <alignment horizontal="left" vertical="center"/>
    </xf>
    <xf numFmtId="0" fontId="73" fillId="0" borderId="0" xfId="0" applyFont="1" applyAlignment="1">
      <alignment horizontal="center"/>
    </xf>
    <xf numFmtId="0" fontId="4" fillId="13" borderId="0" xfId="0" applyFont="1" applyFill="1" applyAlignment="1">
      <alignment horizontal="center"/>
    </xf>
    <xf numFmtId="0" fontId="74" fillId="32" borderId="8" xfId="0" applyFont="1" applyFill="1" applyBorder="1" applyAlignment="1">
      <alignment horizontal="center"/>
    </xf>
    <xf numFmtId="0" fontId="74" fillId="32" borderId="10" xfId="0" applyFont="1" applyFill="1" applyBorder="1" applyAlignment="1">
      <alignment horizontal="center"/>
    </xf>
    <xf numFmtId="0" fontId="74" fillId="32" borderId="9" xfId="0" applyFont="1" applyFill="1" applyBorder="1" applyAlignment="1">
      <alignment horizontal="center"/>
    </xf>
    <xf numFmtId="0" fontId="38" fillId="0" borderId="0" xfId="0" applyFont="1" applyAlignment="1">
      <alignment horizontal="center"/>
    </xf>
    <xf numFmtId="0" fontId="2" fillId="2" borderId="0" xfId="0" applyFont="1" applyFill="1" applyAlignment="1">
      <alignment horizontal="center" vertical="top"/>
    </xf>
    <xf numFmtId="0" fontId="2" fillId="2" borderId="62" xfId="0" applyFont="1" applyFill="1" applyBorder="1" applyAlignment="1">
      <alignment horizontal="center" vertical="top"/>
    </xf>
    <xf numFmtId="0" fontId="47" fillId="0" borderId="31" xfId="0" applyFont="1" applyBorder="1" applyAlignment="1">
      <alignment horizontal="right" vertical="center"/>
    </xf>
    <xf numFmtId="0" fontId="47" fillId="0" borderId="32" xfId="0" applyFont="1" applyBorder="1" applyAlignment="1">
      <alignment horizontal="righ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0" fontId="38" fillId="0" borderId="17" xfId="0" applyFont="1" applyBorder="1" applyAlignment="1">
      <alignment horizontal="center" wrapText="1"/>
    </xf>
    <xf numFmtId="0" fontId="38" fillId="0" borderId="18" xfId="0" applyFont="1" applyBorder="1" applyAlignment="1">
      <alignment horizontal="center"/>
    </xf>
    <xf numFmtId="0" fontId="38" fillId="0" borderId="22" xfId="0" applyFont="1" applyBorder="1" applyAlignment="1">
      <alignment horizontal="center" wrapText="1"/>
    </xf>
    <xf numFmtId="0" fontId="38" fillId="0" borderId="22" xfId="0" applyFont="1" applyBorder="1" applyAlignment="1">
      <alignment horizontal="center"/>
    </xf>
    <xf numFmtId="0" fontId="38" fillId="0" borderId="4" xfId="0" applyFont="1" applyBorder="1" applyAlignment="1">
      <alignment horizontal="center"/>
    </xf>
    <xf numFmtId="0" fontId="38" fillId="0" borderId="2" xfId="0" applyFont="1" applyBorder="1" applyAlignment="1">
      <alignment horizontal="center"/>
    </xf>
    <xf numFmtId="0" fontId="39" fillId="0" borderId="19" xfId="0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3" xfId="0" applyFont="1" applyBorder="1" applyAlignment="1">
      <alignment horizontal="center" vertical="center"/>
    </xf>
    <xf numFmtId="0" fontId="39" fillId="0" borderId="1" xfId="0" applyFont="1" applyBorder="1" applyAlignment="1">
      <alignment horizontal="center" vertical="center"/>
    </xf>
    <xf numFmtId="0" fontId="39" fillId="0" borderId="24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 vertical="center" wrapText="1"/>
    </xf>
    <xf numFmtId="0" fontId="40" fillId="0" borderId="1" xfId="0" applyFont="1" applyBorder="1" applyAlignment="1">
      <alignment horizontal="center" vertical="center" wrapText="1"/>
    </xf>
    <xf numFmtId="0" fontId="40" fillId="0" borderId="24" xfId="0" applyFont="1" applyBorder="1" applyAlignment="1">
      <alignment horizontal="center" vertical="center" wrapText="1"/>
    </xf>
    <xf numFmtId="0" fontId="40" fillId="0" borderId="25" xfId="0" applyFont="1" applyBorder="1" applyAlignment="1">
      <alignment horizontal="center" vertical="center" wrapText="1"/>
    </xf>
    <xf numFmtId="0" fontId="40" fillId="0" borderId="13" xfId="0" applyFont="1" applyBorder="1" applyAlignment="1">
      <alignment horizontal="center" vertical="center" wrapText="1"/>
    </xf>
    <xf numFmtId="0" fontId="40" fillId="0" borderId="26" xfId="0" applyFont="1" applyBorder="1" applyAlignment="1">
      <alignment horizontal="center" vertical="center" wrapText="1"/>
    </xf>
    <xf numFmtId="0" fontId="44" fillId="0" borderId="31" xfId="0" applyFont="1" applyBorder="1" applyAlignment="1">
      <alignment horizontal="center" vertical="center"/>
    </xf>
    <xf numFmtId="0" fontId="44" fillId="0" borderId="32" xfId="0" applyFont="1" applyBorder="1" applyAlignment="1">
      <alignment horizontal="center" vertical="center"/>
    </xf>
    <xf numFmtId="0" fontId="46" fillId="0" borderId="31" xfId="0" applyFont="1" applyBorder="1" applyAlignment="1">
      <alignment horizontal="center" vertical="center"/>
    </xf>
    <xf numFmtId="0" fontId="46" fillId="0" borderId="34" xfId="0" applyFont="1" applyBorder="1" applyAlignment="1">
      <alignment horizontal="center" vertical="center"/>
    </xf>
    <xf numFmtId="0" fontId="46" fillId="0" borderId="32" xfId="0" applyFont="1" applyBorder="1" applyAlignment="1">
      <alignment horizontal="center" vertical="center"/>
    </xf>
    <xf numFmtId="0" fontId="43" fillId="0" borderId="31" xfId="0" applyFont="1" applyBorder="1" applyAlignment="1">
      <alignment horizontal="center" vertical="center"/>
    </xf>
    <xf numFmtId="0" fontId="43" fillId="0" borderId="34" xfId="0" applyFont="1" applyBorder="1" applyAlignment="1">
      <alignment horizontal="center" vertical="center"/>
    </xf>
    <xf numFmtId="0" fontId="43" fillId="0" borderId="32" xfId="0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4" fillId="0" borderId="92" xfId="0" applyFont="1" applyBorder="1" applyAlignment="1">
      <alignment horizontal="center" vertical="center"/>
    </xf>
    <xf numFmtId="0" fontId="4" fillId="0" borderId="96" xfId="0" applyFont="1" applyBorder="1" applyAlignment="1">
      <alignment horizontal="center" vertical="center"/>
    </xf>
    <xf numFmtId="4" fontId="54" fillId="0" borderId="38" xfId="28" applyNumberFormat="1" applyFont="1" applyBorder="1" applyAlignment="1">
      <alignment horizontal="center" vertical="center"/>
    </xf>
    <xf numFmtId="4" fontId="54" fillId="0" borderId="41" xfId="28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3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42" fillId="21" borderId="0" xfId="0" applyFont="1" applyFill="1" applyAlignment="1">
      <alignment horizontal="center" wrapText="1"/>
    </xf>
  </cellXfs>
  <cellStyles count="42">
    <cellStyle name="Collegamento ipertestuale 2" xfId="36"/>
    <cellStyle name="Comma" xfId="1" builtinId="3"/>
    <cellStyle name="Comma 2" xfId="7"/>
    <cellStyle name="Currency 5" xfId="25"/>
    <cellStyle name="Euro" xfId="27"/>
    <cellStyle name="Migliaia 2" xfId="32"/>
    <cellStyle name="Migliaia 4" xfId="16"/>
    <cellStyle name="Normal" xfId="0" builtinId="0"/>
    <cellStyle name="Normal - Style1" xfId="3"/>
    <cellStyle name="Normal 13" xfId="24"/>
    <cellStyle name="Normal 2 2" xfId="4"/>
    <cellStyle name="Normal 2 3 3" xfId="20"/>
    <cellStyle name="Normal 3" xfId="6"/>
    <cellStyle name="Normal 3 2" xfId="17"/>
    <cellStyle name="Normal 3 3" xfId="15"/>
    <cellStyle name="Normal 4" xfId="33"/>
    <cellStyle name="Normal 5" xfId="14"/>
    <cellStyle name="Normal 6" xfId="40"/>
    <cellStyle name="Normal_SHEET 2" xfId="8"/>
    <cellStyle name="Normale 2" xfId="30"/>
    <cellStyle name="Normale 3" xfId="31"/>
    <cellStyle name="Normale 3 2" xfId="9"/>
    <cellStyle name="Normale 4" xfId="35"/>
    <cellStyle name="Normale 4 2" xfId="28"/>
    <cellStyle name="Normale 5" xfId="38"/>
    <cellStyle name="Normale 6" xfId="39"/>
    <cellStyle name="Normale 7" xfId="41"/>
    <cellStyle name="Normale_prana" xfId="21"/>
    <cellStyle name="Normale_Preliminary valuation" xfId="5"/>
    <cellStyle name="Percent" xfId="2" builtinId="5"/>
    <cellStyle name="Percent 2" xfId="10"/>
    <cellStyle name="Percent 2 2" xfId="12"/>
    <cellStyle name="Percent 2 2 2" xfId="18"/>
    <cellStyle name="Percent 2 3" xfId="11"/>
    <cellStyle name="Percent 5" xfId="26"/>
    <cellStyle name="Percentuale 17" xfId="13"/>
    <cellStyle name="Percentuale 2" xfId="29"/>
    <cellStyle name="Percentuale 3" xfId="34"/>
    <cellStyle name="Percentuale 3 2" xfId="19"/>
    <cellStyle name="Percentuale 4" xfId="37"/>
    <cellStyle name="Valuta 2" xfId="22"/>
    <cellStyle name="Valuta 2 2" xfId="23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/>
              <a:t>Ricavi Commesse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Ricavi!$B$91</c:f>
              <c:strCache>
                <c:ptCount val="1"/>
                <c:pt idx="0">
                  <c:v>Ricavi Commesse (eur/mln)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5-4A6F-8D3E-157D36B8520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5-4A6F-8D3E-157D36B8520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6E5-4A6F-8D3E-157D36B8520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6E5-4A6F-8D3E-157D36B8520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(Ricavi!$C$90:$G$90,Ricavi!$J$90:$N$90)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(Ricavi!$C$91:$G$91,Ricavi!$J$91:$N$91)</c:f>
              <c:numCache>
                <c:formatCode>_-* #,##0.0_-;\-* #,##0.0_-;_-* "-"??_-;_-@_-</c:formatCode>
                <c:ptCount val="10"/>
                <c:pt idx="0">
                  <c:v>24.15602616</c:v>
                </c:pt>
                <c:pt idx="1">
                  <c:v>23.727212980000001</c:v>
                </c:pt>
                <c:pt idx="2">
                  <c:v>24.957098819999999</c:v>
                </c:pt>
                <c:pt idx="3">
                  <c:v>28.909167910000001</c:v>
                </c:pt>
                <c:pt idx="4">
                  <c:v>47.924038689999996</c:v>
                </c:pt>
                <c:pt idx="5">
                  <c:v>61.316158900000005</c:v>
                </c:pt>
                <c:pt idx="6">
                  <c:v>65.168191340000007</c:v>
                </c:pt>
                <c:pt idx="7">
                  <c:v>67.571377819999995</c:v>
                </c:pt>
                <c:pt idx="8">
                  <c:v>70.561528892859144</c:v>
                </c:pt>
                <c:pt idx="9">
                  <c:v>73.683999354888329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5-4A6F-8D3E-157D36B8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1"/>
        <c:overlap val="-27"/>
        <c:axId val="1236509743"/>
        <c:axId val="1572073615"/>
      </c:barChart>
      <c:lineChart>
        <c:grouping val="standard"/>
        <c:varyColors val="0"/>
        <c:ser>
          <c:idx val="1"/>
          <c:order val="1"/>
          <c:tx>
            <c:strRef>
              <c:f>Ricavi!$B$92</c:f>
              <c:strCache>
                <c:ptCount val="1"/>
                <c:pt idx="0">
                  <c:v>YoY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6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F6E5-4A6F-8D3E-157D36B85207}"/>
              </c:ext>
            </c:extLst>
          </c:dPt>
          <c:dPt>
            <c:idx val="7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8-F6E5-4A6F-8D3E-157D36B85207}"/>
              </c:ext>
            </c:extLst>
          </c:dPt>
          <c:dPt>
            <c:idx val="8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F6E5-4A6F-8D3E-157D36B85207}"/>
              </c:ext>
            </c:extLst>
          </c:dPt>
          <c:dPt>
            <c:idx val="9"/>
            <c:marker>
              <c:symbol val="none"/>
            </c:marker>
            <c:bubble3D val="0"/>
            <c:spPr>
              <a:ln w="2857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F6E5-4A6F-8D3E-157D36B85207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6E5-4A6F-8D3E-157D36B85207}"/>
                </c:ext>
              </c:extLst>
            </c:dLbl>
            <c:dLbl>
              <c:idx val="1"/>
              <c:layout>
                <c:manualLayout>
                  <c:x val="0"/>
                  <c:y val="9.269988412514399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6E5-4A6F-8D3E-157D36B85207}"/>
                </c:ext>
              </c:extLst>
            </c:dLbl>
            <c:dLbl>
              <c:idx val="2"/>
              <c:layout>
                <c:manualLayout>
                  <c:x val="4.0904722273039989E-3"/>
                  <c:y val="4.634994206257242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6E5-4A6F-8D3E-157D36B85207}"/>
                </c:ext>
              </c:extLst>
            </c:dLbl>
            <c:dLbl>
              <c:idx val="3"/>
              <c:layout>
                <c:manualLayout>
                  <c:x val="4.0904722273039989E-3"/>
                  <c:y val="-2.31749710312862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6E5-4A6F-8D3E-157D36B85207}"/>
                </c:ext>
              </c:extLst>
            </c:dLbl>
            <c:dLbl>
              <c:idx val="4"/>
              <c:layout>
                <c:manualLayout>
                  <c:x val="-3.2723777818431991E-2"/>
                  <c:y val="-1.853997682502898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6E5-4A6F-8D3E-157D36B85207}"/>
                </c:ext>
              </c:extLst>
            </c:dLbl>
            <c:dLbl>
              <c:idx val="5"/>
              <c:layout>
                <c:manualLayout>
                  <c:x val="6.1357083409559979E-3"/>
                  <c:y val="-9.269988412514484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6E5-4A6F-8D3E-157D36B85207}"/>
                </c:ext>
              </c:extLst>
            </c:dLbl>
            <c:dLbl>
              <c:idx val="6"/>
              <c:layout>
                <c:manualLayout>
                  <c:x val="4.0904722273039235E-3"/>
                  <c:y val="-4.17149478563151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6E5-4A6F-8D3E-157D36B85207}"/>
                </c:ext>
              </c:extLst>
            </c:dLbl>
            <c:dLbl>
              <c:idx val="7"/>
              <c:layout>
                <c:manualLayout>
                  <c:x val="0"/>
                  <c:y val="-3.70799536500580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6E5-4A6F-8D3E-157D36B85207}"/>
                </c:ext>
              </c:extLst>
            </c:dLbl>
            <c:dLbl>
              <c:idx val="8"/>
              <c:layout>
                <c:manualLayout>
                  <c:x val="0"/>
                  <c:y val="-3.70799536500579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6E5-4A6F-8D3E-157D36B85207}"/>
                </c:ext>
              </c:extLst>
            </c:dLbl>
            <c:dLbl>
              <c:idx val="9"/>
              <c:layout>
                <c:manualLayout>
                  <c:x val="2.0452361136519995E-3"/>
                  <c:y val="-1.39049826187717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6E5-4A6F-8D3E-157D36B85207}"/>
                </c:ext>
              </c:extLst>
            </c:dLbl>
            <c:spPr>
              <a:noFill/>
              <a:ln>
                <a:solidFill>
                  <a:schemeClr val="accent6">
                    <a:lumMod val="50000"/>
                  </a:scheme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(Ricavi!$C$90:$G$90,Ricavi!$J$90:$N$90)</c:f>
              <c:numCache>
                <c:formatCode>General</c:formatCode>
                <c:ptCount val="10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</c:numCache>
            </c:numRef>
          </c:cat>
          <c:val>
            <c:numRef>
              <c:f>(Ricavi!$C$92:$G$92,Ricavi!$J$92:$N$92)</c:f>
              <c:numCache>
                <c:formatCode>0.0%</c:formatCode>
                <c:ptCount val="10"/>
                <c:pt idx="0">
                  <c:v>0</c:v>
                </c:pt>
                <c:pt idx="1">
                  <c:v>-1.7751809720676359E-2</c:v>
                </c:pt>
                <c:pt idx="2">
                  <c:v>5.1834399642161522E-2</c:v>
                </c:pt>
                <c:pt idx="3">
                  <c:v>0.15835450740904666</c:v>
                </c:pt>
                <c:pt idx="4">
                  <c:v>0.65774535051292649</c:v>
                </c:pt>
                <c:pt idx="5">
                  <c:v>0.27944473329194719</c:v>
                </c:pt>
                <c:pt idx="6">
                  <c:v>6.2822468156921607E-2</c:v>
                </c:pt>
                <c:pt idx="7">
                  <c:v>3.6876679106558674E-2</c:v>
                </c:pt>
                <c:pt idx="8">
                  <c:v>4.4251740445850674E-2</c:v>
                </c:pt>
                <c:pt idx="9">
                  <c:v>4.4251740445850674E-2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5-4A6F-8D3E-157D36B85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994847"/>
        <c:axId val="1572074111"/>
      </c:lineChart>
      <c:catAx>
        <c:axId val="123650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073615"/>
        <c:crosses val="autoZero"/>
        <c:auto val="1"/>
        <c:lblAlgn val="ctr"/>
        <c:lblOffset val="100"/>
        <c:noMultiLvlLbl val="0"/>
      </c:catAx>
      <c:valAx>
        <c:axId val="157207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_-;\-* #,##0.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509743"/>
        <c:crosses val="autoZero"/>
        <c:crossBetween val="between"/>
      </c:valAx>
      <c:valAx>
        <c:axId val="157207411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994847"/>
        <c:crosses val="max"/>
        <c:crossBetween val="between"/>
      </c:valAx>
      <c:catAx>
        <c:axId val="69099484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720741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0" fmlaLink="K61" fmlaRange="$B$67:$B$72" noThreeD="1" sel="6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</xdr:colOff>
          <xdr:row>60</xdr:row>
          <xdr:rowOff>9525</xdr:rowOff>
        </xdr:from>
        <xdr:to>
          <xdr:col>11</xdr:col>
          <xdr:colOff>228600</xdr:colOff>
          <xdr:row>60</xdr:row>
          <xdr:rowOff>171450</xdr:rowOff>
        </xdr:to>
        <xdr:sp macro="" textlink="">
          <xdr:nvSpPr>
            <xdr:cNvPr id="98305" name="Drop Down 1" hidden="1">
              <a:extLst>
                <a:ext uri="{63B3BB69-23CF-44E3-9099-C40C66FF867C}">
                  <a14:compatExt spid="_x0000_s98305"/>
                </a:ext>
                <a:ext uri="{FF2B5EF4-FFF2-40B4-BE49-F238E27FC236}">
                  <a16:creationId xmlns:a16="http://schemas.microsoft.com/office/drawing/2014/main" id="{00000000-0008-0000-0800-0000018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3</xdr:col>
      <xdr:colOff>28015</xdr:colOff>
      <xdr:row>94</xdr:row>
      <xdr:rowOff>141194</xdr:rowOff>
    </xdr:from>
    <xdr:to>
      <xdr:col>10</xdr:col>
      <xdr:colOff>226918</xdr:colOff>
      <xdr:row>110</xdr:row>
      <xdr:rowOff>48745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3134</xdr:colOff>
      <xdr:row>1</xdr:row>
      <xdr:rowOff>87580</xdr:rowOff>
    </xdr:from>
    <xdr:to>
      <xdr:col>32</xdr:col>
      <xdr:colOff>498145</xdr:colOff>
      <xdr:row>40</xdr:row>
      <xdr:rowOff>142163</xdr:rowOff>
    </xdr:to>
    <xdr:pic>
      <xdr:nvPicPr>
        <xdr:cNvPr id="2" name="Immagine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65504" y="273132"/>
          <a:ext cx="4737966" cy="6158413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DP" id="{CF387344-BDD0-4B42-BBE8-78C138B61415}" userId="LDP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0" dT="2023-06-19T08:21:51.39" personId="{CF387344-BDD0-4B42-BBE8-78C138B61415}" id="{51BDF9C2-8D4E-49D4-9CD9-FA39936D6D16}">
    <text>Inclusa la rivalutazione</text>
  </threadedComment>
  <threadedComment ref="F30" dT="2023-06-19T08:22:04.82" personId="{CF387344-BDD0-4B42-BBE8-78C138B61415}" id="{A8B12917-943D-474D-9DF4-C0E3B0D5450A}">
    <text>Effetto rivalutazione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35" dT="2023-06-19T14:15:04.92" personId="{CF387344-BDD0-4B42-BBE8-78C138B61415}" id="{2C53E0B6-E4FE-4930-BAB1-ADF711C8E102}">
    <text>Costo straordinario… Discusso con Società e WPartners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155" dT="2023-06-19T08:14:57.32" personId="{CF387344-BDD0-4B42-BBE8-78C138B61415}" id="{5C8AB414-C9C1-402E-A335-682B3F8274EC}">
    <text>Straordinario</text>
  </threadedComment>
  <threadedComment ref="G170" dT="2023-10-11T10:06:37.37" personId="{CF387344-BDD0-4B42-BBE8-78C138B61415}" id="{9CA4F3FF-A387-4EFA-9135-507BFEE3F83B}">
    <text>Le sopravv pass+perdite su crediti, quali voci straordinarie di periodo fanno incrementare di molto il valore degli odg pe ril 2022</text>
  </threadedComment>
  <threadedComment ref="I170" dT="2023-06-19T14:25:08.22" personId="{CF387344-BDD0-4B42-BBE8-78C138B61415}" id="{D3585ABC-5C7B-429B-93D2-F32908402BD1}">
    <text>OdG leggermente inferiori al 2022 per effetto delle sopravv. Passive del 2022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D41" dT="2023-03-15T15:42:20.35" personId="{CF387344-BDD0-4B42-BBE8-78C138B61415}" id="{B52259B4-0CCA-448D-AA1B-5BBD630D6A7D}">
    <text>Indicazione società, valore dimezzato per considerare circa i 1,6 mln di acquisti effettuati fino a giugno 2023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S85"/>
  <sheetViews>
    <sheetView showGridLines="0" topLeftCell="A54" zoomScale="69" zoomScaleNormal="100" workbookViewId="0">
      <selection activeCell="F25" sqref="F25"/>
    </sheetView>
  </sheetViews>
  <sheetFormatPr defaultRowHeight="15"/>
  <cols>
    <col min="1" max="1" width="2.85546875" customWidth="1"/>
    <col min="2" max="2" width="29" customWidth="1"/>
    <col min="3" max="3" width="10.7109375" bestFit="1" customWidth="1"/>
    <col min="6" max="6" width="8.7109375" customWidth="1"/>
    <col min="7" max="7" width="9" customWidth="1"/>
    <col min="8" max="8" width="8.85546875" customWidth="1"/>
    <col min="9" max="9" width="8.7109375" customWidth="1"/>
    <col min="10" max="12" width="11.140625" bestFit="1" customWidth="1"/>
  </cols>
  <sheetData>
    <row r="2" spans="2:19">
      <c r="B2" s="1" t="s">
        <v>3667</v>
      </c>
    </row>
    <row r="3" spans="2:19" ht="5.65" customHeight="1"/>
    <row r="4" spans="2:19">
      <c r="B4" s="820">
        <v>2016</v>
      </c>
      <c r="C4" s="820">
        <v>2017</v>
      </c>
      <c r="D4" s="820">
        <v>2018</v>
      </c>
      <c r="E4" s="820">
        <v>2019</v>
      </c>
      <c r="F4" s="820">
        <v>2020</v>
      </c>
      <c r="G4" s="820">
        <v>2021</v>
      </c>
      <c r="H4" s="820">
        <v>2022</v>
      </c>
      <c r="J4" s="820" t="s">
        <v>2493</v>
      </c>
      <c r="K4" s="820" t="s">
        <v>3668</v>
      </c>
      <c r="L4" s="820" t="s">
        <v>3671</v>
      </c>
    </row>
    <row r="5" spans="2:19">
      <c r="B5" s="868">
        <v>164.5</v>
      </c>
      <c r="C5" s="868">
        <v>166.8</v>
      </c>
      <c r="D5" s="868">
        <v>173.1</v>
      </c>
      <c r="E5" s="868">
        <v>179.5</v>
      </c>
      <c r="F5" s="868">
        <v>172.6</v>
      </c>
      <c r="G5" s="868">
        <v>227.7</v>
      </c>
      <c r="H5" s="868">
        <v>281.5</v>
      </c>
      <c r="J5" s="60">
        <f>IF(H5*F5&lt;=0,"n/a",IF(F5&gt;H5,-ABS((H5/F5)^(1/(2))-1),ABS((H5/F5)^(1/(2))-1)))</f>
        <v>0.27708205935514063</v>
      </c>
      <c r="K5" s="60">
        <f>+H5/G5-1</f>
        <v>0.23627580149319294</v>
      </c>
      <c r="L5" s="60">
        <f>IF(H5*E5&lt;=0,"n/a",IF(E5&gt;H5,-ABS((H5/E5)^(1/(3))-1),ABS((H5/E5)^(1/(3))-1)))</f>
        <v>0.16181768270056174</v>
      </c>
    </row>
    <row r="6" spans="2:19">
      <c r="B6" s="868"/>
      <c r="C6" s="892">
        <f t="shared" ref="C6:H6" si="0">+C5/B5-1</f>
        <v>1.3981762917933294E-2</v>
      </c>
      <c r="D6" s="892">
        <f t="shared" si="0"/>
        <v>3.7769784172661858E-2</v>
      </c>
      <c r="E6" s="892">
        <f t="shared" si="0"/>
        <v>3.6972848064702468E-2</v>
      </c>
      <c r="F6" s="892">
        <f t="shared" si="0"/>
        <v>-3.8440111420612877E-2</v>
      </c>
      <c r="G6" s="892">
        <f t="shared" si="0"/>
        <v>0.31923522595596743</v>
      </c>
      <c r="H6" s="892">
        <f t="shared" si="0"/>
        <v>0.23627580149319294</v>
      </c>
      <c r="J6" s="60"/>
      <c r="K6" s="60"/>
      <c r="L6" s="60"/>
    </row>
    <row r="7" spans="2:19" ht="9.4" customHeight="1">
      <c r="B7" s="868"/>
      <c r="C7" s="868"/>
      <c r="D7" s="868"/>
      <c r="E7" s="868"/>
      <c r="F7" s="868"/>
      <c r="G7" s="868"/>
      <c r="H7" s="868"/>
      <c r="J7" s="60"/>
      <c r="K7" s="60"/>
      <c r="L7" s="60"/>
    </row>
    <row r="8" spans="2:19" ht="9.4" customHeight="1">
      <c r="B8" s="868"/>
      <c r="C8" s="868"/>
      <c r="D8" s="868"/>
      <c r="E8" s="868"/>
      <c r="F8" s="868"/>
      <c r="G8" s="868"/>
      <c r="H8" s="868"/>
      <c r="J8" s="60"/>
      <c r="K8" s="60"/>
      <c r="L8" s="60"/>
    </row>
    <row r="9" spans="2:19">
      <c r="B9" t="s">
        <v>3669</v>
      </c>
    </row>
    <row r="10" spans="2:19">
      <c r="B10" t="s">
        <v>3670</v>
      </c>
    </row>
    <row r="12" spans="2:19">
      <c r="B12" s="820" t="s">
        <v>3716</v>
      </c>
      <c r="C12" s="820">
        <v>2016</v>
      </c>
      <c r="D12" s="820">
        <f>+C12+1</f>
        <v>2017</v>
      </c>
      <c r="E12" s="820">
        <f t="shared" ref="E12:J12" si="1">+D12+1</f>
        <v>2018</v>
      </c>
      <c r="F12" s="820">
        <f t="shared" si="1"/>
        <v>2019</v>
      </c>
      <c r="G12" s="820">
        <f t="shared" si="1"/>
        <v>2020</v>
      </c>
      <c r="H12" s="820">
        <f t="shared" si="1"/>
        <v>2021</v>
      </c>
      <c r="I12" s="820">
        <f t="shared" si="1"/>
        <v>2022</v>
      </c>
      <c r="J12" s="820">
        <f t="shared" si="1"/>
        <v>2023</v>
      </c>
      <c r="L12" s="820">
        <v>2016</v>
      </c>
      <c r="M12" s="820">
        <f>+L12+1</f>
        <v>2017</v>
      </c>
      <c r="N12" s="820">
        <f t="shared" ref="N12:S12" si="2">+M12+1</f>
        <v>2018</v>
      </c>
      <c r="O12" s="820">
        <f t="shared" si="2"/>
        <v>2019</v>
      </c>
      <c r="P12" s="820">
        <f t="shared" si="2"/>
        <v>2020</v>
      </c>
      <c r="Q12" s="820">
        <f t="shared" si="2"/>
        <v>2021</v>
      </c>
      <c r="R12" s="820">
        <f t="shared" si="2"/>
        <v>2022</v>
      </c>
      <c r="S12" s="820">
        <f t="shared" si="2"/>
        <v>2023</v>
      </c>
    </row>
    <row r="13" spans="2:19">
      <c r="B13" s="1" t="s">
        <v>3690</v>
      </c>
      <c r="C13" s="823">
        <f>+SUM(C14:C17)</f>
        <v>41846</v>
      </c>
      <c r="D13" s="823">
        <f t="shared" ref="D13:J13" si="3">+SUM(D14:D17)</f>
        <v>41639</v>
      </c>
      <c r="E13" s="823">
        <f t="shared" si="3"/>
        <v>43909</v>
      </c>
      <c r="F13" s="823">
        <f t="shared" si="3"/>
        <v>46238</v>
      </c>
      <c r="G13" s="823">
        <f t="shared" si="3"/>
        <v>44483</v>
      </c>
      <c r="H13" s="823">
        <f t="shared" si="3"/>
        <v>52689</v>
      </c>
      <c r="I13" s="823">
        <f t="shared" si="3"/>
        <v>58288</v>
      </c>
      <c r="J13" s="823">
        <f t="shared" si="3"/>
        <v>68123</v>
      </c>
      <c r="L13" s="878"/>
      <c r="M13" s="878">
        <f>+D13/C13-1</f>
        <v>-4.9467093629020908E-3</v>
      </c>
      <c r="N13" s="878">
        <f t="shared" ref="N13:S13" si="4">+E13/D13-1</f>
        <v>5.451619875597391E-2</v>
      </c>
      <c r="O13" s="878">
        <f t="shared" si="4"/>
        <v>5.3041517684301542E-2</v>
      </c>
      <c r="P13" s="878">
        <f t="shared" si="4"/>
        <v>-3.7955793935723903E-2</v>
      </c>
      <c r="Q13" s="878">
        <f t="shared" si="4"/>
        <v>0.18447496796529017</v>
      </c>
      <c r="R13" s="878">
        <f t="shared" si="4"/>
        <v>0.10626506481428755</v>
      </c>
      <c r="S13" s="878">
        <f t="shared" si="4"/>
        <v>0.16873112819105129</v>
      </c>
    </row>
    <row r="14" spans="2:19">
      <c r="B14" t="s">
        <v>3691</v>
      </c>
      <c r="C14" s="595">
        <v>14174</v>
      </c>
      <c r="D14" s="595">
        <v>14669</v>
      </c>
      <c r="E14" s="595">
        <v>15479</v>
      </c>
      <c r="F14" s="595">
        <v>16090</v>
      </c>
      <c r="G14" s="595">
        <v>14776</v>
      </c>
      <c r="H14" s="595">
        <v>18492</v>
      </c>
      <c r="I14" s="595">
        <v>21804</v>
      </c>
      <c r="J14" s="595">
        <v>23087</v>
      </c>
      <c r="L14" s="703"/>
      <c r="M14" s="703">
        <f>+D14/C14-1</f>
        <v>3.4923098631296723E-2</v>
      </c>
      <c r="N14" s="703">
        <f t="shared" ref="N14:S14" si="5">+E14/D14-1</f>
        <v>5.5218487967823249E-2</v>
      </c>
      <c r="O14" s="703">
        <f t="shared" si="5"/>
        <v>3.9472834162413539E-2</v>
      </c>
      <c r="P14" s="703">
        <f t="shared" si="5"/>
        <v>-8.1665630826600388E-2</v>
      </c>
      <c r="Q14" s="703">
        <f t="shared" si="5"/>
        <v>0.25148890092041154</v>
      </c>
      <c r="R14" s="703">
        <f t="shared" si="5"/>
        <v>0.17910447761194037</v>
      </c>
      <c r="S14" s="703">
        <f t="shared" si="5"/>
        <v>5.8842414235920071E-2</v>
      </c>
    </row>
    <row r="15" spans="2:19">
      <c r="B15" t="s">
        <v>3692</v>
      </c>
      <c r="C15" s="595">
        <v>10969</v>
      </c>
      <c r="D15" s="595">
        <v>11616</v>
      </c>
      <c r="E15" s="595">
        <v>12484</v>
      </c>
      <c r="F15" s="595">
        <v>13139</v>
      </c>
      <c r="G15" s="595">
        <v>11416</v>
      </c>
      <c r="H15" s="595">
        <v>13021</v>
      </c>
      <c r="I15" s="595">
        <v>14552</v>
      </c>
      <c r="J15" s="595">
        <v>14914</v>
      </c>
      <c r="L15" s="703"/>
      <c r="M15" s="703">
        <f>+D15/C15-1</f>
        <v>5.8984410611723881E-2</v>
      </c>
      <c r="N15" s="703">
        <f>+E15/D15-1</f>
        <v>7.4724517906336052E-2</v>
      </c>
      <c r="O15" s="703">
        <f t="shared" ref="O15:O17" si="6">+F15/E15-1</f>
        <v>5.2467157962191591E-2</v>
      </c>
      <c r="P15" s="703">
        <f t="shared" ref="P15:P17" si="7">+G15/F15-1</f>
        <v>-0.13113631174366391</v>
      </c>
      <c r="Q15" s="703">
        <f t="shared" ref="Q15:Q17" si="8">+H15/G15-1</f>
        <v>0.14059215136650316</v>
      </c>
      <c r="R15" s="703">
        <f t="shared" ref="R15:R17" si="9">+I15/H15-1</f>
        <v>0.11757929498502429</v>
      </c>
      <c r="S15" s="703">
        <f t="shared" ref="S15:S17" si="10">+J15/I15-1</f>
        <v>2.4876305662451914E-2</v>
      </c>
    </row>
    <row r="16" spans="2:19">
      <c r="B16" t="s">
        <v>3693</v>
      </c>
      <c r="C16" s="595">
        <v>4152</v>
      </c>
      <c r="D16" s="595">
        <v>4062</v>
      </c>
      <c r="E16" s="595">
        <v>4045</v>
      </c>
      <c r="F16" s="595">
        <v>4149</v>
      </c>
      <c r="G16" s="595">
        <v>4351</v>
      </c>
      <c r="H16" s="595">
        <v>4978</v>
      </c>
      <c r="I16" s="595">
        <v>5344</v>
      </c>
      <c r="J16" s="595">
        <v>5912</v>
      </c>
      <c r="L16" s="703"/>
      <c r="M16" s="703">
        <f>+D16/C16-1</f>
        <v>-2.1676300578034713E-2</v>
      </c>
      <c r="N16" s="703">
        <f t="shared" ref="N16:N17" si="11">+E16/D16-1</f>
        <v>-4.1851304775972764E-3</v>
      </c>
      <c r="O16" s="703">
        <f t="shared" si="6"/>
        <v>2.5710754017305382E-2</v>
      </c>
      <c r="P16" s="703">
        <f t="shared" si="7"/>
        <v>4.8686430465172403E-2</v>
      </c>
      <c r="Q16" s="703">
        <f t="shared" si="8"/>
        <v>0.14410480349344978</v>
      </c>
      <c r="R16" s="703">
        <f t="shared" si="9"/>
        <v>7.3523503415026115E-2</v>
      </c>
      <c r="S16" s="703">
        <f t="shared" si="10"/>
        <v>0.10628742514970058</v>
      </c>
    </row>
    <row r="17" spans="2:19">
      <c r="B17" t="s">
        <v>3694</v>
      </c>
      <c r="C17" s="595">
        <v>12551</v>
      </c>
      <c r="D17" s="595">
        <v>11292</v>
      </c>
      <c r="E17" s="595">
        <v>11901</v>
      </c>
      <c r="F17" s="595">
        <v>12860</v>
      </c>
      <c r="G17" s="595">
        <v>13940</v>
      </c>
      <c r="H17" s="595">
        <v>16198</v>
      </c>
      <c r="I17" s="595">
        <v>16588</v>
      </c>
      <c r="J17" s="595">
        <v>24210</v>
      </c>
      <c r="L17" s="703"/>
      <c r="M17" s="703">
        <f>+D17/C17-1</f>
        <v>-0.1003107322125727</v>
      </c>
      <c r="N17" s="703">
        <f t="shared" si="11"/>
        <v>5.3931987247608948E-2</v>
      </c>
      <c r="O17" s="703">
        <f t="shared" si="6"/>
        <v>8.0581463742542603E-2</v>
      </c>
      <c r="P17" s="703">
        <f t="shared" si="7"/>
        <v>8.3981337480559803E-2</v>
      </c>
      <c r="Q17" s="703">
        <f t="shared" si="8"/>
        <v>0.16197991391678612</v>
      </c>
      <c r="R17" s="703">
        <f t="shared" si="9"/>
        <v>2.4077046548956593E-2</v>
      </c>
      <c r="S17" s="703">
        <f t="shared" si="10"/>
        <v>0.45948878707499397</v>
      </c>
    </row>
    <row r="18" spans="2:19" ht="9.4" customHeight="1">
      <c r="C18" s="595"/>
      <c r="D18" s="595"/>
      <c r="E18" s="595"/>
      <c r="F18" s="595"/>
      <c r="G18" s="595"/>
      <c r="H18" s="595"/>
      <c r="I18" s="595"/>
      <c r="J18" s="595"/>
      <c r="L18" s="703"/>
      <c r="M18" s="703"/>
      <c r="N18" s="703"/>
      <c r="O18" s="703"/>
      <c r="P18" s="703"/>
      <c r="Q18" s="703"/>
      <c r="R18" s="703"/>
      <c r="S18" s="703"/>
    </row>
    <row r="19" spans="2:19">
      <c r="B19" s="1" t="s">
        <v>3695</v>
      </c>
      <c r="C19" s="823">
        <f>+SUM(C20:C23)</f>
        <v>86011</v>
      </c>
      <c r="D19" s="823">
        <f t="shared" ref="D19" si="12">+SUM(D20:D23)</f>
        <v>87911</v>
      </c>
      <c r="E19" s="823">
        <f t="shared" ref="E19" si="13">+SUM(E20:E23)</f>
        <v>90992</v>
      </c>
      <c r="F19" s="823">
        <f t="shared" ref="F19" si="14">+SUM(F20:F23)</f>
        <v>94682</v>
      </c>
      <c r="G19" s="823">
        <f t="shared" ref="G19" si="15">+SUM(G20:G23)</f>
        <v>90675</v>
      </c>
      <c r="H19" s="823">
        <f t="shared" ref="H19" si="16">+SUM(H20:H23)</f>
        <v>131123</v>
      </c>
      <c r="I19" s="823">
        <f t="shared" ref="I19" si="17">+SUM(I20:I23)</f>
        <v>173973</v>
      </c>
      <c r="J19" s="823">
        <f t="shared" ref="J19" si="18">+SUM(J20:J23)</f>
        <v>171992</v>
      </c>
      <c r="L19" s="878"/>
      <c r="M19" s="878">
        <f>+D19/C19-1</f>
        <v>2.2090197765401998E-2</v>
      </c>
      <c r="N19" s="878">
        <f t="shared" ref="N19" si="19">+E19/D19-1</f>
        <v>3.5046808704257693E-2</v>
      </c>
      <c r="O19" s="878">
        <f t="shared" ref="O19" si="20">+F19/E19-1</f>
        <v>4.0553015649727353E-2</v>
      </c>
      <c r="P19" s="878">
        <f t="shared" ref="P19" si="21">+G19/F19-1</f>
        <v>-4.2320610042035467E-2</v>
      </c>
      <c r="Q19" s="878">
        <f t="shared" ref="Q19" si="22">+H19/G19-1</f>
        <v>0.44607664736696995</v>
      </c>
      <c r="R19" s="878">
        <f t="shared" ref="R19" si="23">+I19/H19-1</f>
        <v>0.3267924010280423</v>
      </c>
      <c r="S19" s="878">
        <f t="shared" ref="S19" si="24">+J19/I19-1</f>
        <v>-1.1386824392290773E-2</v>
      </c>
    </row>
    <row r="20" spans="2:19">
      <c r="B20" t="s">
        <v>3691</v>
      </c>
      <c r="C20" s="595">
        <v>50200</v>
      </c>
      <c r="D20" s="595">
        <v>51333</v>
      </c>
      <c r="E20" s="595">
        <v>52894</v>
      </c>
      <c r="F20" s="595">
        <v>53923</v>
      </c>
      <c r="G20" s="595">
        <v>51534</v>
      </c>
      <c r="H20" s="595">
        <v>82128</v>
      </c>
      <c r="I20" s="595">
        <v>119357</v>
      </c>
      <c r="J20" s="595">
        <v>111873</v>
      </c>
      <c r="L20" s="703"/>
      <c r="M20" s="703">
        <f>+D20/C20-1</f>
        <v>2.2569721115537789E-2</v>
      </c>
      <c r="N20" s="703">
        <f t="shared" ref="N20:N23" si="25">+E20/D20-1</f>
        <v>3.0409288372002408E-2</v>
      </c>
      <c r="O20" s="703">
        <f t="shared" ref="O20:O23" si="26">+F20/E20-1</f>
        <v>1.9454002344311272E-2</v>
      </c>
      <c r="P20" s="703">
        <f t="shared" ref="P20:P23" si="27">+G20/F20-1</f>
        <v>-4.4303914841533287E-2</v>
      </c>
      <c r="Q20" s="703">
        <f t="shared" ref="Q20:Q23" si="28">+H20/G20-1</f>
        <v>0.59366631738269882</v>
      </c>
      <c r="R20" s="703">
        <f t="shared" ref="R20:R23" si="29">+I20/H20-1</f>
        <v>0.45330459770114939</v>
      </c>
      <c r="S20" s="703">
        <f t="shared" ref="S20:S23" si="30">+J20/I20-1</f>
        <v>-6.2702648357448654E-2</v>
      </c>
    </row>
    <row r="21" spans="2:19">
      <c r="B21" t="s">
        <v>3692</v>
      </c>
      <c r="C21" s="595">
        <v>19958</v>
      </c>
      <c r="D21" s="595">
        <v>20611</v>
      </c>
      <c r="E21" s="595">
        <v>21427</v>
      </c>
      <c r="F21" s="595">
        <v>21803</v>
      </c>
      <c r="G21" s="595">
        <v>19206</v>
      </c>
      <c r="H21" s="595">
        <v>24360</v>
      </c>
      <c r="I21" s="595">
        <v>27332</v>
      </c>
      <c r="J21" s="595">
        <v>28715</v>
      </c>
      <c r="L21" s="703"/>
      <c r="M21" s="703">
        <f>+D21/C21-1</f>
        <v>3.2718709289508041E-2</v>
      </c>
      <c r="N21" s="703">
        <f t="shared" si="25"/>
        <v>3.9590509921886285E-2</v>
      </c>
      <c r="O21" s="703">
        <f t="shared" si="26"/>
        <v>1.7547953516591219E-2</v>
      </c>
      <c r="P21" s="703">
        <f t="shared" si="27"/>
        <v>-0.11911204880062376</v>
      </c>
      <c r="Q21" s="703">
        <f t="shared" si="28"/>
        <v>0.26835363948766</v>
      </c>
      <c r="R21" s="703">
        <f t="shared" si="29"/>
        <v>0.12200328407224958</v>
      </c>
      <c r="S21" s="703">
        <f t="shared" si="30"/>
        <v>5.0600029269720403E-2</v>
      </c>
    </row>
    <row r="22" spans="2:19">
      <c r="B22" t="s">
        <v>3693</v>
      </c>
      <c r="C22" s="595">
        <v>5079</v>
      </c>
      <c r="D22" s="595">
        <v>5046</v>
      </c>
      <c r="E22" s="595">
        <v>5251</v>
      </c>
      <c r="F22" s="595">
        <v>5643</v>
      </c>
      <c r="G22" s="595">
        <v>6293</v>
      </c>
      <c r="H22" s="595">
        <v>7739</v>
      </c>
      <c r="I22" s="595">
        <v>8624</v>
      </c>
      <c r="J22" s="595">
        <v>10223</v>
      </c>
      <c r="L22" s="703"/>
      <c r="M22" s="703">
        <f>+D22/C22-1</f>
        <v>-6.4973419964560186E-3</v>
      </c>
      <c r="N22" s="703">
        <f t="shared" si="25"/>
        <v>4.0626238604835496E-2</v>
      </c>
      <c r="O22" s="703">
        <f t="shared" si="26"/>
        <v>7.4652447152923296E-2</v>
      </c>
      <c r="P22" s="703">
        <f t="shared" si="27"/>
        <v>0.11518695729222039</v>
      </c>
      <c r="Q22" s="703">
        <f t="shared" si="28"/>
        <v>0.22977911965676157</v>
      </c>
      <c r="R22" s="703">
        <f t="shared" si="29"/>
        <v>0.11435585993022346</v>
      </c>
      <c r="S22" s="703">
        <f t="shared" si="30"/>
        <v>0.18541280148423001</v>
      </c>
    </row>
    <row r="23" spans="2:19">
      <c r="B23" t="s">
        <v>3694</v>
      </c>
      <c r="C23" s="595">
        <v>10774</v>
      </c>
      <c r="D23" s="595">
        <v>10921</v>
      </c>
      <c r="E23" s="595">
        <v>11420</v>
      </c>
      <c r="F23" s="595">
        <v>13313</v>
      </c>
      <c r="G23" s="595">
        <v>13642</v>
      </c>
      <c r="H23" s="595">
        <v>16896</v>
      </c>
      <c r="I23" s="595">
        <v>18660</v>
      </c>
      <c r="J23" s="595">
        <v>21181</v>
      </c>
      <c r="L23" s="703"/>
      <c r="M23" s="703">
        <f>+D23/C23-1</f>
        <v>1.3643957675886442E-2</v>
      </c>
      <c r="N23" s="703">
        <f t="shared" si="25"/>
        <v>4.5691786466440787E-2</v>
      </c>
      <c r="O23" s="703">
        <f t="shared" si="26"/>
        <v>0.16576182136602458</v>
      </c>
      <c r="P23" s="703">
        <f t="shared" si="27"/>
        <v>2.4712686847442322E-2</v>
      </c>
      <c r="Q23" s="703">
        <f t="shared" si="28"/>
        <v>0.23852807506230755</v>
      </c>
      <c r="R23" s="703">
        <f t="shared" si="29"/>
        <v>0.10440340909090917</v>
      </c>
      <c r="S23" s="703">
        <f t="shared" si="30"/>
        <v>0.13510182207931409</v>
      </c>
    </row>
    <row r="24" spans="2:19" ht="4.5" customHeight="1">
      <c r="C24" s="595"/>
      <c r="D24" s="595"/>
      <c r="E24" s="595"/>
      <c r="F24" s="595"/>
      <c r="G24" s="595"/>
      <c r="H24" s="595"/>
      <c r="I24" s="595"/>
      <c r="J24" s="595"/>
      <c r="L24" s="703"/>
      <c r="M24" s="703"/>
      <c r="N24" s="703"/>
      <c r="O24" s="703"/>
      <c r="P24" s="703"/>
      <c r="Q24" s="703"/>
      <c r="R24" s="703"/>
      <c r="S24" s="703"/>
    </row>
    <row r="25" spans="2:19">
      <c r="B25" s="2" t="s">
        <v>3696</v>
      </c>
      <c r="C25" s="829">
        <f>+C19+C13</f>
        <v>127857</v>
      </c>
      <c r="D25" s="829">
        <f t="shared" ref="D25:J25" si="31">+D19+D13</f>
        <v>129550</v>
      </c>
      <c r="E25" s="829">
        <f t="shared" si="31"/>
        <v>134901</v>
      </c>
      <c r="F25" s="829">
        <f t="shared" si="31"/>
        <v>140920</v>
      </c>
      <c r="G25" s="829">
        <f t="shared" si="31"/>
        <v>135158</v>
      </c>
      <c r="H25" s="829">
        <f t="shared" si="31"/>
        <v>183812</v>
      </c>
      <c r="I25" s="829">
        <f t="shared" si="31"/>
        <v>232261</v>
      </c>
      <c r="J25" s="829">
        <f t="shared" si="31"/>
        <v>240115</v>
      </c>
      <c r="L25" s="828">
        <f>+L19+L13</f>
        <v>0</v>
      </c>
      <c r="M25" s="828">
        <f>+D25/C25-1</f>
        <v>1.3241355576933511E-2</v>
      </c>
      <c r="N25" s="828">
        <f t="shared" ref="N25" si="32">+E25/D25-1</f>
        <v>4.1304515631030547E-2</v>
      </c>
      <c r="O25" s="828">
        <f t="shared" ref="O25" si="33">+F25/E25-1</f>
        <v>4.4617904982172218E-2</v>
      </c>
      <c r="P25" s="828">
        <f t="shared" ref="P25" si="34">+G25/F25-1</f>
        <v>-4.0888447346011936E-2</v>
      </c>
      <c r="Q25" s="828">
        <f t="shared" ref="Q25" si="35">+H25/G25-1</f>
        <v>0.35997869160538043</v>
      </c>
      <c r="R25" s="828">
        <f t="shared" ref="R25" si="36">+I25/H25-1</f>
        <v>0.26357909168063021</v>
      </c>
      <c r="S25" s="828">
        <f t="shared" ref="S25" si="37">+J25/I25-1</f>
        <v>3.381540594417487E-2</v>
      </c>
    </row>
    <row r="26" spans="2:19" ht="3" customHeight="1">
      <c r="L26" s="703"/>
      <c r="M26" s="703"/>
      <c r="N26" s="703"/>
      <c r="O26" s="703"/>
      <c r="P26" s="703"/>
      <c r="Q26" s="703"/>
      <c r="R26" s="703"/>
      <c r="S26" s="703"/>
    </row>
    <row r="27" spans="2:19">
      <c r="B27" t="s">
        <v>3697</v>
      </c>
      <c r="C27" s="595">
        <v>36737</v>
      </c>
      <c r="D27" s="595">
        <v>37284</v>
      </c>
      <c r="E27" s="595">
        <v>38195</v>
      </c>
      <c r="F27" s="595">
        <v>38600</v>
      </c>
      <c r="G27" s="595">
        <v>37430</v>
      </c>
      <c r="H27" s="595">
        <v>43868</v>
      </c>
      <c r="I27" s="595">
        <v>49253</v>
      </c>
      <c r="J27" s="877">
        <v>0</v>
      </c>
      <c r="L27" s="703"/>
      <c r="M27" s="703">
        <f>+D27/C27-1</f>
        <v>1.4889620818248739E-2</v>
      </c>
      <c r="N27" s="703">
        <f t="shared" ref="N27" si="38">+E27/D27-1</f>
        <v>2.443407359725347E-2</v>
      </c>
      <c r="O27" s="703">
        <f t="shared" ref="O27" si="39">+F27/E27-1</f>
        <v>1.0603482131168906E-2</v>
      </c>
      <c r="P27" s="703">
        <f t="shared" ref="P27" si="40">+G27/F27-1</f>
        <v>-3.0310880829015563E-2</v>
      </c>
      <c r="Q27" s="703">
        <f t="shared" ref="Q27" si="41">+H27/G27-1</f>
        <v>0.17200106866150144</v>
      </c>
      <c r="R27" s="703">
        <f t="shared" ref="R27" si="42">+I27/H27-1</f>
        <v>0.12275462751892041</v>
      </c>
      <c r="S27" s="703">
        <f t="shared" ref="S27" si="43">+J27/I27-1</f>
        <v>-1</v>
      </c>
    </row>
    <row r="28" spans="2:19" ht="2.65" customHeight="1">
      <c r="C28" s="595"/>
      <c r="D28" s="595"/>
      <c r="E28" s="595"/>
      <c r="F28" s="595"/>
      <c r="G28" s="595"/>
      <c r="H28" s="595"/>
      <c r="I28" s="595"/>
      <c r="J28" s="595"/>
      <c r="L28" s="703"/>
      <c r="M28" s="703"/>
      <c r="N28" s="703"/>
      <c r="O28" s="703"/>
      <c r="P28" s="703"/>
      <c r="Q28" s="703"/>
      <c r="R28" s="703"/>
      <c r="S28" s="703"/>
    </row>
    <row r="29" spans="2:19">
      <c r="B29" s="874" t="s">
        <v>3698</v>
      </c>
      <c r="C29" s="875">
        <f>+C25+C27</f>
        <v>164594</v>
      </c>
      <c r="D29" s="875">
        <f t="shared" ref="D29:J29" si="44">+D25+D27</f>
        <v>166834</v>
      </c>
      <c r="E29" s="875">
        <f t="shared" si="44"/>
        <v>173096</v>
      </c>
      <c r="F29" s="875">
        <f t="shared" si="44"/>
        <v>179520</v>
      </c>
      <c r="G29" s="875">
        <f t="shared" si="44"/>
        <v>172588</v>
      </c>
      <c r="H29" s="875">
        <f t="shared" si="44"/>
        <v>227680</v>
      </c>
      <c r="I29" s="875">
        <f t="shared" si="44"/>
        <v>281514</v>
      </c>
      <c r="J29" s="875">
        <f t="shared" si="44"/>
        <v>240115</v>
      </c>
      <c r="L29" s="879">
        <f>+L25+L27</f>
        <v>0</v>
      </c>
      <c r="M29" s="880">
        <f>+D29/C29-1</f>
        <v>1.3609244565415457E-2</v>
      </c>
      <c r="N29" s="880">
        <f t="shared" ref="N29" si="45">+E29/D29-1</f>
        <v>3.7534315547190555E-2</v>
      </c>
      <c r="O29" s="880">
        <f t="shared" ref="O29" si="46">+F29/E29-1</f>
        <v>3.7112353838332446E-2</v>
      </c>
      <c r="P29" s="880">
        <f t="shared" ref="P29" si="47">+G29/F29-1</f>
        <v>-3.8614081996434901E-2</v>
      </c>
      <c r="Q29" s="880">
        <f t="shared" ref="Q29" si="48">+H29/G29-1</f>
        <v>0.31921106913574526</v>
      </c>
      <c r="R29" s="880">
        <f t="shared" ref="R29" si="49">+I29/H29-1</f>
        <v>0.23644588896697116</v>
      </c>
      <c r="S29" s="880"/>
    </row>
    <row r="30" spans="2:19">
      <c r="C30" s="876"/>
    </row>
    <row r="31" spans="2:19">
      <c r="B31" s="820"/>
      <c r="C31" s="820">
        <v>2016</v>
      </c>
      <c r="D31" s="820">
        <f>+C31+1</f>
        <v>2017</v>
      </c>
      <c r="E31" s="820">
        <f t="shared" ref="E31:J31" si="50">+D31+1</f>
        <v>2018</v>
      </c>
      <c r="F31" s="820">
        <f t="shared" si="50"/>
        <v>2019</v>
      </c>
      <c r="G31" s="820">
        <f t="shared" si="50"/>
        <v>2020</v>
      </c>
      <c r="H31" s="820">
        <f t="shared" si="50"/>
        <v>2021</v>
      </c>
      <c r="I31" s="820">
        <f t="shared" si="50"/>
        <v>2022</v>
      </c>
      <c r="J31" s="820">
        <f t="shared" si="50"/>
        <v>2023</v>
      </c>
    </row>
    <row r="32" spans="2:19">
      <c r="B32" t="s">
        <v>3691</v>
      </c>
      <c r="C32" s="644">
        <f>+C14+C20</f>
        <v>64374</v>
      </c>
      <c r="D32" s="644">
        <f t="shared" ref="D32:J32" si="51">+D14+D20</f>
        <v>66002</v>
      </c>
      <c r="E32" s="644">
        <f t="shared" si="51"/>
        <v>68373</v>
      </c>
      <c r="F32" s="644">
        <f t="shared" si="51"/>
        <v>70013</v>
      </c>
      <c r="G32" s="644">
        <f t="shared" si="51"/>
        <v>66310</v>
      </c>
      <c r="H32" s="644">
        <f t="shared" si="51"/>
        <v>100620</v>
      </c>
      <c r="I32" s="644">
        <f t="shared" si="51"/>
        <v>141161</v>
      </c>
      <c r="J32" s="644">
        <f t="shared" si="51"/>
        <v>134960</v>
      </c>
      <c r="M32" s="703">
        <f>+D32/C32-1</f>
        <v>2.52897132382639E-2</v>
      </c>
      <c r="N32" s="703">
        <f t="shared" ref="N32:N35" si="52">+E32/D32-1</f>
        <v>3.5923153843822941E-2</v>
      </c>
      <c r="O32" s="703">
        <f t="shared" ref="O32:O35" si="53">+F32/E32-1</f>
        <v>2.3986076375177356E-2</v>
      </c>
      <c r="P32" s="703">
        <f t="shared" ref="P32:P35" si="54">+G32/F32-1</f>
        <v>-5.289017753845715E-2</v>
      </c>
      <c r="Q32" s="703">
        <f t="shared" ref="Q32:Q35" si="55">+H32/G32-1</f>
        <v>0.51741818730206601</v>
      </c>
      <c r="R32" s="703">
        <f t="shared" ref="R32:R33" si="56">+I32/H32-1</f>
        <v>0.40291194593520174</v>
      </c>
      <c r="S32" s="703">
        <f t="shared" ref="S32:S34" si="57">+J32/I32-1</f>
        <v>-4.3928563838454004E-2</v>
      </c>
    </row>
    <row r="33" spans="2:19">
      <c r="B33" t="s">
        <v>3699</v>
      </c>
      <c r="C33" s="644">
        <f>+C15+C21</f>
        <v>30927</v>
      </c>
      <c r="D33" s="644">
        <f t="shared" ref="D33:J33" si="58">+D15+D21</f>
        <v>32227</v>
      </c>
      <c r="E33" s="644">
        <f t="shared" si="58"/>
        <v>33911</v>
      </c>
      <c r="F33" s="644">
        <f t="shared" si="58"/>
        <v>34942</v>
      </c>
      <c r="G33" s="644">
        <f t="shared" si="58"/>
        <v>30622</v>
      </c>
      <c r="H33" s="644">
        <f t="shared" si="58"/>
        <v>37381</v>
      </c>
      <c r="I33" s="644">
        <f t="shared" si="58"/>
        <v>41884</v>
      </c>
      <c r="J33" s="644">
        <f t="shared" si="58"/>
        <v>43629</v>
      </c>
      <c r="M33" s="703">
        <f>+D33/C33-1</f>
        <v>4.2034468263976388E-2</v>
      </c>
      <c r="N33" s="703">
        <f t="shared" si="52"/>
        <v>5.2254320911037322E-2</v>
      </c>
      <c r="O33" s="703">
        <f t="shared" si="53"/>
        <v>3.0403114033794365E-2</v>
      </c>
      <c r="P33" s="703">
        <f t="shared" si="54"/>
        <v>-0.12363344971667334</v>
      </c>
      <c r="Q33" s="703">
        <f t="shared" si="55"/>
        <v>0.22072366272614463</v>
      </c>
      <c r="R33" s="703">
        <f t="shared" si="56"/>
        <v>0.12046226692704853</v>
      </c>
      <c r="S33" s="703">
        <f t="shared" si="57"/>
        <v>4.1662687422404643E-2</v>
      </c>
    </row>
    <row r="34" spans="2:19">
      <c r="B34" t="s">
        <v>3700</v>
      </c>
      <c r="C34" s="644">
        <f>+C16+C17+C22+C23</f>
        <v>32556</v>
      </c>
      <c r="D34" s="644">
        <f t="shared" ref="D34:J34" si="59">+D16+D17+D22+D23</f>
        <v>31321</v>
      </c>
      <c r="E34" s="644">
        <f t="shared" si="59"/>
        <v>32617</v>
      </c>
      <c r="F34" s="644">
        <f t="shared" si="59"/>
        <v>35965</v>
      </c>
      <c r="G34" s="644">
        <f t="shared" si="59"/>
        <v>38226</v>
      </c>
      <c r="H34" s="644">
        <f t="shared" si="59"/>
        <v>45811</v>
      </c>
      <c r="I34" s="644">
        <f>+I16+I17+I22+I23</f>
        <v>49216</v>
      </c>
      <c r="J34" s="644">
        <f t="shared" si="59"/>
        <v>61526</v>
      </c>
      <c r="M34" s="703">
        <f>+D34/C34-1</f>
        <v>-3.7934635704632069E-2</v>
      </c>
      <c r="N34" s="703">
        <f t="shared" si="52"/>
        <v>4.1377989208518207E-2</v>
      </c>
      <c r="O34" s="703">
        <f t="shared" si="53"/>
        <v>0.10264585952110861</v>
      </c>
      <c r="P34" s="703">
        <f t="shared" si="54"/>
        <v>6.2866675934936778E-2</v>
      </c>
      <c r="Q34" s="703">
        <f t="shared" si="55"/>
        <v>0.19842515565322039</v>
      </c>
      <c r="R34" s="703">
        <f>+I34/H34-1</f>
        <v>7.4327126672633304E-2</v>
      </c>
      <c r="S34" s="703">
        <f t="shared" si="57"/>
        <v>0.25012191157347208</v>
      </c>
    </row>
    <row r="35" spans="2:19">
      <c r="B35" t="s">
        <v>3697</v>
      </c>
      <c r="C35" s="644">
        <f>+C27</f>
        <v>36737</v>
      </c>
      <c r="D35" s="644">
        <f t="shared" ref="D35:J35" si="60">+D27</f>
        <v>37284</v>
      </c>
      <c r="E35" s="644">
        <f t="shared" si="60"/>
        <v>38195</v>
      </c>
      <c r="F35" s="644">
        <f t="shared" si="60"/>
        <v>38600</v>
      </c>
      <c r="G35" s="644">
        <f t="shared" si="60"/>
        <v>37430</v>
      </c>
      <c r="H35" s="644">
        <f t="shared" si="60"/>
        <v>43868</v>
      </c>
      <c r="I35" s="644">
        <f t="shared" si="60"/>
        <v>49253</v>
      </c>
      <c r="J35" s="877">
        <f t="shared" si="60"/>
        <v>0</v>
      </c>
      <c r="M35" s="703">
        <f>+D35/C35-1</f>
        <v>1.4889620818248739E-2</v>
      </c>
      <c r="N35" s="703">
        <f t="shared" si="52"/>
        <v>2.443407359725347E-2</v>
      </c>
      <c r="O35" s="703">
        <f t="shared" si="53"/>
        <v>1.0603482131168906E-2</v>
      </c>
      <c r="P35" s="703">
        <f t="shared" si="54"/>
        <v>-3.0310880829015563E-2</v>
      </c>
      <c r="Q35" s="703">
        <f t="shared" si="55"/>
        <v>0.17200106866150144</v>
      </c>
      <c r="R35" s="703">
        <f>+I35/H35-1</f>
        <v>0.12275462751892041</v>
      </c>
      <c r="S35" s="881"/>
    </row>
    <row r="36" spans="2:19">
      <c r="B36" s="874" t="s">
        <v>3698</v>
      </c>
      <c r="C36" s="875">
        <f>+SUM(C32:C35)</f>
        <v>164594</v>
      </c>
      <c r="D36" s="875">
        <f t="shared" ref="D36:J36" si="61">+SUM(D32:D35)</f>
        <v>166834</v>
      </c>
      <c r="E36" s="875">
        <f t="shared" si="61"/>
        <v>173096</v>
      </c>
      <c r="F36" s="875">
        <f t="shared" si="61"/>
        <v>179520</v>
      </c>
      <c r="G36" s="875">
        <f t="shared" si="61"/>
        <v>172588</v>
      </c>
      <c r="H36" s="875">
        <f t="shared" si="61"/>
        <v>227680</v>
      </c>
      <c r="I36" s="875">
        <f t="shared" si="61"/>
        <v>281514</v>
      </c>
      <c r="J36" s="875">
        <f t="shared" si="61"/>
        <v>240115</v>
      </c>
      <c r="M36" s="703">
        <f>+D36/C36-1</f>
        <v>1.3609244565415457E-2</v>
      </c>
      <c r="N36" s="703">
        <f t="shared" ref="N36" si="62">+E36/D36-1</f>
        <v>3.7534315547190555E-2</v>
      </c>
      <c r="O36" s="703">
        <f t="shared" ref="O36" si="63">+F36/E36-1</f>
        <v>3.7112353838332446E-2</v>
      </c>
      <c r="P36" s="703">
        <f t="shared" ref="P36" si="64">+G36/F36-1</f>
        <v>-3.8614081996434901E-2</v>
      </c>
      <c r="Q36" s="703">
        <f t="shared" ref="Q36" si="65">+H36/G36-1</f>
        <v>0.31921106913574526</v>
      </c>
      <c r="R36" s="703">
        <f t="shared" ref="R36" si="66">+I36/H36-1</f>
        <v>0.23644588896697116</v>
      </c>
      <c r="S36" s="881"/>
    </row>
    <row r="37" spans="2:19">
      <c r="C37" s="644">
        <f>+C36-C29</f>
        <v>0</v>
      </c>
      <c r="D37" s="644">
        <f t="shared" ref="D37:J37" si="67">+D36-D29</f>
        <v>0</v>
      </c>
      <c r="E37" s="644">
        <f t="shared" si="67"/>
        <v>0</v>
      </c>
      <c r="F37" s="644">
        <f t="shared" si="67"/>
        <v>0</v>
      </c>
      <c r="G37" s="644">
        <f t="shared" si="67"/>
        <v>0</v>
      </c>
      <c r="H37" s="644">
        <f t="shared" si="67"/>
        <v>0</v>
      </c>
      <c r="I37" s="644">
        <f t="shared" si="67"/>
        <v>0</v>
      </c>
      <c r="J37" s="644">
        <f t="shared" si="67"/>
        <v>0</v>
      </c>
    </row>
    <row r="38" spans="2:19">
      <c r="C38" s="644"/>
      <c r="D38" s="644"/>
      <c r="E38" s="644"/>
      <c r="F38" s="644"/>
      <c r="G38" s="644"/>
      <c r="H38" s="644"/>
      <c r="I38" s="644"/>
      <c r="J38" s="644"/>
    </row>
    <row r="39" spans="2:19">
      <c r="G39" s="703"/>
      <c r="H39" s="703"/>
      <c r="I39" s="703"/>
    </row>
    <row r="40" spans="2:19">
      <c r="B40" s="1" t="s">
        <v>3672</v>
      </c>
    </row>
    <row r="41" spans="2:19" ht="4.1500000000000004" customHeight="1"/>
    <row r="42" spans="2:19">
      <c r="B42" s="820">
        <v>2019</v>
      </c>
      <c r="C42" s="820">
        <f>+B42+1</f>
        <v>2020</v>
      </c>
      <c r="D42" s="820">
        <f t="shared" ref="D42:H42" si="68">+C42+1</f>
        <v>2021</v>
      </c>
      <c r="E42" s="820">
        <f t="shared" si="68"/>
        <v>2022</v>
      </c>
      <c r="F42" s="820">
        <f t="shared" si="68"/>
        <v>2023</v>
      </c>
      <c r="G42" s="820">
        <f t="shared" si="68"/>
        <v>2024</v>
      </c>
      <c r="H42" s="820">
        <f t="shared" si="68"/>
        <v>2025</v>
      </c>
      <c r="I42" s="820">
        <f t="shared" ref="I42" si="69">+H42+1</f>
        <v>2026</v>
      </c>
      <c r="J42" s="870" t="s">
        <v>3671</v>
      </c>
      <c r="K42" s="870"/>
      <c r="L42" s="870" t="s">
        <v>3673</v>
      </c>
    </row>
    <row r="43" spans="2:19">
      <c r="B43" s="74">
        <v>9310</v>
      </c>
      <c r="C43" s="74">
        <v>9110</v>
      </c>
      <c r="D43" s="74">
        <v>9644</v>
      </c>
      <c r="E43" s="74">
        <v>9989</v>
      </c>
      <c r="F43" s="74">
        <v>10149</v>
      </c>
      <c r="G43" s="74">
        <v>10375</v>
      </c>
      <c r="H43" s="74">
        <v>10652</v>
      </c>
      <c r="I43" s="74">
        <v>10954</v>
      </c>
      <c r="J43" s="60">
        <f>IF(E43*B43&lt;=0,"n/a",IF(B43&gt;E43,-ABS((E43/B43)^(1/(3))-1),ABS((E43/B43)^(1/(3))-1)))</f>
        <v>2.3742604356253194E-2</v>
      </c>
      <c r="K43" s="60"/>
      <c r="L43" s="60">
        <f>IF(I43*F43&lt;=0,"n/a",IF(F43&gt;I43,-ABS((I43/F43)^(1/(3))-1),ABS((I43/F43)^(1/(3))-1)))</f>
        <v>2.5769609407231497E-2</v>
      </c>
    </row>
    <row r="44" spans="2:19">
      <c r="B44" s="868"/>
      <c r="C44" s="869">
        <f t="shared" ref="C44:I44" si="70">+C43/B43-1</f>
        <v>-2.1482277121374849E-2</v>
      </c>
      <c r="D44" s="869">
        <f t="shared" si="70"/>
        <v>5.8616904500548905E-2</v>
      </c>
      <c r="E44" s="869">
        <f t="shared" si="70"/>
        <v>3.5773537951057754E-2</v>
      </c>
      <c r="F44" s="869">
        <f t="shared" si="70"/>
        <v>1.6017619381319514E-2</v>
      </c>
      <c r="G44" s="869">
        <f t="shared" si="70"/>
        <v>2.2268203763917693E-2</v>
      </c>
      <c r="H44" s="869">
        <f t="shared" si="70"/>
        <v>2.6698795180722934E-2</v>
      </c>
      <c r="I44" s="869">
        <f t="shared" si="70"/>
        <v>2.8351483289523083E-2</v>
      </c>
      <c r="J44" s="60"/>
      <c r="K44" s="60"/>
      <c r="L44" s="60"/>
    </row>
    <row r="45" spans="2:19">
      <c r="B45" t="s">
        <v>3674</v>
      </c>
    </row>
    <row r="46" spans="2:19">
      <c r="B46" t="s">
        <v>3675</v>
      </c>
    </row>
    <row r="49" spans="2:11">
      <c r="B49" s="1" t="s">
        <v>3676</v>
      </c>
    </row>
    <row r="50" spans="2:11" ht="4.5" customHeight="1"/>
    <row r="51" spans="2:11">
      <c r="C51" s="820">
        <v>2020</v>
      </c>
      <c r="D51" s="820">
        <f t="shared" ref="D51:E51" si="71">+C51+1</f>
        <v>2021</v>
      </c>
      <c r="E51" s="820">
        <f t="shared" si="71"/>
        <v>2022</v>
      </c>
      <c r="F51" s="871" t="s">
        <v>3682</v>
      </c>
      <c r="G51" t="s">
        <v>3683</v>
      </c>
    </row>
    <row r="52" spans="2:11">
      <c r="B52" t="s">
        <v>3677</v>
      </c>
      <c r="C52" s="703">
        <v>-1.7999999999999999E-2</v>
      </c>
      <c r="D52" s="703">
        <v>6.4000000000000001E-2</v>
      </c>
      <c r="E52" s="703">
        <v>5.0999999999999997E-2</v>
      </c>
      <c r="F52" s="703">
        <v>3.2000000000000001E-2</v>
      </c>
    </row>
    <row r="53" spans="2:11">
      <c r="B53" t="s">
        <v>3678</v>
      </c>
      <c r="C53" s="703">
        <v>-4.3999999999999997E-2</v>
      </c>
      <c r="D53" s="703">
        <v>6.4000000000000001E-2</v>
      </c>
      <c r="E53" s="703">
        <v>5.0999999999999997E-2</v>
      </c>
      <c r="F53" s="703">
        <v>5.7000000000000002E-2</v>
      </c>
    </row>
    <row r="54" spans="2:11">
      <c r="B54" t="s">
        <v>3679</v>
      </c>
      <c r="C54" s="703">
        <v>-3.9E-2</v>
      </c>
      <c r="D54" s="703">
        <v>5.8000000000000003E-2</v>
      </c>
      <c r="E54" s="703">
        <v>2.5999999999999999E-2</v>
      </c>
      <c r="F54" s="703">
        <v>8.0000000000000002E-3</v>
      </c>
    </row>
    <row r="55" spans="2:11">
      <c r="B55" t="s">
        <v>217</v>
      </c>
      <c r="C55" s="703">
        <v>1.6E-2</v>
      </c>
      <c r="D55" s="703">
        <v>3.3000000000000002E-2</v>
      </c>
      <c r="E55" s="703">
        <v>3.0000000000000001E-3</v>
      </c>
      <c r="F55" s="703">
        <v>6.0000000000000001E-3</v>
      </c>
    </row>
    <row r="56" spans="2:11">
      <c r="B56" t="s">
        <v>3680</v>
      </c>
      <c r="C56" s="703">
        <v>-2.3E-2</v>
      </c>
      <c r="D56" s="703">
        <v>2.1999999999999999E-2</v>
      </c>
      <c r="E56" s="703">
        <v>-3.0000000000000001E-3</v>
      </c>
      <c r="F56" s="703">
        <v>3.6999999999999998E-2</v>
      </c>
    </row>
    <row r="57" spans="2:11">
      <c r="B57" t="s">
        <v>3681</v>
      </c>
      <c r="C57" s="703">
        <v>-0.14199999999999999</v>
      </c>
      <c r="D57" s="703">
        <v>0.14399999999999999</v>
      </c>
      <c r="E57" s="703">
        <v>5.1999999999999998E-2</v>
      </c>
      <c r="F57" s="703">
        <v>0.03</v>
      </c>
    </row>
    <row r="58" spans="2:11">
      <c r="B58" t="s">
        <v>236</v>
      </c>
      <c r="C58" s="703">
        <v>-2.1999999999999999E-2</v>
      </c>
      <c r="D58" s="703">
        <v>5.8999999999999997E-2</v>
      </c>
      <c r="E58" s="703">
        <v>3.5999999999999997E-2</v>
      </c>
      <c r="F58" s="703">
        <v>2.3E-2</v>
      </c>
      <c r="G58" s="724">
        <f>+AVERAGE(F44:I44)</f>
        <v>2.3334025403870806E-2</v>
      </c>
      <c r="H58" s="872">
        <f>+F58-G58</f>
        <v>-3.3402540387080654E-4</v>
      </c>
    </row>
    <row r="61" spans="2:11">
      <c r="B61" s="1" t="s">
        <v>3687</v>
      </c>
    </row>
    <row r="63" spans="2:11">
      <c r="C63" s="820" t="s">
        <v>3684</v>
      </c>
      <c r="D63" s="820">
        <v>2019</v>
      </c>
      <c r="E63" s="820">
        <v>2020</v>
      </c>
      <c r="F63" s="820">
        <f t="shared" ref="F63:K63" si="72">+E63+1</f>
        <v>2021</v>
      </c>
      <c r="G63" s="820">
        <f t="shared" si="72"/>
        <v>2022</v>
      </c>
      <c r="H63" s="820">
        <f t="shared" si="72"/>
        <v>2023</v>
      </c>
      <c r="I63" s="820">
        <f t="shared" si="72"/>
        <v>2024</v>
      </c>
      <c r="J63" s="820">
        <f t="shared" si="72"/>
        <v>2025</v>
      </c>
      <c r="K63" s="820">
        <f t="shared" si="72"/>
        <v>2026</v>
      </c>
    </row>
    <row r="64" spans="2:11">
      <c r="B64" t="s">
        <v>3685</v>
      </c>
      <c r="C64" s="703">
        <v>2E-3</v>
      </c>
      <c r="D64" s="703">
        <v>2E-3</v>
      </c>
      <c r="E64" s="703">
        <v>-3.0000000000000001E-3</v>
      </c>
      <c r="F64" s="703">
        <v>7.0000000000000001E-3</v>
      </c>
      <c r="G64" s="703">
        <v>4.0000000000000001E-3</v>
      </c>
      <c r="H64" s="703">
        <v>2E-3</v>
      </c>
      <c r="I64" s="703">
        <v>3.0000000000000001E-3</v>
      </c>
      <c r="J64" s="703">
        <v>3.0000000000000001E-3</v>
      </c>
      <c r="K64" s="703">
        <v>3.0000000000000001E-3</v>
      </c>
    </row>
    <row r="65" spans="2:11">
      <c r="B65" t="s">
        <v>3686</v>
      </c>
      <c r="C65" s="703">
        <v>0.11</v>
      </c>
      <c r="D65" s="703">
        <v>8.1000000000000003E-2</v>
      </c>
      <c r="E65" s="873" t="s">
        <v>3453</v>
      </c>
      <c r="F65" s="703">
        <v>0.12</v>
      </c>
      <c r="G65" s="703">
        <v>0.15</v>
      </c>
      <c r="H65" s="703">
        <v>9.0999999999999998E-2</v>
      </c>
      <c r="I65" s="703">
        <v>0.10100000000000001</v>
      </c>
      <c r="J65" s="703">
        <v>0.109</v>
      </c>
      <c r="K65" s="703">
        <v>0.115</v>
      </c>
    </row>
    <row r="68" spans="2:11">
      <c r="B68" s="1" t="s">
        <v>3701</v>
      </c>
      <c r="D68" t="s">
        <v>3688</v>
      </c>
    </row>
    <row r="70" spans="2:11">
      <c r="B70" s="820">
        <v>2016</v>
      </c>
      <c r="C70" s="820">
        <f>+B70+1</f>
        <v>2017</v>
      </c>
      <c r="D70" s="820">
        <f t="shared" ref="D70:I70" si="73">+C70+1</f>
        <v>2018</v>
      </c>
      <c r="E70" s="820">
        <f t="shared" si="73"/>
        <v>2019</v>
      </c>
      <c r="F70" s="820">
        <f t="shared" si="73"/>
        <v>2020</v>
      </c>
      <c r="G70" s="820">
        <f t="shared" si="73"/>
        <v>2021</v>
      </c>
      <c r="H70" s="820">
        <f t="shared" si="73"/>
        <v>2022</v>
      </c>
      <c r="I70" s="820">
        <f t="shared" si="73"/>
        <v>2023</v>
      </c>
    </row>
    <row r="71" spans="2:11">
      <c r="B71" s="595">
        <v>32556</v>
      </c>
      <c r="C71" s="595">
        <v>31321</v>
      </c>
      <c r="D71" s="595">
        <v>32617</v>
      </c>
      <c r="E71" s="595">
        <v>35965</v>
      </c>
      <c r="F71" s="595">
        <v>38226</v>
      </c>
      <c r="G71" s="595">
        <v>45811</v>
      </c>
      <c r="H71" s="644">
        <f>+I34</f>
        <v>49216</v>
      </c>
      <c r="I71" s="644">
        <f>+J34</f>
        <v>61526</v>
      </c>
    </row>
    <row r="72" spans="2:11">
      <c r="B72" s="724">
        <v>-3.6999999999999998E-2</v>
      </c>
      <c r="C72" s="703">
        <f>+C71/B71-1</f>
        <v>-3.7934635704632069E-2</v>
      </c>
      <c r="D72" s="703">
        <f t="shared" ref="D72:I72" si="74">+D71/C71-1</f>
        <v>4.1377989208518207E-2</v>
      </c>
      <c r="E72" s="703">
        <f t="shared" si="74"/>
        <v>0.10264585952110861</v>
      </c>
      <c r="F72" s="703">
        <f t="shared" si="74"/>
        <v>6.2866675934936778E-2</v>
      </c>
      <c r="G72" s="703">
        <f t="shared" si="74"/>
        <v>0.19842515565322039</v>
      </c>
      <c r="H72" s="703">
        <f t="shared" si="74"/>
        <v>7.4327126672633304E-2</v>
      </c>
      <c r="I72" s="703">
        <f t="shared" si="74"/>
        <v>0.25012191157347208</v>
      </c>
    </row>
    <row r="74" spans="2:11">
      <c r="B74" s="1" t="s">
        <v>3702</v>
      </c>
    </row>
    <row r="75" spans="2:11" ht="3.4" customHeight="1"/>
    <row r="76" spans="2:11">
      <c r="B76" s="820">
        <v>2016</v>
      </c>
      <c r="C76" s="820">
        <f>+B76+1</f>
        <v>2017</v>
      </c>
      <c r="D76" s="820">
        <f t="shared" ref="D76:I76" si="75">+C76+1</f>
        <v>2018</v>
      </c>
      <c r="E76" s="820">
        <f t="shared" si="75"/>
        <v>2019</v>
      </c>
      <c r="F76" s="820">
        <f t="shared" si="75"/>
        <v>2020</v>
      </c>
      <c r="G76" s="820">
        <f t="shared" si="75"/>
        <v>2021</v>
      </c>
      <c r="H76" s="820">
        <f t="shared" si="75"/>
        <v>2022</v>
      </c>
      <c r="I76" s="820">
        <f t="shared" si="75"/>
        <v>2023</v>
      </c>
    </row>
    <row r="77" spans="2:11">
      <c r="B77" s="595">
        <v>20454</v>
      </c>
      <c r="C77" s="595">
        <v>19394</v>
      </c>
      <c r="D77" s="595">
        <v>19155</v>
      </c>
      <c r="E77" s="595">
        <v>21253</v>
      </c>
      <c r="F77" s="595">
        <v>21145</v>
      </c>
      <c r="G77" s="595">
        <v>26155</v>
      </c>
      <c r="H77" s="644"/>
      <c r="I77" s="644"/>
    </row>
    <row r="78" spans="2:11">
      <c r="B78" s="724">
        <v>-3.6999999999999998E-2</v>
      </c>
      <c r="C78" s="703">
        <f>+C77/B77-1</f>
        <v>-5.1823604185000538E-2</v>
      </c>
      <c r="D78" s="703">
        <f t="shared" ref="D78" si="76">+D77/C77-1</f>
        <v>-1.2323398989378176E-2</v>
      </c>
      <c r="E78" s="703">
        <f t="shared" ref="E78" si="77">+E77/D77-1</f>
        <v>0.10952753850169672</v>
      </c>
      <c r="F78" s="703">
        <f t="shared" ref="F78" si="78">+F77/E77-1</f>
        <v>-5.0816355338070274E-3</v>
      </c>
      <c r="G78" s="703">
        <f t="shared" ref="G78" si="79">+G77/F77-1</f>
        <v>0.23693544573185155</v>
      </c>
      <c r="H78" s="703"/>
      <c r="I78" s="703"/>
    </row>
    <row r="81" spans="2:12">
      <c r="B81" s="1" t="s">
        <v>3689</v>
      </c>
      <c r="D81" t="s">
        <v>3688</v>
      </c>
    </row>
    <row r="83" spans="2:12">
      <c r="B83" s="820">
        <v>2016</v>
      </c>
      <c r="C83" s="820">
        <f>+B83+1</f>
        <v>2017</v>
      </c>
      <c r="D83" s="820">
        <f t="shared" ref="D83:L83" si="80">+C83+1</f>
        <v>2018</v>
      </c>
      <c r="E83" s="820">
        <f t="shared" si="80"/>
        <v>2019</v>
      </c>
      <c r="F83" s="820">
        <f t="shared" si="80"/>
        <v>2020</v>
      </c>
      <c r="G83" s="820">
        <f t="shared" si="80"/>
        <v>2021</v>
      </c>
      <c r="H83" s="820">
        <f t="shared" si="80"/>
        <v>2022</v>
      </c>
      <c r="I83" s="820">
        <f t="shared" si="80"/>
        <v>2023</v>
      </c>
      <c r="J83" s="820">
        <f t="shared" si="80"/>
        <v>2024</v>
      </c>
      <c r="K83" s="820">
        <f t="shared" si="80"/>
        <v>2025</v>
      </c>
      <c r="L83" s="820">
        <f t="shared" si="80"/>
        <v>2026</v>
      </c>
    </row>
    <row r="84" spans="2:12">
      <c r="B84" s="595">
        <v>39022</v>
      </c>
      <c r="C84" s="595">
        <v>38276</v>
      </c>
      <c r="D84" s="595">
        <v>37766</v>
      </c>
      <c r="E84" s="595">
        <v>41469</v>
      </c>
      <c r="F84" s="595">
        <v>42449</v>
      </c>
      <c r="G84" s="595">
        <v>50709</v>
      </c>
      <c r="H84" s="595">
        <f>+AVERAGE(57990,49185)</f>
        <v>53587.5</v>
      </c>
      <c r="I84" s="595">
        <f>+H84*(1+I85)</f>
        <v>65108.812500000007</v>
      </c>
      <c r="J84" s="595">
        <f>+I84*(1+J85)</f>
        <v>71749.911375000011</v>
      </c>
      <c r="K84" s="595">
        <f>+J84*(1+K85)</f>
        <v>75624.406589250008</v>
      </c>
      <c r="L84" s="595">
        <f>+K84*(1+L85)</f>
        <v>80161.870984605019</v>
      </c>
    </row>
    <row r="85" spans="2:12">
      <c r="B85" s="724"/>
      <c r="C85" s="703">
        <f>+C84/B84-1</f>
        <v>-1.9117420942032726E-2</v>
      </c>
      <c r="D85" s="703">
        <f t="shared" ref="D85" si="81">+D84/C84-1</f>
        <v>-1.3324276308914196E-2</v>
      </c>
      <c r="E85" s="703">
        <f t="shared" ref="E85" si="82">+E84/D84-1</f>
        <v>9.8051157125456756E-2</v>
      </c>
      <c r="F85" s="703">
        <f t="shared" ref="F85" si="83">+F84/E84-1</f>
        <v>2.3632110733318834E-2</v>
      </c>
      <c r="G85" s="703">
        <f t="shared" ref="G85" si="84">+G84/F84-1</f>
        <v>0.19458644491036292</v>
      </c>
      <c r="H85" s="703">
        <f t="shared" ref="H85" si="85">+H84/G84-1</f>
        <v>5.6765071289120339E-2</v>
      </c>
      <c r="I85" s="703">
        <v>0.215</v>
      </c>
      <c r="J85" s="703">
        <v>0.10199999999999999</v>
      </c>
      <c r="K85" s="703">
        <v>5.3999999999999999E-2</v>
      </c>
      <c r="L85" s="703">
        <v>0.06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B2:AI196"/>
  <sheetViews>
    <sheetView showGridLines="0" zoomScaleNormal="100" workbookViewId="0">
      <selection activeCell="F1" sqref="F1"/>
    </sheetView>
  </sheetViews>
  <sheetFormatPr defaultRowHeight="15" outlineLevelRow="1"/>
  <cols>
    <col min="1" max="1" width="3.42578125" customWidth="1"/>
    <col min="2" max="2" width="37.28515625" bestFit="1" customWidth="1"/>
    <col min="3" max="8" width="10.85546875" customWidth="1"/>
    <col min="9" max="13" width="10.42578125" customWidth="1"/>
    <col min="14" max="14" width="4.42578125" customWidth="1"/>
    <col min="26" max="26" width="1.28515625" customWidth="1"/>
    <col min="27" max="27" width="9.5703125" bestFit="1" customWidth="1"/>
  </cols>
  <sheetData>
    <row r="2" spans="2:34">
      <c r="B2" s="597" t="s">
        <v>2497</v>
      </c>
      <c r="C2" s="605"/>
      <c r="D2" s="605"/>
      <c r="E2" s="605"/>
      <c r="F2" s="605"/>
      <c r="G2" s="605"/>
      <c r="H2" s="605"/>
      <c r="I2" s="597"/>
      <c r="J2" s="597"/>
      <c r="K2" s="597"/>
      <c r="L2" s="597"/>
      <c r="M2" s="597"/>
    </row>
    <row r="3" spans="2:34">
      <c r="B3" s="598"/>
      <c r="C3" s="603"/>
      <c r="D3" s="603"/>
      <c r="E3" s="603"/>
      <c r="F3" s="603"/>
      <c r="G3" s="603"/>
      <c r="H3" s="603"/>
      <c r="I3" s="598"/>
      <c r="J3" s="598"/>
      <c r="K3" s="598"/>
      <c r="L3" s="598"/>
      <c r="M3" s="598"/>
      <c r="O3" s="598"/>
      <c r="T3" s="1522" t="s">
        <v>2498</v>
      </c>
      <c r="U3" s="1522"/>
      <c r="V3" s="1522"/>
      <c r="W3" s="1522"/>
      <c r="X3" s="1522"/>
      <c r="Y3" s="1035"/>
      <c r="AC3" s="1523" t="s">
        <v>4254</v>
      </c>
      <c r="AD3" s="1523"/>
      <c r="AE3" s="1523"/>
      <c r="AF3" s="1523"/>
      <c r="AG3" s="1523"/>
    </row>
    <row r="4" spans="2:34">
      <c r="B4" s="599" t="s">
        <v>2452</v>
      </c>
      <c r="C4" s="606">
        <v>2018</v>
      </c>
      <c r="D4" s="606">
        <f>+C4+1</f>
        <v>2019</v>
      </c>
      <c r="E4" s="606">
        <f t="shared" ref="E4:M4" si="0">+D4+1</f>
        <v>2020</v>
      </c>
      <c r="F4" s="606">
        <f t="shared" si="0"/>
        <v>2021</v>
      </c>
      <c r="G4" s="606">
        <f t="shared" si="0"/>
        <v>2022</v>
      </c>
      <c r="H4" s="1049">
        <v>45078</v>
      </c>
      <c r="I4" s="599">
        <f>+G4+1</f>
        <v>2023</v>
      </c>
      <c r="J4" s="599">
        <f t="shared" si="0"/>
        <v>2024</v>
      </c>
      <c r="K4" s="599">
        <f t="shared" si="0"/>
        <v>2025</v>
      </c>
      <c r="L4" s="599">
        <f t="shared" si="0"/>
        <v>2026</v>
      </c>
      <c r="M4" s="599">
        <f t="shared" si="0"/>
        <v>2027</v>
      </c>
      <c r="O4" s="607" t="s">
        <v>2492</v>
      </c>
      <c r="P4" s="607" t="s">
        <v>2493</v>
      </c>
      <c r="Q4" s="607" t="s">
        <v>2494</v>
      </c>
      <c r="R4" s="638" t="s">
        <v>2496</v>
      </c>
      <c r="T4" s="606">
        <v>2018</v>
      </c>
      <c r="U4" s="606">
        <f>+T4+1</f>
        <v>2019</v>
      </c>
      <c r="V4" s="606">
        <f t="shared" ref="V4:X4" si="1">+U4+1</f>
        <v>2020</v>
      </c>
      <c r="W4" s="606">
        <f t="shared" si="1"/>
        <v>2021</v>
      </c>
      <c r="X4" s="606">
        <f t="shared" si="1"/>
        <v>2022</v>
      </c>
      <c r="Y4" s="1049">
        <v>45078</v>
      </c>
      <c r="AA4" s="606" t="s">
        <v>2451</v>
      </c>
      <c r="AC4" s="1">
        <v>2023</v>
      </c>
      <c r="AD4" s="1">
        <v>2024</v>
      </c>
      <c r="AE4" s="1">
        <v>2025</v>
      </c>
      <c r="AF4" s="1">
        <f>+AE4+1</f>
        <v>2026</v>
      </c>
      <c r="AG4" s="1">
        <f>+AF4+1</f>
        <v>2027</v>
      </c>
    </row>
    <row r="5" spans="2:34">
      <c r="B5" s="604" t="s">
        <v>3757</v>
      </c>
      <c r="C5" s="613">
        <f>+BdV!E500</f>
        <v>74327.850000000006</v>
      </c>
      <c r="D5" s="613">
        <f>+BdV!F500</f>
        <v>76760.7</v>
      </c>
      <c r="E5" s="613">
        <f>+BdV!G500</f>
        <v>86177.34</v>
      </c>
      <c r="F5" s="613">
        <f>+BdV!H500</f>
        <v>155733.45000000001</v>
      </c>
      <c r="G5" s="613">
        <f>+BdV!I500</f>
        <v>278192.37</v>
      </c>
      <c r="H5" s="613">
        <f>+BdV!J500</f>
        <v>39234.5</v>
      </c>
      <c r="I5" s="609">
        <f>+Ricavi!J$12*Costi!$AA5</f>
        <v>255982.67921076369</v>
      </c>
      <c r="J5" s="609">
        <f>+Ricavi!K$12*Costi!$AA5</f>
        <v>272064.1429242054</v>
      </c>
      <c r="K5" s="609">
        <f>+Ricavi!L$12*Costi!$AA5</f>
        <v>282096.96501922217</v>
      </c>
      <c r="L5" s="609">
        <f>+Ricavi!M$12*Costi!$AA5</f>
        <v>294580.246695815</v>
      </c>
      <c r="M5" s="609">
        <f>+Ricavi!N$12*Costi!$AA5</f>
        <v>307615.93531307293</v>
      </c>
      <c r="O5" s="608">
        <f>IF(G5*C5&lt;=0,"n/a",IF(C5&gt;G5,-ABS((G5/C5)^(1/(4))-1),ABS((G5/C5)^(1/(4))-1)))</f>
        <v>0.39090801891715699</v>
      </c>
      <c r="P5" s="608">
        <f>IF(G5*E5&lt;=0,"n/a",IF(E5&gt;G5,-ABS((G5/E5)^(1/(2))-1),ABS((G5/E5)^(1/(2))-1)))</f>
        <v>0.79670205615111378</v>
      </c>
      <c r="Q5" s="608">
        <f>IF(F5*C5&lt;=0,"n/a",IF(C5&gt;F5,-ABS((F5/C5)^(1/(3))-1),ABS((F5/C5)^(1/(3))-1)))</f>
        <v>0.27960750336386364</v>
      </c>
      <c r="R5" s="608">
        <f>IF(M5*G5&lt;=0,"n/a",IF(G5&gt;M5,-ABS((M5/G5)^(1/(5))-1),ABS((M5/G5)^(1/(5))-1)))</f>
        <v>2.0311362185666315E-2</v>
      </c>
      <c r="T5" s="635">
        <f>+C5/Ricavi!C$12</f>
        <v>2.8637112673176829E-3</v>
      </c>
      <c r="U5" s="635">
        <f>+D5/Ricavi!D$12</f>
        <v>3.0673652566493188E-3</v>
      </c>
      <c r="V5" s="635">
        <f>+E5/Ricavi!E$12</f>
        <v>3.209867507306929E-3</v>
      </c>
      <c r="W5" s="635">
        <f>+F5/Ricavi!F$12</f>
        <v>5.0006793827796353E-3</v>
      </c>
      <c r="X5" s="635">
        <f>+G5/Ricavi!G$12</f>
        <v>5.4525129994375861E-3</v>
      </c>
      <c r="Y5" s="635">
        <f>+H5/Ricavi!H$12</f>
        <v>1.5241287668854417E-3</v>
      </c>
      <c r="AA5" s="635">
        <f>+AVERAGE(T5:X5)</f>
        <v>3.9188272826982309E-3</v>
      </c>
    </row>
    <row r="6" spans="2:34">
      <c r="B6" s="604" t="s">
        <v>2401</v>
      </c>
      <c r="C6" s="613">
        <f>+BdV!E501</f>
        <v>0</v>
      </c>
      <c r="D6" s="613">
        <f>+BdV!F501</f>
        <v>8000</v>
      </c>
      <c r="E6" s="613">
        <f>+BdV!G501</f>
        <v>170000</v>
      </c>
      <c r="F6" s="613">
        <f>+BdV!H501</f>
        <v>0</v>
      </c>
      <c r="G6" s="613">
        <f>+BdV!I501</f>
        <v>0</v>
      </c>
      <c r="H6" s="613">
        <f>+BdV!J501</f>
        <v>0</v>
      </c>
      <c r="I6" s="609">
        <f>+Ricavi!J$12*Costi!$AA6</f>
        <v>86899.602978650117</v>
      </c>
      <c r="J6" s="609">
        <f>+Ricavi!K$12*Costi!$AA6</f>
        <v>92358.850519625499</v>
      </c>
      <c r="K6" s="609">
        <f>+Ricavi!L$12*Costi!$AA6</f>
        <v>95764.738212888347</v>
      </c>
      <c r="L6" s="609">
        <f>+Ricavi!M$12*Costi!$AA6</f>
        <v>100002.49455214989</v>
      </c>
      <c r="M6" s="609">
        <f>+Ricavi!N$12*Costi!$AA6</f>
        <v>104427.77898500925</v>
      </c>
      <c r="O6" s="608" t="str">
        <f t="shared" ref="O6:O75" si="2">IF(G6*C6&lt;=0,"n/a",IF(C6&gt;G6,-ABS((G6/C6)^(1/(4))-1),ABS((G6/C6)^(1/(4))-1)))</f>
        <v>n/a</v>
      </c>
      <c r="P6" s="608" t="str">
        <f t="shared" ref="P6:P75" si="3">IF(G6*E6&lt;=0,"n/a",IF(E6&gt;G6,-ABS((G6/E6)^(1/(2))-1),ABS((G6/E6)^(1/(2))-1)))</f>
        <v>n/a</v>
      </c>
      <c r="Q6" s="608" t="str">
        <f t="shared" ref="Q6:Q75" si="4">IF(F6*C6&lt;=0,"n/a",IF(C6&gt;F6,-ABS((F6/C6)^(1/(3))-1),ABS((F6/C6)^(1/(3))-1)))</f>
        <v>n/a</v>
      </c>
      <c r="R6" s="608" t="str">
        <f t="shared" ref="R6:R75" si="5">IF(M6*G6&lt;=0,"n/a",IF(G6&gt;M6,-ABS((M6/G6)^(1/(5))-1),ABS((M6/G6)^(1/(5))-1)))</f>
        <v>n/a</v>
      </c>
      <c r="T6" s="635">
        <f>+C6/Ricavi!C$12</f>
        <v>0</v>
      </c>
      <c r="U6" s="635">
        <f>+D6/Ricavi!D$12</f>
        <v>3.1968080089413663E-4</v>
      </c>
      <c r="V6" s="635">
        <f>+E6/Ricavi!E$12</f>
        <v>6.3320296987836701E-3</v>
      </c>
      <c r="W6" s="635">
        <f>+F6/Ricavi!F$12</f>
        <v>0</v>
      </c>
      <c r="X6" s="635">
        <f>+G6/Ricavi!G$12</f>
        <v>0</v>
      </c>
      <c r="Y6" s="635">
        <f>+H6/Ricavi!H$12</f>
        <v>0</v>
      </c>
      <c r="AA6" s="635">
        <f t="shared" ref="AA6:AA75" si="6">+AVERAGE(T6:X6)</f>
        <v>1.3303420999355613E-3</v>
      </c>
    </row>
    <row r="7" spans="2:34">
      <c r="B7" s="604" t="s">
        <v>2427</v>
      </c>
      <c r="C7" s="613">
        <f>+BdV!E502</f>
        <v>0</v>
      </c>
      <c r="D7" s="613">
        <f>+BdV!F502</f>
        <v>0</v>
      </c>
      <c r="E7" s="613">
        <f>+BdV!G502</f>
        <v>346</v>
      </c>
      <c r="F7" s="613">
        <f>+BdV!H502</f>
        <v>0</v>
      </c>
      <c r="G7" s="613">
        <f>+BdV!I502</f>
        <v>0</v>
      </c>
      <c r="H7" s="613">
        <f>+BdV!J502</f>
        <v>0</v>
      </c>
      <c r="I7" s="609">
        <f>+Ricavi!J$12*Costi!$AA7</f>
        <v>168.36606954432463</v>
      </c>
      <c r="J7" s="609">
        <f>+Ricavi!K$12*Costi!$AA7</f>
        <v>178.94324158697901</v>
      </c>
      <c r="K7" s="609">
        <f>+Ricavi!L$12*Costi!$AA7</f>
        <v>185.54207408526943</v>
      </c>
      <c r="L7" s="609">
        <f>+Ricavi!M$12*Costi!$AA7</f>
        <v>193.75263378947554</v>
      </c>
      <c r="M7" s="609">
        <f>+Ricavi!N$12*Costi!$AA7</f>
        <v>202.32652505062742</v>
      </c>
      <c r="O7" s="608" t="str">
        <f t="shared" si="2"/>
        <v>n/a</v>
      </c>
      <c r="P7" s="608" t="str">
        <f t="shared" si="3"/>
        <v>n/a</v>
      </c>
      <c r="Q7" s="608" t="str">
        <f t="shared" si="4"/>
        <v>n/a</v>
      </c>
      <c r="R7" s="608" t="str">
        <f t="shared" si="5"/>
        <v>n/a</v>
      </c>
      <c r="T7" s="635">
        <f>+C7/Ricavi!C$12</f>
        <v>0</v>
      </c>
      <c r="U7" s="635">
        <f>+D7/Ricavi!D$12</f>
        <v>0</v>
      </c>
      <c r="V7" s="635">
        <f>+E7/Ricavi!E$12</f>
        <v>1.2887542798700881E-5</v>
      </c>
      <c r="W7" s="635">
        <f>+F7/Ricavi!F$12</f>
        <v>0</v>
      </c>
      <c r="X7" s="635">
        <f>+G7/Ricavi!G$12</f>
        <v>0</v>
      </c>
      <c r="Y7" s="635">
        <f>+H7/Ricavi!H$12</f>
        <v>0</v>
      </c>
      <c r="AA7" s="635">
        <f t="shared" si="6"/>
        <v>2.5775085597401761E-6</v>
      </c>
    </row>
    <row r="8" spans="2:34">
      <c r="B8" s="604" t="s">
        <v>2402</v>
      </c>
      <c r="C8" s="613">
        <f>+BdV!E503</f>
        <v>1010</v>
      </c>
      <c r="D8" s="613">
        <f>+BdV!F503</f>
        <v>1081</v>
      </c>
      <c r="E8" s="613">
        <f>+BdV!G503</f>
        <v>0</v>
      </c>
      <c r="F8" s="613">
        <f>+BdV!H503</f>
        <v>0</v>
      </c>
      <c r="G8" s="613">
        <f>+BdV!I503</f>
        <v>0</v>
      </c>
      <c r="H8" s="613">
        <f>+BdV!J503</f>
        <v>0</v>
      </c>
      <c r="I8" s="609">
        <f>+Ricavi!J$12*Costi!$AA8</f>
        <v>1072.7088266325493</v>
      </c>
      <c r="J8" s="609">
        <f>+Ricavi!K$12*Costi!$AA8</f>
        <v>1140.0990427353215</v>
      </c>
      <c r="K8" s="609">
        <f>+Ricavi!L$12*Costi!$AA8</f>
        <v>1182.1421092839666</v>
      </c>
      <c r="L8" s="609">
        <f>+Ricavi!M$12*Costi!$AA8</f>
        <v>1234.453955074111</v>
      </c>
      <c r="M8" s="609">
        <f>+Ricavi!N$12*Costi!$AA8</f>
        <v>1289.0806910864046</v>
      </c>
      <c r="O8" s="608" t="str">
        <f t="shared" si="2"/>
        <v>n/a</v>
      </c>
      <c r="P8" s="608" t="str">
        <f t="shared" si="3"/>
        <v>n/a</v>
      </c>
      <c r="Q8" s="608" t="str">
        <f t="shared" si="4"/>
        <v>n/a</v>
      </c>
      <c r="R8" s="608" t="str">
        <f t="shared" si="5"/>
        <v>n/a</v>
      </c>
      <c r="T8" s="635">
        <f>+C8/Ricavi!C$12</f>
        <v>3.8913386839399487E-5</v>
      </c>
      <c r="U8" s="635">
        <f>+D8/Ricavi!D$12</f>
        <v>4.3196868220820214E-5</v>
      </c>
      <c r="V8" s="635">
        <f>+E8/Ricavi!E$12</f>
        <v>0</v>
      </c>
      <c r="W8" s="635">
        <f>+F8/Ricavi!F$12</f>
        <v>0</v>
      </c>
      <c r="X8" s="635">
        <f>+G8/Ricavi!G$12</f>
        <v>0</v>
      </c>
      <c r="Y8" s="635">
        <f>+H8/Ricavi!H$12</f>
        <v>0</v>
      </c>
      <c r="AA8" s="635">
        <f t="shared" si="6"/>
        <v>1.642205101204394E-5</v>
      </c>
    </row>
    <row r="9" spans="2:34">
      <c r="B9" s="604" t="s">
        <v>3758</v>
      </c>
      <c r="C9" s="613">
        <f>+BdV!E504</f>
        <v>25703</v>
      </c>
      <c r="D9" s="613">
        <f>+BdV!F504</f>
        <v>27271.4</v>
      </c>
      <c r="E9" s="613">
        <f>+BdV!G504</f>
        <v>18354.97</v>
      </c>
      <c r="F9" s="613">
        <f>+BdV!H504</f>
        <v>3212.4</v>
      </c>
      <c r="G9" s="613">
        <f>+BdV!I504</f>
        <v>0</v>
      </c>
      <c r="H9" s="613">
        <f>+BdV!J504</f>
        <v>0</v>
      </c>
      <c r="I9" s="609">
        <f>+Ricavi!J$12*Costi!$AA9</f>
        <v>37453.626784340202</v>
      </c>
      <c r="J9" s="609">
        <f>+Ricavi!K$12*Costi!$AA9</f>
        <v>39806.556060360643</v>
      </c>
      <c r="K9" s="609">
        <f>+Ricavi!L$12*Costi!$AA9</f>
        <v>41274.489654535799</v>
      </c>
      <c r="L9" s="609">
        <f>+Ricavi!M$12*Costi!$AA9</f>
        <v>43100.957657763262</v>
      </c>
      <c r="M9" s="609">
        <f>+Ricavi!N$12*Costi!$AA9</f>
        <v>45008.250049002214</v>
      </c>
      <c r="O9" s="608" t="str">
        <f t="shared" si="2"/>
        <v>n/a</v>
      </c>
      <c r="P9" s="608" t="str">
        <f t="shared" si="3"/>
        <v>n/a</v>
      </c>
      <c r="Q9" s="608">
        <f t="shared" si="4"/>
        <v>-0.5000246416584494</v>
      </c>
      <c r="R9" s="608" t="str">
        <f t="shared" si="5"/>
        <v>n/a</v>
      </c>
      <c r="T9" s="635">
        <f>+C9/Ricavi!C$12</f>
        <v>9.9028790290404457E-4</v>
      </c>
      <c r="U9" s="635">
        <f>+D9/Ricavi!D$12</f>
        <v>1.0897678741880448E-3</v>
      </c>
      <c r="V9" s="635">
        <f>+E9/Ricavi!E$12</f>
        <v>6.8367185388401943E-4</v>
      </c>
      <c r="W9" s="635">
        <f>+F9/Ricavi!F$12</f>
        <v>1.0315177920505389E-4</v>
      </c>
      <c r="X9" s="635">
        <f>+G9/Ricavi!G$12</f>
        <v>0</v>
      </c>
      <c r="Y9" s="635">
        <f>+H9/Ricavi!H$12</f>
        <v>0</v>
      </c>
      <c r="AA9" s="635">
        <f t="shared" si="6"/>
        <v>5.7337588203623256E-4</v>
      </c>
    </row>
    <row r="10" spans="2:34">
      <c r="B10" s="604" t="s">
        <v>3759</v>
      </c>
      <c r="C10" s="613">
        <f>+BdV!E505</f>
        <v>2785108.92</v>
      </c>
      <c r="D10" s="613">
        <f>+BdV!F505</f>
        <v>2418641.39</v>
      </c>
      <c r="E10" s="613">
        <f>+BdV!G505</f>
        <v>2487819.1800000002</v>
      </c>
      <c r="F10" s="613">
        <f>+BdV!H505</f>
        <v>1992461.02</v>
      </c>
      <c r="G10" s="613">
        <f>+BdV!I505</f>
        <v>6482127.71</v>
      </c>
      <c r="H10" s="613">
        <f>+BdV!J505</f>
        <v>2343394.1</v>
      </c>
      <c r="I10" s="609">
        <f>+($AB10*Ricavi!J$12)*(1+AC10)</f>
        <v>7278379.7234626459</v>
      </c>
      <c r="J10" s="609">
        <f>+($AB10*Ricavi!K$12)*(1+AD10)</f>
        <v>7478261.5355567653</v>
      </c>
      <c r="K10" s="609">
        <f>+($AB10*Ricavi!L$12)*(1+AE10)</f>
        <v>7784532.6658745911</v>
      </c>
      <c r="L10" s="609">
        <f>+($AB10*Ricavi!M$12)*(1+AF10)</f>
        <v>8121049.9711998655</v>
      </c>
      <c r="M10" s="609">
        <f>+($AB10*Ricavi!N$12)*(1+AG10)</f>
        <v>8480420.5666731857</v>
      </c>
      <c r="O10" s="608">
        <f t="shared" si="2"/>
        <v>0.23514757412766718</v>
      </c>
      <c r="P10" s="608">
        <f t="shared" si="3"/>
        <v>0.61417042455506055</v>
      </c>
      <c r="Q10" s="608">
        <f t="shared" si="4"/>
        <v>-0.10563275956003104</v>
      </c>
      <c r="R10" s="608">
        <f t="shared" si="5"/>
        <v>5.5212583296633033E-2</v>
      </c>
      <c r="T10" s="635">
        <f>+C10/Ricavi!C$12</f>
        <v>0.1073049710829922</v>
      </c>
      <c r="U10" s="635">
        <f>+D10/Ricavi!D$12</f>
        <v>9.6649152078863487E-2</v>
      </c>
      <c r="V10" s="635">
        <f>+E10/Ricavi!E$12</f>
        <v>9.266438195860964E-2</v>
      </c>
      <c r="W10" s="635">
        <f>+F10/Ricavi!F$12</f>
        <v>6.3978925168010348E-2</v>
      </c>
      <c r="X10" s="635">
        <f>+G10/Ricavi!G$12</f>
        <v>0.12704836442059714</v>
      </c>
      <c r="Y10" s="635">
        <f>+H10/Ricavi!H$12</f>
        <v>9.1033003095735116E-2</v>
      </c>
      <c r="AA10" s="635">
        <f t="shared" si="6"/>
        <v>9.7529158941814562E-2</v>
      </c>
      <c r="AB10" s="648">
        <f>+AVERAGE(T10:V10,X10)</f>
        <v>0.10591671738526562</v>
      </c>
      <c r="AC10" s="1233">
        <f>+Inflazione!H89</f>
        <v>5.1999999999999998E-2</v>
      </c>
      <c r="AD10" s="1233">
        <f>+Inflazione!I89</f>
        <v>1.7000000000000001E-2</v>
      </c>
      <c r="AE10" s="1233">
        <f>+Inflazione!J89</f>
        <v>2.1000000000000001E-2</v>
      </c>
      <c r="AF10" s="1233">
        <f>+Inflazione!K89</f>
        <v>0.02</v>
      </c>
      <c r="AG10" s="1233">
        <f>+Inflazione!L89</f>
        <v>0.02</v>
      </c>
      <c r="AH10" s="840" t="s">
        <v>3724</v>
      </c>
    </row>
    <row r="11" spans="2:34">
      <c r="B11" s="604" t="s">
        <v>3760</v>
      </c>
      <c r="C11" s="613">
        <f>+BdV!E506</f>
        <v>119380.38</v>
      </c>
      <c r="D11" s="613">
        <f>+BdV!F506</f>
        <v>214942.94</v>
      </c>
      <c r="E11" s="613">
        <f>+BdV!G506</f>
        <v>346068.59</v>
      </c>
      <c r="F11" s="613">
        <f>+BdV!H506</f>
        <v>279021.21999999997</v>
      </c>
      <c r="G11" s="613">
        <f>+BdV!I506</f>
        <v>105229.88</v>
      </c>
      <c r="H11" s="613">
        <f>+BdV!J506</f>
        <v>245548.74</v>
      </c>
      <c r="I11" s="609">
        <f>+Ricavi!J$12*Costi!$AA11</f>
        <v>484693.23741369415</v>
      </c>
      <c r="J11" s="609">
        <f>+Ricavi!K$12*Costi!$AA11</f>
        <v>515142.86288699124</v>
      </c>
      <c r="K11" s="609">
        <f>+Ricavi!L$12*Costi!$AA11</f>
        <v>534139.62093570875</v>
      </c>
      <c r="L11" s="609">
        <f>+Ricavi!M$12*Costi!$AA11</f>
        <v>557776.22880320065</v>
      </c>
      <c r="M11" s="609">
        <f>+Ricavi!N$12*Costi!$AA11</f>
        <v>582458.79770706547</v>
      </c>
      <c r="O11" s="608">
        <f t="shared" si="2"/>
        <v>-3.1049637471120661E-2</v>
      </c>
      <c r="P11" s="608">
        <f t="shared" si="3"/>
        <v>-0.44857246824920183</v>
      </c>
      <c r="Q11" s="608">
        <f t="shared" si="4"/>
        <v>0.3270932048431292</v>
      </c>
      <c r="R11" s="608">
        <f t="shared" si="5"/>
        <v>0.40807318138270987</v>
      </c>
      <c r="T11" s="635">
        <f>+C11/Ricavi!C$12</f>
        <v>4.5994999088856533E-3</v>
      </c>
      <c r="U11" s="635">
        <f>+D11/Ricavi!D$12</f>
        <v>8.589141400717544E-3</v>
      </c>
      <c r="V11" s="635">
        <f>+E11/Ricavi!E$12</f>
        <v>1.2890097586448174E-2</v>
      </c>
      <c r="W11" s="635">
        <f>+F11/Ricavi!F$12</f>
        <v>8.9595116669669902E-3</v>
      </c>
      <c r="X11" s="635">
        <f>+G11/Ricavi!G$12</f>
        <v>2.0624839158214776E-3</v>
      </c>
      <c r="Y11" s="635">
        <f>+H11/Ricavi!H$12</f>
        <v>9.538745193808356E-3</v>
      </c>
      <c r="AA11" s="635">
        <f t="shared" si="6"/>
        <v>7.4201468957679675E-3</v>
      </c>
    </row>
    <row r="12" spans="2:34">
      <c r="B12" s="604" t="s">
        <v>3761</v>
      </c>
      <c r="C12" s="613">
        <f>+BdV!E507</f>
        <v>2399572.86</v>
      </c>
      <c r="D12" s="613">
        <f>+BdV!F507</f>
        <v>2336720.7799999998</v>
      </c>
      <c r="E12" s="613">
        <f>+BdV!G507</f>
        <v>2545397.27</v>
      </c>
      <c r="F12" s="613">
        <f>+BdV!H507</f>
        <v>2651919.89</v>
      </c>
      <c r="G12" s="613">
        <f>+BdV!I507</f>
        <v>5889750.3600000003</v>
      </c>
      <c r="H12" s="613">
        <f>+BdV!J507</f>
        <v>2529324.6</v>
      </c>
      <c r="I12" s="609">
        <f>+($AB12*Ricavi!J$12)*(1+AC12)</f>
        <v>6804339.6110022468</v>
      </c>
      <c r="J12" s="609">
        <f>+($AB12*Ricavi!K$12)*(1+AD12)</f>
        <v>6991203.1415166846</v>
      </c>
      <c r="K12" s="609">
        <f>+($AB12*Ricavi!L$12)*(1+AE12)</f>
        <v>7277526.865052308</v>
      </c>
      <c r="L12" s="609">
        <f>+($AB12*Ricavi!M$12)*(1+AF12)</f>
        <v>7592126.833370964</v>
      </c>
      <c r="M12" s="609">
        <f>+($AB12*Ricavi!N$12)*(1+AG12)</f>
        <v>7928091.6594332764</v>
      </c>
      <c r="O12" s="608">
        <f t="shared" si="2"/>
        <v>0.25167257465919701</v>
      </c>
      <c r="P12" s="608">
        <f t="shared" si="3"/>
        <v>0.52114514869826456</v>
      </c>
      <c r="Q12" s="608">
        <f t="shared" si="4"/>
        <v>3.3892741747892474E-2</v>
      </c>
      <c r="R12" s="608">
        <f t="shared" si="5"/>
        <v>6.1241818252957936E-2</v>
      </c>
      <c r="T12" s="635">
        <f>+C12/Ricavi!C$12</f>
        <v>9.2450996980697212E-2</v>
      </c>
      <c r="U12" s="635">
        <f>+D12/Ricavi!D$12</f>
        <v>9.3375596302046449E-2</v>
      </c>
      <c r="V12" s="635">
        <f>+E12/Ricavi!E$12</f>
        <v>9.4809006522605155E-2</v>
      </c>
      <c r="W12" s="635">
        <f>+F12/Ricavi!F$12</f>
        <v>8.515448106175158E-2</v>
      </c>
      <c r="X12" s="635">
        <f>+G12/Ricavi!G$12</f>
        <v>0.11543789069895126</v>
      </c>
      <c r="Y12" s="635">
        <f>+H12/Ricavi!H$12</f>
        <v>9.8255779572850768E-2</v>
      </c>
      <c r="AA12" s="635">
        <f t="shared" si="6"/>
        <v>9.6245594313210336E-2</v>
      </c>
      <c r="AB12" s="648">
        <f>+AVERAGE(T12:V12,X12)</f>
        <v>9.9018372626075019E-2</v>
      </c>
      <c r="AC12" s="1233">
        <f>+AC10</f>
        <v>5.1999999999999998E-2</v>
      </c>
      <c r="AD12" s="1233">
        <f t="shared" ref="AD12:AG12" si="7">+AD10</f>
        <v>1.7000000000000001E-2</v>
      </c>
      <c r="AE12" s="1233">
        <f t="shared" si="7"/>
        <v>2.1000000000000001E-2</v>
      </c>
      <c r="AF12" s="1233">
        <f t="shared" si="7"/>
        <v>0.02</v>
      </c>
      <c r="AG12" s="1233">
        <f t="shared" si="7"/>
        <v>0.02</v>
      </c>
      <c r="AH12" s="840" t="s">
        <v>3724</v>
      </c>
    </row>
    <row r="13" spans="2:34">
      <c r="B13" s="604" t="s">
        <v>3762</v>
      </c>
      <c r="C13" s="613">
        <f>+BdV!E508</f>
        <v>115174.21</v>
      </c>
      <c r="D13" s="613">
        <f>+BdV!F508</f>
        <v>115324.78</v>
      </c>
      <c r="E13" s="613">
        <f>+BdV!G508</f>
        <v>122981.5</v>
      </c>
      <c r="F13" s="613">
        <f>+BdV!H508</f>
        <v>116325.93</v>
      </c>
      <c r="G13" s="613">
        <f>+BdV!I508</f>
        <v>282175.21000000002</v>
      </c>
      <c r="H13" s="613">
        <f>+BdV!J508</f>
        <v>112948.55</v>
      </c>
      <c r="I13" s="609">
        <f>+Ricavi!J$12*Costi!$AA13</f>
        <v>299072.20566439204</v>
      </c>
      <c r="J13" s="609">
        <f>+Ricavi!K$12*Costi!$AA13</f>
        <v>317860.65978136368</v>
      </c>
      <c r="K13" s="609">
        <f>+Ricavi!L$12*Costi!$AA13</f>
        <v>329582.30533271999</v>
      </c>
      <c r="L13" s="609">
        <f>+Ricavi!M$12*Costi!$AA13</f>
        <v>344166.89596384857</v>
      </c>
      <c r="M13" s="609">
        <f>+Ricavi!N$12*Costi!$AA13</f>
        <v>359396.88011409499</v>
      </c>
      <c r="O13" s="608">
        <f t="shared" si="2"/>
        <v>0.25109677248660578</v>
      </c>
      <c r="P13" s="608">
        <f t="shared" si="3"/>
        <v>0.51474502770370378</v>
      </c>
      <c r="Q13" s="608">
        <f t="shared" si="4"/>
        <v>3.3222200038918182E-3</v>
      </c>
      <c r="R13" s="608">
        <f t="shared" si="5"/>
        <v>4.9569227731490972E-2</v>
      </c>
      <c r="T13" s="635">
        <f>+C13/Ricavi!C$12</f>
        <v>4.4374441461903303E-3</v>
      </c>
      <c r="U13" s="635">
        <f>+D13/Ricavi!D$12</f>
        <v>4.6083897541675141E-3</v>
      </c>
      <c r="V13" s="635">
        <f>+E13/Ricavi!E$12</f>
        <v>4.5807206494174347E-3</v>
      </c>
      <c r="W13" s="635">
        <f>+F13/Ricavi!F$12</f>
        <v>3.7352841013518095E-3</v>
      </c>
      <c r="X13" s="635">
        <f>+G13/Ricavi!G$12</f>
        <v>5.5305758408975454E-3</v>
      </c>
      <c r="Y13" s="635">
        <f>+H13/Ricavi!H$12</f>
        <v>4.3876724370897719E-3</v>
      </c>
      <c r="AA13" s="635">
        <f t="shared" si="6"/>
        <v>4.5784828984049269E-3</v>
      </c>
    </row>
    <row r="14" spans="2:34">
      <c r="B14" s="604" t="s">
        <v>3763</v>
      </c>
      <c r="C14" s="613">
        <f>+BdV!E509</f>
        <v>3649.67</v>
      </c>
      <c r="D14" s="613">
        <f>+BdV!F509</f>
        <v>211.5</v>
      </c>
      <c r="E14" s="613">
        <f>+BdV!G509</f>
        <v>1625.21</v>
      </c>
      <c r="F14" s="613">
        <f>+BdV!H509</f>
        <v>1989.27</v>
      </c>
      <c r="G14" s="613">
        <f>+BdV!I509</f>
        <v>2374.63</v>
      </c>
      <c r="H14" s="613">
        <f>+BdV!J509</f>
        <v>926.75</v>
      </c>
      <c r="I14" s="609">
        <f>+Ricavi!J$12*Costi!$AA14</f>
        <v>4180.8174324224992</v>
      </c>
      <c r="J14" s="609">
        <f>+Ricavi!K$12*Costi!$AA14</f>
        <v>4443.4667024407645</v>
      </c>
      <c r="K14" s="609">
        <f>+Ricavi!L$12*Costi!$AA14</f>
        <v>4607.3269981473504</v>
      </c>
      <c r="L14" s="609">
        <f>+Ricavi!M$12*Costi!$AA14</f>
        <v>4811.209236618527</v>
      </c>
      <c r="M14" s="609">
        <f>+Ricavi!N$12*Costi!$AA14</f>
        <v>5024.1136189880508</v>
      </c>
      <c r="O14" s="608">
        <f t="shared" si="2"/>
        <v>-0.10187747614434528</v>
      </c>
      <c r="P14" s="608">
        <f t="shared" si="3"/>
        <v>0.20876877330512533</v>
      </c>
      <c r="Q14" s="608">
        <f t="shared" si="4"/>
        <v>-0.18314172710657817</v>
      </c>
      <c r="R14" s="608">
        <f t="shared" si="5"/>
        <v>0.16169655221698576</v>
      </c>
      <c r="T14" s="635">
        <f>+C14/Ricavi!C$12</f>
        <v>1.4061487182787241E-4</v>
      </c>
      <c r="U14" s="635">
        <f>+D14/Ricavi!D$12</f>
        <v>8.4515611736387376E-6</v>
      </c>
      <c r="V14" s="635">
        <f>+E14/Ricavi!E$12</f>
        <v>6.053457639270711E-5</v>
      </c>
      <c r="W14" s="635">
        <f>+F14/Ricavi!F$12</f>
        <v>6.3876459911355225E-5</v>
      </c>
      <c r="X14" s="635">
        <f>+G14/Ricavi!G$12</f>
        <v>4.6542257589072186E-5</v>
      </c>
      <c r="Y14" s="635">
        <f>+H14/Ricavi!H$12</f>
        <v>3.6001129993018468E-5</v>
      </c>
      <c r="AA14" s="635">
        <f t="shared" si="6"/>
        <v>6.4003945378929129E-5</v>
      </c>
    </row>
    <row r="15" spans="2:34">
      <c r="B15" s="604" t="s">
        <v>3764</v>
      </c>
      <c r="C15" s="613">
        <f>+BdV!E510</f>
        <v>0</v>
      </c>
      <c r="D15" s="613">
        <f>+BdV!F510</f>
        <v>0</v>
      </c>
      <c r="E15" s="613">
        <f>+BdV!G510</f>
        <v>698909.49</v>
      </c>
      <c r="F15" s="613">
        <f>+BdV!H510</f>
        <v>1006076.69</v>
      </c>
      <c r="G15" s="613">
        <f>+BdV!I510</f>
        <v>1627517.34</v>
      </c>
      <c r="H15" s="613">
        <f>+BdV!J510</f>
        <v>675898.05</v>
      </c>
      <c r="I15" s="609">
        <f>+($AA15*Ricavi!J$12)*(1+AC15)</f>
        <v>1240181.3963528646</v>
      </c>
      <c r="J15" s="609">
        <f>+($AA15*Ricavi!K$12)*(1+AD15)</f>
        <v>1274239.7601985054</v>
      </c>
      <c r="K15" s="609">
        <f>+($AA15*Ricavi!L$12)*(1+AE15)</f>
        <v>1326426.0671090533</v>
      </c>
      <c r="L15" s="609">
        <f>+($AA15*Ricavi!M$12)*(1+AF15)</f>
        <v>1383766.0957241931</v>
      </c>
      <c r="M15" s="609">
        <f>+($AA15*Ricavi!N$12)*(1+AG15)</f>
        <v>1445000.1538299485</v>
      </c>
      <c r="O15" s="608" t="str">
        <f t="shared" si="2"/>
        <v>n/a</v>
      </c>
      <c r="P15" s="608">
        <f t="shared" si="3"/>
        <v>0.52599230425487153</v>
      </c>
      <c r="Q15" s="608" t="str">
        <f t="shared" si="4"/>
        <v>n/a</v>
      </c>
      <c r="R15" s="608">
        <f t="shared" si="5"/>
        <v>-2.3508530290513696E-2</v>
      </c>
      <c r="T15" s="635">
        <f>+C15/Ricavi!C$12</f>
        <v>0</v>
      </c>
      <c r="U15" s="635">
        <f>+D15/Ricavi!D$12</f>
        <v>0</v>
      </c>
      <c r="V15" s="635">
        <f>+E15/Ricavi!E$12</f>
        <v>2.6032444984951462E-2</v>
      </c>
      <c r="W15" s="635">
        <f>+F15/Ricavi!F$12</f>
        <v>3.2305628374496152E-2</v>
      </c>
      <c r="X15" s="635">
        <f>+G15/Ricavi!G$12</f>
        <v>3.189900374751501E-2</v>
      </c>
      <c r="Y15" s="635">
        <f>+H15/Ricavi!H$12</f>
        <v>2.6256372873026922E-2</v>
      </c>
      <c r="AA15" s="635">
        <f t="shared" si="6"/>
        <v>1.8047415421392526E-2</v>
      </c>
      <c r="AC15" s="1233">
        <f>+AC12</f>
        <v>5.1999999999999998E-2</v>
      </c>
      <c r="AD15" s="1233">
        <f t="shared" ref="AD15:AG15" si="8">+AD12</f>
        <v>1.7000000000000001E-2</v>
      </c>
      <c r="AE15" s="1233">
        <f t="shared" si="8"/>
        <v>2.1000000000000001E-2</v>
      </c>
      <c r="AF15" s="1233">
        <f t="shared" si="8"/>
        <v>0.02</v>
      </c>
      <c r="AG15" s="1233">
        <f t="shared" si="8"/>
        <v>0.02</v>
      </c>
      <c r="AH15" s="840"/>
    </row>
    <row r="16" spans="2:34">
      <c r="B16" s="604" t="s">
        <v>3765</v>
      </c>
      <c r="C16" s="613">
        <f>+BdV!E511</f>
        <v>40342.449999999997</v>
      </c>
      <c r="D16" s="613">
        <f>+BdV!F511</f>
        <v>8196.25</v>
      </c>
      <c r="E16" s="613">
        <f>+BdV!G511</f>
        <v>36120.699999999997</v>
      </c>
      <c r="F16" s="613">
        <f>+BdV!H511</f>
        <v>40196.97</v>
      </c>
      <c r="G16" s="613">
        <f>+BdV!I511</f>
        <v>64529.8</v>
      </c>
      <c r="H16" s="613">
        <f>+BdV!J511</f>
        <v>32712.33</v>
      </c>
      <c r="I16" s="609">
        <f>+Ricavi!J$12*Costi!$AA16</f>
        <v>75547.325352664033</v>
      </c>
      <c r="J16" s="609">
        <f>+Ricavi!K$12*Costi!$AA16</f>
        <v>80293.394793972358</v>
      </c>
      <c r="K16" s="609">
        <f>+Ricavi!L$12*Costi!$AA16</f>
        <v>83254.348548165901</v>
      </c>
      <c r="L16" s="609">
        <f>+Ricavi!M$12*Costi!$AA16</f>
        <v>86938.498371107707</v>
      </c>
      <c r="M16" s="609">
        <f>+Ricavi!N$12*Costi!$AA16</f>
        <v>90785.678235778003</v>
      </c>
      <c r="O16" s="608">
        <f t="shared" si="2"/>
        <v>0.12460371137184767</v>
      </c>
      <c r="P16" s="608">
        <f t="shared" si="3"/>
        <v>0.33660191950177909</v>
      </c>
      <c r="Q16" s="608">
        <f t="shared" si="4"/>
        <v>-1.203490155793796E-3</v>
      </c>
      <c r="R16" s="608">
        <f t="shared" si="5"/>
        <v>7.0659573479509463E-2</v>
      </c>
      <c r="T16" s="635">
        <f>+C16/Ricavi!C$12</f>
        <v>1.5543181810882493E-3</v>
      </c>
      <c r="U16" s="635">
        <f>+D16/Ricavi!D$12</f>
        <v>3.2752297054107092E-4</v>
      </c>
      <c r="V16" s="635">
        <f>+E16/Ricavi!E$12</f>
        <v>1.3453961478873842E-3</v>
      </c>
      <c r="W16" s="635">
        <f>+F16/Ricavi!F$12</f>
        <v>1.2907449178658245E-3</v>
      </c>
      <c r="X16" s="635">
        <f>+G16/Ricavi!G$12</f>
        <v>1.2647707532421094E-3</v>
      </c>
      <c r="Y16" s="635">
        <f>+H16/Ricavi!H$12</f>
        <v>1.2707643320253768E-3</v>
      </c>
      <c r="AA16" s="635">
        <f t="shared" si="6"/>
        <v>1.1565505941249278E-3</v>
      </c>
    </row>
    <row r="17" spans="2:33">
      <c r="B17" s="604" t="s">
        <v>3766</v>
      </c>
      <c r="C17" s="613">
        <f>+BdV!E512</f>
        <v>0</v>
      </c>
      <c r="D17" s="613">
        <f>+BdV!F512</f>
        <v>0</v>
      </c>
      <c r="E17" s="613">
        <f>+BdV!G512</f>
        <v>1990.06</v>
      </c>
      <c r="F17" s="613">
        <f>+BdV!H512</f>
        <v>6694.12</v>
      </c>
      <c r="G17" s="613">
        <f>+BdV!I512</f>
        <v>4067.69</v>
      </c>
      <c r="H17" s="613">
        <f>+BdV!J512</f>
        <v>905.39</v>
      </c>
      <c r="I17" s="609">
        <f>+Ricavi!J$12*Costi!$AA17</f>
        <v>4818.1169219708509</v>
      </c>
      <c r="J17" s="609">
        <f>+Ricavi!K$12*Costi!$AA17</f>
        <v>5120.80291887769</v>
      </c>
      <c r="K17" s="609">
        <f>+Ricavi!L$12*Costi!$AA17</f>
        <v>5309.6411248850709</v>
      </c>
      <c r="L17" s="609">
        <f>+Ricavi!M$12*Costi!$AA17</f>
        <v>5544.6019858040991</v>
      </c>
      <c r="M17" s="609">
        <f>+Ricavi!N$12*Costi!$AA17</f>
        <v>5789.9602737554515</v>
      </c>
      <c r="O17" s="608" t="str">
        <f t="shared" si="2"/>
        <v>n/a</v>
      </c>
      <c r="P17" s="608">
        <f t="shared" si="3"/>
        <v>0.42968657347719175</v>
      </c>
      <c r="Q17" s="608" t="str">
        <f t="shared" si="4"/>
        <v>n/a</v>
      </c>
      <c r="R17" s="608">
        <f t="shared" si="5"/>
        <v>7.3162645085095734E-2</v>
      </c>
      <c r="T17" s="635">
        <f>+C17/Ricavi!C$12</f>
        <v>0</v>
      </c>
      <c r="U17" s="635">
        <f>+D17/Ricavi!D$12</f>
        <v>0</v>
      </c>
      <c r="V17" s="635">
        <f>+E17/Ricavi!E$12</f>
        <v>7.4124229543302535E-5</v>
      </c>
      <c r="W17" s="635">
        <f>+F17/Ricavi!F$12</f>
        <v>2.1495155902507014E-4</v>
      </c>
      <c r="X17" s="635">
        <f>+G17/Ricavi!G$12</f>
        <v>7.9725883936652457E-5</v>
      </c>
      <c r="Y17" s="635">
        <f>+H17/Ricavi!H$12</f>
        <v>3.5171365615731307E-5</v>
      </c>
      <c r="AA17" s="635">
        <f t="shared" si="6"/>
        <v>7.3760334501005018E-5</v>
      </c>
    </row>
    <row r="18" spans="2:33">
      <c r="B18" s="604" t="s">
        <v>3767</v>
      </c>
      <c r="C18" s="613">
        <f>+BdV!E513</f>
        <v>7301.17</v>
      </c>
      <c r="D18" s="613">
        <f>+BdV!F513</f>
        <v>40.74</v>
      </c>
      <c r="E18" s="613">
        <f>+BdV!G513</f>
        <v>9208.5499999999993</v>
      </c>
      <c r="F18" s="613">
        <f>+BdV!H513</f>
        <v>11312.88</v>
      </c>
      <c r="G18" s="613">
        <f>+BdV!I513</f>
        <v>0</v>
      </c>
      <c r="H18" s="613">
        <f>+BdV!J513</f>
        <v>2458.27</v>
      </c>
      <c r="I18" s="609">
        <f>+Ricavi!J$12*Costi!$AA18</f>
        <v>12922.939683132092</v>
      </c>
      <c r="J18" s="609">
        <f>+Ricavi!K$12*Costi!$AA18</f>
        <v>13734.790649869477</v>
      </c>
      <c r="K18" s="609">
        <f>+Ricavi!L$12*Costi!$AA18</f>
        <v>14241.284117260475</v>
      </c>
      <c r="L18" s="609">
        <f>+Ricavi!M$12*Costi!$AA18</f>
        <v>14871.485725633098</v>
      </c>
      <c r="M18" s="609">
        <f>+Ricavi!N$12*Costi!$AA18</f>
        <v>15529.574852007992</v>
      </c>
      <c r="O18" s="608" t="str">
        <f t="shared" si="2"/>
        <v>n/a</v>
      </c>
      <c r="P18" s="608" t="str">
        <f t="shared" si="3"/>
        <v>n/a</v>
      </c>
      <c r="Q18" s="608">
        <f t="shared" si="4"/>
        <v>0.157160427514067</v>
      </c>
      <c r="R18" s="608" t="str">
        <f t="shared" si="5"/>
        <v>n/a</v>
      </c>
      <c r="T18" s="635">
        <f>+C18/Ricavi!C$12</f>
        <v>2.8130025008932512E-4</v>
      </c>
      <c r="U18" s="635">
        <f>+D18/Ricavi!D$12</f>
        <v>1.6279744785533908E-6</v>
      </c>
      <c r="V18" s="635">
        <f>+E18/Ricavi!E$12</f>
        <v>3.4299301225137861E-4</v>
      </c>
      <c r="W18" s="635">
        <f>+F18/Ricavi!F$12</f>
        <v>3.6326226495245607E-4</v>
      </c>
      <c r="X18" s="635">
        <f>+G18/Ricavi!G$12</f>
        <v>0</v>
      </c>
      <c r="Y18" s="635">
        <f>+H18/Ricavi!H$12</f>
        <v>9.5495546617682778E-5</v>
      </c>
      <c r="AA18" s="635">
        <f t="shared" si="6"/>
        <v>1.9783670035434264E-4</v>
      </c>
    </row>
    <row r="19" spans="2:33">
      <c r="B19" s="604" t="s">
        <v>3768</v>
      </c>
      <c r="C19" s="613">
        <f>+BdV!E514</f>
        <v>35553.379999999997</v>
      </c>
      <c r="D19" s="613">
        <f>+BdV!F514</f>
        <v>21008.57</v>
      </c>
      <c r="E19" s="613">
        <f>+BdV!G514</f>
        <v>16454.36</v>
      </c>
      <c r="F19" s="613">
        <f>+BdV!H514</f>
        <v>25116.95</v>
      </c>
      <c r="G19" s="613">
        <f>+BdV!I514</f>
        <v>49184.47</v>
      </c>
      <c r="H19" s="613">
        <f>+BdV!J514</f>
        <v>0</v>
      </c>
      <c r="I19" s="609">
        <f>+Ricavi!J$12*Costi!$AA19</f>
        <v>60000.329520350795</v>
      </c>
      <c r="J19" s="609">
        <f>+Ricavi!K$12*Costi!$AA19</f>
        <v>63769.69831104784</v>
      </c>
      <c r="K19" s="609">
        <f>+Ricavi!L$12*Costi!$AA19</f>
        <v>66121.313012386396</v>
      </c>
      <c r="L19" s="609">
        <f>+Ricavi!M$12*Costi!$AA19</f>
        <v>69047.296193749367</v>
      </c>
      <c r="M19" s="609">
        <f>+Ricavi!N$12*Costi!$AA19</f>
        <v>72102.759223402958</v>
      </c>
      <c r="O19" s="608">
        <f t="shared" si="2"/>
        <v>8.4518026990521467E-2</v>
      </c>
      <c r="P19" s="608">
        <f t="shared" si="3"/>
        <v>0.72891443578812232</v>
      </c>
      <c r="Q19" s="608">
        <f t="shared" si="4"/>
        <v>-0.10937406943867367</v>
      </c>
      <c r="R19" s="608">
        <f t="shared" si="5"/>
        <v>7.9505297082073545E-2</v>
      </c>
      <c r="T19" s="635">
        <f>+C19/Ricavi!C$12</f>
        <v>1.3698043855328405E-3</v>
      </c>
      <c r="U19" s="635">
        <f>+D19/Ricavi!D$12</f>
        <v>8.3950456040506646E-4</v>
      </c>
      <c r="V19" s="635">
        <f>+E19/Ricavi!E$12</f>
        <v>6.1287938937928282E-4</v>
      </c>
      <c r="W19" s="635">
        <f>+F19/Ricavi!F$12</f>
        <v>8.0651789338325808E-4</v>
      </c>
      <c r="X19" s="635">
        <f>+G19/Ricavi!G$12</f>
        <v>9.6400545437478388E-4</v>
      </c>
      <c r="Y19" s="635">
        <f>+H19/Ricavi!H$12</f>
        <v>0</v>
      </c>
      <c r="AA19" s="635">
        <f t="shared" si="6"/>
        <v>9.1854233661504644E-4</v>
      </c>
    </row>
    <row r="20" spans="2:33">
      <c r="B20" s="604" t="s">
        <v>3769</v>
      </c>
      <c r="C20" s="613">
        <f>+BdV!E515</f>
        <v>2156168.75</v>
      </c>
      <c r="D20" s="613">
        <f>+BdV!F515</f>
        <v>2030204.05</v>
      </c>
      <c r="E20" s="613">
        <f>+BdV!G515</f>
        <v>1605814.36</v>
      </c>
      <c r="F20" s="613">
        <f>+BdV!H515</f>
        <v>2199671.38</v>
      </c>
      <c r="G20" s="613">
        <f>+BdV!I515</f>
        <v>3565819.68</v>
      </c>
      <c r="H20" s="613">
        <f>+BdV!J515</f>
        <v>2242963.29</v>
      </c>
      <c r="I20" s="609">
        <f>+($AB20*Ricavi!J$12)*(1+AC20)</f>
        <v>5010009.7162898742</v>
      </c>
      <c r="J20" s="609">
        <f>+($AB20*Ricavi!K$12)*(1+AD20)</f>
        <v>5147596.6324372981</v>
      </c>
      <c r="K20" s="609">
        <f>+($AB20*Ricavi!L$12)*(1+AE20)</f>
        <v>5358415.7153940471</v>
      </c>
      <c r="L20" s="609">
        <f>+($AB20*Ricavi!M$12)*(1+AF20)</f>
        <v>5590054.4912529718</v>
      </c>
      <c r="M20" s="609">
        <f>+($AB20*Ricavi!N$12)*(1+AG20)</f>
        <v>5837424.1316780606</v>
      </c>
      <c r="O20" s="608">
        <f t="shared" si="2"/>
        <v>0.13401593580317828</v>
      </c>
      <c r="P20" s="608">
        <f t="shared" si="3"/>
        <v>0.49015697565225591</v>
      </c>
      <c r="Q20" s="608">
        <f t="shared" si="4"/>
        <v>6.6805682909598652E-3</v>
      </c>
      <c r="R20" s="608">
        <f t="shared" si="5"/>
        <v>0.10360173435059084</v>
      </c>
      <c r="T20" s="635">
        <f>+C20/Ricavi!C$12</f>
        <v>8.3073097682945005E-2</v>
      </c>
      <c r="U20" s="635">
        <f>+D20/Ricavi!D$12</f>
        <v>8.1127157085314983E-2</v>
      </c>
      <c r="V20" s="635">
        <f>+E20/Ricavi!E$12</f>
        <v>5.9812142460313487E-2</v>
      </c>
      <c r="W20" s="635">
        <f>+F20/Ricavi!F$12</f>
        <v>7.0632554013645918E-2</v>
      </c>
      <c r="X20" s="635">
        <f>+G20/Ricavi!G$12</f>
        <v>6.988932931140554E-2</v>
      </c>
      <c r="Y20" s="635">
        <f>+H20/Ricavi!H$12</f>
        <v>8.7131602884120182E-2</v>
      </c>
      <c r="AA20" s="635">
        <f>+AVERAGE(T20:X20)</f>
        <v>7.2906856110724977E-2</v>
      </c>
      <c r="AB20" s="648">
        <f>+AA20</f>
        <v>7.2906856110724977E-2</v>
      </c>
      <c r="AC20" s="1233">
        <f>+AC12</f>
        <v>5.1999999999999998E-2</v>
      </c>
      <c r="AD20" s="1233">
        <f t="shared" ref="AD20:AG20" si="9">+AD12</f>
        <v>1.7000000000000001E-2</v>
      </c>
      <c r="AE20" s="1233">
        <f t="shared" si="9"/>
        <v>2.1000000000000001E-2</v>
      </c>
      <c r="AF20" s="1233">
        <f t="shared" si="9"/>
        <v>0.02</v>
      </c>
      <c r="AG20" s="1233">
        <f t="shared" si="9"/>
        <v>0.02</v>
      </c>
    </row>
    <row r="21" spans="2:33">
      <c r="B21" s="604" t="s">
        <v>3770</v>
      </c>
      <c r="C21" s="613">
        <f>+BdV!E516</f>
        <v>15377.39</v>
      </c>
      <c r="D21" s="613">
        <f>+BdV!F516</f>
        <v>18524.650000000001</v>
      </c>
      <c r="E21" s="613">
        <f>+BdV!G516</f>
        <v>30056.19</v>
      </c>
      <c r="F21" s="613">
        <f>+BdV!H516</f>
        <v>28660.73</v>
      </c>
      <c r="G21" s="613">
        <f>+BdV!I516</f>
        <v>19388.68</v>
      </c>
      <c r="H21" s="613">
        <f>+BdV!J516</f>
        <v>23791.89</v>
      </c>
      <c r="I21" s="609">
        <f>+Ricavi!J$12*Costi!$AA21</f>
        <v>49024.157590487761</v>
      </c>
      <c r="J21" s="609">
        <f>+Ricavi!K$12*Costi!$AA21</f>
        <v>52103.976169636087</v>
      </c>
      <c r="K21" s="609">
        <f>+Ricavi!L$12*Costi!$AA21</f>
        <v>54025.397779019535</v>
      </c>
      <c r="L21" s="609">
        <f>+Ricavi!M$12*Costi!$AA21</f>
        <v>56416.115659020536</v>
      </c>
      <c r="M21" s="609">
        <f>+Ricavi!N$12*Costi!$AA21</f>
        <v>58912.62696612662</v>
      </c>
      <c r="O21" s="608">
        <f t="shared" si="2"/>
        <v>5.965966462456973E-2</v>
      </c>
      <c r="P21" s="608">
        <f t="shared" si="3"/>
        <v>-0.19683059293838778</v>
      </c>
      <c r="Q21" s="608">
        <f t="shared" si="4"/>
        <v>0.23065089800249416</v>
      </c>
      <c r="R21" s="608">
        <f t="shared" si="5"/>
        <v>0.24891254835287424</v>
      </c>
      <c r="T21" s="635">
        <f>+C21/Ricavi!C$12</f>
        <v>5.9246170856466665E-4</v>
      </c>
      <c r="U21" s="635">
        <f>+D21/Ricavi!D$12</f>
        <v>7.4024686853544611E-4</v>
      </c>
      <c r="V21" s="635">
        <f>+E21/Ricavi!E$12</f>
        <v>1.119509927719322E-3</v>
      </c>
      <c r="W21" s="635">
        <f>+F21/Ricavi!F$12</f>
        <v>9.2031045100724189E-4</v>
      </c>
      <c r="X21" s="635">
        <f>+G21/Ricavi!G$12</f>
        <v>3.800141238306987E-4</v>
      </c>
      <c r="Y21" s="635">
        <f>+H21/Ricavi!H$12</f>
        <v>9.242351493602332E-4</v>
      </c>
      <c r="AA21" s="635">
        <f t="shared" si="6"/>
        <v>7.5050861593147498E-4</v>
      </c>
    </row>
    <row r="22" spans="2:33">
      <c r="B22" s="604" t="s">
        <v>3771</v>
      </c>
      <c r="C22" s="613">
        <f>+BdV!E517</f>
        <v>3110.36</v>
      </c>
      <c r="D22" s="613">
        <f>+BdV!F517</f>
        <v>9044.74</v>
      </c>
      <c r="E22" s="613">
        <f>+BdV!G517</f>
        <v>11973.81</v>
      </c>
      <c r="F22" s="613">
        <f>+BdV!H517</f>
        <v>16304.63</v>
      </c>
      <c r="G22" s="613">
        <f>+BdV!I517</f>
        <v>23699.919999999998</v>
      </c>
      <c r="H22" s="613">
        <f>+BdV!J517</f>
        <v>10341.129999999999</v>
      </c>
      <c r="I22" s="609">
        <f>+Ricavi!J$12*Costi!$AA22</f>
        <v>25022.213647762615</v>
      </c>
      <c r="J22" s="609">
        <f>+Ricavi!K$12*Costi!$AA22</f>
        <v>26594.170867864876</v>
      </c>
      <c r="K22" s="609">
        <f>+Ricavi!L$12*Costi!$AA22</f>
        <v>27574.875573064117</v>
      </c>
      <c r="L22" s="609">
        <f>+Ricavi!M$12*Costi!$AA22</f>
        <v>28795.111809749971</v>
      </c>
      <c r="M22" s="609">
        <f>+Ricavi!N$12*Costi!$AA22</f>
        <v>30069.345623664285</v>
      </c>
      <c r="O22" s="608">
        <f t="shared" si="2"/>
        <v>0.66143767923381058</v>
      </c>
      <c r="P22" s="608">
        <f t="shared" si="3"/>
        <v>0.40688065746821445</v>
      </c>
      <c r="Q22" s="608">
        <f t="shared" si="4"/>
        <v>0.73713443722665728</v>
      </c>
      <c r="R22" s="608">
        <f t="shared" si="5"/>
        <v>4.8758320478274664E-2</v>
      </c>
      <c r="T22" s="635">
        <f>+C22/Ricavi!C$12</f>
        <v>1.1983627909880653E-4</v>
      </c>
      <c r="U22" s="635">
        <f>+D22/Ricavi!D$12</f>
        <v>3.6142871588490415E-4</v>
      </c>
      <c r="V22" s="635">
        <f>+E22/Ricavi!E$12</f>
        <v>4.4599129722113466E-4</v>
      </c>
      <c r="W22" s="635">
        <f>+F22/Ricavi!F$12</f>
        <v>5.2354986732041395E-4</v>
      </c>
      <c r="X22" s="635">
        <f>+G22/Ricavi!G$12</f>
        <v>4.645135374691651E-4</v>
      </c>
      <c r="Y22" s="635">
        <f>+H22/Ricavi!H$12</f>
        <v>4.0171822541645863E-4</v>
      </c>
      <c r="AA22" s="635">
        <f t="shared" si="6"/>
        <v>3.8306393939888485E-4</v>
      </c>
    </row>
    <row r="23" spans="2:33">
      <c r="B23" s="604" t="s">
        <v>3772</v>
      </c>
      <c r="C23" s="613">
        <f>+BdV!E518</f>
        <v>27137.55</v>
      </c>
      <c r="D23" s="613">
        <f>+BdV!F518</f>
        <v>6849.41</v>
      </c>
      <c r="E23" s="613">
        <f>+BdV!G518</f>
        <v>28754.62</v>
      </c>
      <c r="F23" s="613">
        <f>+BdV!H518</f>
        <v>72087.08</v>
      </c>
      <c r="G23" s="613">
        <f>+BdV!I518</f>
        <v>107419.3</v>
      </c>
      <c r="H23" s="613">
        <f>+BdV!J518</f>
        <v>41266.22</v>
      </c>
      <c r="I23" s="609">
        <f>+Ricavi!J$12*Costi!$AA23</f>
        <v>88973.285135577025</v>
      </c>
      <c r="J23" s="609">
        <f>+Ricavi!K$12*Costi!$AA23</f>
        <v>94562.806507823538</v>
      </c>
      <c r="K23" s="609">
        <f>+Ricavi!L$12*Costi!$AA23</f>
        <v>98049.96877882813</v>
      </c>
      <c r="L23" s="609">
        <f>+Ricavi!M$12*Costi!$AA23</f>
        <v>102388.85054795258</v>
      </c>
      <c r="M23" s="609">
        <f>+Ricavi!N$12*Costi!$AA23</f>
        <v>106919.7353869496</v>
      </c>
      <c r="O23" s="608">
        <f t="shared" si="2"/>
        <v>0.41051568642255098</v>
      </c>
      <c r="P23" s="608">
        <f t="shared" si="3"/>
        <v>0.9328018946055292</v>
      </c>
      <c r="Q23" s="608">
        <f t="shared" si="4"/>
        <v>0.38493353825265042</v>
      </c>
      <c r="R23" s="608">
        <f t="shared" si="5"/>
        <v>-9.3185586851995961E-4</v>
      </c>
      <c r="T23" s="635">
        <f>+C23/Ricavi!C$12</f>
        <v>1.0455583970530155E-3</v>
      </c>
      <c r="U23" s="635">
        <f>+D23/Ricavi!D$12</f>
        <v>2.7370310930653852E-4</v>
      </c>
      <c r="V23" s="635">
        <f>+E23/Ricavi!E$12</f>
        <v>1.0710300459837582E-3</v>
      </c>
      <c r="W23" s="635">
        <f>+F23/Ricavi!F$12</f>
        <v>2.3147523844157191E-3</v>
      </c>
      <c r="X23" s="635">
        <f>+G23/Ricavi!G$12</f>
        <v>2.1053960956603016E-3</v>
      </c>
      <c r="Y23" s="635">
        <f>+H23/Ricavi!H$12</f>
        <v>1.6030542762778513E-3</v>
      </c>
      <c r="AA23" s="635">
        <f t="shared" si="6"/>
        <v>1.3620880064838666E-3</v>
      </c>
    </row>
    <row r="24" spans="2:33">
      <c r="B24" s="604" t="s">
        <v>3773</v>
      </c>
      <c r="C24" s="613">
        <f>+BdV!E519</f>
        <v>91106.89</v>
      </c>
      <c r="D24" s="613">
        <f>+BdV!F519</f>
        <v>91915.54</v>
      </c>
      <c r="E24" s="613">
        <f>+BdV!G519</f>
        <v>77514.92</v>
      </c>
      <c r="F24" s="613">
        <f>+BdV!H519</f>
        <v>93733.52</v>
      </c>
      <c r="G24" s="613">
        <f>+BdV!I519</f>
        <v>263934.15000000002</v>
      </c>
      <c r="H24" s="613">
        <f>+BdV!J519</f>
        <v>79651.009999999995</v>
      </c>
      <c r="I24" s="609">
        <f>+Ricavi!J$12*Costi!$AA24</f>
        <v>238464.76588338555</v>
      </c>
      <c r="J24" s="609">
        <f>+Ricavi!K$12*Costi!$AA24</f>
        <v>253445.71104464232</v>
      </c>
      <c r="K24" s="609">
        <f>+Ricavi!L$12*Costi!$AA24</f>
        <v>262791.94720176916</v>
      </c>
      <c r="L24" s="609">
        <f>+Ricavi!M$12*Costi!$AA24</f>
        <v>274420.94824060152</v>
      </c>
      <c r="M24" s="609">
        <f>+Ricavi!N$12*Costi!$AA24</f>
        <v>286564.5528150489</v>
      </c>
      <c r="O24" s="608">
        <f t="shared" si="2"/>
        <v>0.30462618557915211</v>
      </c>
      <c r="P24" s="608">
        <f t="shared" si="3"/>
        <v>0.84524969269145744</v>
      </c>
      <c r="Q24" s="608">
        <f t="shared" si="4"/>
        <v>9.5191651486596918E-3</v>
      </c>
      <c r="R24" s="608">
        <f t="shared" si="5"/>
        <v>1.658893043354781E-2</v>
      </c>
      <c r="T24" s="635">
        <f>+C24/Ricavi!C$12</f>
        <v>3.5101758953511057E-3</v>
      </c>
      <c r="U24" s="635">
        <f>+D24/Ricavi!D$12</f>
        <v>3.6729541802271309E-3</v>
      </c>
      <c r="V24" s="635">
        <f>+E24/Ricavi!E$12</f>
        <v>2.8872163266990603E-3</v>
      </c>
      <c r="W24" s="635">
        <f>+F24/Ricavi!F$12</f>
        <v>3.0098304567153849E-3</v>
      </c>
      <c r="X24" s="635">
        <f>+G24/Ricavi!G$12</f>
        <v>5.173054832059233E-3</v>
      </c>
      <c r="Y24" s="635">
        <f>+H24/Ricavi!H$12</f>
        <v>3.0941746588456585E-3</v>
      </c>
      <c r="AA24" s="635">
        <f t="shared" si="6"/>
        <v>3.6506463382103829E-3</v>
      </c>
    </row>
    <row r="25" spans="2:33">
      <c r="B25" s="604" t="s">
        <v>3774</v>
      </c>
      <c r="C25" s="613">
        <f>+BdV!E520</f>
        <v>438513.45</v>
      </c>
      <c r="D25" s="613">
        <f>+BdV!F520</f>
        <v>581930.92000000004</v>
      </c>
      <c r="E25" s="613">
        <f>+BdV!G520</f>
        <v>614346.26</v>
      </c>
      <c r="F25" s="613">
        <f>+BdV!H520</f>
        <v>684949.21</v>
      </c>
      <c r="G25" s="613">
        <f>+BdV!I520</f>
        <v>884169.96</v>
      </c>
      <c r="H25" s="613">
        <f>+BdV!J520</f>
        <v>365842.06</v>
      </c>
      <c r="I25" s="609">
        <f>+$AA25*Ricavi!J$12</f>
        <v>1388498.9747399236</v>
      </c>
      <c r="J25" s="609">
        <f>+$AA25*Ricavi!K$12</f>
        <v>1475727.9073664409</v>
      </c>
      <c r="K25" s="609">
        <f>+$AA25*Ricavi!L$12</f>
        <v>1530147.8518549863</v>
      </c>
      <c r="L25" s="609">
        <f>+$AA25*Ricavi!M$12</f>
        <v>1597859.557439049</v>
      </c>
      <c r="M25" s="609">
        <f>+$AA25*Ricavi!N$12</f>
        <v>1668567.623843764</v>
      </c>
      <c r="O25" s="608">
        <f t="shared" si="2"/>
        <v>0.19162116749729896</v>
      </c>
      <c r="P25" s="608">
        <f t="shared" si="3"/>
        <v>0.1996685352589731</v>
      </c>
      <c r="Q25" s="608">
        <f t="shared" si="4"/>
        <v>0.16026845122367339</v>
      </c>
      <c r="R25" s="608">
        <f t="shared" si="5"/>
        <v>0.13543325901454084</v>
      </c>
      <c r="T25" s="635">
        <f>+C25/Ricavi!C$12</f>
        <v>1.6895092588247194E-2</v>
      </c>
      <c r="U25" s="635">
        <f>+D25/Ricavi!D$12</f>
        <v>2.3254017821332719E-2</v>
      </c>
      <c r="V25" s="635">
        <f>+E25/Ricavi!E$12</f>
        <v>2.2882698609745143E-2</v>
      </c>
      <c r="W25" s="635">
        <f>+F25/Ricavi!F$12</f>
        <v>2.1994063527766183E-2</v>
      </c>
      <c r="X25" s="635">
        <f>+G25/Ricavi!G$12</f>
        <v>1.7329548616348504E-2</v>
      </c>
      <c r="Y25" s="635">
        <f>+H25/Ricavi!H$12</f>
        <v>1.4211737317478998E-2</v>
      </c>
      <c r="AA25" s="635">
        <f>+AVERAGE(T25:W25)</f>
        <v>2.1256468136772812E-2</v>
      </c>
    </row>
    <row r="26" spans="2:33">
      <c r="B26" s="604" t="s">
        <v>3775</v>
      </c>
      <c r="C26" s="613">
        <f>+BdV!E521</f>
        <v>975568.39</v>
      </c>
      <c r="D26" s="613">
        <f>+BdV!F521</f>
        <v>927676.51</v>
      </c>
      <c r="E26" s="613">
        <f>+BdV!G521</f>
        <v>974486.11</v>
      </c>
      <c r="F26" s="613">
        <f>+BdV!H521</f>
        <v>910036.8</v>
      </c>
      <c r="G26" s="613">
        <f>+BdV!I521</f>
        <v>1187110.17</v>
      </c>
      <c r="H26" s="613">
        <f>+BdV!J521</f>
        <v>1066505.32</v>
      </c>
      <c r="I26" s="609">
        <f>+$AA26*Ricavi!J$12</f>
        <v>2289109.5518805962</v>
      </c>
      <c r="J26" s="609">
        <f>+$AA26*Ricavi!K$12</f>
        <v>2432917.0638113203</v>
      </c>
      <c r="K26" s="609">
        <f>+$AA26*Ricavi!L$12</f>
        <v>2522634.9656663612</v>
      </c>
      <c r="L26" s="609">
        <f>+$AA26*Ricavi!M$12</f>
        <v>2634265.9534066557</v>
      </c>
      <c r="M26" s="609">
        <f>+$AA26*Ricavi!N$12</f>
        <v>2750836.8066421491</v>
      </c>
      <c r="O26" s="608">
        <f t="shared" si="2"/>
        <v>5.0287813515908386E-2</v>
      </c>
      <c r="P26" s="608">
        <f t="shared" si="3"/>
        <v>0.10371688405878143</v>
      </c>
      <c r="Q26" s="608">
        <f t="shared" si="4"/>
        <v>-2.2911853093567802E-2</v>
      </c>
      <c r="R26" s="608">
        <f t="shared" si="5"/>
        <v>0.18302728232861076</v>
      </c>
      <c r="T26" s="635">
        <f>+C26/Ricavi!C$12</f>
        <v>3.7586802127089258E-2</v>
      </c>
      <c r="U26" s="635">
        <f>+D26/Ricavi!D$12</f>
        <v>3.7070046210934696E-2</v>
      </c>
      <c r="V26" s="635">
        <f>+E26/Ricavi!E$12</f>
        <v>3.6296911703365707E-2</v>
      </c>
      <c r="W26" s="635">
        <f>+F26/Ricavi!F$12</f>
        <v>2.9221739217430515E-2</v>
      </c>
      <c r="X26" s="635">
        <f>+G26/Ricavi!G$12</f>
        <v>2.3267114168837782E-2</v>
      </c>
      <c r="Y26" s="635">
        <f>+H26/Ricavi!H$12</f>
        <v>4.1430155558204222E-2</v>
      </c>
      <c r="AA26" s="635">
        <f>+AVERAGE(T26:W26)</f>
        <v>3.5043874814705042E-2</v>
      </c>
    </row>
    <row r="27" spans="2:33">
      <c r="B27" s="604" t="s">
        <v>3776</v>
      </c>
      <c r="C27" s="613">
        <f>+BdV!E522</f>
        <v>0</v>
      </c>
      <c r="D27" s="613">
        <f>+BdV!F522</f>
        <v>851.69</v>
      </c>
      <c r="E27" s="613">
        <f>+BdV!G522</f>
        <v>2416.94</v>
      </c>
      <c r="F27" s="613">
        <f>+BdV!H522</f>
        <v>3168.83</v>
      </c>
      <c r="G27" s="613">
        <f>+BdV!I522</f>
        <v>2316.84</v>
      </c>
      <c r="H27" s="613">
        <f>+BdV!J522</f>
        <v>759.49</v>
      </c>
      <c r="I27" s="609">
        <f>+Ricavi!J$12*Costi!$AA27</f>
        <v>3543.2889930979322</v>
      </c>
      <c r="J27" s="609">
        <f>+Ricavi!K$12*Costi!$AA27</f>
        <v>3765.8871530375982</v>
      </c>
      <c r="K27" s="609">
        <f>+Ricavi!L$12*Costi!$AA27</f>
        <v>3904.7605651316771</v>
      </c>
      <c r="L27" s="609">
        <f>+Ricavi!M$12*Costi!$AA27</f>
        <v>4077.5530161630768</v>
      </c>
      <c r="M27" s="609">
        <f>+Ricavi!N$12*Costi!$AA27</f>
        <v>4257.9918338885218</v>
      </c>
      <c r="O27" s="608" t="str">
        <f t="shared" si="2"/>
        <v>n/a</v>
      </c>
      <c r="P27" s="608">
        <f t="shared" si="3"/>
        <v>-2.0926971754482437E-2</v>
      </c>
      <c r="Q27" s="608" t="str">
        <f t="shared" si="4"/>
        <v>n/a</v>
      </c>
      <c r="R27" s="608">
        <f t="shared" si="5"/>
        <v>0.12943633769797258</v>
      </c>
      <c r="T27" s="635">
        <f>+C27/Ricavi!C$12</f>
        <v>0</v>
      </c>
      <c r="U27" s="635">
        <f>+D27/Ricavi!D$12</f>
        <v>3.4033617664190903E-5</v>
      </c>
      <c r="V27" s="635">
        <f>+E27/Ricavi!E$12</f>
        <v>9.0024328589283554E-5</v>
      </c>
      <c r="W27" s="635">
        <f>+F27/Ricavi!F$12</f>
        <v>1.0175272459791772E-4</v>
      </c>
      <c r="X27" s="635">
        <f>+G27/Ricavi!G$12</f>
        <v>4.5409585523919936E-5</v>
      </c>
      <c r="Y27" s="635">
        <f>+H27/Ricavi!H$12</f>
        <v>2.9503639836414996E-5</v>
      </c>
      <c r="AA27" s="635">
        <f t="shared" si="6"/>
        <v>5.424405127506242E-5</v>
      </c>
    </row>
    <row r="28" spans="2:33">
      <c r="B28" s="604" t="s">
        <v>3777</v>
      </c>
      <c r="C28" s="613">
        <f>+BdV!E523</f>
        <v>35611.160000000003</v>
      </c>
      <c r="D28" s="613">
        <f>+BdV!F523</f>
        <v>17583.3</v>
      </c>
      <c r="E28" s="613">
        <f>+BdV!G523</f>
        <v>48059.78</v>
      </c>
      <c r="F28" s="613">
        <f>+BdV!H523</f>
        <v>96861.56</v>
      </c>
      <c r="G28" s="613">
        <f>+BdV!I523</f>
        <v>73041.33</v>
      </c>
      <c r="H28" s="613">
        <f>+BdV!J523</f>
        <v>13077.3</v>
      </c>
      <c r="I28" s="609">
        <f>+Ricavi!J$12*Costi!$AA28</f>
        <v>109826.2195818873</v>
      </c>
      <c r="J28" s="609">
        <f>+Ricavi!K$12*Costi!$AA28</f>
        <v>116725.7737643655</v>
      </c>
      <c r="K28" s="609">
        <f>+Ricavi!L$12*Costi!$AA28</f>
        <v>121030.23266693877</v>
      </c>
      <c r="L28" s="609">
        <f>+Ricavi!M$12*Costi!$AA28</f>
        <v>126386.03110901703</v>
      </c>
      <c r="M28" s="609">
        <f>+Ricavi!N$12*Costi!$AA28</f>
        <v>131978.8329536345</v>
      </c>
      <c r="O28" s="608">
        <f t="shared" si="2"/>
        <v>0.19672851143398473</v>
      </c>
      <c r="P28" s="608">
        <f t="shared" si="3"/>
        <v>0.23280233158901753</v>
      </c>
      <c r="Q28" s="608">
        <f t="shared" si="4"/>
        <v>0.39590258943262691</v>
      </c>
      <c r="R28" s="608">
        <f t="shared" si="5"/>
        <v>0.12560787335291046</v>
      </c>
      <c r="T28" s="635">
        <f>+C28/Ricavi!C$12</f>
        <v>1.3720305394849008E-3</v>
      </c>
      <c r="U28" s="635">
        <f>+D28/Ricavi!D$12</f>
        <v>7.0263042829523401E-4</v>
      </c>
      <c r="V28" s="635">
        <f>+E28/Ricavi!E$12</f>
        <v>1.7900938486882908E-3</v>
      </c>
      <c r="W28" s="635">
        <f>+F28/Ricavi!F$12</f>
        <v>3.1102733939039591E-3</v>
      </c>
      <c r="X28" s="635">
        <f>+G28/Ricavi!G$12</f>
        <v>1.4315949834325455E-3</v>
      </c>
      <c r="Y28" s="635">
        <f>+H28/Ricavi!H$12</f>
        <v>5.0800925520118735E-4</v>
      </c>
      <c r="AA28" s="635">
        <f t="shared" si="6"/>
        <v>1.681324638760986E-3</v>
      </c>
    </row>
    <row r="29" spans="2:33">
      <c r="B29" s="604" t="s">
        <v>3778</v>
      </c>
      <c r="C29" s="613">
        <f>+BdV!E524</f>
        <v>12023.48</v>
      </c>
      <c r="D29" s="613">
        <f>+BdV!F524</f>
        <v>9674.36</v>
      </c>
      <c r="E29" s="613">
        <f>+BdV!G524</f>
        <v>9780.69</v>
      </c>
      <c r="F29" s="613">
        <f>+BdV!H524</f>
        <v>9492.43</v>
      </c>
      <c r="G29" s="613">
        <f>+BdV!I524</f>
        <v>10175.65</v>
      </c>
      <c r="H29" s="613">
        <f>+BdV!J524</f>
        <v>10610.75</v>
      </c>
      <c r="I29" s="609">
        <f>+Ricavi!J$12*Costi!$AA29</f>
        <v>22449.361193612254</v>
      </c>
      <c r="J29" s="609">
        <f>+Ricavi!K$12*Costi!$AA29</f>
        <v>23859.685472341193</v>
      </c>
      <c r="K29" s="609">
        <f>+Ricavi!L$12*Costi!$AA29</f>
        <v>24739.551437088139</v>
      </c>
      <c r="L29" s="609">
        <f>+Ricavi!M$12*Costi!$AA29</f>
        <v>25834.319646028929</v>
      </c>
      <c r="M29" s="609">
        <f>+Ricavi!N$12*Costi!$AA29</f>
        <v>26977.533253600152</v>
      </c>
      <c r="O29" s="608">
        <f t="shared" si="2"/>
        <v>-4.0857812178878072E-2</v>
      </c>
      <c r="P29" s="608">
        <f t="shared" si="3"/>
        <v>1.9990984797650491E-2</v>
      </c>
      <c r="Q29" s="608">
        <f t="shared" si="4"/>
        <v>-7.5765010414665879E-2</v>
      </c>
      <c r="R29" s="608">
        <f t="shared" si="5"/>
        <v>0.21531264090460311</v>
      </c>
      <c r="T29" s="635">
        <f>+C29/Ricavi!C$12</f>
        <v>4.6324190930275541E-4</v>
      </c>
      <c r="U29" s="635">
        <f>+D29/Ricavi!D$12</f>
        <v>3.8658839411727499E-4</v>
      </c>
      <c r="V29" s="635">
        <f>+E29/Ricavi!E$12</f>
        <v>3.6430364443880268E-4</v>
      </c>
      <c r="W29" s="635">
        <f>+F29/Ricavi!F$12</f>
        <v>3.0480670012433993E-4</v>
      </c>
      <c r="X29" s="635">
        <f>+G29/Ricavi!G$12</f>
        <v>1.9944063851473379E-4</v>
      </c>
      <c r="Y29" s="635">
        <f>+H29/Ricavi!H$12</f>
        <v>4.1219205834736522E-4</v>
      </c>
      <c r="AA29" s="635">
        <f t="shared" si="6"/>
        <v>3.4367625729958139E-4</v>
      </c>
    </row>
    <row r="30" spans="2:33">
      <c r="B30" s="604" t="s">
        <v>3779</v>
      </c>
      <c r="C30" s="613">
        <f>+BdV!E525</f>
        <v>409879.05</v>
      </c>
      <c r="D30" s="613">
        <f>+BdV!F525</f>
        <v>460624.84</v>
      </c>
      <c r="E30" s="613">
        <f>+BdV!G525</f>
        <v>428706.89</v>
      </c>
      <c r="F30" s="613">
        <f>+BdV!H525</f>
        <v>604849.84</v>
      </c>
      <c r="G30" s="613">
        <f>+BdV!I525</f>
        <v>805557.69</v>
      </c>
      <c r="H30" s="613">
        <f>+BdV!J525</f>
        <v>431356.69</v>
      </c>
      <c r="I30" s="609">
        <f>+($AA30*Ricavi!J$12)*(1+AC30)</f>
        <v>1173392.2695111877</v>
      </c>
      <c r="J30" s="609">
        <f>+($AA30*Ricavi!K$12)*(1+AD30)</f>
        <v>1205616.4433023767</v>
      </c>
      <c r="K30" s="609">
        <f>+($AA30*Ricavi!L$12)*(1+AE30)</f>
        <v>1254992.2920961545</v>
      </c>
      <c r="L30" s="609">
        <f>+($AA30*Ricavi!M$12)*(1+AF30)</f>
        <v>1309244.3124122305</v>
      </c>
      <c r="M30" s="609">
        <f>+($AA30*Ricavi!N$12)*(1+AG30)</f>
        <v>1367180.6519053031</v>
      </c>
      <c r="O30" s="608">
        <f t="shared" si="2"/>
        <v>0.18402325343766801</v>
      </c>
      <c r="P30" s="608">
        <f t="shared" si="3"/>
        <v>0.3707810507453273</v>
      </c>
      <c r="Q30" s="608">
        <f t="shared" si="4"/>
        <v>0.13849365976244776</v>
      </c>
      <c r="R30" s="608">
        <f t="shared" si="5"/>
        <v>0.11159312266015498</v>
      </c>
      <c r="T30" s="635">
        <f>+C30/Ricavi!C$12</f>
        <v>1.5791863396055015E-2</v>
      </c>
      <c r="U30" s="635">
        <f>+D30/Ricavi!D$12</f>
        <v>1.8406614720366695E-2</v>
      </c>
      <c r="V30" s="635">
        <f>+E30/Ricavi!E$12</f>
        <v>1.5968145644430495E-2</v>
      </c>
      <c r="W30" s="635">
        <f>+F30/Ricavi!F$12</f>
        <v>1.9422032482845276E-2</v>
      </c>
      <c r="X30" s="635">
        <f>+G30/Ricavi!G$12</f>
        <v>1.5788764359431974E-2</v>
      </c>
      <c r="Y30" s="635">
        <f>+H30/Ricavi!H$12</f>
        <v>1.6756761014349253E-2</v>
      </c>
      <c r="AA30" s="635">
        <f>+AVERAGE(T30:X30)</f>
        <v>1.707548412062589E-2</v>
      </c>
      <c r="AC30" s="1233">
        <f>+AC20</f>
        <v>5.1999999999999998E-2</v>
      </c>
      <c r="AD30" s="1233">
        <f t="shared" ref="AD30:AG30" si="10">+AD20</f>
        <v>1.7000000000000001E-2</v>
      </c>
      <c r="AE30" s="1233">
        <f t="shared" si="10"/>
        <v>2.1000000000000001E-2</v>
      </c>
      <c r="AF30" s="1233">
        <f t="shared" si="10"/>
        <v>0.02</v>
      </c>
      <c r="AG30" s="1233">
        <f t="shared" si="10"/>
        <v>0.02</v>
      </c>
    </row>
    <row r="31" spans="2:33">
      <c r="B31" s="604" t="s">
        <v>3780</v>
      </c>
      <c r="C31" s="613">
        <f>+BdV!E526</f>
        <v>80492.490000000005</v>
      </c>
      <c r="D31" s="613">
        <f>+BdV!F526</f>
        <v>72545.14</v>
      </c>
      <c r="E31" s="613">
        <f>+BdV!G526</f>
        <v>46403.199999999997</v>
      </c>
      <c r="F31" s="613">
        <f>+BdV!H526</f>
        <v>59927.16</v>
      </c>
      <c r="G31" s="613">
        <f>+BdV!I526</f>
        <v>73062.45</v>
      </c>
      <c r="H31" s="613">
        <f>+BdV!J526</f>
        <v>37607.93</v>
      </c>
      <c r="I31" s="609">
        <f>+($AA31*Ricavi!J$12)*(1+AC31)</f>
        <v>152345.29380114563</v>
      </c>
      <c r="J31" s="609">
        <f>+($AA31*Ricavi!K$12)*(1+AD31)</f>
        <v>156529.06196740683</v>
      </c>
      <c r="K31" s="609">
        <f>+($AA31*Ricavi!L$12)*(1+AE31)</f>
        <v>162939.68728565835</v>
      </c>
      <c r="L31" s="609">
        <f>+($AA31*Ricavi!M$12)*(1+AF31)</f>
        <v>169983.40164198473</v>
      </c>
      <c r="M31" s="609">
        <f>+($AA31*Ricavi!N$12)*(1+AG31)</f>
        <v>177505.46301154865</v>
      </c>
      <c r="O31" s="608">
        <f t="shared" si="2"/>
        <v>-2.3921566216808521E-2</v>
      </c>
      <c r="P31" s="608">
        <f t="shared" si="3"/>
        <v>0.25479607113088631</v>
      </c>
      <c r="Q31" s="608">
        <f t="shared" si="4"/>
        <v>-9.3663553214961892E-2</v>
      </c>
      <c r="R31" s="608">
        <f t="shared" si="5"/>
        <v>0.19427268252099861</v>
      </c>
      <c r="T31" s="635">
        <f>+C31/Ricavi!C$12</f>
        <v>3.1012231693430645E-3</v>
      </c>
      <c r="U31" s="635">
        <f>+D31/Ricavi!D$12</f>
        <v>2.8989110570221584E-3</v>
      </c>
      <c r="V31" s="635">
        <f>+E31/Ricavi!E$12</f>
        <v>1.7283908265799904E-3</v>
      </c>
      <c r="W31" s="635">
        <f>+F31/Ricavi!F$12</f>
        <v>1.9242912391688261E-3</v>
      </c>
      <c r="X31" s="635">
        <f>+G31/Ricavi!G$12</f>
        <v>1.4320089310708222E-3</v>
      </c>
      <c r="Y31" s="635">
        <f>+H31/Ricavi!H$12</f>
        <v>1.4609419764751433E-3</v>
      </c>
      <c r="AA31" s="635">
        <f t="shared" si="6"/>
        <v>2.2169650446369725E-3</v>
      </c>
      <c r="AC31" s="1233">
        <f>+AC30</f>
        <v>5.1999999999999998E-2</v>
      </c>
      <c r="AD31" s="1233">
        <f t="shared" ref="AD31:AG31" si="11">+AD30</f>
        <v>1.7000000000000001E-2</v>
      </c>
      <c r="AE31" s="1233">
        <f t="shared" si="11"/>
        <v>2.1000000000000001E-2</v>
      </c>
      <c r="AF31" s="1233">
        <f t="shared" si="11"/>
        <v>0.02</v>
      </c>
      <c r="AG31" s="1233">
        <f t="shared" si="11"/>
        <v>0.02</v>
      </c>
    </row>
    <row r="32" spans="2:33">
      <c r="B32" s="604" t="s">
        <v>4156</v>
      </c>
      <c r="C32" s="613">
        <f>+BdV!E527</f>
        <v>0</v>
      </c>
      <c r="D32" s="613">
        <f>+BdV!F527</f>
        <v>0</v>
      </c>
      <c r="E32" s="613">
        <f>+BdV!G527</f>
        <v>0</v>
      </c>
      <c r="F32" s="613">
        <f>+BdV!H527</f>
        <v>0</v>
      </c>
      <c r="G32" s="613">
        <f>+BdV!I527</f>
        <v>-366</v>
      </c>
      <c r="H32" s="613">
        <f>+BdV!J527</f>
        <v>0</v>
      </c>
      <c r="I32" s="609">
        <v>0</v>
      </c>
      <c r="J32" s="609">
        <v>0</v>
      </c>
      <c r="K32" s="609">
        <v>0</v>
      </c>
      <c r="L32" s="609">
        <v>0</v>
      </c>
      <c r="M32" s="609">
        <v>0</v>
      </c>
      <c r="O32" s="608" t="str">
        <f t="shared" si="2"/>
        <v>n/a</v>
      </c>
      <c r="P32" s="608" t="str">
        <f t="shared" si="3"/>
        <v>n/a</v>
      </c>
      <c r="Q32" s="608" t="str">
        <f t="shared" si="4"/>
        <v>n/a</v>
      </c>
      <c r="R32" s="608" t="str">
        <f t="shared" si="5"/>
        <v>n/a</v>
      </c>
      <c r="T32" s="635">
        <f>+C32/Ricavi!C$12</f>
        <v>0</v>
      </c>
      <c r="U32" s="635">
        <f>+D32/Ricavi!D$12</f>
        <v>0</v>
      </c>
      <c r="V32" s="635">
        <f>+E32/Ricavi!E$12</f>
        <v>0</v>
      </c>
      <c r="W32" s="635">
        <f>+F32/Ricavi!F$12</f>
        <v>0</v>
      </c>
      <c r="X32" s="635">
        <f>+G32/Ricavi!G$12</f>
        <v>-7.1735244133193038E-6</v>
      </c>
      <c r="Y32" s="635">
        <f>+H32/Ricavi!H$12</f>
        <v>0</v>
      </c>
      <c r="AA32" s="635">
        <f t="shared" si="6"/>
        <v>-1.4347048826638607E-6</v>
      </c>
    </row>
    <row r="33" spans="2:33">
      <c r="B33" s="604" t="s">
        <v>4160</v>
      </c>
      <c r="C33" s="613">
        <f>+BdV!E528</f>
        <v>0</v>
      </c>
      <c r="D33" s="613">
        <f>+BdV!F528</f>
        <v>0</v>
      </c>
      <c r="E33" s="613">
        <f>+BdV!G528</f>
        <v>0</v>
      </c>
      <c r="F33" s="613">
        <f>+BdV!H528</f>
        <v>0</v>
      </c>
      <c r="G33" s="613">
        <f>+BdV!I528</f>
        <v>0</v>
      </c>
      <c r="H33" s="613">
        <f>+BdV!J528</f>
        <v>34745.21</v>
      </c>
      <c r="I33" s="609">
        <f t="shared" ref="I33:I38" si="12">+H33</f>
        <v>34745.21</v>
      </c>
      <c r="J33" s="609">
        <v>0</v>
      </c>
      <c r="K33" s="609">
        <v>0</v>
      </c>
      <c r="L33" s="609">
        <v>0</v>
      </c>
      <c r="M33" s="609">
        <v>0</v>
      </c>
      <c r="O33" s="608" t="str">
        <f t="shared" ref="O33:O38" si="13">IF(G33*C33&lt;=0,"n/a",IF(C33&gt;G33,-ABS((G33/C33)^(1/(4))-1),ABS((G33/C33)^(1/(4))-1)))</f>
        <v>n/a</v>
      </c>
      <c r="P33" s="608" t="str">
        <f t="shared" ref="P33:P38" si="14">IF(G33*E33&lt;=0,"n/a",IF(E33&gt;G33,-ABS((G33/E33)^(1/(2))-1),ABS((G33/E33)^(1/(2))-1)))</f>
        <v>n/a</v>
      </c>
      <c r="Q33" s="608" t="str">
        <f t="shared" ref="Q33:Q38" si="15">IF(F33*C33&lt;=0,"n/a",IF(C33&gt;F33,-ABS((F33/C33)^(1/(3))-1),ABS((F33/C33)^(1/(3))-1)))</f>
        <v>n/a</v>
      </c>
      <c r="R33" s="608" t="str">
        <f t="shared" ref="R33:R37" si="16">IF(M33*G33&lt;=0,"n/a",IF(G33&gt;M33,-ABS((M33/G33)^(1/(5))-1),ABS((M33/G33)^(1/(5))-1)))</f>
        <v>n/a</v>
      </c>
      <c r="T33" s="635">
        <f>+C33/Ricavi!C$12</f>
        <v>0</v>
      </c>
      <c r="U33" s="635">
        <f>+D33/Ricavi!D$12</f>
        <v>0</v>
      </c>
      <c r="V33" s="635">
        <f>+E33/Ricavi!E$12</f>
        <v>0</v>
      </c>
      <c r="W33" s="635">
        <f>+F33/Ricavi!F$12</f>
        <v>0</v>
      </c>
      <c r="X33" s="635">
        <f>+G33/Ricavi!G$12</f>
        <v>0</v>
      </c>
      <c r="Y33" s="635">
        <f>+H33/Ricavi!H$12</f>
        <v>1.3497349035281631E-3</v>
      </c>
      <c r="AA33" s="635">
        <f t="shared" ref="AA33:AA38" si="17">+AVERAGE(T33:X33)</f>
        <v>0</v>
      </c>
    </row>
    <row r="34" spans="2:33">
      <c r="B34" s="604" t="s">
        <v>4161</v>
      </c>
      <c r="C34" s="613">
        <f>+BdV!E529</f>
        <v>0</v>
      </c>
      <c r="D34" s="613">
        <f>+BdV!F529</f>
        <v>0</v>
      </c>
      <c r="E34" s="613">
        <f>+BdV!G529</f>
        <v>0</v>
      </c>
      <c r="F34" s="613">
        <f>+BdV!H529</f>
        <v>0</v>
      </c>
      <c r="G34" s="613">
        <f>+BdV!I529</f>
        <v>0</v>
      </c>
      <c r="H34" s="613">
        <f>+BdV!J529</f>
        <v>532.82000000000005</v>
      </c>
      <c r="I34" s="609">
        <f t="shared" si="12"/>
        <v>532.82000000000005</v>
      </c>
      <c r="J34" s="609">
        <v>0</v>
      </c>
      <c r="K34" s="609">
        <v>0</v>
      </c>
      <c r="L34" s="609">
        <v>0</v>
      </c>
      <c r="M34" s="609">
        <v>0</v>
      </c>
      <c r="O34" s="608" t="str">
        <f t="shared" si="13"/>
        <v>n/a</v>
      </c>
      <c r="P34" s="608" t="str">
        <f t="shared" si="14"/>
        <v>n/a</v>
      </c>
      <c r="Q34" s="608" t="str">
        <f t="shared" si="15"/>
        <v>n/a</v>
      </c>
      <c r="R34" s="608" t="str">
        <f t="shared" si="16"/>
        <v>n/a</v>
      </c>
      <c r="T34" s="635">
        <f>+C34/Ricavi!C$12</f>
        <v>0</v>
      </c>
      <c r="U34" s="635">
        <f>+D34/Ricavi!D$12</f>
        <v>0</v>
      </c>
      <c r="V34" s="635">
        <f>+E34/Ricavi!E$12</f>
        <v>0</v>
      </c>
      <c r="W34" s="635">
        <f>+F34/Ricavi!F$12</f>
        <v>0</v>
      </c>
      <c r="X34" s="635">
        <f>+G34/Ricavi!G$12</f>
        <v>0</v>
      </c>
      <c r="Y34" s="635">
        <f>+H34/Ricavi!H$12</f>
        <v>2.0698270388864423E-5</v>
      </c>
      <c r="AA34" s="635">
        <f t="shared" si="17"/>
        <v>0</v>
      </c>
    </row>
    <row r="35" spans="2:33">
      <c r="B35" s="604" t="s">
        <v>4157</v>
      </c>
      <c r="C35" s="613">
        <f>+BdV!E530</f>
        <v>0</v>
      </c>
      <c r="D35" s="613">
        <f>+BdV!F530</f>
        <v>0</v>
      </c>
      <c r="E35" s="613">
        <f>+BdV!G530</f>
        <v>0</v>
      </c>
      <c r="F35" s="613">
        <f>+BdV!H530</f>
        <v>0</v>
      </c>
      <c r="G35" s="613">
        <f>+BdV!I530</f>
        <v>0</v>
      </c>
      <c r="H35" s="613">
        <f>+BdV!J530</f>
        <v>834.34</v>
      </c>
      <c r="I35" s="609">
        <f t="shared" si="12"/>
        <v>834.34</v>
      </c>
      <c r="J35" s="609">
        <v>0</v>
      </c>
      <c r="K35" s="609">
        <v>0</v>
      </c>
      <c r="L35" s="609">
        <v>0</v>
      </c>
      <c r="M35" s="609">
        <v>0</v>
      </c>
      <c r="O35" s="608" t="str">
        <f t="shared" si="13"/>
        <v>n/a</v>
      </c>
      <c r="P35" s="608" t="str">
        <f t="shared" si="14"/>
        <v>n/a</v>
      </c>
      <c r="Q35" s="608" t="str">
        <f t="shared" si="15"/>
        <v>n/a</v>
      </c>
      <c r="R35" s="608" t="str">
        <f t="shared" si="16"/>
        <v>n/a</v>
      </c>
      <c r="T35" s="635">
        <f>+C35/Ricavi!C$12</f>
        <v>0</v>
      </c>
      <c r="U35" s="635">
        <f>+D35/Ricavi!D$12</f>
        <v>0</v>
      </c>
      <c r="V35" s="635">
        <f>+E35/Ricavi!E$12</f>
        <v>0</v>
      </c>
      <c r="W35" s="635">
        <f>+F35/Ricavi!F$12</f>
        <v>0</v>
      </c>
      <c r="X35" s="635">
        <f>+G35/Ricavi!G$12</f>
        <v>0</v>
      </c>
      <c r="Y35" s="635">
        <f>+H35/Ricavi!H$12</f>
        <v>3.2411311355138962E-5</v>
      </c>
      <c r="AA35" s="635">
        <f t="shared" si="17"/>
        <v>0</v>
      </c>
    </row>
    <row r="36" spans="2:33">
      <c r="B36" s="604" t="s">
        <v>4159</v>
      </c>
      <c r="C36" s="613">
        <f>+BdV!E531</f>
        <v>0</v>
      </c>
      <c r="D36" s="613">
        <f>+BdV!F531</f>
        <v>0</v>
      </c>
      <c r="E36" s="613">
        <f>+BdV!G531</f>
        <v>0</v>
      </c>
      <c r="F36" s="613">
        <f>+BdV!H531</f>
        <v>0</v>
      </c>
      <c r="G36" s="613">
        <f>+BdV!I531</f>
        <v>0</v>
      </c>
      <c r="H36" s="613">
        <f>+BdV!J531</f>
        <v>-1631.66</v>
      </c>
      <c r="I36" s="609">
        <f t="shared" si="12"/>
        <v>-1631.66</v>
      </c>
      <c r="J36" s="609">
        <v>0</v>
      </c>
      <c r="K36" s="609">
        <v>0</v>
      </c>
      <c r="L36" s="609">
        <v>0</v>
      </c>
      <c r="M36" s="609">
        <v>0</v>
      </c>
      <c r="O36" s="608" t="str">
        <f t="shared" si="13"/>
        <v>n/a</v>
      </c>
      <c r="P36" s="608" t="str">
        <f t="shared" si="14"/>
        <v>n/a</v>
      </c>
      <c r="Q36" s="608" t="str">
        <f t="shared" si="15"/>
        <v>n/a</v>
      </c>
      <c r="R36" s="608" t="str">
        <f t="shared" si="16"/>
        <v>n/a</v>
      </c>
      <c r="T36" s="635">
        <f>+C36/Ricavi!C$12</f>
        <v>0</v>
      </c>
      <c r="U36" s="635">
        <f>+D36/Ricavi!D$12</f>
        <v>0</v>
      </c>
      <c r="V36" s="635">
        <f>+E36/Ricavi!E$12</f>
        <v>0</v>
      </c>
      <c r="W36" s="635">
        <f>+F36/Ricavi!F$12</f>
        <v>0</v>
      </c>
      <c r="X36" s="635">
        <f>+G36/Ricavi!G$12</f>
        <v>0</v>
      </c>
      <c r="Y36" s="635">
        <f>+H36/Ricavi!H$12</f>
        <v>-6.3384519842901013E-5</v>
      </c>
      <c r="AA36" s="635">
        <f t="shared" si="17"/>
        <v>0</v>
      </c>
    </row>
    <row r="37" spans="2:33">
      <c r="B37" s="604" t="s">
        <v>4158</v>
      </c>
      <c r="C37" s="613">
        <f>+BdV!E532</f>
        <v>0</v>
      </c>
      <c r="D37" s="613">
        <f>+BdV!F532</f>
        <v>0</v>
      </c>
      <c r="E37" s="613">
        <f>+BdV!G532</f>
        <v>0</v>
      </c>
      <c r="F37" s="613">
        <f>+BdV!H532</f>
        <v>0</v>
      </c>
      <c r="G37" s="613">
        <f>+BdV!I532</f>
        <v>0</v>
      </c>
      <c r="H37" s="613">
        <f>+BdV!J532</f>
        <v>751.79</v>
      </c>
      <c r="I37" s="609">
        <f t="shared" si="12"/>
        <v>751.79</v>
      </c>
      <c r="J37" s="609">
        <v>0</v>
      </c>
      <c r="K37" s="609">
        <v>0</v>
      </c>
      <c r="L37" s="609">
        <v>0</v>
      </c>
      <c r="M37" s="609">
        <v>0</v>
      </c>
      <c r="O37" s="608" t="str">
        <f t="shared" si="13"/>
        <v>n/a</v>
      </c>
      <c r="P37" s="608" t="str">
        <f t="shared" si="14"/>
        <v>n/a</v>
      </c>
      <c r="Q37" s="608" t="str">
        <f t="shared" si="15"/>
        <v>n/a</v>
      </c>
      <c r="R37" s="608" t="str">
        <f t="shared" si="16"/>
        <v>n/a</v>
      </c>
      <c r="T37" s="635">
        <f>+C37/Ricavi!C$12</f>
        <v>0</v>
      </c>
      <c r="U37" s="635">
        <f>+D37/Ricavi!D$12</f>
        <v>0</v>
      </c>
      <c r="V37" s="635">
        <f>+E37/Ricavi!E$12</f>
        <v>0</v>
      </c>
      <c r="W37" s="635">
        <f>+F37/Ricavi!F$12</f>
        <v>0</v>
      </c>
      <c r="X37" s="635">
        <f>+G37/Ricavi!G$12</f>
        <v>0</v>
      </c>
      <c r="Y37" s="635">
        <f>+H37/Ricavi!H$12</f>
        <v>2.9204520655464099E-5</v>
      </c>
      <c r="AA37" s="635">
        <f t="shared" si="17"/>
        <v>0</v>
      </c>
    </row>
    <row r="38" spans="2:33">
      <c r="B38" s="604" t="s">
        <v>3781</v>
      </c>
      <c r="C38" s="613">
        <f>+BdV!E533</f>
        <v>0</v>
      </c>
      <c r="D38" s="613">
        <f>+BdV!F533</f>
        <v>0</v>
      </c>
      <c r="E38" s="613">
        <f>+BdV!G533</f>
        <v>0</v>
      </c>
      <c r="F38" s="613">
        <f>+BdV!H533</f>
        <v>0</v>
      </c>
      <c r="G38" s="613">
        <f>+BdV!I533</f>
        <v>0</v>
      </c>
      <c r="H38" s="613">
        <f>+BdV!J533</f>
        <v>199231.41</v>
      </c>
      <c r="I38" s="609">
        <f t="shared" si="12"/>
        <v>199231.41</v>
      </c>
      <c r="J38" s="609">
        <v>0</v>
      </c>
      <c r="K38" s="609">
        <v>0</v>
      </c>
      <c r="L38" s="609">
        <v>0</v>
      </c>
      <c r="M38" s="609">
        <v>0</v>
      </c>
      <c r="O38" s="608" t="str">
        <f t="shared" si="13"/>
        <v>n/a</v>
      </c>
      <c r="P38" s="608" t="str">
        <f t="shared" si="14"/>
        <v>n/a</v>
      </c>
      <c r="Q38" s="608" t="str">
        <f t="shared" si="15"/>
        <v>n/a</v>
      </c>
      <c r="R38" s="608" t="str">
        <f>IF(M38*G38&lt;=0,"n/a",IF(G38&gt;M38,-ABS((M38/G38)^(1/(5))-1),ABS((M38/G38)^(1/(5))-1)))</f>
        <v>n/a</v>
      </c>
      <c r="T38" s="635">
        <f>+C38/Ricavi!C$12</f>
        <v>0</v>
      </c>
      <c r="U38" s="635">
        <f>+D38/Ricavi!D$12</f>
        <v>0</v>
      </c>
      <c r="V38" s="635">
        <f>+E38/Ricavi!E$12</f>
        <v>0</v>
      </c>
      <c r="W38" s="635">
        <f>+F38/Ricavi!F$12</f>
        <v>0</v>
      </c>
      <c r="X38" s="635">
        <f>+G38/Ricavi!G$12</f>
        <v>0</v>
      </c>
      <c r="Y38" s="635">
        <f>+H38/Ricavi!H$12</f>
        <v>7.739472231024936E-3</v>
      </c>
      <c r="AA38" s="635">
        <f t="shared" si="17"/>
        <v>0</v>
      </c>
    </row>
    <row r="39" spans="2:33">
      <c r="B39" s="600" t="s">
        <v>2157</v>
      </c>
      <c r="C39" s="610">
        <f>+SUM(C5:C38)</f>
        <v>9852112.8500000015</v>
      </c>
      <c r="D39" s="610">
        <f t="shared" ref="D39:M39" si="18">+SUM(D5:D38)</f>
        <v>9455625.2000000011</v>
      </c>
      <c r="E39" s="610">
        <f t="shared" si="18"/>
        <v>10419766.989999998</v>
      </c>
      <c r="F39" s="610">
        <f t="shared" si="18"/>
        <v>11069803.960000001</v>
      </c>
      <c r="G39" s="610">
        <f t="shared" si="18"/>
        <v>21800479.280000005</v>
      </c>
      <c r="H39" s="610">
        <f t="shared" si="18"/>
        <v>10541588.269999998</v>
      </c>
      <c r="I39" s="610">
        <f t="shared" si="18"/>
        <v>27430835.694924857</v>
      </c>
      <c r="J39" s="610">
        <f t="shared" si="18"/>
        <v>28139063.824969582</v>
      </c>
      <c r="K39" s="610">
        <f t="shared" si="18"/>
        <v>29267492.561474286</v>
      </c>
      <c r="L39" s="610">
        <f t="shared" si="18"/>
        <v>30538937.668250997</v>
      </c>
      <c r="M39" s="610">
        <f t="shared" si="18"/>
        <v>31890338.811438452</v>
      </c>
      <c r="O39" s="640">
        <f t="shared" si="2"/>
        <v>0.21964703954577747</v>
      </c>
      <c r="P39" s="640">
        <f t="shared" si="3"/>
        <v>0.44645196957355804</v>
      </c>
      <c r="Q39" s="640">
        <f t="shared" si="4"/>
        <v>3.9609367311114418E-2</v>
      </c>
      <c r="R39" s="640">
        <f t="shared" si="5"/>
        <v>7.9042668623218404E-2</v>
      </c>
      <c r="S39" s="1"/>
      <c r="T39" s="636">
        <f>+C39/Ricavi!C$12</f>
        <v>0.37958324605689964</v>
      </c>
      <c r="U39" s="636">
        <f>+D39/Ricavi!D$12</f>
        <v>0.37784772961134766</v>
      </c>
      <c r="V39" s="636">
        <f>+E39/Ricavi!E$12</f>
        <v>0.38810749432403363</v>
      </c>
      <c r="W39" s="636">
        <f>+F39/Ricavi!F$12</f>
        <v>0.35545697108864127</v>
      </c>
      <c r="X39" s="636">
        <f>+G39/Ricavi!G$12</f>
        <v>0.4272848916315346</v>
      </c>
      <c r="Y39" s="636">
        <f>+H39/Ricavi!H$12</f>
        <v>0.40950535704467073</v>
      </c>
      <c r="AA39" s="636">
        <f t="shared" si="6"/>
        <v>0.3856560665424914</v>
      </c>
    </row>
    <row r="40" spans="2:33">
      <c r="B40" s="604" t="s">
        <v>3782</v>
      </c>
      <c r="C40" s="613">
        <f>+BdV!E535</f>
        <v>29541.78</v>
      </c>
      <c r="D40" s="613">
        <f>+BdV!F535</f>
        <v>38623.879999999997</v>
      </c>
      <c r="E40" s="613">
        <f>+BdV!G535</f>
        <v>40069.11</v>
      </c>
      <c r="F40" s="613">
        <f>+BdV!H535</f>
        <v>66072.67</v>
      </c>
      <c r="G40" s="613">
        <f>+BdV!I535</f>
        <v>80736.37</v>
      </c>
      <c r="H40" s="613">
        <f>+BdV!J535</f>
        <v>36356.74</v>
      </c>
      <c r="I40" s="609">
        <f>+($AA$40*Ricavi!J12)*(1+AC40)</f>
        <v>108273.50424712575</v>
      </c>
      <c r="J40" s="609">
        <f>+($AA$40*Ricavi!K12)*(1+AD40)</f>
        <v>111246.95507725085</v>
      </c>
      <c r="K40" s="609">
        <f>+($AA$40*Ricavi!L12)*(1+AE40)</f>
        <v>115803.05819211596</v>
      </c>
      <c r="L40" s="609">
        <f>+($AA$40*Ricavi!M12)*(1+AF40)</f>
        <v>120809.10476727775</v>
      </c>
      <c r="M40" s="609">
        <f>+($AA$40*Ricavi!N12)*(1+AG40)</f>
        <v>126155.11791493493</v>
      </c>
      <c r="O40" s="608">
        <f t="shared" si="2"/>
        <v>0.28575475729292332</v>
      </c>
      <c r="P40" s="608">
        <f t="shared" si="3"/>
        <v>0.41948158079637832</v>
      </c>
      <c r="Q40" s="608">
        <f t="shared" si="4"/>
        <v>0.3077610525123895</v>
      </c>
      <c r="R40" s="608">
        <f t="shared" si="5"/>
        <v>9.3369943209932638E-2</v>
      </c>
      <c r="T40" s="635">
        <f>+C40/Ricavi!C$12</f>
        <v>1.1381888248162722E-3</v>
      </c>
      <c r="U40" s="635">
        <f>+D40/Ricavi!D$12</f>
        <v>1.5434141115048781E-3</v>
      </c>
      <c r="V40" s="635">
        <f>+E40/Ricavi!E$12</f>
        <v>1.4924634971989986E-3</v>
      </c>
      <c r="W40" s="635">
        <f>+F40/Ricavi!F$12</f>
        <v>2.1216266552510233E-3</v>
      </c>
      <c r="X40" s="635">
        <f>+G40/Ricavi!G$12</f>
        <v>1.582416178245301E-3</v>
      </c>
      <c r="Y40" s="635">
        <f>+H40/Ricavi!H$12</f>
        <v>1.4123374403694354E-3</v>
      </c>
      <c r="AA40" s="635">
        <f t="shared" si="6"/>
        <v>1.5756218534032946E-3</v>
      </c>
      <c r="AC40" s="1233">
        <f>+AC20</f>
        <v>5.1999999999999998E-2</v>
      </c>
      <c r="AD40" s="1233">
        <f t="shared" ref="AD40:AG40" si="19">+AD20</f>
        <v>1.7000000000000001E-2</v>
      </c>
      <c r="AE40" s="1233">
        <f t="shared" si="19"/>
        <v>2.1000000000000001E-2</v>
      </c>
      <c r="AF40" s="1233">
        <f t="shared" si="19"/>
        <v>0.02</v>
      </c>
      <c r="AG40" s="1233">
        <f t="shared" si="19"/>
        <v>0.02</v>
      </c>
    </row>
    <row r="41" spans="2:33">
      <c r="B41" s="604" t="s">
        <v>3783</v>
      </c>
      <c r="C41" s="613">
        <f>+BdV!E536</f>
        <v>3325.94</v>
      </c>
      <c r="D41" s="613">
        <f>+BdV!F536</f>
        <v>4905.7</v>
      </c>
      <c r="E41" s="613">
        <f>+BdV!G536</f>
        <v>4748.9399999999996</v>
      </c>
      <c r="F41" s="613">
        <f>+BdV!H536</f>
        <v>7948.22</v>
      </c>
      <c r="G41" s="613">
        <f>+BdV!I536</f>
        <v>6099.73</v>
      </c>
      <c r="H41" s="613">
        <f>+BdV!J536</f>
        <v>3067.4</v>
      </c>
      <c r="I41" s="609">
        <f>+G41*(1+AC41)</f>
        <v>6416.9159600000003</v>
      </c>
      <c r="J41" s="609">
        <f>+I41*(1+AD41)</f>
        <v>6526.0035313199996</v>
      </c>
      <c r="K41" s="609">
        <f t="shared" ref="K41:M41" si="20">+J41*(1+AE41)</f>
        <v>6663.0496054777186</v>
      </c>
      <c r="L41" s="609">
        <f t="shared" si="20"/>
        <v>6796.3105975872732</v>
      </c>
      <c r="M41" s="609">
        <f t="shared" si="20"/>
        <v>6932.2368095390184</v>
      </c>
      <c r="O41" s="608">
        <f>IF(G41*C41&lt;=0,"n/a",IF(C41&gt;G41,-ABS((G41/C41)^(1/(4))-1),ABS((G41/C41)^(1/(4))-1)))</f>
        <v>0.16372147932372583</v>
      </c>
      <c r="P41" s="608">
        <f t="shared" si="3"/>
        <v>0.13333151249209929</v>
      </c>
      <c r="Q41" s="608">
        <f t="shared" si="4"/>
        <v>0.33696023328493663</v>
      </c>
      <c r="R41" s="608">
        <f t="shared" si="5"/>
        <v>2.5917777892894955E-2</v>
      </c>
      <c r="T41" s="635">
        <f>+C41/Ricavi!C$12</f>
        <v>1.2814216814320033E-4</v>
      </c>
      <c r="U41" s="635">
        <f>+D41/Ricavi!D$12</f>
        <v>1.9603226311829574E-4</v>
      </c>
      <c r="V41" s="635">
        <f>+E41/Ricavi!E$12</f>
        <v>1.7688487716318658E-4</v>
      </c>
      <c r="W41" s="635">
        <f>+F41/Ricavi!F$12</f>
        <v>2.5522134059058441E-4</v>
      </c>
      <c r="X41" s="635">
        <f>+G41/Ricavi!G$12</f>
        <v>1.1955344827774905E-4</v>
      </c>
      <c r="Y41" s="635">
        <f>+H41/Ricavi!H$12</f>
        <v>1.1915820462971121E-4</v>
      </c>
      <c r="AA41" s="635">
        <f t="shared" si="6"/>
        <v>1.751668194586032E-4</v>
      </c>
      <c r="AC41" s="1233">
        <f>+AC40</f>
        <v>5.1999999999999998E-2</v>
      </c>
      <c r="AD41" s="1233">
        <f t="shared" ref="AD41:AG41" si="21">+AD40</f>
        <v>1.7000000000000001E-2</v>
      </c>
      <c r="AE41" s="1233">
        <f t="shared" si="21"/>
        <v>2.1000000000000001E-2</v>
      </c>
      <c r="AF41" s="1233">
        <f t="shared" si="21"/>
        <v>0.02</v>
      </c>
      <c r="AG41" s="1233">
        <f t="shared" si="21"/>
        <v>0.02</v>
      </c>
    </row>
    <row r="42" spans="2:33">
      <c r="B42" s="604" t="s">
        <v>2428</v>
      </c>
      <c r="C42" s="613">
        <f>+BdV!E537</f>
        <v>0</v>
      </c>
      <c r="D42" s="613">
        <f>+BdV!F537</f>
        <v>0</v>
      </c>
      <c r="E42" s="613">
        <f>+BdV!G537</f>
        <v>62.6</v>
      </c>
      <c r="F42" s="613">
        <f>+BdV!H537</f>
        <v>0</v>
      </c>
      <c r="G42" s="613">
        <f>+BdV!I537</f>
        <v>0</v>
      </c>
      <c r="H42" s="613">
        <f>+BdV!J537</f>
        <v>0</v>
      </c>
      <c r="I42" s="609">
        <v>0</v>
      </c>
      <c r="J42" s="609">
        <v>0</v>
      </c>
      <c r="K42" s="609">
        <v>0</v>
      </c>
      <c r="L42" s="609">
        <v>0</v>
      </c>
      <c r="M42" s="609">
        <v>0</v>
      </c>
      <c r="O42" s="608" t="str">
        <f t="shared" si="2"/>
        <v>n/a</v>
      </c>
      <c r="P42" s="608" t="str">
        <f t="shared" si="3"/>
        <v>n/a</v>
      </c>
      <c r="Q42" s="608" t="str">
        <f t="shared" si="4"/>
        <v>n/a</v>
      </c>
      <c r="R42" s="608" t="str">
        <f t="shared" si="5"/>
        <v>n/a</v>
      </c>
      <c r="T42" s="635">
        <f>+C42/Ricavi!C$12</f>
        <v>0</v>
      </c>
      <c r="U42" s="635">
        <f>+D42/Ricavi!D$12</f>
        <v>0</v>
      </c>
      <c r="V42" s="635">
        <f>+E42/Ricavi!E$12</f>
        <v>2.3316768184932811E-6</v>
      </c>
      <c r="W42" s="635">
        <f>+F42/Ricavi!F$12</f>
        <v>0</v>
      </c>
      <c r="X42" s="635">
        <f>+G42/Ricavi!G$12</f>
        <v>0</v>
      </c>
      <c r="Y42" s="635">
        <f>+H42/Ricavi!H$12</f>
        <v>0</v>
      </c>
      <c r="AA42" s="635">
        <f t="shared" si="6"/>
        <v>4.6633536369865622E-7</v>
      </c>
    </row>
    <row r="43" spans="2:33">
      <c r="B43" s="604" t="s">
        <v>3784</v>
      </c>
      <c r="C43" s="613">
        <f>+BdV!E538</f>
        <v>38.6</v>
      </c>
      <c r="D43" s="613">
        <f>+BdV!F538</f>
        <v>0</v>
      </c>
      <c r="E43" s="613">
        <f>+BdV!G538</f>
        <v>0</v>
      </c>
      <c r="F43" s="613">
        <f>+BdV!H538</f>
        <v>343.32</v>
      </c>
      <c r="G43" s="613">
        <f>+BdV!I538</f>
        <v>2897.08</v>
      </c>
      <c r="H43" s="613">
        <f>+BdV!J538</f>
        <v>1822.81</v>
      </c>
      <c r="I43" s="609">
        <f>+G43*(1+AC43)</f>
        <v>3047.7281600000001</v>
      </c>
      <c r="J43" s="609">
        <f>+I43*(1+AD43)</f>
        <v>3099.5395387199997</v>
      </c>
      <c r="K43" s="609">
        <f t="shared" ref="K43" si="22">+J43*(1+AE43)</f>
        <v>3164.6298690331196</v>
      </c>
      <c r="L43" s="609">
        <f t="shared" ref="L43" si="23">+K43*(1+AF43)</f>
        <v>3227.9224664137819</v>
      </c>
      <c r="M43" s="609">
        <f>+L43*(1+AG43)</f>
        <v>3292.4809157420577</v>
      </c>
      <c r="O43" s="608">
        <f t="shared" si="2"/>
        <v>1.9433594054220018</v>
      </c>
      <c r="P43" s="608" t="str">
        <f t="shared" si="3"/>
        <v>n/a</v>
      </c>
      <c r="Q43" s="608">
        <f t="shared" si="4"/>
        <v>1.0719086317787578</v>
      </c>
      <c r="R43" s="608">
        <f t="shared" si="5"/>
        <v>2.5917777892894955E-2</v>
      </c>
      <c r="T43" s="635">
        <f>+C43/Ricavi!C$12</f>
        <v>1.487184883169129E-6</v>
      </c>
      <c r="U43" s="635">
        <f>+D43/Ricavi!D$12</f>
        <v>0</v>
      </c>
      <c r="V43" s="635">
        <f>+E43/Ricavi!E$12</f>
        <v>0</v>
      </c>
      <c r="W43" s="635">
        <f>+F43/Ricavi!F$12</f>
        <v>1.1024177822400417E-5</v>
      </c>
      <c r="X43" s="635">
        <f>+G43/Ricavi!G$12</f>
        <v>5.6782169692183298E-5</v>
      </c>
      <c r="Y43" s="635">
        <f>+H43/Ricavi!H$12</f>
        <v>7.081005639338979E-5</v>
      </c>
      <c r="AA43" s="635">
        <f t="shared" si="6"/>
        <v>1.3858706479550567E-5</v>
      </c>
      <c r="AC43" s="1233">
        <f>+AC41</f>
        <v>5.1999999999999998E-2</v>
      </c>
      <c r="AD43" s="1233">
        <f t="shared" ref="AD43:AG43" si="24">+AD41</f>
        <v>1.7000000000000001E-2</v>
      </c>
      <c r="AE43" s="1233">
        <f t="shared" si="24"/>
        <v>2.1000000000000001E-2</v>
      </c>
      <c r="AF43" s="1233">
        <f t="shared" si="24"/>
        <v>0.02</v>
      </c>
      <c r="AG43" s="1233">
        <f t="shared" si="24"/>
        <v>0.02</v>
      </c>
    </row>
    <row r="44" spans="2:33">
      <c r="B44" s="604" t="s">
        <v>3785</v>
      </c>
      <c r="C44" s="613">
        <f>+BdV!E539</f>
        <v>10283.69</v>
      </c>
      <c r="D44" s="613">
        <f>+BdV!F539</f>
        <v>7821.79</v>
      </c>
      <c r="E44" s="613">
        <f>+BdV!G539</f>
        <v>8898.23</v>
      </c>
      <c r="F44" s="613">
        <f>+BdV!H539</f>
        <v>12768.48</v>
      </c>
      <c r="G44" s="613">
        <f>+BdV!I539</f>
        <v>26885.66</v>
      </c>
      <c r="H44" s="613">
        <f>+BdV!J539</f>
        <v>14830.65</v>
      </c>
      <c r="I44" s="609">
        <f>+G44*(1+AC44)</f>
        <v>28283.714320000003</v>
      </c>
      <c r="J44" s="609">
        <f>+I44*(1+AD44)</f>
        <v>28764.53746344</v>
      </c>
      <c r="K44" s="609">
        <f t="shared" ref="K44" si="25">+J44*(1+AE44)</f>
        <v>29368.592750172236</v>
      </c>
      <c r="L44" s="609">
        <f t="shared" ref="L44" si="26">+K44*(1+AF44)</f>
        <v>29955.964605175683</v>
      </c>
      <c r="M44" s="609">
        <f>+L44*(1+AG44)</f>
        <v>30555.083897279197</v>
      </c>
      <c r="O44" s="608">
        <f t="shared" si="2"/>
        <v>0.27157778334276506</v>
      </c>
      <c r="P44" s="608">
        <f t="shared" si="3"/>
        <v>0.73823518879666428</v>
      </c>
      <c r="Q44" s="608">
        <f t="shared" si="4"/>
        <v>7.4805981519309839E-2</v>
      </c>
      <c r="R44" s="608">
        <f t="shared" si="5"/>
        <v>2.5917777892894955E-2</v>
      </c>
      <c r="T44" s="635">
        <f>+C44/Ricavi!C$12</f>
        <v>3.9621109614501403E-4</v>
      </c>
      <c r="U44" s="635">
        <f>+D44/Ricavi!D$12</f>
        <v>3.125595114532186E-4</v>
      </c>
      <c r="V44" s="635">
        <f>+E44/Ricavi!E$12</f>
        <v>3.3143445074475188E-4</v>
      </c>
      <c r="W44" s="635">
        <f>+F44/Ricavi!F$12</f>
        <v>4.1000231283281854E-4</v>
      </c>
      <c r="X44" s="635">
        <f>+G44/Ricavi!G$12</f>
        <v>5.2695338354700073E-4</v>
      </c>
      <c r="Y44" s="635">
        <f>+H44/Ricavi!H$12</f>
        <v>5.761210235025188E-4</v>
      </c>
      <c r="AA44" s="635">
        <f t="shared" si="6"/>
        <v>3.9543215094456076E-4</v>
      </c>
      <c r="AC44" s="1233">
        <f>+AC$43</f>
        <v>5.1999999999999998E-2</v>
      </c>
      <c r="AD44" s="1233">
        <f>+AD$43</f>
        <v>1.7000000000000001E-2</v>
      </c>
      <c r="AE44" s="1233">
        <f t="shared" ref="AE44:AG44" si="27">+AE$43</f>
        <v>2.1000000000000001E-2</v>
      </c>
      <c r="AF44" s="1233">
        <f t="shared" si="27"/>
        <v>0.02</v>
      </c>
      <c r="AG44" s="1233">
        <f t="shared" si="27"/>
        <v>0.02</v>
      </c>
    </row>
    <row r="45" spans="2:33">
      <c r="B45" s="604" t="s">
        <v>3786</v>
      </c>
      <c r="C45" s="613">
        <f>+BdV!E540</f>
        <v>20752.419999999998</v>
      </c>
      <c r="D45" s="613">
        <f>+BdV!F540</f>
        <v>21466.25</v>
      </c>
      <c r="E45" s="613">
        <f>+BdV!G540</f>
        <v>20710.810000000001</v>
      </c>
      <c r="F45" s="613">
        <f>+BdV!H540</f>
        <v>20833.5</v>
      </c>
      <c r="G45" s="613">
        <f>+BdV!I540</f>
        <v>19063.32</v>
      </c>
      <c r="H45" s="613">
        <f>+BdV!J540</f>
        <v>11486.97</v>
      </c>
      <c r="I45" s="609">
        <f>+G45</f>
        <v>19063.32</v>
      </c>
      <c r="J45" s="609">
        <f t="shared" ref="J45:M45" si="28">+I45</f>
        <v>19063.32</v>
      </c>
      <c r="K45" s="609">
        <f t="shared" si="28"/>
        <v>19063.32</v>
      </c>
      <c r="L45" s="609">
        <f t="shared" si="28"/>
        <v>19063.32</v>
      </c>
      <c r="M45" s="609">
        <f t="shared" si="28"/>
        <v>19063.32</v>
      </c>
      <c r="O45" s="608">
        <f t="shared" si="2"/>
        <v>-2.1000550868457091E-2</v>
      </c>
      <c r="P45" s="608">
        <f t="shared" si="3"/>
        <v>-4.0597762925428382E-2</v>
      </c>
      <c r="Q45" s="608">
        <f t="shared" si="4"/>
        <v>1.3006456601420968E-3</v>
      </c>
      <c r="R45" s="608">
        <f t="shared" si="5"/>
        <v>0</v>
      </c>
      <c r="T45" s="635">
        <f>+C45/Ricavi!C$12</f>
        <v>7.9955143298385213E-4</v>
      </c>
      <c r="U45" s="635">
        <f>+D45/Ricavi!D$12</f>
        <v>8.5779349902422009E-4</v>
      </c>
      <c r="V45" s="635">
        <f>+E45/Ricavi!E$12</f>
        <v>7.7142037650509314E-4</v>
      </c>
      <c r="W45" s="635">
        <f>+F45/Ricavi!F$12</f>
        <v>6.6897416015081874E-4</v>
      </c>
      <c r="X45" s="635">
        <f>+G45/Ricavi!G$12</f>
        <v>3.7363713502436654E-4</v>
      </c>
      <c r="Y45" s="635">
        <f>+H45/Ricavi!H$12</f>
        <v>4.4623026727370202E-4</v>
      </c>
      <c r="AA45" s="635">
        <f t="shared" si="6"/>
        <v>6.942753207376701E-4</v>
      </c>
    </row>
    <row r="46" spans="2:33">
      <c r="B46" s="604" t="s">
        <v>3787</v>
      </c>
      <c r="C46" s="613">
        <f>+BdV!E541</f>
        <v>1680.05</v>
      </c>
      <c r="D46" s="613">
        <f>+BdV!F541</f>
        <v>1730.53</v>
      </c>
      <c r="E46" s="613">
        <f>+BdV!G541</f>
        <v>2050.21</v>
      </c>
      <c r="F46" s="613">
        <f>+BdV!H541</f>
        <v>1279.8599999999999</v>
      </c>
      <c r="G46" s="613">
        <f>+BdV!I541</f>
        <v>1140.46</v>
      </c>
      <c r="H46" s="613">
        <f>+BdV!J541</f>
        <v>336.35</v>
      </c>
      <c r="I46" s="609">
        <f>+G46</f>
        <v>1140.46</v>
      </c>
      <c r="J46" s="609">
        <f t="shared" ref="J46:M46" si="29">+I46</f>
        <v>1140.46</v>
      </c>
      <c r="K46" s="609">
        <f t="shared" si="29"/>
        <v>1140.46</v>
      </c>
      <c r="L46" s="609">
        <f t="shared" si="29"/>
        <v>1140.46</v>
      </c>
      <c r="M46" s="609">
        <f t="shared" si="29"/>
        <v>1140.46</v>
      </c>
      <c r="O46" s="608">
        <f t="shared" si="2"/>
        <v>-9.2306004254131713E-2</v>
      </c>
      <c r="P46" s="608">
        <f t="shared" si="3"/>
        <v>-0.25416827100284212</v>
      </c>
      <c r="Q46" s="608">
        <f t="shared" si="4"/>
        <v>-8.6700079784026607E-2</v>
      </c>
      <c r="R46" s="608">
        <f t="shared" si="5"/>
        <v>0</v>
      </c>
      <c r="T46" s="635">
        <f>+C46/Ricavi!C$12</f>
        <v>6.4729144118349616E-5</v>
      </c>
      <c r="U46" s="635">
        <f>+D46/Ricavi!D$12</f>
        <v>6.9152152046416274E-5</v>
      </c>
      <c r="V46" s="635">
        <f>+E46/Ricavi!E$12</f>
        <v>7.6364650639666292E-5</v>
      </c>
      <c r="W46" s="635">
        <f>+F46/Ricavi!F$12</f>
        <v>4.1096948117725146E-5</v>
      </c>
      <c r="X46" s="635">
        <f>+G46/Ricavi!G$12</f>
        <v>2.2352780471076868E-5</v>
      </c>
      <c r="Y46" s="635">
        <f>+H46/Ricavi!H$12</f>
        <v>1.3066069676991382E-5</v>
      </c>
      <c r="AA46" s="635">
        <f t="shared" si="6"/>
        <v>5.4739135078646841E-5</v>
      </c>
    </row>
    <row r="47" spans="2:33">
      <c r="B47" s="604" t="s">
        <v>3788</v>
      </c>
      <c r="C47" s="613">
        <f>+BdV!E542</f>
        <v>332197.01</v>
      </c>
      <c r="D47" s="613">
        <f>+BdV!F542</f>
        <v>232086.52</v>
      </c>
      <c r="E47" s="613">
        <f>+BdV!G542</f>
        <v>227296.77</v>
      </c>
      <c r="F47" s="613">
        <f>+BdV!H542</f>
        <v>353326.52</v>
      </c>
      <c r="G47" s="613">
        <f>+BdV!I542</f>
        <v>489469.61</v>
      </c>
      <c r="H47" s="613">
        <f>+BdV!J542</f>
        <v>174241.83</v>
      </c>
      <c r="I47" s="609">
        <f>+$AA$47*Ricavi!J12</f>
        <v>672525.24964370439</v>
      </c>
      <c r="J47" s="609">
        <f>+$AA$47*Ricavi!K12</f>
        <v>714774.94572417182</v>
      </c>
      <c r="K47" s="609">
        <f>+$AA$47*Ricavi!L12</f>
        <v>741133.47203105001</v>
      </c>
      <c r="L47" s="609">
        <f>+$AA$47*Ricavi!M12</f>
        <v>773929.91807110002</v>
      </c>
      <c r="M47" s="609">
        <f>+$AA$47*Ricavi!N12</f>
        <v>808177.66392886103</v>
      </c>
      <c r="O47" s="608">
        <f t="shared" si="2"/>
        <v>0.10174858997791181</v>
      </c>
      <c r="P47" s="608">
        <f t="shared" si="3"/>
        <v>0.46745987204096839</v>
      </c>
      <c r="Q47" s="608">
        <f t="shared" si="4"/>
        <v>2.0767511131398297E-2</v>
      </c>
      <c r="R47" s="608">
        <f t="shared" si="5"/>
        <v>0.10549357321426234</v>
      </c>
      <c r="T47" s="635">
        <f>+C47/Ricavi!C$12</f>
        <v>1.2798921541605803E-2</v>
      </c>
      <c r="U47" s="635">
        <f>+D47/Ricavi!D$12</f>
        <v>9.2742005737916321E-3</v>
      </c>
      <c r="V47" s="635">
        <f>+E47/Ricavi!E$12</f>
        <v>8.4661758710447132E-3</v>
      </c>
      <c r="W47" s="635">
        <f>+F47/Ricavi!F$12</f>
        <v>1.1345492210910864E-2</v>
      </c>
      <c r="X47" s="635">
        <f>+G47/Ricavi!G$12</f>
        <v>9.5935032702537653E-3</v>
      </c>
      <c r="Y47" s="635">
        <f>+H47/Ricavi!H$12</f>
        <v>6.7687108411668999E-3</v>
      </c>
      <c r="AA47" s="635">
        <f t="shared" si="6"/>
        <v>1.0295658693521356E-2</v>
      </c>
    </row>
    <row r="48" spans="2:33">
      <c r="B48" s="604" t="s">
        <v>3789</v>
      </c>
      <c r="C48" s="613">
        <f>+BdV!E543</f>
        <v>0</v>
      </c>
      <c r="D48" s="613">
        <f>+BdV!F543</f>
        <v>0</v>
      </c>
      <c r="E48" s="613">
        <f>+BdV!G543</f>
        <v>0</v>
      </c>
      <c r="F48" s="613">
        <f>+BdV!H543</f>
        <v>802784.27</v>
      </c>
      <c r="G48" s="613">
        <f>+BdV!I543</f>
        <v>277281.93</v>
      </c>
      <c r="H48" s="613">
        <f>+BdV!J543</f>
        <v>112100.04</v>
      </c>
      <c r="I48" s="609">
        <f>+$AA$48*Ricavi!J12</f>
        <v>407767.55026614852</v>
      </c>
      <c r="J48" s="609">
        <f>+$AA$48*Ricavi!K12</f>
        <v>433384.5142081696</v>
      </c>
      <c r="K48" s="609">
        <f>+$AA$48*Ricavi!L12</f>
        <v>449366.29586837604</v>
      </c>
      <c r="L48" s="609">
        <f>+$AA$48*Ricavi!M12</f>
        <v>469251.53655825666</v>
      </c>
      <c r="M48" s="609">
        <f>+$AA$48*Ricavi!N12</f>
        <v>490016.73375784938</v>
      </c>
      <c r="O48" s="608" t="str">
        <f t="shared" si="2"/>
        <v>n/a</v>
      </c>
      <c r="P48" s="608" t="str">
        <f t="shared" si="3"/>
        <v>n/a</v>
      </c>
      <c r="Q48" s="608" t="str">
        <f t="shared" si="4"/>
        <v>n/a</v>
      </c>
      <c r="R48" s="608">
        <f>IF(M48*G48&lt;=0,"n/a",IF(G48&gt;M48,-ABS((M48/G48)^(1/(5))-1),ABS((M48/G48)^(1/(5))-1)))</f>
        <v>0.12061870832356369</v>
      </c>
      <c r="T48" s="635">
        <f>+C48/Ricavi!C$12</f>
        <v>0</v>
      </c>
      <c r="U48" s="635">
        <f>+D48/Ricavi!D$12</f>
        <v>0</v>
      </c>
      <c r="V48" s="635">
        <f>+E48/Ricavi!E$12</f>
        <v>0</v>
      </c>
      <c r="W48" s="635">
        <f>+F48/Ricavi!F$12</f>
        <v>2.5777806552213411E-2</v>
      </c>
      <c r="X48" s="635">
        <f>+G48/Ricavi!G$12</f>
        <v>5.4346685634625528E-3</v>
      </c>
      <c r="Y48" s="635">
        <f>+H48/Ricavi!H$12</f>
        <v>4.3547106687483895E-3</v>
      </c>
      <c r="AA48" s="635">
        <f t="shared" si="6"/>
        <v>6.2424950231351932E-3</v>
      </c>
    </row>
    <row r="49" spans="2:31">
      <c r="B49" s="604" t="s">
        <v>3790</v>
      </c>
      <c r="C49" s="613">
        <f>+BdV!E544</f>
        <v>16198.47</v>
      </c>
      <c r="D49" s="613">
        <f>+BdV!F544</f>
        <v>18873.72</v>
      </c>
      <c r="E49" s="613">
        <f>+BdV!G544</f>
        <v>31658.25</v>
      </c>
      <c r="F49" s="613">
        <f>+BdV!H544</f>
        <v>15027.57</v>
      </c>
      <c r="G49" s="613">
        <f>+BdV!I544</f>
        <v>27493.18</v>
      </c>
      <c r="H49" s="613">
        <f>+BdV!J544</f>
        <v>12634.95</v>
      </c>
      <c r="I49" s="609">
        <f t="shared" ref="I49:I50" si="30">+G49</f>
        <v>27493.18</v>
      </c>
      <c r="J49" s="609">
        <f t="shared" ref="J49:M49" si="31">+I49</f>
        <v>27493.18</v>
      </c>
      <c r="K49" s="609">
        <f t="shared" si="31"/>
        <v>27493.18</v>
      </c>
      <c r="L49" s="609">
        <f t="shared" si="31"/>
        <v>27493.18</v>
      </c>
      <c r="M49" s="609">
        <f t="shared" si="31"/>
        <v>27493.18</v>
      </c>
      <c r="O49" s="608">
        <f t="shared" si="2"/>
        <v>0.14139967587092994</v>
      </c>
      <c r="P49" s="608">
        <f t="shared" si="3"/>
        <v>-6.8100592610849886E-2</v>
      </c>
      <c r="Q49" s="608">
        <f t="shared" si="4"/>
        <v>-2.4699931818118803E-2</v>
      </c>
      <c r="R49" s="608">
        <f t="shared" si="5"/>
        <v>0</v>
      </c>
      <c r="T49" s="635">
        <f>+C49/Ricavi!C$12</f>
        <v>6.2409636565980938E-4</v>
      </c>
      <c r="U49" s="635">
        <f>+D49/Ricavi!D$12</f>
        <v>7.5419574068146054E-4</v>
      </c>
      <c r="V49" s="635">
        <f>+E49/Ricavi!E$12</f>
        <v>1.1791822306559891E-3</v>
      </c>
      <c r="W49" s="635">
        <f>+F49/Ricavi!F$12</f>
        <v>4.8254282861053774E-4</v>
      </c>
      <c r="X49" s="635">
        <f>+G49/Ricavi!G$12</f>
        <v>5.388606500813716E-4</v>
      </c>
      <c r="Y49" s="635">
        <f>+H49/Ricavi!H$12</f>
        <v>4.9082544095526163E-4</v>
      </c>
      <c r="AA49" s="635">
        <f t="shared" si="6"/>
        <v>7.1577556313783355E-4</v>
      </c>
    </row>
    <row r="50" spans="2:31">
      <c r="B50" s="604" t="s">
        <v>3791</v>
      </c>
      <c r="C50" s="613">
        <f>+BdV!E545</f>
        <v>0</v>
      </c>
      <c r="D50" s="613">
        <f>+BdV!F545</f>
        <v>0</v>
      </c>
      <c r="E50" s="613">
        <f>+BdV!G545</f>
        <v>0</v>
      </c>
      <c r="F50" s="613">
        <f>+BdV!H545</f>
        <v>0</v>
      </c>
      <c r="G50" s="613">
        <f>+BdV!I545</f>
        <v>926405.02</v>
      </c>
      <c r="H50" s="613">
        <f>+BdV!J545</f>
        <v>396063.09</v>
      </c>
      <c r="I50" s="609">
        <f t="shared" si="30"/>
        <v>926405.02</v>
      </c>
      <c r="J50" s="609">
        <f t="shared" ref="J50:M51" si="32">+I50</f>
        <v>926405.02</v>
      </c>
      <c r="K50" s="609">
        <f t="shared" si="32"/>
        <v>926405.02</v>
      </c>
      <c r="L50" s="609">
        <f t="shared" si="32"/>
        <v>926405.02</v>
      </c>
      <c r="M50" s="609">
        <f t="shared" si="32"/>
        <v>926405.02</v>
      </c>
      <c r="O50" s="608" t="str">
        <f t="shared" si="2"/>
        <v>n/a</v>
      </c>
      <c r="P50" s="608" t="str">
        <f t="shared" si="3"/>
        <v>n/a</v>
      </c>
      <c r="Q50" s="608" t="str">
        <f t="shared" si="4"/>
        <v>n/a</v>
      </c>
      <c r="R50" s="608">
        <f t="shared" si="5"/>
        <v>0</v>
      </c>
      <c r="T50" s="635">
        <f>+C50/Ricavi!C$12</f>
        <v>0</v>
      </c>
      <c r="U50" s="635">
        <f>+D50/Ricavi!D$12</f>
        <v>0</v>
      </c>
      <c r="V50" s="635">
        <f>+E50/Ricavi!E$12</f>
        <v>0</v>
      </c>
      <c r="W50" s="635">
        <f>+F50/Ricavi!F$12</f>
        <v>0</v>
      </c>
      <c r="X50" s="635">
        <f>+G50/Ricavi!G$12</f>
        <v>1.8157347069922291E-2</v>
      </c>
      <c r="Y50" s="635">
        <f>+H50/Ricavi!H$12</f>
        <v>1.5385722998140354E-2</v>
      </c>
      <c r="AA50" s="635">
        <f t="shared" si="6"/>
        <v>3.6314694139844583E-3</v>
      </c>
    </row>
    <row r="51" spans="2:31">
      <c r="B51" s="604" t="s">
        <v>3874</v>
      </c>
      <c r="C51" s="613">
        <f>+BdV!E546</f>
        <v>0</v>
      </c>
      <c r="D51" s="613">
        <f>+BdV!F546</f>
        <v>0</v>
      </c>
      <c r="E51" s="613">
        <f>+BdV!G546</f>
        <v>0</v>
      </c>
      <c r="F51" s="613">
        <f>+BdV!H546</f>
        <v>0</v>
      </c>
      <c r="G51" s="613">
        <f>+BdV!I546</f>
        <v>0</v>
      </c>
      <c r="H51" s="613">
        <f>+BdV!J546</f>
        <v>0</v>
      </c>
      <c r="I51" s="609">
        <v>0</v>
      </c>
      <c r="J51" s="609">
        <f t="shared" si="32"/>
        <v>0</v>
      </c>
      <c r="K51" s="609">
        <f t="shared" si="32"/>
        <v>0</v>
      </c>
      <c r="L51" s="609">
        <f t="shared" si="32"/>
        <v>0</v>
      </c>
      <c r="M51" s="609">
        <f t="shared" si="32"/>
        <v>0</v>
      </c>
      <c r="O51" s="608" t="str">
        <f t="shared" si="2"/>
        <v>n/a</v>
      </c>
      <c r="P51" s="608" t="str">
        <f t="shared" si="3"/>
        <v>n/a</v>
      </c>
      <c r="Q51" s="608" t="str">
        <f t="shared" si="4"/>
        <v>n/a</v>
      </c>
      <c r="R51" s="608" t="str">
        <f t="shared" si="5"/>
        <v>n/a</v>
      </c>
      <c r="T51" s="635">
        <f>+C51/Ricavi!C$12</f>
        <v>0</v>
      </c>
      <c r="U51" s="635">
        <f>+D51/Ricavi!D$12</f>
        <v>0</v>
      </c>
      <c r="V51" s="635">
        <f>+E51/Ricavi!E$12</f>
        <v>0</v>
      </c>
      <c r="W51" s="635">
        <f>+F51/Ricavi!F$12</f>
        <v>0</v>
      </c>
      <c r="X51" s="635">
        <f>+G51/Ricavi!G$12</f>
        <v>0</v>
      </c>
      <c r="Y51" s="635">
        <f>+H51/Ricavi!H$12</f>
        <v>0</v>
      </c>
      <c r="AA51" s="635">
        <f t="shared" si="6"/>
        <v>0</v>
      </c>
    </row>
    <row r="52" spans="2:31">
      <c r="B52" s="604" t="s">
        <v>3792</v>
      </c>
      <c r="C52" s="613">
        <f>+BdV!E547</f>
        <v>120709.44</v>
      </c>
      <c r="D52" s="613">
        <f>+BdV!F547</f>
        <v>143880.4</v>
      </c>
      <c r="E52" s="613">
        <f>+BdV!G547</f>
        <v>140613.71</v>
      </c>
      <c r="F52" s="613">
        <f>+BdV!H547</f>
        <v>177936.16</v>
      </c>
      <c r="G52" s="613">
        <f>+BdV!I547</f>
        <v>194484.1</v>
      </c>
      <c r="H52" s="613">
        <f>+BdV!J547</f>
        <v>90233.08</v>
      </c>
      <c r="I52" s="609">
        <f>+$AA$52*Ricavi!J12</f>
        <v>328737.27739852888</v>
      </c>
      <c r="J52" s="609">
        <f>+$AA$52*Ricavi!K12</f>
        <v>349389.36453989113</v>
      </c>
      <c r="K52" s="609">
        <f>+$AA$52*Ricavi!L12</f>
        <v>362273.68401927309</v>
      </c>
      <c r="L52" s="609">
        <f>+$AA$52*Ricavi!M12</f>
        <v>378304.92505485605</v>
      </c>
      <c r="M52" s="609">
        <f>+$AA$52*Ricavi!N12</f>
        <v>395045.57640777063</v>
      </c>
      <c r="O52" s="608">
        <f t="shared" si="2"/>
        <v>0.12664142760307007</v>
      </c>
      <c r="P52" s="608">
        <f t="shared" si="3"/>
        <v>0.17605658307288397</v>
      </c>
      <c r="Q52" s="608">
        <f t="shared" si="4"/>
        <v>0.13808402227859218</v>
      </c>
      <c r="R52" s="608">
        <f t="shared" si="5"/>
        <v>0.15226566305976208</v>
      </c>
      <c r="T52" s="635">
        <f>+C52/Ricavi!C$12</f>
        <v>4.6507060731557255E-3</v>
      </c>
      <c r="U52" s="635">
        <f>+D52/Ricavi!D$12</f>
        <v>5.749475188121092E-3</v>
      </c>
      <c r="V52" s="635">
        <f>+E52/Ricavi!E$12</f>
        <v>5.2374716928009074E-3</v>
      </c>
      <c r="W52" s="635">
        <f>+F52/Ricavi!F$12</f>
        <v>5.7136195644736463E-3</v>
      </c>
      <c r="X52" s="635">
        <f>+G52/Ricavi!G$12</f>
        <v>3.8118481949520021E-3</v>
      </c>
      <c r="Y52" s="635">
        <f>+H52/Ricavi!H$12</f>
        <v>3.5052525953605989E-3</v>
      </c>
      <c r="AA52" s="635">
        <f t="shared" si="6"/>
        <v>5.0326241427006754E-3</v>
      </c>
    </row>
    <row r="53" spans="2:31">
      <c r="B53" s="604" t="s">
        <v>3793</v>
      </c>
      <c r="C53" s="613">
        <f>+BdV!E548</f>
        <v>310882.59999999998</v>
      </c>
      <c r="D53" s="613">
        <f>+BdV!F548</f>
        <v>265625.71999999997</v>
      </c>
      <c r="E53" s="613">
        <f>+BdV!G548</f>
        <v>794825.24</v>
      </c>
      <c r="F53" s="613">
        <f>+BdV!H548</f>
        <v>268178.11</v>
      </c>
      <c r="G53" s="613">
        <f>+BdV!I548</f>
        <v>650690.82999999996</v>
      </c>
      <c r="H53" s="613">
        <f>+BdV!J548</f>
        <v>363324.92</v>
      </c>
      <c r="I53" s="609">
        <f>+$AA$53*Ricavi!J12</f>
        <v>961031.36844599294</v>
      </c>
      <c r="J53" s="609">
        <f>+$AA$53*Ricavi!K12</f>
        <v>1021405.7309879941</v>
      </c>
      <c r="K53" s="609">
        <f>+$AA$53*Ricavi!L12</f>
        <v>1059071.7823672383</v>
      </c>
      <c r="L53" s="609">
        <f>+$AA$53*Ricavi!M12</f>
        <v>1105937.5519940776</v>
      </c>
      <c r="M53" s="609">
        <f>+$AA$53*Ricavi!N12</f>
        <v>1154877.2134942394</v>
      </c>
      <c r="O53" s="608">
        <f t="shared" si="2"/>
        <v>0.20280318032983313</v>
      </c>
      <c r="P53" s="608">
        <f t="shared" si="3"/>
        <v>-9.5202236818373698E-2</v>
      </c>
      <c r="Q53" s="608">
        <f t="shared" si="4"/>
        <v>-4.8061328103703005E-2</v>
      </c>
      <c r="R53" s="608">
        <f t="shared" si="5"/>
        <v>0.12158508467315787</v>
      </c>
      <c r="T53" s="635">
        <f>+C53/Ricavi!C$12</f>
        <v>1.1977717698453757E-2</v>
      </c>
      <c r="U53" s="635">
        <f>+D53/Ricavi!D$12</f>
        <v>1.0614430363460209E-2</v>
      </c>
      <c r="V53" s="635">
        <f>+E53/Ricavi!E$12</f>
        <v>2.9605041323663872E-2</v>
      </c>
      <c r="W53" s="635">
        <f>+F53/Ricavi!F$12</f>
        <v>8.6113339529164026E-3</v>
      </c>
      <c r="X53" s="635">
        <f>+G53/Ricavi!G$12</f>
        <v>1.2753405886688525E-2</v>
      </c>
      <c r="Y53" s="635">
        <f>+H53/Ricavi!H$12</f>
        <v>1.4113954868759682E-2</v>
      </c>
      <c r="AA53" s="635">
        <f>+AVERAGE(T53:X53)</f>
        <v>1.4712385845036554E-2</v>
      </c>
    </row>
    <row r="54" spans="2:31">
      <c r="B54" s="604" t="s">
        <v>3794</v>
      </c>
      <c r="C54" s="613">
        <f>+BdV!E549</f>
        <v>28387.63</v>
      </c>
      <c r="D54" s="613">
        <f>+BdV!F549</f>
        <v>24329.59</v>
      </c>
      <c r="E54" s="613">
        <f>+BdV!G549</f>
        <v>23615.64</v>
      </c>
      <c r="F54" s="613">
        <f>+BdV!H549</f>
        <v>31040.54</v>
      </c>
      <c r="G54" s="613">
        <f>+BdV!I549</f>
        <v>45470.61</v>
      </c>
      <c r="H54" s="613">
        <f>+BdV!J549</f>
        <v>18584.71</v>
      </c>
      <c r="I54" s="609">
        <f>+$AA$54*Ricavi!J12</f>
        <v>63145.964902171931</v>
      </c>
      <c r="J54" s="609">
        <f>+$AA$54*Ricavi!K12</f>
        <v>67112.950271476715</v>
      </c>
      <c r="K54" s="609">
        <f>+$AA$54*Ricavi!L12</f>
        <v>69587.8530025324</v>
      </c>
      <c r="L54" s="609">
        <f>+$AA$54*Ricavi!M12</f>
        <v>72667.23661178445</v>
      </c>
      <c r="M54" s="609">
        <f>+$AA$54*Ricavi!N12</f>
        <v>75882.888305246379</v>
      </c>
      <c r="O54" s="608">
        <f t="shared" si="2"/>
        <v>0.12499453072976285</v>
      </c>
      <c r="P54" s="608">
        <f t="shared" si="3"/>
        <v>0.38760395921651503</v>
      </c>
      <c r="Q54" s="608">
        <f t="shared" si="4"/>
        <v>3.02280667120014E-2</v>
      </c>
      <c r="R54" s="608">
        <f t="shared" si="5"/>
        <v>0.1078542153282156</v>
      </c>
      <c r="T54" s="635">
        <f>+C54/Ricavi!C$12</f>
        <v>1.0937216115284576E-3</v>
      </c>
      <c r="U54" s="635">
        <f>+D54/Ricavi!D$12</f>
        <v>9.7221285207824723E-4</v>
      </c>
      <c r="V54" s="635">
        <f>+E54/Ricavi!E$12</f>
        <v>8.7961725785755049E-4</v>
      </c>
      <c r="W54" s="635">
        <f>+F54/Ricavi!F$12</f>
        <v>9.967273466833656E-4</v>
      </c>
      <c r="X54" s="635">
        <f>+G54/Ricavi!G$12</f>
        <v>8.9121456536481116E-4</v>
      </c>
      <c r="Y54" s="635">
        <f>+H54/Ricavi!H$12</f>
        <v>7.2195366667661203E-4</v>
      </c>
      <c r="AA54" s="635">
        <f t="shared" si="6"/>
        <v>9.6669872670248637E-4</v>
      </c>
    </row>
    <row r="55" spans="2:31">
      <c r="B55" s="604" t="s">
        <v>3795</v>
      </c>
      <c r="C55" s="613">
        <f>+BdV!E550</f>
        <v>19518.63</v>
      </c>
      <c r="D55" s="613">
        <f>+BdV!F550</f>
        <v>17708.13</v>
      </c>
      <c r="E55" s="613">
        <f>+BdV!G550</f>
        <v>15834.09</v>
      </c>
      <c r="F55" s="613">
        <f>+BdV!H550</f>
        <v>23634.52</v>
      </c>
      <c r="G55" s="613">
        <f>+BdV!I550</f>
        <v>20274.560000000001</v>
      </c>
      <c r="H55" s="613">
        <f>+BdV!J550</f>
        <v>11487.19</v>
      </c>
      <c r="I55" s="609">
        <f>+$AA$55*Ricavi!J12</f>
        <v>41880.116236370814</v>
      </c>
      <c r="J55" s="609">
        <f>+$AA$55*Ricavi!K12</f>
        <v>44511.128505038396</v>
      </c>
      <c r="K55" s="609">
        <f>+$AA$55*Ricavi!L12</f>
        <v>46152.55110758949</v>
      </c>
      <c r="L55" s="609">
        <f>+$AA$55*Ricavi!M12</f>
        <v>48194.881820116389</v>
      </c>
      <c r="M55" s="609">
        <f>+$AA$55*Ricavi!N12</f>
        <v>50327.589221238639</v>
      </c>
      <c r="O55" s="608">
        <f t="shared" si="2"/>
        <v>9.544638296806518E-3</v>
      </c>
      <c r="P55" s="608">
        <f t="shared" si="3"/>
        <v>0.13156410993344503</v>
      </c>
      <c r="Q55" s="608">
        <f t="shared" si="4"/>
        <v>6.5857515117454746E-2</v>
      </c>
      <c r="R55" s="608">
        <f t="shared" si="5"/>
        <v>0.19941903781415116</v>
      </c>
      <c r="T55" s="635">
        <f>+C55/Ricavi!C$12</f>
        <v>7.5201584135159221E-4</v>
      </c>
      <c r="U55" s="635">
        <f>+D55/Ricavi!D$12</f>
        <v>7.0761864759218596E-4</v>
      </c>
      <c r="V55" s="635">
        <f>+E55/Ricavi!E$12</f>
        <v>5.8977604784243246E-4</v>
      </c>
      <c r="W55" s="635">
        <f>+F55/Ricavi!F$12</f>
        <v>7.5891632071268525E-4</v>
      </c>
      <c r="X55" s="635">
        <f>+G55/Ricavi!G$12</f>
        <v>3.9737718887788808E-4</v>
      </c>
      <c r="Y55" s="635">
        <f>+H55/Ricavi!H$12</f>
        <v>4.4623881353601493E-4</v>
      </c>
      <c r="AA55" s="635">
        <f t="shared" si="6"/>
        <v>6.411408092753568E-4</v>
      </c>
    </row>
    <row r="56" spans="2:31">
      <c r="B56" s="604" t="s">
        <v>3796</v>
      </c>
      <c r="C56" s="613">
        <f>+BdV!E551</f>
        <v>0</v>
      </c>
      <c r="D56" s="613">
        <f>+BdV!F551</f>
        <v>0</v>
      </c>
      <c r="E56" s="613">
        <f>+BdV!G551</f>
        <v>0</v>
      </c>
      <c r="F56" s="613">
        <f>+BdV!H551</f>
        <v>6230.78</v>
      </c>
      <c r="G56" s="613">
        <f>+BdV!I551</f>
        <v>7779.43</v>
      </c>
      <c r="H56" s="613">
        <f>+BdV!J551</f>
        <v>13072.970000000001</v>
      </c>
      <c r="I56" s="609">
        <v>15000</v>
      </c>
      <c r="J56" s="609">
        <v>15000</v>
      </c>
      <c r="K56" s="609">
        <v>15000</v>
      </c>
      <c r="L56" s="609">
        <v>15000</v>
      </c>
      <c r="M56" s="609">
        <v>15000</v>
      </c>
      <c r="O56" s="608" t="str">
        <f t="shared" si="2"/>
        <v>n/a</v>
      </c>
      <c r="P56" s="608" t="str">
        <f t="shared" si="3"/>
        <v>n/a</v>
      </c>
      <c r="Q56" s="608" t="str">
        <f t="shared" si="4"/>
        <v>n/a</v>
      </c>
      <c r="R56" s="608">
        <f t="shared" si="5"/>
        <v>0.14032513293859328</v>
      </c>
      <c r="T56" s="635">
        <f>+C56/Ricavi!C$12</f>
        <v>0</v>
      </c>
      <c r="U56" s="635">
        <f>+D56/Ricavi!D$12</f>
        <v>0</v>
      </c>
      <c r="V56" s="635">
        <f>+E56/Ricavi!E$12</f>
        <v>0</v>
      </c>
      <c r="W56" s="635">
        <f>+F56/Ricavi!F$12</f>
        <v>2.0007347865622763E-4</v>
      </c>
      <c r="X56" s="635">
        <f>+G56/Ricavi!G$12</f>
        <v>1.5247522138444971E-4</v>
      </c>
      <c r="Y56" s="635">
        <f>+H56/Ricavi!H$12</f>
        <v>5.0784104922021111E-4</v>
      </c>
      <c r="AA56" s="635">
        <f t="shared" si="6"/>
        <v>7.050974000813547E-5</v>
      </c>
    </row>
    <row r="57" spans="2:31">
      <c r="B57" s="604" t="s">
        <v>3797</v>
      </c>
      <c r="C57" s="613">
        <f>+BdV!E552</f>
        <v>19032.900000000001</v>
      </c>
      <c r="D57" s="613">
        <f>+BdV!F552</f>
        <v>5341.57</v>
      </c>
      <c r="E57" s="613">
        <f>+BdV!G552</f>
        <v>23300.77</v>
      </c>
      <c r="F57" s="613">
        <f>+BdV!H552</f>
        <v>17751.7</v>
      </c>
      <c r="G57" s="613">
        <f>+BdV!I552</f>
        <v>21797.52</v>
      </c>
      <c r="H57" s="613">
        <f>+BdV!J552</f>
        <v>17730.8</v>
      </c>
      <c r="I57" s="609">
        <f>+$AA$57*Ricavi!J12</f>
        <v>36735.144957583077</v>
      </c>
      <c r="J57" s="609">
        <f>+$AA$57*Ricavi!K12</f>
        <v>39042.937431920742</v>
      </c>
      <c r="K57" s="609">
        <f>+$AA$57*Ricavi!L12</f>
        <v>40482.711306975129</v>
      </c>
      <c r="L57" s="609">
        <f>+$AA$57*Ricavi!M12</f>
        <v>42274.141740275685</v>
      </c>
      <c r="M57" s="609">
        <f>+$AA$57*Ricavi!N12</f>
        <v>44144.846088137485</v>
      </c>
      <c r="O57" s="608">
        <f t="shared" si="2"/>
        <v>3.4488172728062594E-2</v>
      </c>
      <c r="P57" s="608">
        <f t="shared" si="3"/>
        <v>-3.2795282962305716E-2</v>
      </c>
      <c r="Q57" s="608">
        <f t="shared" si="4"/>
        <v>-2.2961536009320049E-2</v>
      </c>
      <c r="R57" s="608">
        <f t="shared" si="5"/>
        <v>0.1515812482364407</v>
      </c>
      <c r="T57" s="635">
        <f>+C57/Ricavi!C$12</f>
        <v>7.3330158453030361E-4</v>
      </c>
      <c r="U57" s="635">
        <f>+D57/Ricavi!D$12</f>
        <v>2.1344967195401166E-4</v>
      </c>
      <c r="V57" s="635">
        <f>+E57/Ricavi!E$12</f>
        <v>8.6788922143839751E-4</v>
      </c>
      <c r="W57" s="635">
        <f>+F57/Ricavi!F$12</f>
        <v>5.7001601261186502E-4</v>
      </c>
      <c r="X57" s="635">
        <f>+G57/Ricavi!G$12</f>
        <v>4.2722689035468793E-4</v>
      </c>
      <c r="Y57" s="635">
        <f>+H57/Ricavi!H$12</f>
        <v>6.8878212644209527E-4</v>
      </c>
      <c r="AA57" s="635">
        <f t="shared" si="6"/>
        <v>5.6237667617785314E-4</v>
      </c>
    </row>
    <row r="58" spans="2:31">
      <c r="B58" s="604" t="s">
        <v>3798</v>
      </c>
      <c r="C58" s="613">
        <f>+BdV!E553</f>
        <v>3415.2</v>
      </c>
      <c r="D58" s="613">
        <f>+BdV!F553</f>
        <v>3667.87</v>
      </c>
      <c r="E58" s="613">
        <f>+BdV!G553</f>
        <v>3456.13</v>
      </c>
      <c r="F58" s="613">
        <f>+BdV!H553</f>
        <v>6169.15</v>
      </c>
      <c r="G58" s="613">
        <f>+BdV!I553</f>
        <v>7032.64</v>
      </c>
      <c r="H58" s="613">
        <f>+BdV!J553</f>
        <v>2935.35</v>
      </c>
      <c r="I58" s="609">
        <v>5000</v>
      </c>
      <c r="J58" s="609">
        <v>5000</v>
      </c>
      <c r="K58" s="609">
        <v>5000</v>
      </c>
      <c r="L58" s="609">
        <v>5000</v>
      </c>
      <c r="M58" s="609">
        <v>5000</v>
      </c>
      <c r="O58" s="608">
        <f t="shared" si="2"/>
        <v>0.19791378110225266</v>
      </c>
      <c r="P58" s="608">
        <f t="shared" si="3"/>
        <v>0.42647497900843345</v>
      </c>
      <c r="Q58" s="608">
        <f t="shared" si="4"/>
        <v>0.21787597361195732</v>
      </c>
      <c r="R58" s="608">
        <f t="shared" si="5"/>
        <v>-6.5949572456033057E-2</v>
      </c>
      <c r="T58" s="635">
        <f>+C58/Ricavi!C$12</f>
        <v>1.3158118686526447E-4</v>
      </c>
      <c r="U58" s="635">
        <f>+D58/Ricavi!D$12</f>
        <v>1.465684523969471E-4</v>
      </c>
      <c r="V58" s="635">
        <f>+E58/Ricavi!E$12</f>
        <v>1.2873128119327769E-4</v>
      </c>
      <c r="W58" s="635">
        <f>+F58/Ricavi!F$12</f>
        <v>1.9809450836846536E-4</v>
      </c>
      <c r="X58" s="635">
        <f>+G58/Ricavi!G$12</f>
        <v>1.3783829161225647E-4</v>
      </c>
      <c r="Y58" s="635">
        <f>+H58/Ricavi!H$12</f>
        <v>1.1402850490963773E-4</v>
      </c>
      <c r="AA58" s="635">
        <f t="shared" si="6"/>
        <v>1.4856274408724221E-4</v>
      </c>
    </row>
    <row r="59" spans="2:31">
      <c r="B59" s="604" t="s">
        <v>3799</v>
      </c>
      <c r="C59" s="613">
        <f>+BdV!E554</f>
        <v>0</v>
      </c>
      <c r="D59" s="613">
        <f>+BdV!F554</f>
        <v>0</v>
      </c>
      <c r="E59" s="613">
        <f>+BdV!G554</f>
        <v>0</v>
      </c>
      <c r="F59" s="613">
        <f>+BdV!H554</f>
        <v>965.94</v>
      </c>
      <c r="G59" s="613">
        <f>+BdV!I554</f>
        <v>2367.31</v>
      </c>
      <c r="H59" s="613">
        <f>+BdV!J554</f>
        <v>1766.64</v>
      </c>
      <c r="I59" s="609">
        <f>+G59*(1+$AB$59)</f>
        <v>2414.6561999999999</v>
      </c>
      <c r="J59" s="609">
        <f t="shared" ref="J59:M59" si="33">+I59*(1+$AB$59)</f>
        <v>2462.9493240000002</v>
      </c>
      <c r="K59" s="609">
        <f t="shared" si="33"/>
        <v>2512.2083104800004</v>
      </c>
      <c r="L59" s="609">
        <f t="shared" si="33"/>
        <v>2562.4524766896002</v>
      </c>
      <c r="M59" s="609">
        <f t="shared" si="33"/>
        <v>2613.7015262233922</v>
      </c>
      <c r="O59" s="608" t="str">
        <f t="shared" si="2"/>
        <v>n/a</v>
      </c>
      <c r="P59" s="608" t="str">
        <f t="shared" si="3"/>
        <v>n/a</v>
      </c>
      <c r="Q59" s="608" t="str">
        <f t="shared" si="4"/>
        <v>n/a</v>
      </c>
      <c r="R59" s="608">
        <f t="shared" si="5"/>
        <v>2.0000000000000018E-2</v>
      </c>
      <c r="T59" s="635">
        <f>+C59/Ricavi!C$12</f>
        <v>0</v>
      </c>
      <c r="U59" s="635">
        <f>+D59/Ricavi!D$12</f>
        <v>0</v>
      </c>
      <c r="V59" s="635">
        <f>+E59/Ricavi!E$12</f>
        <v>0</v>
      </c>
      <c r="W59" s="635">
        <f>+F59/Ricavi!F$12</f>
        <v>3.1016819077739304E-5</v>
      </c>
      <c r="X59" s="635">
        <f>+G59/Ricavi!G$12</f>
        <v>4.6398787100805796E-5</v>
      </c>
      <c r="Y59" s="635">
        <f>+H59/Ricavi!H$12</f>
        <v>6.8628040238323342E-5</v>
      </c>
      <c r="AA59" s="635">
        <f t="shared" si="6"/>
        <v>1.548312123570902E-5</v>
      </c>
      <c r="AB59" s="647">
        <v>0.02</v>
      </c>
      <c r="AC59" s="647"/>
      <c r="AD59" s="647"/>
    </row>
    <row r="60" spans="2:31">
      <c r="B60" s="604" t="s">
        <v>3800</v>
      </c>
      <c r="C60" s="613">
        <f>+BdV!E555</f>
        <v>74768.84</v>
      </c>
      <c r="D60" s="613">
        <f>+BdV!F555</f>
        <v>76375.53</v>
      </c>
      <c r="E60" s="613">
        <f>+BdV!G555</f>
        <v>88210.23</v>
      </c>
      <c r="F60" s="613">
        <f>+BdV!H555</f>
        <v>92703.09</v>
      </c>
      <c r="G60" s="613">
        <f>+BdV!I555</f>
        <v>104447.15</v>
      </c>
      <c r="H60" s="613">
        <f>+BdV!J555</f>
        <v>77501.600000000006</v>
      </c>
      <c r="I60" s="609">
        <f>+G60*(1+$AB$60)</f>
        <v>109669.50749999999</v>
      </c>
      <c r="J60" s="609">
        <f t="shared" ref="J60:M60" si="34">+I60*(1+$AB$60)</f>
        <v>115152.982875</v>
      </c>
      <c r="K60" s="609">
        <f t="shared" si="34"/>
        <v>120910.63201875001</v>
      </c>
      <c r="L60" s="609">
        <f t="shared" si="34"/>
        <v>126956.16361968752</v>
      </c>
      <c r="M60" s="609">
        <f t="shared" si="34"/>
        <v>133303.97180067189</v>
      </c>
      <c r="O60" s="608">
        <f t="shared" si="2"/>
        <v>8.7161308811668059E-2</v>
      </c>
      <c r="P60" s="608">
        <f t="shared" si="3"/>
        <v>8.8150133848095003E-2</v>
      </c>
      <c r="Q60" s="608">
        <f t="shared" si="4"/>
        <v>7.4297394693421337E-2</v>
      </c>
      <c r="R60" s="608">
        <f t="shared" si="5"/>
        <v>5.0000000000000044E-2</v>
      </c>
      <c r="T60" s="635">
        <f>+C60/Ricavi!C$12</f>
        <v>2.8807017766863028E-3</v>
      </c>
      <c r="U60" s="635">
        <f>+D60/Ricavi!D$12</f>
        <v>3.0519738248892697E-3</v>
      </c>
      <c r="V60" s="635">
        <f>+E60/Ricavi!E$12</f>
        <v>3.2855870358619896E-3</v>
      </c>
      <c r="W60" s="635">
        <f>+F60/Ricavi!F$12</f>
        <v>2.9767428313118658E-3</v>
      </c>
      <c r="X60" s="635">
        <f>+G60/Ricavi!G$12</f>
        <v>2.0471425694716483E-3</v>
      </c>
      <c r="Y60" s="635">
        <f>+H60/Ricavi!H$12</f>
        <v>3.0106772875823258E-3</v>
      </c>
      <c r="AA60" s="635">
        <f t="shared" si="6"/>
        <v>2.8484296076442153E-3</v>
      </c>
      <c r="AB60" s="647">
        <v>0.05</v>
      </c>
      <c r="AC60" s="647"/>
      <c r="AD60" s="647"/>
      <c r="AE60" s="840" t="s">
        <v>3725</v>
      </c>
    </row>
    <row r="61" spans="2:31">
      <c r="B61" s="604" t="s">
        <v>3801</v>
      </c>
      <c r="C61" s="613">
        <f>+BdV!E556</f>
        <v>1360.97</v>
      </c>
      <c r="D61" s="613">
        <f>+BdV!F556</f>
        <v>1421.7</v>
      </c>
      <c r="E61" s="613">
        <f>+BdV!G556</f>
        <v>1224.8</v>
      </c>
      <c r="F61" s="613">
        <f>+BdV!H556</f>
        <v>533.86</v>
      </c>
      <c r="G61" s="613">
        <f>+BdV!I556</f>
        <v>0</v>
      </c>
      <c r="H61" s="613">
        <f>+BdV!J556</f>
        <v>0</v>
      </c>
      <c r="I61" s="609">
        <v>0</v>
      </c>
      <c r="J61" s="609">
        <v>0</v>
      </c>
      <c r="K61" s="609">
        <v>0</v>
      </c>
      <c r="L61" s="609">
        <v>0</v>
      </c>
      <c r="M61" s="609">
        <v>0</v>
      </c>
      <c r="O61" s="608" t="str">
        <f t="shared" si="2"/>
        <v>n/a</v>
      </c>
      <c r="P61" s="608" t="str">
        <f t="shared" si="3"/>
        <v>n/a</v>
      </c>
      <c r="Q61" s="608">
        <f t="shared" si="4"/>
        <v>-0.26797438746433766</v>
      </c>
      <c r="R61" s="608" t="str">
        <f t="shared" si="5"/>
        <v>n/a</v>
      </c>
      <c r="T61" s="635">
        <f>+C61/Ricavi!C$12</f>
        <v>5.2435596125561907E-5</v>
      </c>
      <c r="U61" s="635">
        <f>+D61/Ricavi!D$12</f>
        <v>5.681127432889926E-5</v>
      </c>
      <c r="V61" s="635">
        <f>+E61/Ricavi!E$12</f>
        <v>4.5620411618060227E-5</v>
      </c>
      <c r="W61" s="635">
        <f>+F61/Ricavi!F$12</f>
        <v>1.7142513026525361E-5</v>
      </c>
      <c r="X61" s="635">
        <f>+G61/Ricavi!G$12</f>
        <v>0</v>
      </c>
      <c r="Y61" s="635">
        <f>+H61/Ricavi!H$12</f>
        <v>0</v>
      </c>
      <c r="AA61" s="635">
        <f t="shared" si="6"/>
        <v>3.4401959019809351E-5</v>
      </c>
    </row>
    <row r="62" spans="2:31">
      <c r="B62" s="650" t="s">
        <v>3802</v>
      </c>
      <c r="C62" s="613">
        <f>+BdV!E557</f>
        <v>782239.65</v>
      </c>
      <c r="D62" s="613">
        <f>+BdV!F557</f>
        <v>828364.03</v>
      </c>
      <c r="E62" s="613">
        <f>+BdV!G557</f>
        <v>756147.01</v>
      </c>
      <c r="F62" s="613">
        <f>+BdV!H557</f>
        <v>893333.09</v>
      </c>
      <c r="G62" s="613">
        <f>+BdV!I557</f>
        <v>1308522.8</v>
      </c>
      <c r="H62" s="613">
        <f>+BdV!J557</f>
        <v>853166.12</v>
      </c>
      <c r="I62" s="609">
        <f>+$AA$62*Ricavi!J12</f>
        <v>1903934.7677255569</v>
      </c>
      <c r="J62" s="609">
        <f>+$AA$62*Ricavi!K12</f>
        <v>2023544.6490438518</v>
      </c>
      <c r="K62" s="609">
        <f>+$AA$62*Ricavi!L12</f>
        <v>2098166.2557244357</v>
      </c>
      <c r="L62" s="609">
        <f>+$AA$62*Ricavi!M12</f>
        <v>2191013.7642849954</v>
      </c>
      <c r="M62" s="609">
        <f>+$AA$62*Ricavi!N12</f>
        <v>2287969.936695422</v>
      </c>
      <c r="O62" s="608">
        <f t="shared" si="2"/>
        <v>0.13726157870858402</v>
      </c>
      <c r="P62" s="608">
        <f t="shared" si="3"/>
        <v>0.31548992883814586</v>
      </c>
      <c r="Q62" s="608">
        <f t="shared" si="4"/>
        <v>4.5260482965112869E-2</v>
      </c>
      <c r="R62" s="608">
        <f t="shared" si="5"/>
        <v>0.11823686060676475</v>
      </c>
      <c r="T62" s="635">
        <f>+C62/Ricavi!C$12</f>
        <v>3.0138211981748975E-2</v>
      </c>
      <c r="U62" s="635">
        <f>+D62/Ricavi!D$12</f>
        <v>3.3101509567786826E-2</v>
      </c>
      <c r="V62" s="635">
        <f>+E62/Ricavi!E$12</f>
        <v>2.8164384258626312E-2</v>
      </c>
      <c r="W62" s="635">
        <f>+F62/Ricavi!F$12</f>
        <v>2.868537469065139E-2</v>
      </c>
      <c r="X62" s="635">
        <f>+G62/Ricavi!G$12</f>
        <v>2.5646776642581783E-2</v>
      </c>
      <c r="Y62" s="635">
        <f>+H62/Ricavi!H$12</f>
        <v>3.3142642990838085E-2</v>
      </c>
      <c r="AA62" s="635">
        <f t="shared" si="6"/>
        <v>2.9147251428279057E-2</v>
      </c>
    </row>
    <row r="63" spans="2:31">
      <c r="B63" s="650" t="s">
        <v>3803</v>
      </c>
      <c r="C63" s="613">
        <f>+BdV!E558</f>
        <v>273681</v>
      </c>
      <c r="D63" s="613">
        <f>+BdV!F558</f>
        <v>276304</v>
      </c>
      <c r="E63" s="613">
        <f>+BdV!G558</f>
        <v>308169.5</v>
      </c>
      <c r="F63" s="613">
        <f>+BdV!H558</f>
        <v>388370</v>
      </c>
      <c r="G63" s="613">
        <f>+BdV!I558</f>
        <v>435076</v>
      </c>
      <c r="H63" s="613">
        <f>+BdV!J558</f>
        <v>251053</v>
      </c>
      <c r="I63" s="609">
        <f>+$AA$63*Ricavi!J12</f>
        <v>706281.56582438212</v>
      </c>
      <c r="J63" s="609">
        <f>+$AA$63*Ricavi!K12</f>
        <v>750651.91700320516</v>
      </c>
      <c r="K63" s="609">
        <f>+$AA$63*Ricavi!L12</f>
        <v>778333.4668672554</v>
      </c>
      <c r="L63" s="609">
        <f>+$AA$63*Ricavi!M12</f>
        <v>812776.07742338418</v>
      </c>
      <c r="M63" s="609">
        <f>+$AA$63*Ricavi!N12</f>
        <v>848742.83344212058</v>
      </c>
      <c r="O63" s="608">
        <f t="shared" si="2"/>
        <v>0.12287165710445547</v>
      </c>
      <c r="P63" s="608">
        <f t="shared" si="3"/>
        <v>0.18819504421650568</v>
      </c>
      <c r="Q63" s="608">
        <f t="shared" si="4"/>
        <v>0.12374302471776399</v>
      </c>
      <c r="R63" s="608">
        <f t="shared" si="5"/>
        <v>0.14298938904082381</v>
      </c>
      <c r="T63" s="635">
        <f>+C63/Ricavi!C$12</f>
        <v>1.0544410518409595E-2</v>
      </c>
      <c r="U63" s="635">
        <f>+D63/Ricavi!D$12</f>
        <v>1.104113550128169E-2</v>
      </c>
      <c r="V63" s="635">
        <f>+E63/Ricavi!E$12</f>
        <v>1.1478461330937143E-2</v>
      </c>
      <c r="W63" s="635">
        <f>+F63/Ricavi!F$12</f>
        <v>1.2470755973685337E-2</v>
      </c>
      <c r="X63" s="635">
        <f>+G63/Ricavi!G$12</f>
        <v>8.5273997476757093E-3</v>
      </c>
      <c r="Y63" s="635">
        <f>+H63/Ricavi!H$12</f>
        <v>9.7525672383461191E-3</v>
      </c>
      <c r="AA63" s="635">
        <f t="shared" si="6"/>
        <v>1.0812432614397894E-2</v>
      </c>
    </row>
    <row r="64" spans="2:31">
      <c r="B64" s="604" t="s">
        <v>3804</v>
      </c>
      <c r="C64" s="613">
        <f>+BdV!E559</f>
        <v>6394.93</v>
      </c>
      <c r="D64" s="613">
        <f>+BdV!F559</f>
        <v>5009.72</v>
      </c>
      <c r="E64" s="613">
        <f>+BdV!G559</f>
        <v>4616</v>
      </c>
      <c r="F64" s="613">
        <f>+BdV!H559</f>
        <v>5054.2700000000004</v>
      </c>
      <c r="G64" s="613">
        <f>+BdV!I559</f>
        <v>7914.48</v>
      </c>
      <c r="H64" s="613">
        <f>+BdV!J559</f>
        <v>8828.4</v>
      </c>
      <c r="I64" s="609">
        <f>+G64*(1+$AB$64)</f>
        <v>8072.7695999999996</v>
      </c>
      <c r="J64" s="609">
        <f t="shared" ref="J64:M64" si="35">+I64*(1+$AB$64)</f>
        <v>8234.2249919999995</v>
      </c>
      <c r="K64" s="609">
        <f t="shared" si="35"/>
        <v>8398.9094918399987</v>
      </c>
      <c r="L64" s="609">
        <f t="shared" si="35"/>
        <v>8566.8876816767988</v>
      </c>
      <c r="M64" s="609">
        <f t="shared" si="35"/>
        <v>8738.2254353103344</v>
      </c>
      <c r="O64" s="608">
        <f t="shared" si="2"/>
        <v>5.4742990187631291E-2</v>
      </c>
      <c r="P64" s="608">
        <f t="shared" si="3"/>
        <v>0.30941795846399134</v>
      </c>
      <c r="Q64" s="608">
        <f t="shared" si="4"/>
        <v>-7.5427693224482506E-2</v>
      </c>
      <c r="R64" s="608">
        <f t="shared" si="5"/>
        <v>2.0000000000000018E-2</v>
      </c>
      <c r="T64" s="635">
        <f>+C64/Ricavi!C$12</f>
        <v>2.4638453950582277E-4</v>
      </c>
      <c r="U64" s="635">
        <f>+D64/Ricavi!D$12</f>
        <v>2.0018891273192177E-4</v>
      </c>
      <c r="V64" s="635">
        <f>+E64/Ricavi!E$12</f>
        <v>1.7193322993873776E-4</v>
      </c>
      <c r="W64" s="635">
        <f>+F64/Ricavi!F$12</f>
        <v>1.6229515100321497E-4</v>
      </c>
      <c r="X64" s="635">
        <f>+G64/Ricavi!G$12</f>
        <v>1.5512217349379059E-4</v>
      </c>
      <c r="Y64" s="635">
        <f>+H64/Ricavi!H$12</f>
        <v>3.4295373728660829E-4</v>
      </c>
      <c r="AA64" s="635">
        <f t="shared" si="6"/>
        <v>1.8718480133469756E-4</v>
      </c>
      <c r="AB64" s="647">
        <v>0.02</v>
      </c>
      <c r="AC64" s="647"/>
      <c r="AD64" s="647"/>
      <c r="AE64" s="840" t="s">
        <v>3726</v>
      </c>
    </row>
    <row r="65" spans="2:31">
      <c r="B65" s="604" t="s">
        <v>3875</v>
      </c>
      <c r="C65" s="613">
        <f>+BdV!E560</f>
        <v>0</v>
      </c>
      <c r="D65" s="613">
        <f>+BdV!F560</f>
        <v>0</v>
      </c>
      <c r="E65" s="613">
        <f>+BdV!G560</f>
        <v>0</v>
      </c>
      <c r="F65" s="613">
        <f>+BdV!H560</f>
        <v>0</v>
      </c>
      <c r="G65" s="613">
        <f>+BdV!I560</f>
        <v>0</v>
      </c>
      <c r="H65" s="613">
        <f>+BdV!J560</f>
        <v>0</v>
      </c>
      <c r="I65" s="609">
        <v>0</v>
      </c>
      <c r="J65" s="609">
        <v>0</v>
      </c>
      <c r="K65" s="609">
        <v>0</v>
      </c>
      <c r="L65" s="609">
        <v>0</v>
      </c>
      <c r="M65" s="609">
        <v>0</v>
      </c>
      <c r="O65" s="608" t="str">
        <f t="shared" si="2"/>
        <v>n/a</v>
      </c>
      <c r="P65" s="608" t="str">
        <f t="shared" si="3"/>
        <v>n/a</v>
      </c>
      <c r="Q65" s="608" t="str">
        <f t="shared" si="4"/>
        <v>n/a</v>
      </c>
      <c r="R65" s="608" t="str">
        <f t="shared" si="5"/>
        <v>n/a</v>
      </c>
      <c r="T65" s="635">
        <f>+C65/Ricavi!C$12</f>
        <v>0</v>
      </c>
      <c r="U65" s="635">
        <f>+D65/Ricavi!D$12</f>
        <v>0</v>
      </c>
      <c r="V65" s="635">
        <f>+E65/Ricavi!E$12</f>
        <v>0</v>
      </c>
      <c r="W65" s="635">
        <f>+F65/Ricavi!F$12</f>
        <v>0</v>
      </c>
      <c r="X65" s="635">
        <f>+G65/Ricavi!G$12</f>
        <v>0</v>
      </c>
      <c r="Y65" s="635">
        <f>+H65/Ricavi!H$12</f>
        <v>0</v>
      </c>
      <c r="AA65" s="635">
        <f t="shared" si="6"/>
        <v>0</v>
      </c>
    </row>
    <row r="66" spans="2:31">
      <c r="B66" s="604" t="s">
        <v>3805</v>
      </c>
      <c r="C66" s="613">
        <f>+BdV!E561</f>
        <v>4680</v>
      </c>
      <c r="D66" s="613">
        <f>+BdV!F561</f>
        <v>4680</v>
      </c>
      <c r="E66" s="613">
        <f>+BdV!G561</f>
        <v>9600</v>
      </c>
      <c r="F66" s="613">
        <f>+BdV!H561</f>
        <v>5100</v>
      </c>
      <c r="G66" s="613">
        <f>+BdV!I561</f>
        <v>2174.8200000000002</v>
      </c>
      <c r="H66" s="613">
        <f>+BdV!J561</f>
        <v>2833.51</v>
      </c>
      <c r="I66" s="609">
        <f>+G66*(1+$AB$66)</f>
        <v>2218.3164000000002</v>
      </c>
      <c r="J66" s="609">
        <f t="shared" ref="J66:M66" si="36">+I66*(1+$AB$66)</f>
        <v>2262.6827280000002</v>
      </c>
      <c r="K66" s="609">
        <f t="shared" si="36"/>
        <v>2307.9363825600003</v>
      </c>
      <c r="L66" s="609">
        <f t="shared" si="36"/>
        <v>2354.0951102112003</v>
      </c>
      <c r="M66" s="609">
        <f t="shared" si="36"/>
        <v>2401.1770124154245</v>
      </c>
      <c r="O66" s="608">
        <f t="shared" si="2"/>
        <v>-0.17435307784030396</v>
      </c>
      <c r="P66" s="608">
        <f t="shared" si="3"/>
        <v>-0.52403387725595429</v>
      </c>
      <c r="Q66" s="608">
        <f t="shared" si="4"/>
        <v>2.9061762174487082E-2</v>
      </c>
      <c r="R66" s="608">
        <f t="shared" si="5"/>
        <v>2.0000000000000018E-2</v>
      </c>
      <c r="T66" s="635">
        <f>+C66/Ricavi!C$12</f>
        <v>1.8031153505781151E-4</v>
      </c>
      <c r="U66" s="635">
        <f>+D66/Ricavi!D$12</f>
        <v>1.8701326852306992E-4</v>
      </c>
      <c r="V66" s="635">
        <f>+E66/Ricavi!E$12</f>
        <v>3.5757344181366608E-4</v>
      </c>
      <c r="W66" s="635">
        <f>+F66/Ricavi!F$12</f>
        <v>1.6376356429640605E-4</v>
      </c>
      <c r="X66" s="635">
        <f>+G66/Ricavi!G$12</f>
        <v>4.2626022854030302E-5</v>
      </c>
      <c r="Y66" s="635">
        <f>+H66/Ricavi!H$12</f>
        <v>1.1007236239171057E-4</v>
      </c>
      <c r="AA66" s="635">
        <f t="shared" si="6"/>
        <v>1.8625756650899678E-4</v>
      </c>
      <c r="AB66" s="647">
        <v>0.02</v>
      </c>
      <c r="AC66" s="647"/>
      <c r="AD66" s="647"/>
      <c r="AE66" s="840" t="s">
        <v>3726</v>
      </c>
    </row>
    <row r="67" spans="2:31">
      <c r="B67" s="604" t="s">
        <v>3806</v>
      </c>
      <c r="C67" s="613">
        <f>+BdV!E562</f>
        <v>3356.5</v>
      </c>
      <c r="D67" s="613">
        <f>+BdV!F562</f>
        <v>3420.6</v>
      </c>
      <c r="E67" s="613">
        <f>+BdV!G562</f>
        <v>4429.88</v>
      </c>
      <c r="F67" s="613">
        <f>+BdV!H562</f>
        <v>6257.46</v>
      </c>
      <c r="G67" s="613">
        <f>+BdV!I562</f>
        <v>6378.82</v>
      </c>
      <c r="H67" s="613">
        <f>+BdV!J562</f>
        <v>4025.7</v>
      </c>
      <c r="I67" s="609">
        <f>+G67*(1+$AB$67)</f>
        <v>6506.3963999999996</v>
      </c>
      <c r="J67" s="609">
        <f t="shared" ref="J67:M67" si="37">+I67*(1+$AB$67)</f>
        <v>6636.5243279999995</v>
      </c>
      <c r="K67" s="609">
        <f t="shared" si="37"/>
        <v>6769.2548145599994</v>
      </c>
      <c r="L67" s="609">
        <f t="shared" si="37"/>
        <v>6904.6399108511996</v>
      </c>
      <c r="M67" s="609">
        <f t="shared" si="37"/>
        <v>7042.7327090682238</v>
      </c>
      <c r="O67" s="608">
        <f t="shared" si="2"/>
        <v>0.17412253596797811</v>
      </c>
      <c r="P67" s="608">
        <f t="shared" si="3"/>
        <v>0.19998051097673009</v>
      </c>
      <c r="Q67" s="608">
        <f t="shared" si="4"/>
        <v>0.23075179222313413</v>
      </c>
      <c r="R67" s="608">
        <f t="shared" si="5"/>
        <v>2.0000000000000018E-2</v>
      </c>
      <c r="T67" s="635">
        <f>+C67/Ricavi!C$12</f>
        <v>1.2931958705588554E-4</v>
      </c>
      <c r="U67" s="635">
        <f>+D67/Ricavi!D$12</f>
        <v>1.3668751844231046E-4</v>
      </c>
      <c r="V67" s="635">
        <f>+E67/Ricavi!E$12</f>
        <v>1.6500077483557534E-4</v>
      </c>
      <c r="W67" s="635">
        <f>+F67/Ricavi!F$12</f>
        <v>2.0093018687101746E-4</v>
      </c>
      <c r="X67" s="635">
        <f>+G67/Ricavi!G$12</f>
        <v>1.2502355463980721E-4</v>
      </c>
      <c r="Y67" s="635">
        <f>+H67/Ricavi!H$12</f>
        <v>1.563849463316908E-4</v>
      </c>
      <c r="AA67" s="635">
        <f t="shared" si="6"/>
        <v>1.5139232436891921E-4</v>
      </c>
      <c r="AB67" s="647">
        <v>0.02</v>
      </c>
      <c r="AC67" s="647"/>
      <c r="AD67" s="647"/>
      <c r="AE67" s="840" t="s">
        <v>3726</v>
      </c>
    </row>
    <row r="68" spans="2:31">
      <c r="B68" s="604" t="s">
        <v>3807</v>
      </c>
      <c r="C68" s="613">
        <f>+BdV!E563</f>
        <v>636172.81000000006</v>
      </c>
      <c r="D68" s="613">
        <f>+BdV!F563</f>
        <v>54288.24</v>
      </c>
      <c r="E68" s="613">
        <f>+BdV!G563</f>
        <v>161428.43</v>
      </c>
      <c r="F68" s="613">
        <f>+BdV!H563</f>
        <v>276384.25</v>
      </c>
      <c r="G68" s="613">
        <f>+BdV!I563</f>
        <v>33768.639999999999</v>
      </c>
      <c r="H68" s="613">
        <f>+BdV!J563</f>
        <v>33176.239999999998</v>
      </c>
      <c r="I68" s="609">
        <f>+$AB$68*Ricavi!J12</f>
        <v>289353.87316372752</v>
      </c>
      <c r="J68" s="609">
        <f>+$AB$68*Ricavi!K12</f>
        <v>307531.79764663771</v>
      </c>
      <c r="K68" s="609">
        <f>+$AB$68*Ricavi!L12</f>
        <v>318872.54906351591</v>
      </c>
      <c r="L68" s="609">
        <f>+$AB$68*Ricavi!M12</f>
        <v>332983.21433998132</v>
      </c>
      <c r="M68" s="609">
        <f>+$AB$68*Ricavi!N12</f>
        <v>347718.30111377937</v>
      </c>
      <c r="O68" s="608">
        <f t="shared" si="2"/>
        <v>-0.52000731739937334</v>
      </c>
      <c r="P68" s="608">
        <f t="shared" si="3"/>
        <v>-0.54263094906162568</v>
      </c>
      <c r="Q68" s="608">
        <f t="shared" si="4"/>
        <v>-0.24262192441557795</v>
      </c>
      <c r="R68" s="608">
        <f t="shared" si="5"/>
        <v>0.59419996690347765</v>
      </c>
      <c r="T68" s="635">
        <f>+C68/Ricavi!C$12</f>
        <v>2.4510533319047321E-2</v>
      </c>
      <c r="U68" s="635">
        <f>+D68/Ricavi!D$12</f>
        <v>2.1693635052916381E-3</v>
      </c>
      <c r="V68" s="635">
        <f>+E68/Ricavi!E$12</f>
        <v>6.0127624293412982E-3</v>
      </c>
      <c r="W68" s="635">
        <f>+F68/Ricavi!F$12</f>
        <v>8.8748372343899935E-3</v>
      </c>
      <c r="X68" s="635">
        <f>+G68/Ricavi!G$12</f>
        <v>6.6185837006718792E-4</v>
      </c>
      <c r="Y68" s="635">
        <f>+H68/Ricavi!H$12</f>
        <v>1.288785679977965E-3</v>
      </c>
      <c r="AA68" s="635">
        <f t="shared" si="6"/>
        <v>8.4458709716274862E-3</v>
      </c>
      <c r="AB68" s="648">
        <f>+AVERAGE(U68:X68)</f>
        <v>4.4297053847725289E-3</v>
      </c>
      <c r="AC68" s="648"/>
      <c r="AD68" s="648"/>
      <c r="AE68" s="840" t="s">
        <v>3727</v>
      </c>
    </row>
    <row r="69" spans="2:31">
      <c r="B69" s="604" t="s">
        <v>3808</v>
      </c>
      <c r="C69" s="613">
        <f>+BdV!E564</f>
        <v>0</v>
      </c>
      <c r="D69" s="613">
        <f>+BdV!F564</f>
        <v>1460.39</v>
      </c>
      <c r="E69" s="613">
        <f>+BdV!G564</f>
        <v>1696</v>
      </c>
      <c r="F69" s="613">
        <f>+BdV!H564</f>
        <v>5085.12</v>
      </c>
      <c r="G69" s="613">
        <f>+BdV!I564</f>
        <v>5630.84</v>
      </c>
      <c r="H69" s="613">
        <f>+BdV!J564</f>
        <v>1873.04</v>
      </c>
      <c r="I69" s="609">
        <f>+G69</f>
        <v>5630.84</v>
      </c>
      <c r="J69" s="609">
        <f t="shared" ref="J69:M69" si="38">+I69</f>
        <v>5630.84</v>
      </c>
      <c r="K69" s="609">
        <f t="shared" si="38"/>
        <v>5630.84</v>
      </c>
      <c r="L69" s="609">
        <f t="shared" si="38"/>
        <v>5630.84</v>
      </c>
      <c r="M69" s="609">
        <f t="shared" si="38"/>
        <v>5630.84</v>
      </c>
      <c r="O69" s="608" t="str">
        <f t="shared" si="2"/>
        <v>n/a</v>
      </c>
      <c r="P69" s="608">
        <f t="shared" si="3"/>
        <v>0.82210613157329049</v>
      </c>
      <c r="Q69" s="608" t="str">
        <f t="shared" si="4"/>
        <v>n/a</v>
      </c>
      <c r="R69" s="608">
        <f t="shared" si="5"/>
        <v>0</v>
      </c>
      <c r="T69" s="635">
        <f>+C69/Ricavi!C$12</f>
        <v>0</v>
      </c>
      <c r="U69" s="635">
        <f>+D69/Ricavi!D$12</f>
        <v>5.8357330602223525E-5</v>
      </c>
      <c r="V69" s="635">
        <f>+E69/Ricavi!E$12</f>
        <v>6.3171308053747681E-5</v>
      </c>
      <c r="W69" s="635">
        <f>+F69/Ricavi!F$12</f>
        <v>1.6328576001469418E-4</v>
      </c>
      <c r="X69" s="635">
        <f>+G69/Ricavi!G$12</f>
        <v>1.1036330111337395E-4</v>
      </c>
      <c r="Y69" s="635">
        <f>+H69/Ricavi!H$12</f>
        <v>7.2761323466008431E-5</v>
      </c>
      <c r="AA69" s="635">
        <f t="shared" si="6"/>
        <v>7.9035539956807867E-5</v>
      </c>
    </row>
    <row r="70" spans="2:31">
      <c r="B70" s="604" t="s">
        <v>3809</v>
      </c>
      <c r="C70" s="613">
        <f>+BdV!E565</f>
        <v>69932.92</v>
      </c>
      <c r="D70" s="613">
        <f>+BdV!F565</f>
        <v>89986.84</v>
      </c>
      <c r="E70" s="613">
        <f>+BdV!G565</f>
        <v>39772.85</v>
      </c>
      <c r="F70" s="613">
        <f>+BdV!H565</f>
        <v>45309.42</v>
      </c>
      <c r="G70" s="613">
        <f>+BdV!I565</f>
        <v>52417.66</v>
      </c>
      <c r="H70" s="613">
        <f>+BdV!J565</f>
        <v>34601.94</v>
      </c>
      <c r="I70" s="609">
        <f>+G70</f>
        <v>52417.66</v>
      </c>
      <c r="J70" s="609">
        <f t="shared" ref="J70:M70" si="39">+I70</f>
        <v>52417.66</v>
      </c>
      <c r="K70" s="609">
        <f t="shared" si="39"/>
        <v>52417.66</v>
      </c>
      <c r="L70" s="609">
        <f t="shared" si="39"/>
        <v>52417.66</v>
      </c>
      <c r="M70" s="609">
        <f t="shared" si="39"/>
        <v>52417.66</v>
      </c>
      <c r="O70" s="608">
        <f t="shared" si="2"/>
        <v>-6.9537248992768808E-2</v>
      </c>
      <c r="P70" s="608">
        <f t="shared" si="3"/>
        <v>0.14800943828907109</v>
      </c>
      <c r="Q70" s="608">
        <f t="shared" si="4"/>
        <v>-0.13469553068124074</v>
      </c>
      <c r="R70" s="608">
        <f t="shared" si="5"/>
        <v>0</v>
      </c>
      <c r="T70" s="635">
        <f>+C70/Ricavi!C$12</f>
        <v>2.6943829393750269E-3</v>
      </c>
      <c r="U70" s="635">
        <f>+D70/Ricavi!D$12</f>
        <v>3.5958831351415661E-3</v>
      </c>
      <c r="V70" s="635">
        <f>+E70/Ricavi!E$12</f>
        <v>1.4814286317956947E-3</v>
      </c>
      <c r="W70" s="635">
        <f>+F70/Ricavi!F$12</f>
        <v>1.4549082579221307E-3</v>
      </c>
      <c r="X70" s="635">
        <f>+G70/Ricavi!G$12</f>
        <v>1.0273753106531988E-3</v>
      </c>
      <c r="Y70" s="635">
        <f>+H70/Ricavi!H$12</f>
        <v>1.3441693444301327E-3</v>
      </c>
      <c r="AA70" s="635">
        <f t="shared" si="6"/>
        <v>2.0507956549775234E-3</v>
      </c>
    </row>
    <row r="71" spans="2:31">
      <c r="B71" s="604" t="s">
        <v>3810</v>
      </c>
      <c r="C71" s="613">
        <f>+BdV!E566</f>
        <v>638</v>
      </c>
      <c r="D71" s="613">
        <f>+BdV!F566</f>
        <v>48.86</v>
      </c>
      <c r="E71" s="613">
        <f>+BdV!G566</f>
        <v>287.58999999999997</v>
      </c>
      <c r="F71" s="613">
        <f>+BdV!H566</f>
        <v>16.39</v>
      </c>
      <c r="G71" s="613">
        <f>+BdV!I566</f>
        <v>13.92</v>
      </c>
      <c r="H71" s="613">
        <f>+BdV!J566</f>
        <v>1175</v>
      </c>
      <c r="I71" s="609">
        <v>0</v>
      </c>
      <c r="J71" s="609">
        <v>0</v>
      </c>
      <c r="K71" s="609">
        <v>0</v>
      </c>
      <c r="L71" s="609">
        <v>0</v>
      </c>
      <c r="M71" s="609">
        <v>0</v>
      </c>
      <c r="O71" s="608">
        <f t="shared" si="2"/>
        <v>-0.61566968741042649</v>
      </c>
      <c r="P71" s="608">
        <f t="shared" si="3"/>
        <v>-0.77999491074295113</v>
      </c>
      <c r="Q71" s="608">
        <f t="shared" si="4"/>
        <v>-0.7049338263075875</v>
      </c>
      <c r="R71" s="608" t="str">
        <f t="shared" si="5"/>
        <v>n/a</v>
      </c>
      <c r="T71" s="635">
        <f>+C71/Ricavi!C$12</f>
        <v>2.4580931488650372E-5</v>
      </c>
      <c r="U71" s="635">
        <f>+D71/Ricavi!D$12</f>
        <v>1.9524504914609393E-6</v>
      </c>
      <c r="V71" s="635">
        <f>+E71/Ricavi!E$12</f>
        <v>1.0711931888665856E-5</v>
      </c>
      <c r="W71" s="635">
        <f>+F71/Ricavi!F$12</f>
        <v>5.2629114094472453E-7</v>
      </c>
      <c r="X71" s="635">
        <f>+G71/Ricavi!G$12</f>
        <v>2.7282912522788171E-7</v>
      </c>
      <c r="Y71" s="635">
        <f>+H71/Ricavi!H$12</f>
        <v>4.5644810080169088E-5</v>
      </c>
      <c r="AA71" s="635">
        <f t="shared" si="6"/>
        <v>7.6088868269899532E-6</v>
      </c>
    </row>
    <row r="72" spans="2:31">
      <c r="B72" s="604" t="s">
        <v>3811</v>
      </c>
      <c r="C72" s="613">
        <f>+BdV!E567</f>
        <v>25419.85</v>
      </c>
      <c r="D72" s="613">
        <f>+BdV!F567</f>
        <v>21367.83</v>
      </c>
      <c r="E72" s="613">
        <f>+BdV!G567</f>
        <v>21419.33</v>
      </c>
      <c r="F72" s="613">
        <f>+BdV!H567</f>
        <v>13070.38</v>
      </c>
      <c r="G72" s="613">
        <f>+BdV!I567</f>
        <v>3812</v>
      </c>
      <c r="H72" s="613">
        <f>+BdV!J567</f>
        <v>2943.42</v>
      </c>
      <c r="I72" s="609">
        <v>10000</v>
      </c>
      <c r="J72" s="609">
        <v>10000</v>
      </c>
      <c r="K72" s="609">
        <v>10000</v>
      </c>
      <c r="L72" s="609">
        <v>10000</v>
      </c>
      <c r="M72" s="609">
        <v>10000</v>
      </c>
      <c r="O72" s="608">
        <f t="shared" si="2"/>
        <v>-0.37770691207463769</v>
      </c>
      <c r="P72" s="608">
        <f t="shared" si="3"/>
        <v>-0.57813499090461962</v>
      </c>
      <c r="Q72" s="608">
        <f t="shared" si="4"/>
        <v>-0.19886615979747113</v>
      </c>
      <c r="R72" s="608">
        <f t="shared" si="5"/>
        <v>0.21274480131235718</v>
      </c>
      <c r="T72" s="635">
        <f>+C72/Ricavi!C$12</f>
        <v>9.7937866975198926E-4</v>
      </c>
      <c r="U72" s="635">
        <f>+D72/Ricavi!D$12</f>
        <v>8.5386062597121997E-4</v>
      </c>
      <c r="V72" s="635">
        <f>+E72/Ricavi!E$12</f>
        <v>7.978107864002826E-4</v>
      </c>
      <c r="W72" s="635">
        <f>+F72/Ricavi!F$12</f>
        <v>4.1969647362910973E-4</v>
      </c>
      <c r="X72" s="635">
        <f>+G72/Ricavi!G$12</f>
        <v>7.4714412742003244E-5</v>
      </c>
      <c r="Y72" s="635">
        <f>+H72/Ricavi!H$12</f>
        <v>1.1434199734993302E-4</v>
      </c>
      <c r="AA72" s="635">
        <f t="shared" si="6"/>
        <v>6.25092193698921E-4</v>
      </c>
    </row>
    <row r="73" spans="2:31">
      <c r="B73" s="604" t="s">
        <v>3812</v>
      </c>
      <c r="C73" s="613">
        <f>+BdV!E568</f>
        <v>21178.53</v>
      </c>
      <c r="D73" s="613">
        <f>+BdV!F568</f>
        <v>14591.65</v>
      </c>
      <c r="E73" s="613">
        <f>+BdV!G568</f>
        <v>30109.78</v>
      </c>
      <c r="F73" s="613">
        <f>+BdV!H568</f>
        <v>18343.689999999999</v>
      </c>
      <c r="G73" s="613">
        <f>+BdV!I568</f>
        <v>93859.5</v>
      </c>
      <c r="H73" s="613">
        <f>+BdV!J568</f>
        <v>125087.29</v>
      </c>
      <c r="I73" s="609">
        <v>130000</v>
      </c>
      <c r="J73" s="609">
        <f>+I73</f>
        <v>130000</v>
      </c>
      <c r="K73" s="609">
        <f t="shared" ref="K73:M73" si="40">+J73</f>
        <v>130000</v>
      </c>
      <c r="L73" s="609">
        <f t="shared" si="40"/>
        <v>130000</v>
      </c>
      <c r="M73" s="609">
        <f t="shared" si="40"/>
        <v>130000</v>
      </c>
      <c r="O73" s="608">
        <f t="shared" si="2"/>
        <v>0.45092714530370492</v>
      </c>
      <c r="P73" s="608">
        <f t="shared" si="3"/>
        <v>0.76557157002932641</v>
      </c>
      <c r="Q73" s="608">
        <f t="shared" si="4"/>
        <v>-4.6771621300713107E-2</v>
      </c>
      <c r="R73" s="608">
        <f t="shared" si="5"/>
        <v>6.7316008018559526E-2</v>
      </c>
      <c r="T73" s="635">
        <f>+C73/Ricavi!C$12</f>
        <v>8.1596864413844281E-4</v>
      </c>
      <c r="U73" s="635">
        <f>+D73/Ricavi!D$12</f>
        <v>5.8308379479586603E-4</v>
      </c>
      <c r="V73" s="635">
        <f>+E73/Ricavi!E$12</f>
        <v>1.1215060069637798E-3</v>
      </c>
      <c r="W73" s="635">
        <f>+F73/Ricavi!F$12</f>
        <v>5.890251091663413E-4</v>
      </c>
      <c r="X73" s="635">
        <f>+G73/Ricavi!G$12</f>
        <v>1.8396268160435607E-3</v>
      </c>
      <c r="Y73" s="635">
        <f>+H73/Ricavi!H$12</f>
        <v>4.8592217833983266E-3</v>
      </c>
      <c r="AA73" s="635">
        <f t="shared" si="6"/>
        <v>9.8984207422159816E-4</v>
      </c>
    </row>
    <row r="74" spans="2:31">
      <c r="B74" s="604" t="s">
        <v>3813</v>
      </c>
      <c r="C74" s="613">
        <f>+BdV!E569</f>
        <v>8283.18</v>
      </c>
      <c r="D74" s="613">
        <f>+BdV!F569</f>
        <v>9098.1</v>
      </c>
      <c r="E74" s="613">
        <f>+BdV!G569</f>
        <v>9057.26</v>
      </c>
      <c r="F74" s="613">
        <f>+BdV!H569</f>
        <v>14354.92</v>
      </c>
      <c r="G74" s="613">
        <f>+BdV!I569</f>
        <v>11974.9</v>
      </c>
      <c r="H74" s="613">
        <f>+BdV!J569</f>
        <v>11513.93</v>
      </c>
      <c r="I74" s="609">
        <f>+G74</f>
        <v>11974.9</v>
      </c>
      <c r="J74" s="609">
        <f t="shared" ref="J74:M74" si="41">+I74</f>
        <v>11974.9</v>
      </c>
      <c r="K74" s="609">
        <f t="shared" si="41"/>
        <v>11974.9</v>
      </c>
      <c r="L74" s="609">
        <f t="shared" si="41"/>
        <v>11974.9</v>
      </c>
      <c r="M74" s="609">
        <f t="shared" si="41"/>
        <v>11974.9</v>
      </c>
      <c r="O74" s="608">
        <f t="shared" si="2"/>
        <v>9.652540740315052E-2</v>
      </c>
      <c r="P74" s="608">
        <f t="shared" si="3"/>
        <v>0.14984031157884115</v>
      </c>
      <c r="Q74" s="608">
        <f t="shared" si="4"/>
        <v>0.20116100830688666</v>
      </c>
      <c r="R74" s="608">
        <f t="shared" si="5"/>
        <v>0</v>
      </c>
      <c r="T74" s="635">
        <f>+C74/Ricavi!C$12</f>
        <v>3.1913523524789811E-4</v>
      </c>
      <c r="U74" s="635">
        <f>+D74/Ricavi!D$12</f>
        <v>3.6356098682686807E-4</v>
      </c>
      <c r="V74" s="635">
        <f>+E74/Ricavi!E$12</f>
        <v>3.3735787829179638E-4</v>
      </c>
      <c r="W74" s="635">
        <f>+F74/Ricavi!F$12</f>
        <v>4.6094369889995398E-4</v>
      </c>
      <c r="X74" s="635">
        <f>+G74/Ricavi!G$12</f>
        <v>2.3470556693185062E-4</v>
      </c>
      <c r="Y74" s="635">
        <f>+H74/Ricavi!H$12</f>
        <v>4.4727757287349896E-4</v>
      </c>
      <c r="AA74" s="635">
        <f t="shared" si="6"/>
        <v>3.4314067323967345E-4</v>
      </c>
    </row>
    <row r="75" spans="2:31">
      <c r="B75" s="604" t="s">
        <v>3814</v>
      </c>
      <c r="C75" s="613">
        <f>+BdV!E570</f>
        <v>0</v>
      </c>
      <c r="D75" s="613">
        <f>+BdV!F570</f>
        <v>670</v>
      </c>
      <c r="E75" s="613">
        <f>+BdV!G570</f>
        <v>198.03</v>
      </c>
      <c r="F75" s="613">
        <f>+BdV!H570</f>
        <v>703.55</v>
      </c>
      <c r="G75" s="613">
        <f>+BdV!I570</f>
        <v>26999.96</v>
      </c>
      <c r="H75" s="613">
        <f>+BdV!J570</f>
        <v>15995.81</v>
      </c>
      <c r="I75" s="609">
        <v>10000</v>
      </c>
      <c r="J75" s="609">
        <v>10000</v>
      </c>
      <c r="K75" s="609">
        <v>10000</v>
      </c>
      <c r="L75" s="609">
        <v>10000</v>
      </c>
      <c r="M75" s="609">
        <v>10000</v>
      </c>
      <c r="O75" s="608" t="str">
        <f t="shared" si="2"/>
        <v>n/a</v>
      </c>
      <c r="P75" s="608">
        <f t="shared" si="3"/>
        <v>10.676590955712122</v>
      </c>
      <c r="Q75" s="608" t="str">
        <f t="shared" si="4"/>
        <v>n/a</v>
      </c>
      <c r="R75" s="608">
        <f t="shared" si="5"/>
        <v>-0.18016326180214592</v>
      </c>
      <c r="T75" s="635">
        <f>+C75/Ricavi!C$12</f>
        <v>0</v>
      </c>
      <c r="U75" s="635">
        <f>+D75/Ricavi!D$12</f>
        <v>2.6773267074883943E-5</v>
      </c>
      <c r="V75" s="635">
        <f>+E75/Ricavi!E$12</f>
        <v>7.3760696544125311E-6</v>
      </c>
      <c r="W75" s="635">
        <f>+F75/Ricavi!F$12</f>
        <v>2.259134424720323E-5</v>
      </c>
      <c r="X75" s="635">
        <f>+G75/Ricavi!G$12</f>
        <v>5.2919363994165204E-4</v>
      </c>
      <c r="Y75" s="635">
        <f>+H75/Ricavi!H$12</f>
        <v>6.2138358257742086E-4</v>
      </c>
      <c r="AA75" s="635">
        <f t="shared" si="6"/>
        <v>1.1718686418363035E-4</v>
      </c>
    </row>
    <row r="76" spans="2:31">
      <c r="B76" s="604" t="s">
        <v>3815</v>
      </c>
      <c r="C76" s="613">
        <f>+BdV!E571</f>
        <v>355884.2</v>
      </c>
      <c r="D76" s="613">
        <f>+BdV!F571</f>
        <v>559125.25</v>
      </c>
      <c r="E76" s="613">
        <f>+BdV!G571</f>
        <v>219947.98</v>
      </c>
      <c r="F76" s="613">
        <f>+BdV!H571</f>
        <v>945325.8</v>
      </c>
      <c r="G76" s="613">
        <f>+BdV!I571</f>
        <v>938939.98</v>
      </c>
      <c r="H76" s="613">
        <f>+BdV!J571</f>
        <v>117865.5</v>
      </c>
      <c r="I76" s="609">
        <f>+$AA$76*Ricavi!J12</f>
        <v>1215035.4625798583</v>
      </c>
      <c r="J76" s="609">
        <f>+$AA$76*Ricavi!K12</f>
        <v>1291366.989237312</v>
      </c>
      <c r="K76" s="609">
        <f>+$AA$76*Ricavi!L12</f>
        <v>1338988.3153082191</v>
      </c>
      <c r="L76" s="609">
        <f>+$AA$76*Ricavi!M12</f>
        <v>1398240.8786972652</v>
      </c>
      <c r="M76" s="609">
        <f>+$AA$76*Ricavi!N12</f>
        <v>1460115.4711421551</v>
      </c>
      <c r="O76" s="608">
        <f t="shared" ref="O76:O121" si="42">IF(G76*C76&lt;=0,"n/a",IF(C76&gt;G76,-ABS((G76/C76)^(1/(4))-1),ABS((G76/C76)^(1/(4))-1)))</f>
        <v>0.27447781807129012</v>
      </c>
      <c r="P76" s="608">
        <f t="shared" ref="P76:P121" si="43">IF(G76*E76&lt;=0,"n/a",IF(E76&gt;G76,-ABS((G76/E76)^(1/(2))-1),ABS((G76/E76)^(1/(2))-1)))</f>
        <v>1.0661361051879119</v>
      </c>
      <c r="Q76" s="608">
        <f t="shared" ref="Q76:Q121" si="44">IF(F76*C76&lt;=0,"n/a",IF(C76&gt;F76,-ABS((F76/C76)^(1/(3))-1),ABS((F76/C76)^(1/(3))-1)))</f>
        <v>0.38491866319710444</v>
      </c>
      <c r="R76" s="608">
        <f t="shared" ref="R76:R121" si="45">IF(M76*G76&lt;=0,"n/a",IF(G76&gt;M76,-ABS((M76/G76)^(1/(5))-1),ABS((M76/G76)^(1/(5))-1)))</f>
        <v>9.2319971568364689E-2</v>
      </c>
      <c r="T76" s="635">
        <f>+C76/Ricavi!C$12</f>
        <v>1.3711544103594273E-2</v>
      </c>
      <c r="U76" s="635">
        <f>+D76/Ricavi!D$12</f>
        <v>2.2342700965016796E-2</v>
      </c>
      <c r="V76" s="635">
        <f>+E76/Ricavi!E$12</f>
        <v>8.1924537738086878E-3</v>
      </c>
      <c r="W76" s="635">
        <f>+F76/Ricavi!F$12</f>
        <v>3.0354886750853235E-2</v>
      </c>
      <c r="X76" s="635">
        <f>+G76/Ricavi!G$12</f>
        <v>1.8403029697189995E-2</v>
      </c>
      <c r="Y76" s="635">
        <f>+H76/Ricavi!H$12</f>
        <v>4.5786794574503567E-3</v>
      </c>
      <c r="AA76" s="635">
        <f>+AVERAGE(T76:X76)</f>
        <v>1.8600923058092595E-2</v>
      </c>
    </row>
    <row r="77" spans="2:31">
      <c r="B77" s="604" t="s">
        <v>3876</v>
      </c>
      <c r="C77" s="613">
        <f>+BdV!E572</f>
        <v>0</v>
      </c>
      <c r="D77" s="613">
        <f>+BdV!F572</f>
        <v>0</v>
      </c>
      <c r="E77" s="613">
        <f>+BdV!G572</f>
        <v>0</v>
      </c>
      <c r="F77" s="613">
        <f>+BdV!H572</f>
        <v>0</v>
      </c>
      <c r="G77" s="613">
        <f>+BdV!I572</f>
        <v>0</v>
      </c>
      <c r="H77" s="613">
        <f>+BdV!J572</f>
        <v>0</v>
      </c>
      <c r="I77" s="609">
        <v>0</v>
      </c>
      <c r="J77" s="609">
        <v>0</v>
      </c>
      <c r="K77" s="609">
        <v>0</v>
      </c>
      <c r="L77" s="609">
        <v>0</v>
      </c>
      <c r="M77" s="609">
        <v>0</v>
      </c>
      <c r="O77" s="608" t="str">
        <f t="shared" si="42"/>
        <v>n/a</v>
      </c>
      <c r="P77" s="608" t="str">
        <f t="shared" si="43"/>
        <v>n/a</v>
      </c>
      <c r="Q77" s="608" t="str">
        <f t="shared" si="44"/>
        <v>n/a</v>
      </c>
      <c r="R77" s="608" t="str">
        <f t="shared" si="45"/>
        <v>n/a</v>
      </c>
      <c r="T77" s="635">
        <f>+C77/Ricavi!C$12</f>
        <v>0</v>
      </c>
      <c r="U77" s="635">
        <f>+D77/Ricavi!D$12</f>
        <v>0</v>
      </c>
      <c r="V77" s="635">
        <f>+E77/Ricavi!E$12</f>
        <v>0</v>
      </c>
      <c r="W77" s="635">
        <f>+F77/Ricavi!F$12</f>
        <v>0</v>
      </c>
      <c r="X77" s="635">
        <f>+G77/Ricavi!G$12</f>
        <v>0</v>
      </c>
      <c r="Y77" s="635">
        <f>+H77/Ricavi!H$12</f>
        <v>0</v>
      </c>
      <c r="AA77" s="635">
        <f t="shared" ref="AA77:AA121" si="46">+AVERAGE(T77:X77)</f>
        <v>0</v>
      </c>
    </row>
    <row r="78" spans="2:31">
      <c r="B78" s="604" t="s">
        <v>3877</v>
      </c>
      <c r="C78" s="613">
        <f>+BdV!E573</f>
        <v>0</v>
      </c>
      <c r="D78" s="613">
        <f>+BdV!F573</f>
        <v>0</v>
      </c>
      <c r="E78" s="613">
        <f>+BdV!G573</f>
        <v>0</v>
      </c>
      <c r="F78" s="613">
        <f>+BdV!H573</f>
        <v>0</v>
      </c>
      <c r="G78" s="613">
        <f>+BdV!I573</f>
        <v>0</v>
      </c>
      <c r="H78" s="613">
        <f>+BdV!J573</f>
        <v>0</v>
      </c>
      <c r="I78" s="609">
        <v>0</v>
      </c>
      <c r="J78" s="609">
        <v>0</v>
      </c>
      <c r="K78" s="609">
        <v>0</v>
      </c>
      <c r="L78" s="609">
        <v>0</v>
      </c>
      <c r="M78" s="609">
        <v>0</v>
      </c>
      <c r="O78" s="608" t="str">
        <f t="shared" si="42"/>
        <v>n/a</v>
      </c>
      <c r="P78" s="608" t="str">
        <f t="shared" si="43"/>
        <v>n/a</v>
      </c>
      <c r="Q78" s="608" t="str">
        <f t="shared" si="44"/>
        <v>n/a</v>
      </c>
      <c r="R78" s="608" t="str">
        <f t="shared" si="45"/>
        <v>n/a</v>
      </c>
      <c r="T78" s="635">
        <f>+C78/Ricavi!C$12</f>
        <v>0</v>
      </c>
      <c r="U78" s="635">
        <f>+D78/Ricavi!D$12</f>
        <v>0</v>
      </c>
      <c r="V78" s="635">
        <f>+E78/Ricavi!E$12</f>
        <v>0</v>
      </c>
      <c r="W78" s="635">
        <f>+F78/Ricavi!F$12</f>
        <v>0</v>
      </c>
      <c r="X78" s="635">
        <f>+G78/Ricavi!G$12</f>
        <v>0</v>
      </c>
      <c r="Y78" s="635">
        <f>+H78/Ricavi!H$12</f>
        <v>0</v>
      </c>
      <c r="AA78" s="635">
        <f t="shared" si="46"/>
        <v>0</v>
      </c>
    </row>
    <row r="79" spans="2:31">
      <c r="B79" s="650" t="s">
        <v>3816</v>
      </c>
      <c r="C79" s="613">
        <f>+BdV!E574</f>
        <v>57777.22</v>
      </c>
      <c r="D79" s="613">
        <f>+BdV!F574</f>
        <v>42954.51</v>
      </c>
      <c r="E79" s="613">
        <f>+BdV!G574</f>
        <v>65956.160000000003</v>
      </c>
      <c r="F79" s="613">
        <f>+BdV!H574</f>
        <v>67736.27</v>
      </c>
      <c r="G79" s="613">
        <f>+BdV!I574</f>
        <v>132888.29</v>
      </c>
      <c r="H79" s="613">
        <f>+BdV!J574</f>
        <v>64979.979999999996</v>
      </c>
      <c r="I79" s="609">
        <f>+Personale!J50</f>
        <v>136792.45716209081</v>
      </c>
      <c r="J79" s="609">
        <f>+Personale!K50</f>
        <v>138199.71192610584</v>
      </c>
      <c r="K79" s="609">
        <f>+Personale!L50</f>
        <v>140900.74567888267</v>
      </c>
      <c r="L79" s="609">
        <f>+Personale!M50</f>
        <v>144109.54838911991</v>
      </c>
      <c r="M79" s="609">
        <f>+Personale!N50</f>
        <v>147535.92815706271</v>
      </c>
      <c r="O79" s="608">
        <f t="shared" si="42"/>
        <v>0.23149461706828167</v>
      </c>
      <c r="P79" s="608">
        <f t="shared" si="43"/>
        <v>0.41943554034896757</v>
      </c>
      <c r="Q79" s="608">
        <f t="shared" si="44"/>
        <v>5.4439206045018285E-2</v>
      </c>
      <c r="R79" s="608">
        <f t="shared" si="45"/>
        <v>2.1132775481908617E-2</v>
      </c>
      <c r="T79" s="635">
        <f>+C79/Ricavi!C$12</f>
        <v>2.2260468439258309E-3</v>
      </c>
      <c r="U79" s="635">
        <f>+D79/Ricavi!D$12</f>
        <v>1.7164665198519001E-3</v>
      </c>
      <c r="V79" s="635">
        <f>+E79/Ricavi!E$12</f>
        <v>2.4566844937513386E-3</v>
      </c>
      <c r="W79" s="635">
        <f>+F79/Ricavi!F$12</f>
        <v>2.1750456877144553E-3</v>
      </c>
      <c r="X79" s="635">
        <f>+G79/Ricavi!G$12</f>
        <v>2.6045830397793865E-3</v>
      </c>
      <c r="Y79" s="635">
        <f>+H79/Ricavi!H$12</f>
        <v>2.5242543371176047E-3</v>
      </c>
      <c r="AA79" s="635">
        <f t="shared" si="46"/>
        <v>2.2357653170045821E-3</v>
      </c>
      <c r="AC79" s="840" t="s">
        <v>4262</v>
      </c>
    </row>
    <row r="80" spans="2:31">
      <c r="B80" s="650" t="s">
        <v>3817</v>
      </c>
      <c r="C80" s="613">
        <f>+BdV!E575</f>
        <v>34917.96</v>
      </c>
      <c r="D80" s="613">
        <f>+BdV!F575</f>
        <v>44595.360000000001</v>
      </c>
      <c r="E80" s="613">
        <f>+BdV!G575</f>
        <v>40382.629999999997</v>
      </c>
      <c r="F80" s="613">
        <f>+BdV!H575</f>
        <v>52642.79</v>
      </c>
      <c r="G80" s="613">
        <f>+BdV!I575</f>
        <v>82564.490000000005</v>
      </c>
      <c r="H80" s="613">
        <f>+BdV!J575</f>
        <v>7508.72</v>
      </c>
      <c r="I80" s="609">
        <f>+Personale!J51</f>
        <v>95918.003162740133</v>
      </c>
      <c r="J80" s="609">
        <f>+Personale!K51</f>
        <v>96904.761275766985</v>
      </c>
      <c r="K80" s="609">
        <f>+Personale!L51</f>
        <v>98798.709008093516</v>
      </c>
      <c r="L80" s="609">
        <f>+Personale!M51</f>
        <v>101048.70111214968</v>
      </c>
      <c r="M80" s="609">
        <f>+Personale!N51</f>
        <v>103451.25686877927</v>
      </c>
      <c r="O80" s="608">
        <f t="shared" si="42"/>
        <v>0.24004118618523052</v>
      </c>
      <c r="P80" s="608">
        <f t="shared" si="43"/>
        <v>0.42987920898634591</v>
      </c>
      <c r="Q80" s="608">
        <f t="shared" si="44"/>
        <v>0.14664771967004242</v>
      </c>
      <c r="R80" s="608">
        <f t="shared" si="45"/>
        <v>4.6136834219563383E-2</v>
      </c>
      <c r="T80" s="635">
        <f>+C80/Ricavi!C$12</f>
        <v>1.3453228565571066E-3</v>
      </c>
      <c r="U80" s="635">
        <f>+D80/Ricavi!D$12</f>
        <v>1.7820350501202931E-3</v>
      </c>
      <c r="V80" s="635">
        <f>+E80/Ricavi!E$12</f>
        <v>1.5041412498528965E-3</v>
      </c>
      <c r="W80" s="635">
        <f>+F80/Ricavi!F$12</f>
        <v>1.6903864558641571E-3</v>
      </c>
      <c r="X80" s="635">
        <f>+G80/Ricavi!G$12</f>
        <v>1.6182469527001573E-3</v>
      </c>
      <c r="Y80" s="635">
        <f>+H80/Ricavi!H$12</f>
        <v>2.9168859433631255E-4</v>
      </c>
      <c r="AA80" s="635">
        <f t="shared" si="46"/>
        <v>1.5880265130189222E-3</v>
      </c>
      <c r="AC80" s="840" t="s">
        <v>4484</v>
      </c>
    </row>
    <row r="81" spans="2:30">
      <c r="B81" s="604" t="s">
        <v>3818</v>
      </c>
      <c r="C81" s="613">
        <f>+BdV!E576</f>
        <v>0</v>
      </c>
      <c r="D81" s="613">
        <f>+BdV!F576</f>
        <v>0</v>
      </c>
      <c r="E81" s="613">
        <f>+BdV!G576</f>
        <v>0</v>
      </c>
      <c r="F81" s="613">
        <f>+BdV!H576</f>
        <v>0</v>
      </c>
      <c r="G81" s="613">
        <f>+BdV!I576</f>
        <v>12500</v>
      </c>
      <c r="H81" s="613">
        <f>+BdV!J576</f>
        <v>0</v>
      </c>
      <c r="I81" s="609">
        <f>+G81</f>
        <v>12500</v>
      </c>
      <c r="J81" s="609">
        <f t="shared" ref="J81:M81" si="47">+I81</f>
        <v>12500</v>
      </c>
      <c r="K81" s="609">
        <f t="shared" si="47"/>
        <v>12500</v>
      </c>
      <c r="L81" s="609">
        <f t="shared" si="47"/>
        <v>12500</v>
      </c>
      <c r="M81" s="609">
        <f t="shared" si="47"/>
        <v>12500</v>
      </c>
      <c r="O81" s="608" t="str">
        <f t="shared" si="42"/>
        <v>n/a</v>
      </c>
      <c r="P81" s="608" t="str">
        <f t="shared" si="43"/>
        <v>n/a</v>
      </c>
      <c r="Q81" s="608" t="str">
        <f t="shared" si="44"/>
        <v>n/a</v>
      </c>
      <c r="R81" s="608">
        <f t="shared" si="45"/>
        <v>0</v>
      </c>
      <c r="T81" s="635">
        <f>+C81/Ricavi!C$12</f>
        <v>0</v>
      </c>
      <c r="U81" s="635">
        <f>+D81/Ricavi!D$12</f>
        <v>0</v>
      </c>
      <c r="V81" s="635">
        <f>+E81/Ricavi!E$12</f>
        <v>0</v>
      </c>
      <c r="W81" s="635">
        <f>+F81/Ricavi!F$12</f>
        <v>0</v>
      </c>
      <c r="X81" s="635">
        <f>+G81/Ricavi!G$12</f>
        <v>2.4499741848768114E-4</v>
      </c>
      <c r="Y81" s="635">
        <f>+H81/Ricavi!H$12</f>
        <v>0</v>
      </c>
      <c r="AA81" s="635">
        <f t="shared" si="46"/>
        <v>4.8999483697536231E-5</v>
      </c>
    </row>
    <row r="82" spans="2:30">
      <c r="B82" s="604" t="s">
        <v>3819</v>
      </c>
      <c r="C82" s="613">
        <f>+BdV!E577</f>
        <v>6000</v>
      </c>
      <c r="D82" s="613">
        <f>+BdV!F577</f>
        <v>6000</v>
      </c>
      <c r="E82" s="613">
        <f>+BdV!G577</f>
        <v>6000</v>
      </c>
      <c r="F82" s="613">
        <f>+BdV!H577</f>
        <v>6000</v>
      </c>
      <c r="G82" s="613">
        <f>+BdV!I577</f>
        <v>6000</v>
      </c>
      <c r="H82" s="613">
        <f>+BdV!J577</f>
        <v>0</v>
      </c>
      <c r="I82" s="609">
        <v>26000</v>
      </c>
      <c r="J82" s="609">
        <f t="shared" ref="J82:M82" si="48">+I82</f>
        <v>26000</v>
      </c>
      <c r="K82" s="609">
        <f t="shared" si="48"/>
        <v>26000</v>
      </c>
      <c r="L82" s="609">
        <f t="shared" si="48"/>
        <v>26000</v>
      </c>
      <c r="M82" s="609">
        <f t="shared" si="48"/>
        <v>26000</v>
      </c>
      <c r="O82" s="608">
        <f t="shared" si="42"/>
        <v>0</v>
      </c>
      <c r="P82" s="608">
        <f t="shared" si="43"/>
        <v>0</v>
      </c>
      <c r="Q82" s="608">
        <f t="shared" si="44"/>
        <v>0</v>
      </c>
      <c r="R82" s="608">
        <f t="shared" si="45"/>
        <v>0.34080129120845726</v>
      </c>
      <c r="T82" s="635">
        <f>+C82/Ricavi!C$12</f>
        <v>2.3116863468950193E-4</v>
      </c>
      <c r="U82" s="635">
        <f>+D82/Ricavi!D$12</f>
        <v>2.3976060067060247E-4</v>
      </c>
      <c r="V82" s="635">
        <f>+E82/Ricavi!E$12</f>
        <v>2.234834011335413E-4</v>
      </c>
      <c r="W82" s="635">
        <f>+F82/Ricavi!F$12</f>
        <v>1.9266301681930122E-4</v>
      </c>
      <c r="X82" s="635">
        <f>+G82/Ricavi!G$12</f>
        <v>1.1759876087408694E-4</v>
      </c>
      <c r="Y82" s="635">
        <f>+H82/Ricavi!H$12</f>
        <v>0</v>
      </c>
      <c r="AA82" s="635">
        <f t="shared" si="46"/>
        <v>2.0093488283740675E-4</v>
      </c>
    </row>
    <row r="83" spans="2:30">
      <c r="B83" s="604" t="s">
        <v>3820</v>
      </c>
      <c r="C83" s="613">
        <f>+BdV!E578</f>
        <v>1369.2</v>
      </c>
      <c r="D83" s="613">
        <f>+BdV!F578</f>
        <v>1369.2</v>
      </c>
      <c r="E83" s="613">
        <f>+BdV!G578</f>
        <v>1369.43</v>
      </c>
      <c r="F83" s="613">
        <f>+BdV!H578</f>
        <v>1369.2</v>
      </c>
      <c r="G83" s="613">
        <f>+BdV!I578</f>
        <v>1401</v>
      </c>
      <c r="H83" s="613">
        <f>+BdV!J578</f>
        <v>18265.5</v>
      </c>
      <c r="I83" s="609">
        <f>+G83</f>
        <v>1401</v>
      </c>
      <c r="J83" s="609">
        <f t="shared" ref="J83:M83" si="49">+I83</f>
        <v>1401</v>
      </c>
      <c r="K83" s="609">
        <f t="shared" si="49"/>
        <v>1401</v>
      </c>
      <c r="L83" s="609">
        <f t="shared" si="49"/>
        <v>1401</v>
      </c>
      <c r="M83" s="609">
        <f t="shared" si="49"/>
        <v>1401</v>
      </c>
      <c r="O83" s="608">
        <f t="shared" si="42"/>
        <v>5.7564147668573984E-3</v>
      </c>
      <c r="P83" s="608">
        <f t="shared" si="43"/>
        <v>1.1461016142335634E-2</v>
      </c>
      <c r="Q83" s="608">
        <f t="shared" si="44"/>
        <v>0</v>
      </c>
      <c r="R83" s="608">
        <f t="shared" si="45"/>
        <v>0</v>
      </c>
      <c r="T83" s="635">
        <f>+C83/Ricavi!C$12</f>
        <v>5.2752682436144337E-5</v>
      </c>
      <c r="U83" s="635">
        <f>+D83/Ricavi!D$12</f>
        <v>5.4713369073031484E-5</v>
      </c>
      <c r="V83" s="635">
        <f>+E83/Ricavi!E$12</f>
        <v>5.1007479002384247E-5</v>
      </c>
      <c r="W83" s="635">
        <f>+F83/Ricavi!F$12</f>
        <v>4.3965700438164545E-5</v>
      </c>
      <c r="X83" s="635">
        <f>+G83/Ricavi!G$12</f>
        <v>2.7459310664099303E-5</v>
      </c>
      <c r="Y83" s="635">
        <f>+H83/Ricavi!H$12</f>
        <v>7.0955342852708808E-4</v>
      </c>
      <c r="AA83" s="635">
        <f t="shared" si="46"/>
        <v>4.5979708322764789E-5</v>
      </c>
    </row>
    <row r="84" spans="2:30">
      <c r="B84" s="604" t="s">
        <v>3821</v>
      </c>
      <c r="C84" s="613">
        <f>+BdV!E579</f>
        <v>99517.43</v>
      </c>
      <c r="D84" s="613">
        <f>+BdV!F579</f>
        <v>181635.61</v>
      </c>
      <c r="E84" s="613">
        <f>+BdV!G579</f>
        <v>116362.95</v>
      </c>
      <c r="F84" s="613">
        <f>+BdV!H579</f>
        <v>150756.43</v>
      </c>
      <c r="G84" s="613">
        <f>+BdV!I579</f>
        <v>621233.06000000006</v>
      </c>
      <c r="H84" s="613">
        <f>+BdV!J579</f>
        <v>127184.59</v>
      </c>
      <c r="I84" s="609">
        <v>350000</v>
      </c>
      <c r="J84" s="609">
        <v>150000</v>
      </c>
      <c r="K84" s="609">
        <v>150000</v>
      </c>
      <c r="L84" s="609">
        <v>150000</v>
      </c>
      <c r="M84" s="609">
        <v>150000</v>
      </c>
      <c r="O84" s="608">
        <f t="shared" si="42"/>
        <v>0.58066141444827668</v>
      </c>
      <c r="P84" s="608">
        <f t="shared" si="43"/>
        <v>1.3105741926362131</v>
      </c>
      <c r="Q84" s="608">
        <f t="shared" si="44"/>
        <v>0.14848562621194317</v>
      </c>
      <c r="R84" s="608">
        <f t="shared" si="45"/>
        <v>-0.24739458294981787</v>
      </c>
      <c r="T84" s="635">
        <f>+C84/Ricavi!C$12</f>
        <v>3.834218070151346E-3</v>
      </c>
      <c r="U84" s="635">
        <f>+D84/Ricavi!D$12</f>
        <v>7.2581771594618805E-3</v>
      </c>
      <c r="V84" s="635">
        <f>+E84/Ricavi!E$12</f>
        <v>4.3341979719887019E-3</v>
      </c>
      <c r="W84" s="635">
        <f>+F84/Ricavi!F$12</f>
        <v>4.8408647681179679E-3</v>
      </c>
      <c r="X84" s="635">
        <f>+G84/Ricavi!G$12</f>
        <v>1.2176039678336218E-2</v>
      </c>
      <c r="Y84" s="635">
        <f>+H84/Ricavi!H$12</f>
        <v>4.9406948558929128E-3</v>
      </c>
      <c r="AA84" s="635">
        <f t="shared" si="46"/>
        <v>6.4886995296112235E-3</v>
      </c>
    </row>
    <row r="85" spans="2:30">
      <c r="B85" s="604" t="s">
        <v>3822</v>
      </c>
      <c r="C85" s="613">
        <f>+BdV!E580</f>
        <v>0</v>
      </c>
      <c r="D85" s="613">
        <f>+BdV!F580</f>
        <v>0</v>
      </c>
      <c r="E85" s="613">
        <f>+BdV!G580</f>
        <v>0</v>
      </c>
      <c r="F85" s="613">
        <f>+BdV!H580</f>
        <v>3732.17</v>
      </c>
      <c r="G85" s="613">
        <f>+BdV!I580</f>
        <v>15722.49</v>
      </c>
      <c r="H85" s="613">
        <f>+BdV!J580</f>
        <v>12958.2</v>
      </c>
      <c r="I85" s="609">
        <v>25000</v>
      </c>
      <c r="J85" s="609">
        <v>20000</v>
      </c>
      <c r="K85" s="609">
        <v>15000</v>
      </c>
      <c r="L85" s="609">
        <v>15000</v>
      </c>
      <c r="M85" s="609">
        <v>15000</v>
      </c>
      <c r="O85" s="608" t="str">
        <f t="shared" si="42"/>
        <v>n/a</v>
      </c>
      <c r="P85" s="608" t="str">
        <f t="shared" si="43"/>
        <v>n/a</v>
      </c>
      <c r="Q85" s="608" t="str">
        <f t="shared" si="44"/>
        <v>n/a</v>
      </c>
      <c r="R85" s="608">
        <f t="shared" si="45"/>
        <v>-9.3642735969762247E-3</v>
      </c>
      <c r="T85" s="635">
        <f>+C85/Ricavi!C$12</f>
        <v>0</v>
      </c>
      <c r="U85" s="635">
        <f>+D85/Ricavi!D$12</f>
        <v>0</v>
      </c>
      <c r="V85" s="635">
        <f>+E85/Ricavi!E$12</f>
        <v>0</v>
      </c>
      <c r="W85" s="635">
        <f>+F85/Ricavi!F$12</f>
        <v>1.1984185524708192E-4</v>
      </c>
      <c r="X85" s="635">
        <f>+G85/Ricavi!G$12</f>
        <v>3.0815755697587052E-4</v>
      </c>
      <c r="Y85" s="635">
        <f>+H85/Ricavi!H$12</f>
        <v>5.0338261955816771E-4</v>
      </c>
      <c r="AA85" s="635">
        <f t="shared" si="46"/>
        <v>8.5599882444590481E-5</v>
      </c>
    </row>
    <row r="86" spans="2:30">
      <c r="B86" s="604" t="s">
        <v>3823</v>
      </c>
      <c r="C86" s="613">
        <f>+BdV!E581</f>
        <v>0</v>
      </c>
      <c r="D86" s="613">
        <f>+BdV!F581</f>
        <v>0</v>
      </c>
      <c r="E86" s="613">
        <f>+BdV!G581</f>
        <v>0</v>
      </c>
      <c r="F86" s="613">
        <f>+BdV!H581</f>
        <v>679.5</v>
      </c>
      <c r="G86" s="613">
        <f>+BdV!I581</f>
        <v>0</v>
      </c>
      <c r="H86" s="613">
        <f>+BdV!J581</f>
        <v>0</v>
      </c>
      <c r="I86" s="609">
        <v>0</v>
      </c>
      <c r="J86" s="609">
        <v>0</v>
      </c>
      <c r="K86" s="609">
        <v>0</v>
      </c>
      <c r="L86" s="609">
        <v>0</v>
      </c>
      <c r="M86" s="609">
        <v>0</v>
      </c>
      <c r="O86" s="608" t="str">
        <f t="shared" si="42"/>
        <v>n/a</v>
      </c>
      <c r="P86" s="608" t="str">
        <f t="shared" si="43"/>
        <v>n/a</v>
      </c>
      <c r="Q86" s="608" t="str">
        <f t="shared" si="44"/>
        <v>n/a</v>
      </c>
      <c r="R86" s="608" t="str">
        <f t="shared" si="45"/>
        <v>n/a</v>
      </c>
      <c r="T86" s="635">
        <f>+C86/Ricavi!C$12</f>
        <v>0</v>
      </c>
      <c r="U86" s="635">
        <f>+D86/Ricavi!D$12</f>
        <v>0</v>
      </c>
      <c r="V86" s="635">
        <f>+E86/Ricavi!E$12</f>
        <v>0</v>
      </c>
      <c r="W86" s="635">
        <f>+F86/Ricavi!F$12</f>
        <v>2.1819086654785865E-5</v>
      </c>
      <c r="X86" s="635">
        <f>+G86/Ricavi!G$12</f>
        <v>0</v>
      </c>
      <c r="Y86" s="635">
        <f>+H86/Ricavi!H$12</f>
        <v>0</v>
      </c>
      <c r="AA86" s="635">
        <f t="shared" si="46"/>
        <v>4.3638173309571731E-6</v>
      </c>
    </row>
    <row r="87" spans="2:30">
      <c r="B87" s="604" t="s">
        <v>3824</v>
      </c>
      <c r="C87" s="613">
        <f>+BdV!E582</f>
        <v>2766.76</v>
      </c>
      <c r="D87" s="613">
        <f>+BdV!F582</f>
        <v>2764.45</v>
      </c>
      <c r="E87" s="613">
        <f>+BdV!G582</f>
        <v>3215.52</v>
      </c>
      <c r="F87" s="613">
        <f>+BdV!H582</f>
        <v>1632.14</v>
      </c>
      <c r="G87" s="613">
        <f>+BdV!I582</f>
        <v>6366.12</v>
      </c>
      <c r="H87" s="613">
        <f>+BdV!J582</f>
        <v>821.17</v>
      </c>
      <c r="I87" s="609">
        <f>+G87</f>
        <v>6366.12</v>
      </c>
      <c r="J87" s="609">
        <f t="shared" ref="J87:M87" si="50">+I87</f>
        <v>6366.12</v>
      </c>
      <c r="K87" s="609">
        <f t="shared" si="50"/>
        <v>6366.12</v>
      </c>
      <c r="L87" s="609">
        <f t="shared" si="50"/>
        <v>6366.12</v>
      </c>
      <c r="M87" s="609">
        <f t="shared" si="50"/>
        <v>6366.12</v>
      </c>
      <c r="O87" s="608">
        <f t="shared" si="42"/>
        <v>0.23161744883064039</v>
      </c>
      <c r="P87" s="608">
        <f t="shared" si="43"/>
        <v>0.40705736182488028</v>
      </c>
      <c r="Q87" s="608">
        <f t="shared" si="44"/>
        <v>-0.16132189211963643</v>
      </c>
      <c r="R87" s="608">
        <f t="shared" si="45"/>
        <v>0</v>
      </c>
      <c r="T87" s="635">
        <f>+C87/Ricavi!C$12</f>
        <v>1.065980219522544E-4</v>
      </c>
      <c r="U87" s="635">
        <f>+D87/Ricavi!D$12</f>
        <v>1.1046769875397449E-4</v>
      </c>
      <c r="V87" s="635">
        <f>+E87/Ricavi!E$12</f>
        <v>1.1976922433548745E-4</v>
      </c>
      <c r="W87" s="635">
        <f>+F87/Ricavi!F$12</f>
        <v>5.2408836045242392E-5</v>
      </c>
      <c r="X87" s="635">
        <f>+G87/Ricavi!G$12</f>
        <v>1.2477463726262374E-4</v>
      </c>
      <c r="Y87" s="635">
        <f>+H87/Ricavi!H$12</f>
        <v>3.1899701015772294E-5</v>
      </c>
      <c r="AA87" s="635">
        <f t="shared" si="46"/>
        <v>1.0280368366991649E-4</v>
      </c>
    </row>
    <row r="88" spans="2:30">
      <c r="B88" s="604" t="s">
        <v>3878</v>
      </c>
      <c r="C88" s="613">
        <f>+BdV!E583</f>
        <v>545.05999999999995</v>
      </c>
      <c r="D88" s="613">
        <f>+BdV!F583</f>
        <v>0</v>
      </c>
      <c r="E88" s="613">
        <f>+BdV!G583</f>
        <v>0</v>
      </c>
      <c r="F88" s="613">
        <f>+BdV!H583</f>
        <v>0</v>
      </c>
      <c r="G88" s="613">
        <f>+BdV!I583</f>
        <v>0</v>
      </c>
      <c r="H88" s="613">
        <f>+BdV!J583</f>
        <v>0</v>
      </c>
      <c r="I88" s="609">
        <v>0</v>
      </c>
      <c r="J88" s="609">
        <v>0</v>
      </c>
      <c r="K88" s="609">
        <v>0</v>
      </c>
      <c r="L88" s="609">
        <v>0</v>
      </c>
      <c r="M88" s="609">
        <v>0</v>
      </c>
      <c r="O88" s="608" t="str">
        <f t="shared" si="42"/>
        <v>n/a</v>
      </c>
      <c r="P88" s="608" t="str">
        <f t="shared" si="43"/>
        <v>n/a</v>
      </c>
      <c r="Q88" s="608" t="str">
        <f t="shared" si="44"/>
        <v>n/a</v>
      </c>
      <c r="R88" s="608" t="str">
        <f t="shared" si="45"/>
        <v>n/a</v>
      </c>
      <c r="T88" s="635">
        <f>+C88/Ricavi!C$12</f>
        <v>2.1000129337309985E-5</v>
      </c>
      <c r="U88" s="635">
        <f>+D88/Ricavi!D$12</f>
        <v>0</v>
      </c>
      <c r="V88" s="635">
        <f>+E88/Ricavi!E$12</f>
        <v>0</v>
      </c>
      <c r="W88" s="635">
        <f>+F88/Ricavi!F$12</f>
        <v>0</v>
      </c>
      <c r="X88" s="635">
        <f>+G88/Ricavi!G$12</f>
        <v>0</v>
      </c>
      <c r="Y88" s="635">
        <f>+H88/Ricavi!H$12</f>
        <v>0</v>
      </c>
      <c r="AA88" s="635">
        <f t="shared" si="46"/>
        <v>4.2000258674619967E-6</v>
      </c>
    </row>
    <row r="89" spans="2:30">
      <c r="B89" s="604" t="s">
        <v>3825</v>
      </c>
      <c r="C89" s="613">
        <f>+BdV!E584</f>
        <v>335169.09999999998</v>
      </c>
      <c r="D89" s="613">
        <f>+BdV!F584</f>
        <v>411537.75</v>
      </c>
      <c r="E89" s="613">
        <f>+BdV!G584</f>
        <v>362902.94</v>
      </c>
      <c r="F89" s="613">
        <f>+BdV!H584</f>
        <v>467051.39</v>
      </c>
      <c r="G89" s="613">
        <f>+BdV!I584</f>
        <v>735163.65</v>
      </c>
      <c r="H89" s="613">
        <f>+BdV!J584</f>
        <v>236461.18</v>
      </c>
      <c r="I89" s="609">
        <f>+G89*(1+$AB$89)</f>
        <v>749866.92300000007</v>
      </c>
      <c r="J89" s="609">
        <f t="shared" ref="J89:M89" si="51">+I89*(1+$AB$89)</f>
        <v>764864.26146000007</v>
      </c>
      <c r="K89" s="609">
        <f t="shared" si="51"/>
        <v>780161.5466892001</v>
      </c>
      <c r="L89" s="609">
        <f t="shared" si="51"/>
        <v>795764.77762298414</v>
      </c>
      <c r="M89" s="609">
        <f t="shared" si="51"/>
        <v>811680.0731754438</v>
      </c>
      <c r="O89" s="608">
        <f t="shared" si="42"/>
        <v>0.21697039406070018</v>
      </c>
      <c r="P89" s="608">
        <f t="shared" si="43"/>
        <v>0.42330104876618435</v>
      </c>
      <c r="Q89" s="608">
        <f t="shared" si="44"/>
        <v>0.11694956992590755</v>
      </c>
      <c r="R89" s="608">
        <f t="shared" si="45"/>
        <v>2.0000000000000018E-2</v>
      </c>
      <c r="T89" s="635">
        <f>+C89/Ricavi!C$12</f>
        <v>1.2913430539518189E-2</v>
      </c>
      <c r="U89" s="635">
        <f>+D89/Ricavi!D$12</f>
        <v>1.6445089689771372E-2</v>
      </c>
      <c r="V89" s="635">
        <f>+E89/Ricavi!E$12</f>
        <v>1.3517130552093578E-2</v>
      </c>
      <c r="W89" s="635">
        <f>+F89/Ricavi!F$12</f>
        <v>1.4997254967841338E-2</v>
      </c>
      <c r="X89" s="635">
        <f>+G89/Ricavi!G$12</f>
        <v>1.4409055713278492E-2</v>
      </c>
      <c r="Y89" s="635">
        <f>+H89/Ricavi!H$12</f>
        <v>9.1857239595171721E-3</v>
      </c>
      <c r="AA89" s="635">
        <f t="shared" si="46"/>
        <v>1.4456392292500595E-2</v>
      </c>
      <c r="AB89" s="646">
        <v>0.02</v>
      </c>
      <c r="AC89" s="646"/>
      <c r="AD89" s="646"/>
    </row>
    <row r="90" spans="2:30">
      <c r="B90" s="604" t="s">
        <v>3826</v>
      </c>
      <c r="C90" s="613">
        <f>+BdV!E585</f>
        <v>846.88</v>
      </c>
      <c r="D90" s="613">
        <f>+BdV!F585</f>
        <v>422.38</v>
      </c>
      <c r="E90" s="613">
        <f>+BdV!G585</f>
        <v>1404.27</v>
      </c>
      <c r="F90" s="613">
        <f>+BdV!H585</f>
        <v>19169.53</v>
      </c>
      <c r="G90" s="613">
        <f>+BdV!I585</f>
        <v>6289.7</v>
      </c>
      <c r="H90" s="613">
        <f>+BdV!J585</f>
        <v>324.10000000000002</v>
      </c>
      <c r="I90" s="609">
        <f>+G90</f>
        <v>6289.7</v>
      </c>
      <c r="J90" s="609">
        <f t="shared" ref="J90:M90" si="52">+I90</f>
        <v>6289.7</v>
      </c>
      <c r="K90" s="609">
        <f t="shared" si="52"/>
        <v>6289.7</v>
      </c>
      <c r="L90" s="609">
        <f t="shared" si="52"/>
        <v>6289.7</v>
      </c>
      <c r="M90" s="609">
        <f t="shared" si="52"/>
        <v>6289.7</v>
      </c>
      <c r="O90" s="608">
        <f t="shared" si="42"/>
        <v>0.65082871183352142</v>
      </c>
      <c r="P90" s="608">
        <f t="shared" si="43"/>
        <v>1.116360546352694</v>
      </c>
      <c r="Q90" s="608">
        <f t="shared" si="44"/>
        <v>1.8287627824499224</v>
      </c>
      <c r="R90" s="608">
        <f t="shared" si="45"/>
        <v>0</v>
      </c>
      <c r="T90" s="635">
        <f>+C90/Ricavi!C$12</f>
        <v>3.2628682224307564E-5</v>
      </c>
      <c r="U90" s="635">
        <f>+D90/Ricavi!D$12</f>
        <v>1.687834708520818E-5</v>
      </c>
      <c r="V90" s="635">
        <f>+E90/Ricavi!E$12</f>
        <v>5.2305172618299674E-5</v>
      </c>
      <c r="W90" s="635">
        <f>+F90/Ricavi!F$12</f>
        <v>6.1554324680134994E-4</v>
      </c>
      <c r="X90" s="635">
        <f>+G90/Ricavi!G$12</f>
        <v>1.2327682104495744E-4</v>
      </c>
      <c r="Y90" s="635">
        <f>+H90/Ricavi!H$12</f>
        <v>1.2590198252751321E-5</v>
      </c>
      <c r="AA90" s="635">
        <f t="shared" si="46"/>
        <v>1.6812645395482457E-4</v>
      </c>
    </row>
    <row r="91" spans="2:30">
      <c r="B91" s="604" t="s">
        <v>3827</v>
      </c>
      <c r="C91" s="613">
        <f>+BdV!E586</f>
        <v>9003.81</v>
      </c>
      <c r="D91" s="613">
        <f>+BdV!F586</f>
        <v>9805.33</v>
      </c>
      <c r="E91" s="613">
        <f>+BdV!G586</f>
        <v>13454.36</v>
      </c>
      <c r="F91" s="613">
        <f>+BdV!H586</f>
        <v>10646.28</v>
      </c>
      <c r="G91" s="613">
        <f>+BdV!I586</f>
        <v>20731.23</v>
      </c>
      <c r="H91" s="613">
        <f>+BdV!J586</f>
        <v>4213.3500000000004</v>
      </c>
      <c r="I91" s="609">
        <f>+G91*(1+$AB$91)</f>
        <v>21145.854599999999</v>
      </c>
      <c r="J91" s="609">
        <f t="shared" ref="J91:M91" si="53">+I91*(1+$AB$91)</f>
        <v>21568.771691999998</v>
      </c>
      <c r="K91" s="609">
        <f t="shared" si="53"/>
        <v>22000.147125839998</v>
      </c>
      <c r="L91" s="609">
        <f t="shared" si="53"/>
        <v>22440.150068356797</v>
      </c>
      <c r="M91" s="609">
        <f t="shared" si="53"/>
        <v>22888.953069723935</v>
      </c>
      <c r="O91" s="608">
        <f t="shared" si="42"/>
        <v>0.23182690921531046</v>
      </c>
      <c r="P91" s="608">
        <f t="shared" si="43"/>
        <v>0.24131216903192532</v>
      </c>
      <c r="Q91" s="608">
        <f t="shared" si="44"/>
        <v>5.7443537514059395E-2</v>
      </c>
      <c r="R91" s="608">
        <f t="shared" si="45"/>
        <v>2.0000000000000018E-2</v>
      </c>
      <c r="T91" s="635">
        <f>+C91/Ricavi!C$12</f>
        <v>3.4689974411728067E-4</v>
      </c>
      <c r="U91" s="635">
        <f>+D91/Ricavi!D$12</f>
        <v>3.9182196842891306E-4</v>
      </c>
      <c r="V91" s="635">
        <f>+E91/Ricavi!E$12</f>
        <v>5.0113768881251215E-4</v>
      </c>
      <c r="W91" s="635">
        <f>+F91/Ricavi!F$12</f>
        <v>3.4185740378383177E-4</v>
      </c>
      <c r="X91" s="635">
        <f>+G91/Ricavi!G$12</f>
        <v>4.0632782656594958E-4</v>
      </c>
      <c r="Y91" s="635">
        <f>+H91/Ricavi!H$12</f>
        <v>1.6367451961811101E-4</v>
      </c>
      <c r="AA91" s="635">
        <f t="shared" si="46"/>
        <v>3.9760892634169745E-4</v>
      </c>
      <c r="AB91" s="646">
        <v>0.02</v>
      </c>
      <c r="AC91" s="646"/>
      <c r="AD91" s="646"/>
    </row>
    <row r="92" spans="2:30">
      <c r="B92" s="604" t="s">
        <v>3828</v>
      </c>
      <c r="C92" s="613">
        <f>+BdV!E587</f>
        <v>15104.74</v>
      </c>
      <c r="D92" s="613">
        <f>+BdV!F587</f>
        <v>3956.41</v>
      </c>
      <c r="E92" s="613">
        <f>+BdV!G587</f>
        <v>1120.76</v>
      </c>
      <c r="F92" s="613">
        <f>+BdV!H587</f>
        <v>3506.39</v>
      </c>
      <c r="G92" s="613">
        <f>+BdV!I587</f>
        <v>1242.18</v>
      </c>
      <c r="H92" s="613">
        <f>+BdV!J587</f>
        <v>4062.03</v>
      </c>
      <c r="I92" s="609">
        <f>+G92</f>
        <v>1242.18</v>
      </c>
      <c r="J92" s="609">
        <f t="shared" ref="J92:M92" si="54">+I92</f>
        <v>1242.18</v>
      </c>
      <c r="K92" s="609">
        <f t="shared" si="54"/>
        <v>1242.18</v>
      </c>
      <c r="L92" s="609">
        <f t="shared" si="54"/>
        <v>1242.18</v>
      </c>
      <c r="M92" s="609">
        <f t="shared" si="54"/>
        <v>1242.18</v>
      </c>
      <c r="O92" s="608">
        <f t="shared" si="42"/>
        <v>-0.46448971092774649</v>
      </c>
      <c r="P92" s="608">
        <f t="shared" si="43"/>
        <v>5.2775949458054194E-2</v>
      </c>
      <c r="Q92" s="608">
        <f t="shared" si="44"/>
        <v>-0.38541448304210346</v>
      </c>
      <c r="R92" s="608">
        <f t="shared" si="45"/>
        <v>0</v>
      </c>
      <c r="T92" s="635">
        <f>+C92/Ricavi!C$12</f>
        <v>5.8195702052331788E-4</v>
      </c>
      <c r="U92" s="635">
        <f>+D92/Ricavi!D$12</f>
        <v>1.5809853968319637E-4</v>
      </c>
      <c r="V92" s="635">
        <f>+E92/Ricavi!E$12</f>
        <v>4.1745209442404623E-5</v>
      </c>
      <c r="W92" s="635">
        <f>+F92/Ricavi!F$12</f>
        <v>1.1259194592417161E-4</v>
      </c>
      <c r="X92" s="635">
        <f>+G92/Ricavi!G$12</f>
        <v>2.4346471463762223E-5</v>
      </c>
      <c r="Y92" s="635">
        <f>+H92/Ricavi!H$12</f>
        <v>1.5779624501272276E-4</v>
      </c>
      <c r="AA92" s="635">
        <f t="shared" si="46"/>
        <v>1.8374783740737055E-4</v>
      </c>
    </row>
    <row r="93" spans="2:30">
      <c r="B93" s="604" t="s">
        <v>3829</v>
      </c>
      <c r="C93" s="613">
        <f>+BdV!E588</f>
        <v>127978.25</v>
      </c>
      <c r="D93" s="613">
        <f>+BdV!F588</f>
        <v>156961.04999999999</v>
      </c>
      <c r="E93" s="613">
        <f>+BdV!G588</f>
        <v>110817.33</v>
      </c>
      <c r="F93" s="613">
        <f>+BdV!H588</f>
        <v>166432.84</v>
      </c>
      <c r="G93" s="613">
        <f>+BdV!I588</f>
        <v>228945.66</v>
      </c>
      <c r="H93" s="613">
        <f>+BdV!J588</f>
        <v>110990.83</v>
      </c>
      <c r="I93" s="609">
        <f>+G93</f>
        <v>228945.66</v>
      </c>
      <c r="J93" s="609">
        <f t="shared" ref="J93:M94" si="55">+I93</f>
        <v>228945.66</v>
      </c>
      <c r="K93" s="609">
        <f t="shared" si="55"/>
        <v>228945.66</v>
      </c>
      <c r="L93" s="609">
        <f t="shared" si="55"/>
        <v>228945.66</v>
      </c>
      <c r="M93" s="609">
        <f t="shared" si="55"/>
        <v>228945.66</v>
      </c>
      <c r="O93" s="608">
        <f t="shared" si="42"/>
        <v>0.15650912032674369</v>
      </c>
      <c r="P93" s="608">
        <f t="shared" si="43"/>
        <v>0.43734944802692577</v>
      </c>
      <c r="Q93" s="608">
        <f t="shared" si="44"/>
        <v>9.1526504144580745E-2</v>
      </c>
      <c r="R93" s="608">
        <f t="shared" si="45"/>
        <v>0</v>
      </c>
      <c r="T93" s="635">
        <f>+C93/Ricavi!C$12</f>
        <v>4.9307595537419584E-3</v>
      </c>
      <c r="U93" s="635">
        <f>+D93/Ricavi!D$12</f>
        <v>6.2721792716480774E-3</v>
      </c>
      <c r="V93" s="635">
        <f>+E93/Ricavi!E$12</f>
        <v>4.1276389688230039E-3</v>
      </c>
      <c r="W93" s="635">
        <f>+F93/Ricavi!F$12</f>
        <v>5.3442421753673456E-3</v>
      </c>
      <c r="X93" s="635">
        <f>+G93/Ricavi!G$12</f>
        <v>4.4872876539166686E-3</v>
      </c>
      <c r="Y93" s="635">
        <f>+H93/Ricavi!H$12</f>
        <v>4.3116215795662412E-3</v>
      </c>
      <c r="AA93" s="635">
        <f t="shared" si="46"/>
        <v>5.0324215246994111E-3</v>
      </c>
    </row>
    <row r="94" spans="2:30">
      <c r="B94" s="604" t="s">
        <v>3830</v>
      </c>
      <c r="C94" s="613">
        <f>+BdV!E589</f>
        <v>21418.51</v>
      </c>
      <c r="D94" s="613">
        <f>+BdV!F589</f>
        <v>24624.28</v>
      </c>
      <c r="E94" s="613">
        <f>+BdV!G589</f>
        <v>24784.05</v>
      </c>
      <c r="F94" s="613">
        <f>+BdV!H589</f>
        <v>10949.2</v>
      </c>
      <c r="G94" s="613">
        <f>+BdV!I589</f>
        <v>15803.22</v>
      </c>
      <c r="H94" s="613">
        <f>+BdV!J589</f>
        <v>12549.23</v>
      </c>
      <c r="I94" s="609">
        <f>+G94</f>
        <v>15803.22</v>
      </c>
      <c r="J94" s="609">
        <f t="shared" si="55"/>
        <v>15803.22</v>
      </c>
      <c r="K94" s="609">
        <f t="shared" si="55"/>
        <v>15803.22</v>
      </c>
      <c r="L94" s="609">
        <f t="shared" si="55"/>
        <v>15803.22</v>
      </c>
      <c r="M94" s="609">
        <f t="shared" si="55"/>
        <v>15803.22</v>
      </c>
      <c r="O94" s="608">
        <f t="shared" si="42"/>
        <v>-7.3193475075477132E-2</v>
      </c>
      <c r="P94" s="608">
        <f t="shared" si="43"/>
        <v>-0.20147842492186596</v>
      </c>
      <c r="Q94" s="608">
        <f t="shared" si="44"/>
        <v>-0.20041547961089645</v>
      </c>
      <c r="R94" s="608">
        <f t="shared" si="45"/>
        <v>0</v>
      </c>
      <c r="T94" s="635">
        <f>+C94/Ricavi!C$12</f>
        <v>8.2521461896390726E-4</v>
      </c>
      <c r="U94" s="635">
        <f>+D94/Ricavi!D$12</f>
        <v>9.8398869398018374E-4</v>
      </c>
      <c r="V94" s="635">
        <f>+E94/Ricavi!E$12</f>
        <v>9.2313729797729072E-4</v>
      </c>
      <c r="W94" s="635">
        <f>+F94/Ricavi!F$12</f>
        <v>3.515843172929822E-4</v>
      </c>
      <c r="X94" s="635">
        <f>+G94/Ricavi!G$12</f>
        <v>3.0973984830343136E-4</v>
      </c>
      <c r="Y94" s="635">
        <f>+H94/Ricavi!H$12</f>
        <v>4.874955063849875E-4</v>
      </c>
      <c r="AA94" s="635">
        <f t="shared" si="46"/>
        <v>6.7873295530355906E-4</v>
      </c>
    </row>
    <row r="95" spans="2:30">
      <c r="B95" s="604" t="s">
        <v>2403</v>
      </c>
      <c r="C95" s="613">
        <f>+BdV!E590</f>
        <v>459539.35</v>
      </c>
      <c r="D95" s="613">
        <f>+BdV!F590</f>
        <v>507045.84</v>
      </c>
      <c r="E95" s="613">
        <f>+BdV!G590</f>
        <v>727033.73</v>
      </c>
      <c r="F95" s="613">
        <f>+BdV!H590</f>
        <v>0</v>
      </c>
      <c r="G95" s="613">
        <f>+BdV!I590</f>
        <v>0</v>
      </c>
      <c r="H95" s="613">
        <f>+BdV!J590</f>
        <v>0</v>
      </c>
      <c r="I95" s="609">
        <v>0</v>
      </c>
      <c r="J95" s="609">
        <v>0</v>
      </c>
      <c r="K95" s="609">
        <v>0</v>
      </c>
      <c r="L95" s="609">
        <v>0</v>
      </c>
      <c r="M95" s="609">
        <v>0</v>
      </c>
      <c r="O95" s="608" t="str">
        <f t="shared" si="42"/>
        <v>n/a</v>
      </c>
      <c r="P95" s="608" t="str">
        <f t="shared" si="43"/>
        <v>n/a</v>
      </c>
      <c r="Q95" s="608" t="str">
        <f t="shared" si="44"/>
        <v>n/a</v>
      </c>
      <c r="R95" s="608" t="str">
        <f t="shared" si="45"/>
        <v>n/a</v>
      </c>
      <c r="T95" s="635">
        <f>+C95/Ricavi!C$12</f>
        <v>1.7705180687600193E-2</v>
      </c>
      <c r="U95" s="635">
        <f>+D95/Ricavi!D$12</f>
        <v>2.0261602527655034E-2</v>
      </c>
      <c r="V95" s="635">
        <f>+E95/Ricavi!E$12</f>
        <v>2.7079995119867459E-2</v>
      </c>
      <c r="W95" s="635">
        <f>+F95/Ricavi!F$12</f>
        <v>0</v>
      </c>
      <c r="X95" s="635">
        <f>+G95/Ricavi!G$12</f>
        <v>0</v>
      </c>
      <c r="Y95" s="635">
        <f>+H95/Ricavi!H$12</f>
        <v>0</v>
      </c>
      <c r="AA95" s="635">
        <f t="shared" si="46"/>
        <v>1.3009355667024537E-2</v>
      </c>
    </row>
    <row r="96" spans="2:30">
      <c r="B96" s="604" t="s">
        <v>2404</v>
      </c>
      <c r="C96" s="613">
        <f>+BdV!E591</f>
        <v>0</v>
      </c>
      <c r="D96" s="613">
        <f>+BdV!F591</f>
        <v>4.5199999999999996</v>
      </c>
      <c r="E96" s="613">
        <f>+BdV!G591</f>
        <v>0</v>
      </c>
      <c r="F96" s="613">
        <f>+BdV!H591</f>
        <v>0</v>
      </c>
      <c r="G96" s="613">
        <f>+BdV!I591</f>
        <v>0</v>
      </c>
      <c r="H96" s="613">
        <f>+BdV!J591</f>
        <v>0</v>
      </c>
      <c r="I96" s="609">
        <v>0</v>
      </c>
      <c r="J96" s="609">
        <v>0</v>
      </c>
      <c r="K96" s="609">
        <v>0</v>
      </c>
      <c r="L96" s="609">
        <v>0</v>
      </c>
      <c r="M96" s="609">
        <v>0</v>
      </c>
      <c r="O96" s="608" t="str">
        <f t="shared" si="42"/>
        <v>n/a</v>
      </c>
      <c r="P96" s="608" t="str">
        <f t="shared" si="43"/>
        <v>n/a</v>
      </c>
      <c r="Q96" s="608" t="str">
        <f t="shared" si="44"/>
        <v>n/a</v>
      </c>
      <c r="R96" s="608" t="str">
        <f t="shared" si="45"/>
        <v>n/a</v>
      </c>
      <c r="T96" s="635">
        <f>+C96/Ricavi!C$12</f>
        <v>0</v>
      </c>
      <c r="U96" s="635">
        <f>+D96/Ricavi!D$12</f>
        <v>1.8061965250518717E-7</v>
      </c>
      <c r="V96" s="635">
        <f>+E96/Ricavi!E$12</f>
        <v>0</v>
      </c>
      <c r="W96" s="635">
        <f>+F96/Ricavi!F$12</f>
        <v>0</v>
      </c>
      <c r="X96" s="635">
        <f>+G96/Ricavi!G$12</f>
        <v>0</v>
      </c>
      <c r="Y96" s="635">
        <f>+H96/Ricavi!H$12</f>
        <v>0</v>
      </c>
      <c r="AA96" s="635">
        <f t="shared" si="46"/>
        <v>3.6123930501037436E-8</v>
      </c>
    </row>
    <row r="97" spans="2:28">
      <c r="B97" s="604" t="s">
        <v>2405</v>
      </c>
      <c r="C97" s="613">
        <f>+BdV!E592</f>
        <v>250</v>
      </c>
      <c r="D97" s="613">
        <f>+BdV!F592</f>
        <v>2000</v>
      </c>
      <c r="E97" s="613">
        <f>+BdV!G592</f>
        <v>0</v>
      </c>
      <c r="F97" s="613">
        <f>+BdV!H592</f>
        <v>0</v>
      </c>
      <c r="G97" s="613">
        <f>+BdV!I592</f>
        <v>0</v>
      </c>
      <c r="H97" s="613">
        <f>+BdV!J592</f>
        <v>0</v>
      </c>
      <c r="I97" s="609">
        <v>0</v>
      </c>
      <c r="J97" s="609">
        <v>0</v>
      </c>
      <c r="K97" s="609">
        <v>0</v>
      </c>
      <c r="L97" s="609">
        <v>0</v>
      </c>
      <c r="M97" s="609">
        <v>0</v>
      </c>
      <c r="O97" s="608" t="str">
        <f t="shared" si="42"/>
        <v>n/a</v>
      </c>
      <c r="P97" s="608" t="str">
        <f t="shared" si="43"/>
        <v>n/a</v>
      </c>
      <c r="Q97" s="608" t="str">
        <f t="shared" si="44"/>
        <v>n/a</v>
      </c>
      <c r="R97" s="608" t="str">
        <f t="shared" si="45"/>
        <v>n/a</v>
      </c>
      <c r="T97" s="635">
        <f>+C97/Ricavi!C$12</f>
        <v>9.6320264453959137E-6</v>
      </c>
      <c r="U97" s="635">
        <f>+D97/Ricavi!D$12</f>
        <v>7.9920200223534157E-5</v>
      </c>
      <c r="V97" s="635">
        <f>+E97/Ricavi!E$12</f>
        <v>0</v>
      </c>
      <c r="W97" s="635">
        <f>+F97/Ricavi!F$12</f>
        <v>0</v>
      </c>
      <c r="X97" s="635">
        <f>+G97/Ricavi!G$12</f>
        <v>0</v>
      </c>
      <c r="Y97" s="635">
        <f>+H97/Ricavi!H$12</f>
        <v>0</v>
      </c>
      <c r="AA97" s="635">
        <f t="shared" si="46"/>
        <v>1.7910445333786015E-5</v>
      </c>
    </row>
    <row r="98" spans="2:28">
      <c r="B98" s="604" t="s">
        <v>2406</v>
      </c>
      <c r="C98" s="613">
        <f>+BdV!E593</f>
        <v>7537</v>
      </c>
      <c r="D98" s="613">
        <f>+BdV!F593</f>
        <v>763.42</v>
      </c>
      <c r="E98" s="613">
        <f>+BdV!G593</f>
        <v>324.68</v>
      </c>
      <c r="F98" s="613">
        <f>+BdV!H593</f>
        <v>0</v>
      </c>
      <c r="G98" s="613">
        <f>+BdV!I593</f>
        <v>0</v>
      </c>
      <c r="H98" s="613">
        <f>+BdV!J593</f>
        <v>0</v>
      </c>
      <c r="I98" s="609">
        <v>0</v>
      </c>
      <c r="J98" s="609">
        <v>0</v>
      </c>
      <c r="K98" s="609">
        <v>0</v>
      </c>
      <c r="L98" s="609">
        <v>0</v>
      </c>
      <c r="M98" s="609">
        <v>0</v>
      </c>
      <c r="O98" s="608" t="str">
        <f t="shared" si="42"/>
        <v>n/a</v>
      </c>
      <c r="P98" s="608" t="str">
        <f t="shared" si="43"/>
        <v>n/a</v>
      </c>
      <c r="Q98" s="608" t="str">
        <f t="shared" si="44"/>
        <v>n/a</v>
      </c>
      <c r="R98" s="608" t="str">
        <f t="shared" si="45"/>
        <v>n/a</v>
      </c>
      <c r="T98" s="635">
        <f>+C98/Ricavi!C$12</f>
        <v>2.9038633327579597E-4</v>
      </c>
      <c r="U98" s="635">
        <f>+D98/Ricavi!D$12</f>
        <v>3.0506339627325221E-5</v>
      </c>
      <c r="V98" s="635">
        <f>+E98/Ricavi!E$12</f>
        <v>1.2093431780006366E-5</v>
      </c>
      <c r="W98" s="635">
        <f>+F98/Ricavi!F$12</f>
        <v>0</v>
      </c>
      <c r="X98" s="635">
        <f>+G98/Ricavi!G$12</f>
        <v>0</v>
      </c>
      <c r="Y98" s="635">
        <f>+H98/Ricavi!H$12</f>
        <v>0</v>
      </c>
      <c r="AA98" s="635">
        <f t="shared" si="46"/>
        <v>6.6597220936625507E-5</v>
      </c>
    </row>
    <row r="99" spans="2:28">
      <c r="B99" s="604" t="s">
        <v>2407</v>
      </c>
      <c r="C99" s="613">
        <f>+BdV!E594</f>
        <v>6000</v>
      </c>
      <c r="D99" s="613">
        <f>+BdV!F594</f>
        <v>14850</v>
      </c>
      <c r="E99" s="613">
        <f>+BdV!G594</f>
        <v>18000</v>
      </c>
      <c r="F99" s="613">
        <f>+BdV!H594</f>
        <v>0</v>
      </c>
      <c r="G99" s="613">
        <f>+BdV!I594</f>
        <v>0</v>
      </c>
      <c r="H99" s="613">
        <f>+BdV!J594</f>
        <v>0</v>
      </c>
      <c r="I99" s="609">
        <v>0</v>
      </c>
      <c r="J99" s="609">
        <v>0</v>
      </c>
      <c r="K99" s="609">
        <v>0</v>
      </c>
      <c r="L99" s="609">
        <v>0</v>
      </c>
      <c r="M99" s="609">
        <v>0</v>
      </c>
      <c r="O99" s="608" t="str">
        <f t="shared" si="42"/>
        <v>n/a</v>
      </c>
      <c r="P99" s="608" t="str">
        <f t="shared" si="43"/>
        <v>n/a</v>
      </c>
      <c r="Q99" s="608" t="str">
        <f t="shared" si="44"/>
        <v>n/a</v>
      </c>
      <c r="R99" s="608" t="str">
        <f t="shared" si="45"/>
        <v>n/a</v>
      </c>
      <c r="T99" s="635">
        <f>+C99/Ricavi!C$12</f>
        <v>2.3116863468950193E-4</v>
      </c>
      <c r="U99" s="635">
        <f>+D99/Ricavi!D$12</f>
        <v>5.9340748665974116E-4</v>
      </c>
      <c r="V99" s="635">
        <f>+E99/Ricavi!E$12</f>
        <v>6.7045020340062388E-4</v>
      </c>
      <c r="W99" s="635">
        <f>+F99/Ricavi!F$12</f>
        <v>0</v>
      </c>
      <c r="X99" s="635">
        <f>+G99/Ricavi!G$12</f>
        <v>0</v>
      </c>
      <c r="Y99" s="635">
        <f>+H99/Ricavi!H$12</f>
        <v>0</v>
      </c>
      <c r="AA99" s="635">
        <f t="shared" si="46"/>
        <v>2.9900526494997339E-4</v>
      </c>
    </row>
    <row r="100" spans="2:28">
      <c r="B100" s="604" t="s">
        <v>2408</v>
      </c>
      <c r="C100" s="613">
        <f>+BdV!E595</f>
        <v>700158.8</v>
      </c>
      <c r="D100" s="613">
        <f>+BdV!F595</f>
        <v>691742.27</v>
      </c>
      <c r="E100" s="613">
        <f>+BdV!G595</f>
        <v>0</v>
      </c>
      <c r="F100" s="613">
        <f>+BdV!H595</f>
        <v>0</v>
      </c>
      <c r="G100" s="613">
        <f>+BdV!I595</f>
        <v>0</v>
      </c>
      <c r="H100" s="613">
        <f>+BdV!J595</f>
        <v>0</v>
      </c>
      <c r="I100" s="609">
        <v>0</v>
      </c>
      <c r="J100" s="609">
        <v>0</v>
      </c>
      <c r="K100" s="609">
        <v>0</v>
      </c>
      <c r="L100" s="609">
        <v>0</v>
      </c>
      <c r="M100" s="609">
        <v>0</v>
      </c>
      <c r="O100" s="608" t="str">
        <f t="shared" si="42"/>
        <v>n/a</v>
      </c>
      <c r="P100" s="608" t="str">
        <f t="shared" si="43"/>
        <v>n/a</v>
      </c>
      <c r="Q100" s="608" t="str">
        <f t="shared" si="44"/>
        <v>n/a</v>
      </c>
      <c r="R100" s="608" t="str">
        <f t="shared" si="45"/>
        <v>n/a</v>
      </c>
      <c r="T100" s="635">
        <f>+C100/Ricavi!C$12</f>
        <v>2.6975792310306675E-2</v>
      </c>
      <c r="U100" s="635">
        <f>+D100/Ricavi!D$12</f>
        <v>2.7642090360741015E-2</v>
      </c>
      <c r="V100" s="635">
        <f>+E100/Ricavi!E$12</f>
        <v>0</v>
      </c>
      <c r="W100" s="635">
        <f>+F100/Ricavi!F$12</f>
        <v>0</v>
      </c>
      <c r="X100" s="635">
        <f>+G100/Ricavi!G$12</f>
        <v>0</v>
      </c>
      <c r="Y100" s="635">
        <f>+H100/Ricavi!H$12</f>
        <v>0</v>
      </c>
      <c r="AA100" s="635">
        <f t="shared" si="46"/>
        <v>1.0923576534209539E-2</v>
      </c>
    </row>
    <row r="101" spans="2:28">
      <c r="B101" s="604" t="s">
        <v>3831</v>
      </c>
      <c r="C101" s="613">
        <f>+BdV!E596</f>
        <v>1000</v>
      </c>
      <c r="D101" s="613">
        <f>+BdV!F596</f>
        <v>3081.25</v>
      </c>
      <c r="E101" s="613">
        <f>+BdV!G596</f>
        <v>7136</v>
      </c>
      <c r="F101" s="613">
        <f>+BdV!H596</f>
        <v>6179</v>
      </c>
      <c r="G101" s="613">
        <f>+BdV!I596</f>
        <v>20850</v>
      </c>
      <c r="H101" s="613">
        <f>+BdV!J596</f>
        <v>1593.9</v>
      </c>
      <c r="I101" s="609">
        <f t="shared" ref="I101" si="56">+G101</f>
        <v>20850</v>
      </c>
      <c r="J101" s="609">
        <f t="shared" ref="J101:M101" si="57">+I101</f>
        <v>20850</v>
      </c>
      <c r="K101" s="609">
        <f t="shared" si="57"/>
        <v>20850</v>
      </c>
      <c r="L101" s="609">
        <f t="shared" si="57"/>
        <v>20850</v>
      </c>
      <c r="M101" s="609">
        <f t="shared" si="57"/>
        <v>20850</v>
      </c>
      <c r="O101" s="608">
        <f t="shared" si="42"/>
        <v>1.136862190861252</v>
      </c>
      <c r="P101" s="608">
        <f t="shared" si="43"/>
        <v>0.70932879597092913</v>
      </c>
      <c r="Q101" s="608">
        <f t="shared" si="44"/>
        <v>0.83501406934100553</v>
      </c>
      <c r="R101" s="608">
        <f t="shared" si="45"/>
        <v>0</v>
      </c>
      <c r="T101" s="635">
        <f>+C101/Ricavi!C$12</f>
        <v>3.8528105781583655E-5</v>
      </c>
      <c r="U101" s="635">
        <f>+D101/Ricavi!D$12</f>
        <v>1.2312705846938231E-4</v>
      </c>
      <c r="V101" s="635">
        <f>+E101/Ricavi!E$12</f>
        <v>2.6579625841482513E-4</v>
      </c>
      <c r="W101" s="635">
        <f>+F101/Ricavi!F$12</f>
        <v>1.9841079682107705E-4</v>
      </c>
      <c r="X101" s="635">
        <f>+G101/Ricavi!G$12</f>
        <v>4.0865569403745214E-4</v>
      </c>
      <c r="Y101" s="635">
        <f>+H101/Ricavi!H$12</f>
        <v>6.1917670456835324E-5</v>
      </c>
      <c r="AA101" s="635">
        <f t="shared" si="46"/>
        <v>2.0690358270486408E-4</v>
      </c>
    </row>
    <row r="102" spans="2:28">
      <c r="B102" s="604" t="s">
        <v>4162</v>
      </c>
      <c r="C102" s="613">
        <f>+BdV!E597</f>
        <v>0</v>
      </c>
      <c r="D102" s="613">
        <f>+BdV!F597</f>
        <v>0</v>
      </c>
      <c r="E102" s="613">
        <f>+BdV!G597</f>
        <v>0</v>
      </c>
      <c r="F102" s="613">
        <f>+BdV!H597</f>
        <v>0</v>
      </c>
      <c r="G102" s="613">
        <f>+BdV!I597</f>
        <v>0</v>
      </c>
      <c r="H102" s="613">
        <f>+BdV!J597</f>
        <v>200</v>
      </c>
      <c r="I102" s="609">
        <f>+H102</f>
        <v>200</v>
      </c>
      <c r="J102" s="609"/>
      <c r="K102" s="609"/>
      <c r="L102" s="609"/>
      <c r="M102" s="609"/>
      <c r="O102" s="608" t="str">
        <f t="shared" ref="O102:O107" si="58">IF(G102*C102&lt;=0,"n/a",IF(C102&gt;G102,-ABS((G102/C102)^(1/(4))-1),ABS((G102/C102)^(1/(4))-1)))</f>
        <v>n/a</v>
      </c>
      <c r="P102" s="608" t="str">
        <f t="shared" ref="P102:P107" si="59">IF(G102*E102&lt;=0,"n/a",IF(E102&gt;G102,-ABS((G102/E102)^(1/(2))-1),ABS((G102/E102)^(1/(2))-1)))</f>
        <v>n/a</v>
      </c>
      <c r="Q102" s="608" t="str">
        <f t="shared" ref="Q102:Q107" si="60">IF(F102*C102&lt;=0,"n/a",IF(C102&gt;F102,-ABS((F102/C102)^(1/(3))-1),ABS((F102/C102)^(1/(3))-1)))</f>
        <v>n/a</v>
      </c>
      <c r="R102" s="608" t="str">
        <f t="shared" ref="R102:R107" si="61">IF(M102*G102&lt;=0,"n/a",IF(G102&gt;M102,-ABS((M102/G102)^(1/(5))-1),ABS((M102/G102)^(1/(5))-1)))</f>
        <v>n/a</v>
      </c>
      <c r="T102" s="635">
        <f>+C102/Ricavi!C$12</f>
        <v>0</v>
      </c>
      <c r="U102" s="635">
        <f>+D102/Ricavi!D$12</f>
        <v>0</v>
      </c>
      <c r="V102" s="635">
        <f>+E102/Ricavi!E$12</f>
        <v>0</v>
      </c>
      <c r="W102" s="635">
        <f>+F102/Ricavi!F$12</f>
        <v>0</v>
      </c>
      <c r="X102" s="635">
        <f>+G102/Ricavi!G$12</f>
        <v>0</v>
      </c>
      <c r="Y102" s="635">
        <f>+H102/Ricavi!H$12</f>
        <v>7.7693293753479305E-6</v>
      </c>
      <c r="AA102" s="635">
        <f t="shared" ref="AA102:AA107" si="62">+AVERAGE(T102:X102)</f>
        <v>0</v>
      </c>
    </row>
    <row r="103" spans="2:28">
      <c r="B103" s="604" t="s">
        <v>4166</v>
      </c>
      <c r="C103" s="613">
        <f>+BdV!E598</f>
        <v>0</v>
      </c>
      <c r="D103" s="613">
        <f>+BdV!F598</f>
        <v>0</v>
      </c>
      <c r="E103" s="613">
        <f>+BdV!G598</f>
        <v>0</v>
      </c>
      <c r="F103" s="613">
        <f>+BdV!H598</f>
        <v>0</v>
      </c>
      <c r="G103" s="613">
        <f>+BdV!I598</f>
        <v>0</v>
      </c>
      <c r="H103" s="613">
        <f>+BdV!J598</f>
        <v>6731.86</v>
      </c>
      <c r="I103" s="609">
        <f>+H103</f>
        <v>6731.86</v>
      </c>
      <c r="J103" s="609"/>
      <c r="K103" s="609"/>
      <c r="L103" s="609"/>
      <c r="M103" s="609"/>
      <c r="O103" s="608" t="str">
        <f t="shared" si="58"/>
        <v>n/a</v>
      </c>
      <c r="P103" s="608" t="str">
        <f t="shared" si="59"/>
        <v>n/a</v>
      </c>
      <c r="Q103" s="608" t="str">
        <f t="shared" si="60"/>
        <v>n/a</v>
      </c>
      <c r="R103" s="608" t="str">
        <f t="shared" si="61"/>
        <v>n/a</v>
      </c>
      <c r="T103" s="635">
        <f>+C103/Ricavi!C$12</f>
        <v>0</v>
      </c>
      <c r="U103" s="635">
        <f>+D103/Ricavi!D$12</f>
        <v>0</v>
      </c>
      <c r="V103" s="635">
        <f>+E103/Ricavi!E$12</f>
        <v>0</v>
      </c>
      <c r="W103" s="635">
        <f>+F103/Ricavi!F$12</f>
        <v>0</v>
      </c>
      <c r="X103" s="635">
        <f>+G103/Ricavi!G$12</f>
        <v>0</v>
      </c>
      <c r="Y103" s="635">
        <f>+H103/Ricavi!H$12</f>
        <v>2.6151018824364854E-4</v>
      </c>
      <c r="AA103" s="635">
        <f t="shared" si="62"/>
        <v>0</v>
      </c>
    </row>
    <row r="104" spans="2:28">
      <c r="B104" s="604" t="s">
        <v>4168</v>
      </c>
      <c r="C104" s="613">
        <f>+BdV!E599</f>
        <v>0</v>
      </c>
      <c r="D104" s="613">
        <f>+BdV!F599</f>
        <v>0</v>
      </c>
      <c r="E104" s="613">
        <f>+BdV!G599</f>
        <v>0</v>
      </c>
      <c r="F104" s="613">
        <f>+BdV!H599</f>
        <v>0</v>
      </c>
      <c r="G104" s="613">
        <f>+BdV!I599</f>
        <v>0</v>
      </c>
      <c r="H104" s="613">
        <f>+BdV!J599</f>
        <v>99000.46</v>
      </c>
      <c r="I104" s="609">
        <v>297000</v>
      </c>
      <c r="J104" s="609">
        <v>396000</v>
      </c>
      <c r="K104" s="609">
        <f>+J104</f>
        <v>396000</v>
      </c>
      <c r="L104" s="609">
        <f t="shared" ref="L104:M104" si="63">+K104</f>
        <v>396000</v>
      </c>
      <c r="M104" s="609">
        <f t="shared" si="63"/>
        <v>396000</v>
      </c>
      <c r="O104" s="608" t="str">
        <f t="shared" si="58"/>
        <v>n/a</v>
      </c>
      <c r="P104" s="608" t="str">
        <f t="shared" si="59"/>
        <v>n/a</v>
      </c>
      <c r="Q104" s="608" t="str">
        <f t="shared" si="60"/>
        <v>n/a</v>
      </c>
      <c r="R104" s="608" t="str">
        <f t="shared" si="61"/>
        <v>n/a</v>
      </c>
      <c r="T104" s="635">
        <f>+C104/Ricavi!C$12</f>
        <v>0</v>
      </c>
      <c r="U104" s="635">
        <f>+D104/Ricavi!D$12</f>
        <v>0</v>
      </c>
      <c r="V104" s="635">
        <f>+E104/Ricavi!E$12</f>
        <v>0</v>
      </c>
      <c r="W104" s="635">
        <f>+F104/Ricavi!F$12</f>
        <v>0</v>
      </c>
      <c r="X104" s="635">
        <f>+G104/Ricavi!G$12</f>
        <v>0</v>
      </c>
      <c r="Y104" s="635">
        <f>+H104/Ricavi!H$12</f>
        <v>3.8458359102547888E-3</v>
      </c>
      <c r="AA104" s="635">
        <f t="shared" si="62"/>
        <v>0</v>
      </c>
      <c r="AB104" s="3" t="s">
        <v>4483</v>
      </c>
    </row>
    <row r="105" spans="2:28">
      <c r="B105" s="604" t="s">
        <v>4169</v>
      </c>
      <c r="C105" s="613">
        <f>+BdV!E600</f>
        <v>0</v>
      </c>
      <c r="D105" s="613">
        <f>+BdV!F600</f>
        <v>0</v>
      </c>
      <c r="E105" s="613">
        <f>+BdV!G600</f>
        <v>0</v>
      </c>
      <c r="F105" s="613">
        <f>+BdV!H600</f>
        <v>0</v>
      </c>
      <c r="G105" s="613">
        <f>+BdV!I600</f>
        <v>0</v>
      </c>
      <c r="H105" s="613">
        <f>+BdV!J600</f>
        <v>5438.16</v>
      </c>
      <c r="I105" s="609">
        <f>+H105</f>
        <v>5438.16</v>
      </c>
      <c r="J105" s="609"/>
      <c r="K105" s="609"/>
      <c r="L105" s="609"/>
      <c r="M105" s="609"/>
      <c r="O105" s="608" t="str">
        <f t="shared" si="58"/>
        <v>n/a</v>
      </c>
      <c r="P105" s="608" t="str">
        <f t="shared" si="59"/>
        <v>n/a</v>
      </c>
      <c r="Q105" s="608" t="str">
        <f t="shared" si="60"/>
        <v>n/a</v>
      </c>
      <c r="R105" s="608" t="str">
        <f t="shared" si="61"/>
        <v>n/a</v>
      </c>
      <c r="T105" s="635">
        <f>+C105/Ricavi!C$12</f>
        <v>0</v>
      </c>
      <c r="U105" s="635">
        <f>+D105/Ricavi!D$12</f>
        <v>0</v>
      </c>
      <c r="V105" s="635">
        <f>+E105/Ricavi!E$12</f>
        <v>0</v>
      </c>
      <c r="W105" s="635">
        <f>+F105/Ricavi!F$12</f>
        <v>0</v>
      </c>
      <c r="X105" s="635">
        <f>+G105/Ricavi!G$12</f>
        <v>0</v>
      </c>
      <c r="Y105" s="635">
        <f>+H105/Ricavi!H$12</f>
        <v>2.1125428117921047E-4</v>
      </c>
      <c r="AA105" s="635">
        <f t="shared" si="62"/>
        <v>0</v>
      </c>
    </row>
    <row r="106" spans="2:28">
      <c r="B106" s="604" t="s">
        <v>4164</v>
      </c>
      <c r="C106" s="613">
        <f>+BdV!E601</f>
        <v>0</v>
      </c>
      <c r="D106" s="613">
        <f>+BdV!F601</f>
        <v>0</v>
      </c>
      <c r="E106" s="613">
        <f>+BdV!G601</f>
        <v>0</v>
      </c>
      <c r="F106" s="613">
        <f>+BdV!H601</f>
        <v>0</v>
      </c>
      <c r="G106" s="613">
        <f>+BdV!I601</f>
        <v>0</v>
      </c>
      <c r="H106" s="613">
        <f>+BdV!J601</f>
        <v>1995.43</v>
      </c>
      <c r="I106" s="609">
        <f>+H106</f>
        <v>1995.43</v>
      </c>
      <c r="J106" s="609"/>
      <c r="K106" s="609"/>
      <c r="L106" s="609"/>
      <c r="M106" s="609"/>
      <c r="O106" s="608" t="str">
        <f t="shared" si="58"/>
        <v>n/a</v>
      </c>
      <c r="P106" s="608" t="str">
        <f t="shared" si="59"/>
        <v>n/a</v>
      </c>
      <c r="Q106" s="608" t="str">
        <f t="shared" si="60"/>
        <v>n/a</v>
      </c>
      <c r="R106" s="608" t="str">
        <f t="shared" si="61"/>
        <v>n/a</v>
      </c>
      <c r="T106" s="635">
        <f>+C106/Ricavi!C$12</f>
        <v>0</v>
      </c>
      <c r="U106" s="635">
        <f>+D106/Ricavi!D$12</f>
        <v>0</v>
      </c>
      <c r="V106" s="635">
        <f>+E106/Ricavi!E$12</f>
        <v>0</v>
      </c>
      <c r="W106" s="635">
        <f>+F106/Ricavi!F$12</f>
        <v>0</v>
      </c>
      <c r="X106" s="635">
        <f>+G106/Ricavi!G$12</f>
        <v>0</v>
      </c>
      <c r="Y106" s="635">
        <f>+H106/Ricavi!H$12</f>
        <v>7.7515764577252603E-5</v>
      </c>
      <c r="AA106" s="635">
        <f t="shared" si="62"/>
        <v>0</v>
      </c>
    </row>
    <row r="107" spans="2:28">
      <c r="B107" s="604" t="s">
        <v>4163</v>
      </c>
      <c r="C107" s="613">
        <f>+BdV!E602</f>
        <v>0</v>
      </c>
      <c r="D107" s="613">
        <f>+BdV!F602</f>
        <v>0</v>
      </c>
      <c r="E107" s="613">
        <f>+BdV!G602</f>
        <v>0</v>
      </c>
      <c r="F107" s="613">
        <f>+BdV!H602</f>
        <v>0</v>
      </c>
      <c r="G107" s="613">
        <f>+BdV!I602</f>
        <v>0</v>
      </c>
      <c r="H107" s="613">
        <f>+BdV!J602</f>
        <v>-223.86</v>
      </c>
      <c r="I107" s="609">
        <f>+H107</f>
        <v>-223.86</v>
      </c>
      <c r="J107" s="609"/>
      <c r="K107" s="609"/>
      <c r="L107" s="609"/>
      <c r="M107" s="609"/>
      <c r="O107" s="608" t="str">
        <f t="shared" si="58"/>
        <v>n/a</v>
      </c>
      <c r="P107" s="608" t="str">
        <f t="shared" si="59"/>
        <v>n/a</v>
      </c>
      <c r="Q107" s="608" t="str">
        <f t="shared" si="60"/>
        <v>n/a</v>
      </c>
      <c r="R107" s="608" t="str">
        <f t="shared" si="61"/>
        <v>n/a</v>
      </c>
      <c r="T107" s="635">
        <f>+C107/Ricavi!C$12</f>
        <v>0</v>
      </c>
      <c r="U107" s="635">
        <f>+D107/Ricavi!D$12</f>
        <v>0</v>
      </c>
      <c r="V107" s="635">
        <f>+E107/Ricavi!E$12</f>
        <v>0</v>
      </c>
      <c r="W107" s="635">
        <f>+F107/Ricavi!F$12</f>
        <v>0</v>
      </c>
      <c r="X107" s="635">
        <f>+G107/Ricavi!G$12</f>
        <v>0</v>
      </c>
      <c r="Y107" s="635">
        <f>+H107/Ricavi!H$12</f>
        <v>-8.6962103698269384E-6</v>
      </c>
      <c r="AA107" s="635">
        <f t="shared" si="62"/>
        <v>0</v>
      </c>
    </row>
    <row r="108" spans="2:28">
      <c r="B108" s="578" t="s">
        <v>2213</v>
      </c>
      <c r="C108" s="610">
        <f>+SUM(C40:C107)</f>
        <v>5066855.8099999996</v>
      </c>
      <c r="D108" s="610">
        <f t="shared" ref="D108:M108" si="64">+SUM(D40:D107)</f>
        <v>4838388.0399999991</v>
      </c>
      <c r="E108" s="610">
        <f t="shared" si="64"/>
        <v>4493719.9799999986</v>
      </c>
      <c r="F108" s="610">
        <f t="shared" si="64"/>
        <v>5490719.7299999986</v>
      </c>
      <c r="G108" s="610">
        <f t="shared" si="64"/>
        <v>7747001.9200000027</v>
      </c>
      <c r="H108" s="610">
        <f t="shared" si="64"/>
        <v>3538771.8200000008</v>
      </c>
      <c r="I108" s="610">
        <f>+SUM(I40:I107)</f>
        <v>10124719.937855979</v>
      </c>
      <c r="J108" s="610">
        <f t="shared" si="64"/>
        <v>10448164.090811273</v>
      </c>
      <c r="K108" s="610">
        <f t="shared" si="64"/>
        <v>10734711.616603464</v>
      </c>
      <c r="L108" s="610">
        <f t="shared" si="64"/>
        <v>11091594.105024274</v>
      </c>
      <c r="M108" s="610">
        <f t="shared" si="64"/>
        <v>11464133.252889015</v>
      </c>
      <c r="O108" s="640">
        <f t="shared" si="42"/>
        <v>0.11198461746724742</v>
      </c>
      <c r="P108" s="640">
        <f t="shared" si="43"/>
        <v>0.31299728653784298</v>
      </c>
      <c r="Q108" s="640">
        <f t="shared" si="44"/>
        <v>2.7141421830912726E-2</v>
      </c>
      <c r="R108" s="640">
        <f t="shared" si="45"/>
        <v>8.1537325915116865E-2</v>
      </c>
      <c r="S108" s="1"/>
      <c r="T108" s="636">
        <f>+C108/Ricavi!C$12</f>
        <v>0.1952163566277117</v>
      </c>
      <c r="U108" s="636">
        <f>+D108/Ricavi!D$12</f>
        <v>0.19334247045797645</v>
      </c>
      <c r="V108" s="636">
        <f>+E108/Ricavi!E$12</f>
        <v>0.16737863747869147</v>
      </c>
      <c r="W108" s="636">
        <f>+F108/Ricavi!F$12</f>
        <v>0.17630977128184314</v>
      </c>
      <c r="X108" s="636">
        <f>+G108/Ricavi!G$12</f>
        <v>0.15183963771352879</v>
      </c>
      <c r="Y108" s="636">
        <f>+H108/Ricavi!H$12</f>
        <v>0.1374694192688973</v>
      </c>
      <c r="AA108" s="636">
        <f t="shared" si="46"/>
        <v>0.1768173747119503</v>
      </c>
    </row>
    <row r="109" spans="2:28">
      <c r="B109" s="604" t="s">
        <v>2499</v>
      </c>
      <c r="C109" s="613">
        <f>+BdV!E604</f>
        <v>254000</v>
      </c>
      <c r="D109" s="613">
        <f>+BdV!F604</f>
        <v>214000</v>
      </c>
      <c r="E109" s="613">
        <f>+BdV!G604</f>
        <v>174000</v>
      </c>
      <c r="F109" s="613">
        <f>+BdV!H604</f>
        <v>174000</v>
      </c>
      <c r="G109" s="613">
        <f>+BdV!I604</f>
        <v>174000</v>
      </c>
      <c r="H109" s="613">
        <f>+BdV!J604</f>
        <v>6000</v>
      </c>
      <c r="I109" s="609">
        <f>+G109</f>
        <v>174000</v>
      </c>
      <c r="J109" s="609">
        <f t="shared" ref="J109:M109" si="65">+I109</f>
        <v>174000</v>
      </c>
      <c r="K109" s="609">
        <f t="shared" si="65"/>
        <v>174000</v>
      </c>
      <c r="L109" s="609">
        <f t="shared" si="65"/>
        <v>174000</v>
      </c>
      <c r="M109" s="609">
        <f t="shared" si="65"/>
        <v>174000</v>
      </c>
      <c r="O109" s="608">
        <f t="shared" si="42"/>
        <v>-9.0235716322636272E-2</v>
      </c>
      <c r="P109" s="608">
        <f t="shared" si="43"/>
        <v>0</v>
      </c>
      <c r="Q109" s="608">
        <f t="shared" si="44"/>
        <v>-0.1184671301243011</v>
      </c>
      <c r="R109" s="608">
        <f t="shared" si="45"/>
        <v>0</v>
      </c>
      <c r="T109" s="635">
        <f>+C109/Ricavi!C$12</f>
        <v>9.7861388685222487E-3</v>
      </c>
      <c r="U109" s="635">
        <f>+D109/Ricavi!D$12</f>
        <v>8.5514614239181556E-3</v>
      </c>
      <c r="V109" s="635">
        <f>+E109/Ricavi!E$12</f>
        <v>6.4810186328726977E-3</v>
      </c>
      <c r="W109" s="635">
        <f>+F109/Ricavi!F$12</f>
        <v>5.5872274877597355E-3</v>
      </c>
      <c r="X109" s="635">
        <f>+G109/Ricavi!G$12</f>
        <v>3.4103640653485212E-3</v>
      </c>
      <c r="Y109" s="635">
        <f>+H109/Ricavi!H$12</f>
        <v>2.3307988126043788E-4</v>
      </c>
      <c r="AA109" s="635">
        <f t="shared" si="46"/>
        <v>6.7632420956842713E-3</v>
      </c>
    </row>
    <row r="110" spans="2:28">
      <c r="B110" s="604" t="s">
        <v>2500</v>
      </c>
      <c r="C110" s="613">
        <f>+BdV!E605</f>
        <v>16468</v>
      </c>
      <c r="D110" s="613">
        <f>+BdV!F605</f>
        <v>5798</v>
      </c>
      <c r="E110" s="613">
        <f>+BdV!G605</f>
        <v>4848</v>
      </c>
      <c r="F110" s="613">
        <f>+BdV!H605</f>
        <v>4800</v>
      </c>
      <c r="G110" s="613">
        <f>+BdV!I605</f>
        <v>15824.79</v>
      </c>
      <c r="H110" s="613">
        <f>+BdV!J605</f>
        <v>8505.9699999999993</v>
      </c>
      <c r="I110" s="609"/>
      <c r="J110" s="609"/>
      <c r="K110" s="609"/>
      <c r="L110" s="609"/>
      <c r="M110" s="609"/>
      <c r="O110" s="608">
        <f t="shared" si="42"/>
        <v>-9.910911508452469E-3</v>
      </c>
      <c r="P110" s="608">
        <f t="shared" si="43"/>
        <v>0.80670677101616128</v>
      </c>
      <c r="Q110" s="608">
        <f t="shared" si="44"/>
        <v>-0.33696957193448329</v>
      </c>
      <c r="R110" s="608" t="str">
        <f t="shared" si="45"/>
        <v>n/a</v>
      </c>
      <c r="T110" s="635">
        <f>+C110/Ricavi!C$12</f>
        <v>6.3448084601111965E-4</v>
      </c>
      <c r="U110" s="635">
        <f>+D110/Ricavi!D$12</f>
        <v>2.3168866044802553E-4</v>
      </c>
      <c r="V110" s="635">
        <f>+E110/Ricavi!E$12</f>
        <v>1.8057458811590138E-4</v>
      </c>
      <c r="W110" s="635">
        <f>+F110/Ricavi!F$12</f>
        <v>1.5413041345544099E-4</v>
      </c>
      <c r="X110" s="635">
        <f>+G110/Ricavi!G$12</f>
        <v>3.1016261584877373E-4</v>
      </c>
      <c r="Y110" s="635">
        <f>+H110/Ricavi!H$12</f>
        <v>3.3042841293414111E-4</v>
      </c>
      <c r="AA110" s="635">
        <f t="shared" si="46"/>
        <v>3.0220742477585227E-4</v>
      </c>
    </row>
    <row r="111" spans="2:28">
      <c r="B111" s="604" t="s">
        <v>2501</v>
      </c>
      <c r="C111" s="613">
        <f>+BdV!E606</f>
        <v>872313.57</v>
      </c>
      <c r="D111" s="613">
        <f>+BdV!F606</f>
        <v>1057125.1299999999</v>
      </c>
      <c r="E111" s="613">
        <f>+BdV!G606</f>
        <v>1134345.8</v>
      </c>
      <c r="F111" s="613">
        <f>+BdV!H606</f>
        <v>784682.9</v>
      </c>
      <c r="G111" s="613">
        <f>+BdV!I606</f>
        <v>1123712.01</v>
      </c>
      <c r="H111" s="613">
        <f>+BdV!J606</f>
        <v>617746.75</v>
      </c>
      <c r="I111" s="609">
        <f>+'Leasing attrezzature'!K61</f>
        <v>1151658.6100000001</v>
      </c>
      <c r="J111" s="609">
        <f>+'Leasing costo annu'!L62+'Leasing costo annu'!M62</f>
        <v>1073369.3733820003</v>
      </c>
      <c r="K111" s="609">
        <f>+'Leasing costo annu'!N62+'Leasing costo annu'!O62</f>
        <v>793046.87560000003</v>
      </c>
      <c r="L111" s="609">
        <f>+'Leasing costo annu'!P62+'Leasing costo annu'!Q62</f>
        <v>496114.78359999997</v>
      </c>
      <c r="M111" s="609">
        <f>+'Leasing costo annu'!R62+'Leasing costo annu'!S62</f>
        <v>247950.913</v>
      </c>
      <c r="O111" s="608">
        <f t="shared" si="42"/>
        <v>6.5358066379483937E-2</v>
      </c>
      <c r="P111" s="608">
        <f t="shared" si="43"/>
        <v>-4.6982272955052862E-3</v>
      </c>
      <c r="Q111" s="608">
        <f t="shared" si="44"/>
        <v>-3.4674334063419132E-2</v>
      </c>
      <c r="R111" s="608">
        <f t="shared" si="45"/>
        <v>-0.26083373489406825</v>
      </c>
      <c r="T111" s="635">
        <f>+C111/Ricavi!C$12</f>
        <v>3.3608589499670875E-2</v>
      </c>
      <c r="U111" s="635">
        <f>+D111/Ricavi!D$12</f>
        <v>4.224282602546478E-2</v>
      </c>
      <c r="V111" s="635">
        <f>+E111/Ricavi!E$12</f>
        <v>4.2251242907591302E-2</v>
      </c>
      <c r="W111" s="635">
        <f>+F111/Ricavi!F$12</f>
        <v>2.5196562460086346E-2</v>
      </c>
      <c r="X111" s="635">
        <f>+G111/Ricavi!G$12</f>
        <v>2.2024523325888265E-2</v>
      </c>
      <c r="Y111" s="635">
        <f>+H111/Ricavi!H$12</f>
        <v>2.3997389856503567E-2</v>
      </c>
      <c r="AA111" s="635">
        <f t="shared" si="46"/>
        <v>3.3064748843740312E-2</v>
      </c>
    </row>
    <row r="112" spans="2:28">
      <c r="B112" s="604" t="s">
        <v>2502</v>
      </c>
      <c r="C112" s="613">
        <f>+BdV!E607</f>
        <v>69539.360000000001</v>
      </c>
      <c r="D112" s="613">
        <f>+BdV!F607</f>
        <v>72178.69</v>
      </c>
      <c r="E112" s="613">
        <f>+BdV!G607</f>
        <v>72272.179999999993</v>
      </c>
      <c r="F112" s="613">
        <f>+BdV!H607</f>
        <v>80879.179999999993</v>
      </c>
      <c r="G112" s="613">
        <f>+BdV!I607</f>
        <v>93476.72</v>
      </c>
      <c r="H112" s="613">
        <f>+BdV!J607</f>
        <v>95109.47</v>
      </c>
      <c r="I112" s="609">
        <v>0</v>
      </c>
      <c r="J112" s="609">
        <v>0</v>
      </c>
      <c r="K112" s="609">
        <v>0</v>
      </c>
      <c r="L112" s="609">
        <v>0</v>
      </c>
      <c r="M112" s="609">
        <v>0</v>
      </c>
      <c r="O112" s="608">
        <f t="shared" si="42"/>
        <v>7.675821518329573E-2</v>
      </c>
      <c r="P112" s="608">
        <f t="shared" si="43"/>
        <v>0.13727673529876983</v>
      </c>
      <c r="Q112" s="608">
        <f t="shared" si="44"/>
        <v>5.164384259537913E-2</v>
      </c>
      <c r="R112" s="608" t="str">
        <f t="shared" si="45"/>
        <v>n/a</v>
      </c>
      <c r="T112" s="635">
        <f>+C112/Ricavi!C$12</f>
        <v>2.6792198180636269E-3</v>
      </c>
      <c r="U112" s="635">
        <f>+D112/Ricavi!D$12</f>
        <v>2.8842676783362013E-3</v>
      </c>
      <c r="V112" s="635">
        <f>+E112/Ricavi!E$12</f>
        <v>2.6919387656225832E-3</v>
      </c>
      <c r="W112" s="635">
        <f>+F112/Ricavi!F$12</f>
        <v>2.5970711361118816E-3</v>
      </c>
      <c r="X112" s="635">
        <f>+G112/Ricavi!G$12</f>
        <v>1.8321244070956635E-3</v>
      </c>
      <c r="Y112" s="635">
        <f>+H112/Ricavi!H$12</f>
        <v>3.6946839957238634E-3</v>
      </c>
      <c r="AA112" s="635">
        <f t="shared" si="46"/>
        <v>2.5369243610459911E-3</v>
      </c>
    </row>
    <row r="113" spans="2:28">
      <c r="B113" s="604" t="s">
        <v>2503</v>
      </c>
      <c r="C113" s="613">
        <f>+BdV!E608</f>
        <v>1454.95</v>
      </c>
      <c r="D113" s="613">
        <f>+BdV!F608</f>
        <v>23911.9</v>
      </c>
      <c r="E113" s="613">
        <f>+BdV!G608</f>
        <v>61870.12</v>
      </c>
      <c r="F113" s="613">
        <f>+BdV!H608</f>
        <v>107470.55</v>
      </c>
      <c r="G113" s="613">
        <f>+BdV!I608</f>
        <v>100829.51</v>
      </c>
      <c r="H113" s="613">
        <f>+BdV!J608</f>
        <v>59095.93</v>
      </c>
      <c r="I113" s="609">
        <f>+'Leasing al 30.06'!I34</f>
        <v>112132.56000000001</v>
      </c>
      <c r="J113" s="609">
        <f>+'Leasing al 30.06'!J34</f>
        <v>104673.88</v>
      </c>
      <c r="K113" s="609">
        <f>+'Leasing al 30.06'!K34</f>
        <v>89691.959999999992</v>
      </c>
      <c r="L113" s="609">
        <f>+'Leasing al 30.06'!L34</f>
        <v>28446.32</v>
      </c>
      <c r="M113" s="609">
        <v>0</v>
      </c>
      <c r="O113" s="608">
        <f t="shared" si="42"/>
        <v>1.8852596148831351</v>
      </c>
      <c r="P113" s="608">
        <f t="shared" si="43"/>
        <v>0.27659561741240757</v>
      </c>
      <c r="Q113" s="608">
        <f t="shared" si="44"/>
        <v>3.1957905537378322</v>
      </c>
      <c r="R113" s="608" t="str">
        <f t="shared" si="45"/>
        <v>n/a</v>
      </c>
      <c r="T113" s="635">
        <f>+C113/Ricavi!C$12</f>
        <v>5.6056467506915139E-5</v>
      </c>
      <c r="U113" s="635">
        <f>+D113/Ricavi!D$12</f>
        <v>9.5552191786256327E-4</v>
      </c>
      <c r="V113" s="635">
        <f>+E113/Ricavi!E$12</f>
        <v>2.3044908076900561E-3</v>
      </c>
      <c r="W113" s="635">
        <f>+F113/Ricavi!F$12</f>
        <v>3.4509333970382593E-3</v>
      </c>
      <c r="X113" s="635">
        <f>+G113/Ricavi!G$12</f>
        <v>1.9762375725902261E-3</v>
      </c>
      <c r="Y113" s="635">
        <f>+H113/Ricavi!H$12</f>
        <v>2.2956787245625248E-3</v>
      </c>
      <c r="AA113" s="635">
        <f t="shared" si="46"/>
        <v>1.7486480325376041E-3</v>
      </c>
    </row>
    <row r="114" spans="2:28">
      <c r="B114" s="604" t="s">
        <v>2504</v>
      </c>
      <c r="C114" s="613">
        <f>+BdV!E609</f>
        <v>694995.36</v>
      </c>
      <c r="D114" s="613">
        <f>+BdV!F609</f>
        <v>427487.93</v>
      </c>
      <c r="E114" s="613">
        <f>+BdV!G609</f>
        <v>214630.33</v>
      </c>
      <c r="F114" s="613">
        <f>+BdV!H609</f>
        <v>553529.11</v>
      </c>
      <c r="G114" s="613">
        <f>+BdV!I609</f>
        <v>2471141.34</v>
      </c>
      <c r="H114" s="613">
        <f>+BdV!J609</f>
        <v>1400039.2</v>
      </c>
      <c r="I114" s="609">
        <f>+$AA$114*Ricavi!J5</f>
        <v>2029808.8353529584</v>
      </c>
      <c r="J114" s="609">
        <f>+$AA$114*Ricavi!K5</f>
        <v>2157326.4362765579</v>
      </c>
      <c r="K114" s="609">
        <f>+$AA$114*Ricavi!L5</f>
        <v>2236881.4709952241</v>
      </c>
      <c r="L114" s="609">
        <f>+$AA$114*Ricavi!M5</f>
        <v>2335867.3692578375</v>
      </c>
      <c r="M114" s="609">
        <f>+$AA$114*Ricavi!N5</f>
        <v>2439233.5657981671</v>
      </c>
      <c r="O114" s="608">
        <f t="shared" si="42"/>
        <v>0.37318458735081461</v>
      </c>
      <c r="P114" s="608">
        <f t="shared" si="43"/>
        <v>2.3931514657824469</v>
      </c>
      <c r="Q114" s="608">
        <f t="shared" si="44"/>
        <v>-7.3057375098343758E-2</v>
      </c>
      <c r="R114" s="608">
        <f t="shared" si="45"/>
        <v>-2.595874336283166E-3</v>
      </c>
      <c r="T114" s="635">
        <f>+C114/Ricavi!C$12</f>
        <v>2.6776854747789812E-2</v>
      </c>
      <c r="U114" s="635">
        <f>+D114/Ricavi!D$12</f>
        <v>1.7082460479372077E-2</v>
      </c>
      <c r="V114" s="635">
        <f>+E114/Ricavi!E$12</f>
        <v>7.994386022469057E-3</v>
      </c>
      <c r="W114" s="635">
        <f>+F114/Ricavi!F$12</f>
        <v>1.777409803831714E-2</v>
      </c>
      <c r="X114" s="635">
        <f>+G114/Ricavi!G$12</f>
        <v>4.843385992145513E-2</v>
      </c>
      <c r="Y114" s="635">
        <f>+H114/Ricavi!H$12</f>
        <v>5.4386828415993071E-2</v>
      </c>
      <c r="AA114" s="635">
        <f>+AVERAGE(W114:X114)</f>
        <v>3.3103978979886137E-2</v>
      </c>
      <c r="AB114" s="3" t="s">
        <v>4482</v>
      </c>
    </row>
    <row r="115" spans="2:28">
      <c r="B115" s="604" t="s">
        <v>2505</v>
      </c>
      <c r="C115" s="613">
        <f>+BdV!E610</f>
        <v>6065.23</v>
      </c>
      <c r="D115" s="613">
        <f>+BdV!F610</f>
        <v>0</v>
      </c>
      <c r="E115" s="613">
        <f>+BdV!G610</f>
        <v>507.69</v>
      </c>
      <c r="F115" s="613">
        <f>+BdV!H610</f>
        <v>33.96</v>
      </c>
      <c r="G115" s="613">
        <f>+BdV!I610</f>
        <v>71</v>
      </c>
      <c r="H115" s="613">
        <f>+BdV!J610</f>
        <v>47.13</v>
      </c>
      <c r="I115" s="609">
        <v>0</v>
      </c>
      <c r="J115" s="609">
        <v>0</v>
      </c>
      <c r="K115" s="609">
        <v>0</v>
      </c>
      <c r="L115" s="609">
        <v>0</v>
      </c>
      <c r="M115" s="609">
        <v>0</v>
      </c>
      <c r="O115" s="608">
        <f t="shared" si="42"/>
        <v>-0.67107054264158861</v>
      </c>
      <c r="P115" s="608">
        <f t="shared" si="43"/>
        <v>-0.62603593685180736</v>
      </c>
      <c r="Q115" s="608">
        <f t="shared" si="44"/>
        <v>-0.82242841588433269</v>
      </c>
      <c r="R115" s="608" t="str">
        <f t="shared" si="45"/>
        <v>n/a</v>
      </c>
      <c r="T115" s="635">
        <f>+C115/Ricavi!C$12</f>
        <v>2.3368182302963461E-4</v>
      </c>
      <c r="U115" s="635">
        <f>+D115/Ricavi!D$12</f>
        <v>0</v>
      </c>
      <c r="V115" s="635">
        <f>+E115/Ricavi!E$12</f>
        <v>1.8910047986914596E-5</v>
      </c>
      <c r="W115" s="635">
        <f>+F115/Ricavi!F$12</f>
        <v>1.090472675197245E-6</v>
      </c>
      <c r="X115" s="635">
        <f>+G115/Ricavi!G$12</f>
        <v>1.3915853370100289E-6</v>
      </c>
      <c r="Y115" s="635">
        <f>+H115/Ricavi!H$12</f>
        <v>1.8308424673007398E-6</v>
      </c>
      <c r="AA115" s="635">
        <f t="shared" si="46"/>
        <v>5.1014785805751303E-5</v>
      </c>
    </row>
    <row r="116" spans="2:28">
      <c r="B116" s="604" t="s">
        <v>2506</v>
      </c>
      <c r="C116" s="613">
        <f>+BdV!E611</f>
        <v>0</v>
      </c>
      <c r="D116" s="613">
        <f>+BdV!F611</f>
        <v>3205.32</v>
      </c>
      <c r="E116" s="613">
        <f>+BdV!G611</f>
        <v>3102.97</v>
      </c>
      <c r="F116" s="613">
        <f>+BdV!H611</f>
        <v>3469.64</v>
      </c>
      <c r="G116" s="613">
        <f>+BdV!I611</f>
        <v>521.23</v>
      </c>
      <c r="H116" s="613">
        <f>+BdV!J611</f>
        <v>306.83999999999997</v>
      </c>
      <c r="I116" s="609">
        <v>0</v>
      </c>
      <c r="J116" s="609">
        <v>0</v>
      </c>
      <c r="K116" s="609">
        <v>0</v>
      </c>
      <c r="L116" s="609">
        <v>0</v>
      </c>
      <c r="M116" s="609">
        <v>0</v>
      </c>
      <c r="O116" s="608" t="str">
        <f t="shared" si="42"/>
        <v>n/a</v>
      </c>
      <c r="P116" s="608">
        <f t="shared" si="43"/>
        <v>-0.59014908060294613</v>
      </c>
      <c r="Q116" s="608" t="str">
        <f t="shared" si="44"/>
        <v>n/a</v>
      </c>
      <c r="R116" s="608" t="str">
        <f t="shared" si="45"/>
        <v>n/a</v>
      </c>
      <c r="T116" s="635">
        <f>+C116/Ricavi!C$12</f>
        <v>0</v>
      </c>
      <c r="U116" s="635">
        <f>+D116/Ricavi!D$12</f>
        <v>1.2808490809024925E-4</v>
      </c>
      <c r="V116" s="635">
        <f>+E116/Ricavi!E$12</f>
        <v>1.1557704820255743E-4</v>
      </c>
      <c r="W116" s="635">
        <f>+F116/Ricavi!F$12</f>
        <v>1.1141188494615339E-4</v>
      </c>
      <c r="X116" s="635">
        <f>+G116/Ricavi!G$12</f>
        <v>1.0216000355066723E-5</v>
      </c>
      <c r="Y116" s="635">
        <f>+H116/Ricavi!H$12</f>
        <v>1.1919705127658793E-5</v>
      </c>
      <c r="AA116" s="635">
        <f t="shared" si="46"/>
        <v>7.3057968318805363E-5</v>
      </c>
    </row>
    <row r="117" spans="2:28">
      <c r="B117" s="604" t="s">
        <v>2507</v>
      </c>
      <c r="C117" s="613">
        <f>+BdV!E612</f>
        <v>2793.22</v>
      </c>
      <c r="D117" s="613">
        <f>+BdV!F612</f>
        <v>566.24</v>
      </c>
      <c r="E117" s="613">
        <f>+BdV!G612</f>
        <v>597.63</v>
      </c>
      <c r="F117" s="613">
        <f>+BdV!H612</f>
        <v>6091.9</v>
      </c>
      <c r="G117" s="613">
        <f>+BdV!I612</f>
        <v>9851.66</v>
      </c>
      <c r="H117" s="613">
        <f>+BdV!J612</f>
        <v>13859.45</v>
      </c>
      <c r="I117" s="609">
        <v>0</v>
      </c>
      <c r="J117" s="609">
        <v>0</v>
      </c>
      <c r="K117" s="609">
        <v>0</v>
      </c>
      <c r="L117" s="609">
        <v>0</v>
      </c>
      <c r="M117" s="609">
        <v>0</v>
      </c>
      <c r="O117" s="608">
        <f t="shared" si="42"/>
        <v>0.37041173224402457</v>
      </c>
      <c r="P117" s="608">
        <f t="shared" si="43"/>
        <v>3.0601166602881218</v>
      </c>
      <c r="Q117" s="608">
        <f t="shared" si="44"/>
        <v>0.29682848383289695</v>
      </c>
      <c r="R117" s="608" t="str">
        <f t="shared" si="45"/>
        <v>n/a</v>
      </c>
      <c r="T117" s="635">
        <f>+C117/Ricavi!C$12</f>
        <v>1.0761747563123508E-4</v>
      </c>
      <c r="U117" s="635">
        <f>+D117/Ricavi!D$12</f>
        <v>2.262700708728699E-5</v>
      </c>
      <c r="V117" s="635">
        <f>+E117/Ricavi!E$12</f>
        <v>2.2260064169906382E-5</v>
      </c>
      <c r="W117" s="635">
        <f>+F117/Ricavi!F$12</f>
        <v>1.9561397202691685E-4</v>
      </c>
      <c r="X117" s="635">
        <f>+G117/Ricavi!G$12</f>
        <v>1.9309050142546789E-4</v>
      </c>
      <c r="Y117" s="635">
        <f>+H117/Ricavi!H$12</f>
        <v>5.3839316005582934E-4</v>
      </c>
      <c r="AA117" s="635">
        <f t="shared" si="46"/>
        <v>1.0824180406816263E-4</v>
      </c>
    </row>
    <row r="118" spans="2:28">
      <c r="B118" s="604" t="s">
        <v>2508</v>
      </c>
      <c r="C118" s="613">
        <f>+BdV!E613</f>
        <v>0</v>
      </c>
      <c r="D118" s="613">
        <f>+BdV!F613</f>
        <v>0</v>
      </c>
      <c r="E118" s="613">
        <f>+BdV!G613</f>
        <v>0</v>
      </c>
      <c r="F118" s="613">
        <f>+BdV!H613</f>
        <v>0</v>
      </c>
      <c r="G118" s="613">
        <f>+BdV!I613</f>
        <v>2579.54</v>
      </c>
      <c r="H118" s="613">
        <f>+BdV!J613</f>
        <v>0</v>
      </c>
      <c r="I118" s="609">
        <v>0</v>
      </c>
      <c r="J118" s="609">
        <v>0</v>
      </c>
      <c r="K118" s="609">
        <v>0</v>
      </c>
      <c r="L118" s="609">
        <v>0</v>
      </c>
      <c r="M118" s="609">
        <v>0</v>
      </c>
      <c r="O118" s="608" t="str">
        <f t="shared" si="42"/>
        <v>n/a</v>
      </c>
      <c r="P118" s="608" t="str">
        <f t="shared" si="43"/>
        <v>n/a</v>
      </c>
      <c r="Q118" s="608" t="str">
        <f t="shared" si="44"/>
        <v>n/a</v>
      </c>
      <c r="R118" s="608" t="str">
        <f t="shared" si="45"/>
        <v>n/a</v>
      </c>
      <c r="T118" s="635">
        <f>+C118/Ricavi!C$12</f>
        <v>0</v>
      </c>
      <c r="U118" s="635">
        <f>+D118/Ricavi!D$12</f>
        <v>0</v>
      </c>
      <c r="V118" s="635">
        <f>+E118/Ricavi!E$12</f>
        <v>0</v>
      </c>
      <c r="W118" s="635">
        <f>+F118/Ricavi!F$12</f>
        <v>0</v>
      </c>
      <c r="X118" s="635">
        <f>+G118/Ricavi!G$12</f>
        <v>5.055845127085704E-5</v>
      </c>
      <c r="Y118" s="635">
        <f>+H118/Ricavi!H$12</f>
        <v>0</v>
      </c>
      <c r="AA118" s="635">
        <f t="shared" si="46"/>
        <v>1.0111690254171409E-5</v>
      </c>
    </row>
    <row r="119" spans="2:28">
      <c r="B119" s="604" t="s">
        <v>2409</v>
      </c>
      <c r="C119" s="613">
        <f>+BdV!E614</f>
        <v>1000</v>
      </c>
      <c r="D119" s="613">
        <f>+BdV!F614</f>
        <v>0</v>
      </c>
      <c r="E119" s="613">
        <f>+BdV!G614</f>
        <v>0</v>
      </c>
      <c r="F119" s="613">
        <f>+BdV!H614</f>
        <v>0</v>
      </c>
      <c r="G119" s="613">
        <f>+BdV!I614</f>
        <v>0</v>
      </c>
      <c r="H119" s="613">
        <f>+BdV!J614</f>
        <v>0</v>
      </c>
      <c r="I119" s="609">
        <v>0</v>
      </c>
      <c r="J119" s="609">
        <v>0</v>
      </c>
      <c r="K119" s="609">
        <v>0</v>
      </c>
      <c r="L119" s="609">
        <v>0</v>
      </c>
      <c r="M119" s="609">
        <v>0</v>
      </c>
      <c r="O119" s="608" t="str">
        <f t="shared" si="42"/>
        <v>n/a</v>
      </c>
      <c r="P119" s="608" t="str">
        <f t="shared" si="43"/>
        <v>n/a</v>
      </c>
      <c r="Q119" s="608" t="str">
        <f t="shared" si="44"/>
        <v>n/a</v>
      </c>
      <c r="R119" s="608" t="str">
        <f t="shared" si="45"/>
        <v>n/a</v>
      </c>
      <c r="T119" s="635">
        <f>+C119/Ricavi!C$12</f>
        <v>3.8528105781583655E-5</v>
      </c>
      <c r="U119" s="635">
        <f>+D119/Ricavi!D$12</f>
        <v>0</v>
      </c>
      <c r="V119" s="635">
        <f>+E119/Ricavi!E$12</f>
        <v>0</v>
      </c>
      <c r="W119" s="635">
        <f>+F119/Ricavi!F$12</f>
        <v>0</v>
      </c>
      <c r="X119" s="635">
        <f>+G119/Ricavi!G$12</f>
        <v>0</v>
      </c>
      <c r="Y119" s="635">
        <f>+H119/Ricavi!H$12</f>
        <v>0</v>
      </c>
      <c r="AA119" s="635">
        <f t="shared" si="46"/>
        <v>7.7056211563167307E-6</v>
      </c>
    </row>
    <row r="120" spans="2:28">
      <c r="B120" s="604" t="s">
        <v>2509</v>
      </c>
      <c r="C120" s="613">
        <f>+BdV!E615</f>
        <v>0</v>
      </c>
      <c r="D120" s="613">
        <f>+BdV!F615</f>
        <v>0</v>
      </c>
      <c r="E120" s="613">
        <f>+BdV!G615</f>
        <v>0</v>
      </c>
      <c r="F120" s="613">
        <f>+BdV!H615</f>
        <v>0</v>
      </c>
      <c r="G120" s="613">
        <f>+BdV!I615</f>
        <v>84.49</v>
      </c>
      <c r="H120" s="613">
        <f>+BdV!J615</f>
        <v>102.67</v>
      </c>
      <c r="I120" s="609">
        <v>0</v>
      </c>
      <c r="J120" s="609">
        <v>0</v>
      </c>
      <c r="K120" s="609">
        <v>0</v>
      </c>
      <c r="L120" s="609">
        <v>0</v>
      </c>
      <c r="M120" s="609">
        <v>0</v>
      </c>
      <c r="O120" s="608" t="str">
        <f t="shared" si="42"/>
        <v>n/a</v>
      </c>
      <c r="P120" s="608" t="str">
        <f t="shared" si="43"/>
        <v>n/a</v>
      </c>
      <c r="Q120" s="608" t="str">
        <f t="shared" si="44"/>
        <v>n/a</v>
      </c>
      <c r="R120" s="608" t="str">
        <f t="shared" si="45"/>
        <v>n/a</v>
      </c>
      <c r="T120" s="635">
        <f>+C120/Ricavi!C$12</f>
        <v>0</v>
      </c>
      <c r="U120" s="635">
        <f>+D120/Ricavi!D$12</f>
        <v>0</v>
      </c>
      <c r="V120" s="635">
        <f>+E120/Ricavi!E$12</f>
        <v>0</v>
      </c>
      <c r="W120" s="635">
        <f>+F120/Ricavi!F$12</f>
        <v>0</v>
      </c>
      <c r="X120" s="635">
        <f>+G120/Ricavi!G$12</f>
        <v>1.6559865510419342E-6</v>
      </c>
      <c r="Y120" s="635">
        <f>+H120/Ricavi!H$12</f>
        <v>3.9883852348348596E-6</v>
      </c>
      <c r="AA120" s="635">
        <f t="shared" si="46"/>
        <v>3.3119731020838682E-7</v>
      </c>
    </row>
    <row r="121" spans="2:28">
      <c r="B121" s="596" t="s">
        <v>2510</v>
      </c>
      <c r="C121" s="610">
        <f>+SUM(C109:C120)</f>
        <v>1918629.6899999997</v>
      </c>
      <c r="D121" s="610">
        <f t="shared" ref="D121:M121" si="66">+SUM(D109:D120)</f>
        <v>1804273.2099999997</v>
      </c>
      <c r="E121" s="610">
        <f t="shared" si="66"/>
        <v>1666174.72</v>
      </c>
      <c r="F121" s="610">
        <f t="shared" si="66"/>
        <v>1714957.24</v>
      </c>
      <c r="G121" s="610">
        <f t="shared" si="66"/>
        <v>3992092.2900000005</v>
      </c>
      <c r="H121" s="610">
        <f t="shared" ref="H121" si="67">+SUM(H109:H120)</f>
        <v>2200813.4099999997</v>
      </c>
      <c r="I121" s="610">
        <f t="shared" si="66"/>
        <v>3467600.0053529586</v>
      </c>
      <c r="J121" s="610">
        <f t="shared" si="66"/>
        <v>3509369.689658558</v>
      </c>
      <c r="K121" s="610">
        <f t="shared" si="66"/>
        <v>3293620.306595224</v>
      </c>
      <c r="L121" s="610">
        <f t="shared" si="66"/>
        <v>3034428.4728578376</v>
      </c>
      <c r="M121" s="610">
        <f t="shared" si="66"/>
        <v>2861184.4787981673</v>
      </c>
      <c r="O121" s="640">
        <f t="shared" si="42"/>
        <v>0.2010258447233928</v>
      </c>
      <c r="P121" s="640">
        <f t="shared" si="43"/>
        <v>0.54788972006549375</v>
      </c>
      <c r="Q121" s="640">
        <f t="shared" si="44"/>
        <v>-3.6716669148725734E-2</v>
      </c>
      <c r="R121" s="640">
        <f t="shared" si="45"/>
        <v>-6.4445574405835426E-2</v>
      </c>
      <c r="S121" s="1"/>
      <c r="T121" s="636">
        <f>+C121/Ricavi!C$12</f>
        <v>7.3921167652007042E-2</v>
      </c>
      <c r="U121" s="636">
        <f>+D121/Ricavi!D$12</f>
        <v>7.2098938100579338E-2</v>
      </c>
      <c r="V121" s="636">
        <f>+E121/Ricavi!E$12</f>
        <v>6.2060398884720973E-2</v>
      </c>
      <c r="W121" s="636">
        <f>+F121/Ricavi!F$12</f>
        <v>5.5068139262417069E-2</v>
      </c>
      <c r="X121" s="636">
        <f>+G121/Ricavi!G$12</f>
        <v>7.8244184433166039E-2</v>
      </c>
      <c r="Y121" s="636">
        <f>+H121/Ricavi!H$12</f>
        <v>8.5494221379863219E-2</v>
      </c>
      <c r="AA121" s="636">
        <f t="shared" si="46"/>
        <v>6.8278565666578098E-2</v>
      </c>
    </row>
    <row r="123" spans="2:28" hidden="1" outlineLevel="1">
      <c r="C123" s="634"/>
      <c r="D123" s="634"/>
      <c r="E123" s="634"/>
      <c r="F123" s="634"/>
      <c r="G123" s="634"/>
      <c r="H123" s="634"/>
      <c r="J123" s="261">
        <v>0.22</v>
      </c>
    </row>
    <row r="124" spans="2:28" hidden="1" outlineLevel="1">
      <c r="I124" s="595">
        <v>24000</v>
      </c>
      <c r="J124" s="644">
        <f>+(I124*$J$123)+I124</f>
        <v>29280</v>
      </c>
    </row>
    <row r="125" spans="2:28" hidden="1" outlineLevel="1">
      <c r="I125" s="595">
        <v>12000</v>
      </c>
      <c r="J125" s="644">
        <f t="shared" ref="J125:J126" si="68">+(I125*$J$123)+I125</f>
        <v>14640</v>
      </c>
    </row>
    <row r="126" spans="2:28" hidden="1" outlineLevel="1">
      <c r="I126" s="595">
        <v>72000</v>
      </c>
      <c r="J126" s="644">
        <f t="shared" si="68"/>
        <v>87840</v>
      </c>
    </row>
    <row r="127" spans="2:28" hidden="1" outlineLevel="1">
      <c r="I127" s="595">
        <v>104000</v>
      </c>
      <c r="J127" s="644">
        <f>+(I127*$J$123)+I127</f>
        <v>126880</v>
      </c>
    </row>
    <row r="128" spans="2:28" hidden="1" outlineLevel="1">
      <c r="J128" s="644">
        <f>+SUM(J124:J127)</f>
        <v>258640</v>
      </c>
      <c r="K128" t="s">
        <v>4263</v>
      </c>
    </row>
    <row r="129" spans="2:35" collapsed="1"/>
    <row r="130" spans="2:35">
      <c r="B130" s="604" t="s">
        <v>3833</v>
      </c>
      <c r="C130" s="613">
        <f>+BdV!E659</f>
        <v>702</v>
      </c>
      <c r="D130" s="613">
        <f>+BdV!F659</f>
        <v>15868.25</v>
      </c>
      <c r="E130" s="613">
        <f>+BdV!G659</f>
        <v>837</v>
      </c>
      <c r="F130" s="613">
        <f>+BdV!H659</f>
        <v>24402.75</v>
      </c>
      <c r="G130" s="613">
        <f>+BdV!I659</f>
        <v>3135.75</v>
      </c>
      <c r="H130" s="613">
        <f>+BdV!J659</f>
        <v>887</v>
      </c>
      <c r="I130" s="609">
        <v>5000</v>
      </c>
      <c r="J130" s="609">
        <v>5000</v>
      </c>
      <c r="K130" s="609">
        <v>5000</v>
      </c>
      <c r="L130" s="609">
        <v>5000</v>
      </c>
      <c r="M130" s="609">
        <v>5000</v>
      </c>
      <c r="O130" s="608">
        <f t="shared" ref="O130:O170" si="69">IF(G130*C130&lt;=0,"n/a",IF(C130&gt;G130,-ABS((G130/C130)^(1/(4))-1),ABS((G130/C130)^(1/(4))-1)))</f>
        <v>0.45378799987745233</v>
      </c>
      <c r="P130" s="608">
        <f t="shared" ref="P130:P170" si="70">IF(G130*E130&lt;=0,"n/a",IF(E130&gt;G130,-ABS((G130/E130)^(1/(2))-1),ABS((G130/E130)^(1/(2))-1)))</f>
        <v>0.93556600781510912</v>
      </c>
      <c r="Q130" s="608">
        <f t="shared" ref="Q130:Q170" si="71">IF(F130*C130&lt;=0,"n/a",IF(C130&gt;F130,-ABS((F130/C130)^(1/(3))-1),ABS((F130/C130)^(1/(3))-1)))</f>
        <v>2.2636272665185526</v>
      </c>
      <c r="R130" s="608">
        <f t="shared" ref="R130:R170" si="72">IF(M130*G130&lt;=0,"n/a",IF(G130&gt;M130,-ABS((M130/G130)^(1/(5))-1),ABS((M130/G130)^(1/(5))-1)))</f>
        <v>9.7806289718909811E-2</v>
      </c>
      <c r="T130" s="635">
        <f>+C130/Ricavi!C$12</f>
        <v>2.7046730258671724E-5</v>
      </c>
      <c r="U130" s="635">
        <f>+D130/Ricavi!D$12</f>
        <v>6.3409685859854795E-4</v>
      </c>
      <c r="V130" s="635">
        <f>+E130/Ricavi!E$12</f>
        <v>3.1175934458129012E-5</v>
      </c>
      <c r="W130" s="635">
        <f>+F130/Ricavi!F$12</f>
        <v>7.8358457228120055E-4</v>
      </c>
      <c r="X130" s="635">
        <f>+G130/Ricavi!G$12</f>
        <v>6.1460052401819684E-5</v>
      </c>
      <c r="Y130" s="635">
        <f>+H130/Ricavi!H$12</f>
        <v>3.4456975779668069E-5</v>
      </c>
      <c r="AA130" s="635">
        <f>+AVERAGE(T130:X130)</f>
        <v>3.0747282959967377E-4</v>
      </c>
    </row>
    <row r="131" spans="2:35">
      <c r="B131" s="604" t="s">
        <v>3834</v>
      </c>
      <c r="C131" s="613">
        <f>+BdV!E660</f>
        <v>7160.39</v>
      </c>
      <c r="D131" s="613">
        <f>+BdV!F660</f>
        <v>7601.95</v>
      </c>
      <c r="E131" s="613">
        <f>+BdV!G660</f>
        <v>8133.19</v>
      </c>
      <c r="F131" s="613">
        <f>+BdV!H660</f>
        <v>8611.5300000000007</v>
      </c>
      <c r="G131" s="613">
        <f>+BdV!I660</f>
        <v>8790.24</v>
      </c>
      <c r="H131" s="613">
        <f>+BdV!J660</f>
        <v>4435.2</v>
      </c>
      <c r="I131" s="609">
        <v>8000</v>
      </c>
      <c r="J131" s="609">
        <v>8000</v>
      </c>
      <c r="K131" s="609">
        <v>8000</v>
      </c>
      <c r="L131" s="609">
        <v>8000</v>
      </c>
      <c r="M131" s="609">
        <v>8000</v>
      </c>
      <c r="O131" s="608">
        <f t="shared" si="69"/>
        <v>5.260641839689173E-2</v>
      </c>
      <c r="P131" s="608">
        <f t="shared" si="70"/>
        <v>3.9608705118351795E-2</v>
      </c>
      <c r="Q131" s="608">
        <f t="shared" si="71"/>
        <v>6.3443808719560568E-2</v>
      </c>
      <c r="R131" s="608">
        <f t="shared" si="72"/>
        <v>-1.8663729412151553E-2</v>
      </c>
      <c r="T131" s="635">
        <f>+C131/Ricavi!C$12</f>
        <v>2.7587626335739377E-4</v>
      </c>
      <c r="U131" s="635">
        <f>+D131/Ricavi!D$12</f>
        <v>3.0377468304464773E-4</v>
      </c>
      <c r="V131" s="635">
        <f>+E131/Ricavi!E$12</f>
        <v>3.0293882721088447E-4</v>
      </c>
      <c r="W131" s="635">
        <f>+F131/Ricavi!F$12</f>
        <v>2.7652055820498624E-4</v>
      </c>
      <c r="X131" s="635">
        <f>+G131/Ricavi!G$12</f>
        <v>1.7228688863097234E-4</v>
      </c>
      <c r="Y131" s="635">
        <f>+H131/Ricavi!H$12</f>
        <v>1.7229264822771567E-4</v>
      </c>
      <c r="AA131" s="635">
        <f t="shared" ref="AA131:AA170" si="73">+AVERAGE(T131:X131)</f>
        <v>2.662794440897769E-4</v>
      </c>
    </row>
    <row r="132" spans="2:35">
      <c r="B132" s="604" t="s">
        <v>3835</v>
      </c>
      <c r="C132" s="613">
        <f>+BdV!E661</f>
        <v>3109.22</v>
      </c>
      <c r="D132" s="613">
        <f>+BdV!F661</f>
        <v>2990.16</v>
      </c>
      <c r="E132" s="613">
        <f>+BdV!G661</f>
        <v>4779.5</v>
      </c>
      <c r="F132" s="613">
        <f>+BdV!H661</f>
        <v>3930.24</v>
      </c>
      <c r="G132" s="613">
        <f>+BdV!I661</f>
        <v>3598.06</v>
      </c>
      <c r="H132" s="613">
        <f>+BdV!J661</f>
        <v>3018.44</v>
      </c>
      <c r="I132" s="609">
        <f>+G132*(1+$AB$132)</f>
        <v>3670.0212000000001</v>
      </c>
      <c r="J132" s="609">
        <f t="shared" ref="J132:M132" si="74">+I132*(1+$AB$132)</f>
        <v>3743.4216240000001</v>
      </c>
      <c r="K132" s="609">
        <f t="shared" si="74"/>
        <v>3818.2900564800002</v>
      </c>
      <c r="L132" s="609">
        <f t="shared" si="74"/>
        <v>3894.6558576096004</v>
      </c>
      <c r="M132" s="609">
        <f t="shared" si="74"/>
        <v>3972.5489747617926</v>
      </c>
      <c r="O132" s="608">
        <f t="shared" si="69"/>
        <v>3.7180247158742796E-2</v>
      </c>
      <c r="P132" s="608">
        <f t="shared" si="70"/>
        <v>-0.13235320349239754</v>
      </c>
      <c r="Q132" s="608">
        <f t="shared" si="71"/>
        <v>8.1241084788437279E-2</v>
      </c>
      <c r="R132" s="608">
        <f t="shared" si="72"/>
        <v>2.0000000000000018E-2</v>
      </c>
      <c r="T132" s="635">
        <f>+C132/Ricavi!C$12</f>
        <v>1.1979235705821552E-4</v>
      </c>
      <c r="U132" s="635">
        <f>+D132/Ricavi!D$12</f>
        <v>1.1948709295020144E-4</v>
      </c>
      <c r="V132" s="635">
        <f>+E132/Ricavi!E$12</f>
        <v>1.7802315261962679E-4</v>
      </c>
      <c r="W132" s="635">
        <f>+F132/Ricavi!F$12</f>
        <v>1.2620198253731507E-4</v>
      </c>
      <c r="X132" s="635">
        <f>+G132/Ricavi!G$12</f>
        <v>7.0521232925102882E-5</v>
      </c>
      <c r="Y132" s="635">
        <f>+H132/Ricavi!H$12</f>
        <v>1.1725627279862603E-4</v>
      </c>
      <c r="AA132" s="635">
        <f t="shared" si="73"/>
        <v>1.2280516361809236E-4</v>
      </c>
      <c r="AB132" s="647">
        <v>0.02</v>
      </c>
      <c r="AC132" s="647"/>
      <c r="AD132" s="647"/>
    </row>
    <row r="133" spans="2:35">
      <c r="B133" s="604" t="s">
        <v>3836</v>
      </c>
      <c r="C133" s="613">
        <f>+BdV!E662</f>
        <v>0</v>
      </c>
      <c r="D133" s="613">
        <f>+BdV!F662</f>
        <v>0</v>
      </c>
      <c r="E133" s="613">
        <f>+BdV!G662</f>
        <v>0</v>
      </c>
      <c r="F133" s="613">
        <f>+BdV!H662</f>
        <v>516.46</v>
      </c>
      <c r="G133" s="613">
        <f>+BdV!I662</f>
        <v>516.46</v>
      </c>
      <c r="H133" s="613">
        <f>+BdV!J662</f>
        <v>516.46</v>
      </c>
      <c r="I133" s="609">
        <f>+G133</f>
        <v>516.46</v>
      </c>
      <c r="J133" s="609">
        <f t="shared" ref="J133:M133" si="75">+I133</f>
        <v>516.46</v>
      </c>
      <c r="K133" s="609">
        <f t="shared" si="75"/>
        <v>516.46</v>
      </c>
      <c r="L133" s="609">
        <f t="shared" si="75"/>
        <v>516.46</v>
      </c>
      <c r="M133" s="609">
        <f t="shared" si="75"/>
        <v>516.46</v>
      </c>
      <c r="O133" s="608" t="str">
        <f t="shared" si="69"/>
        <v>n/a</v>
      </c>
      <c r="P133" s="608" t="str">
        <f t="shared" si="70"/>
        <v>n/a</v>
      </c>
      <c r="Q133" s="608" t="str">
        <f t="shared" si="71"/>
        <v>n/a</v>
      </c>
      <c r="R133" s="608">
        <f t="shared" si="72"/>
        <v>0</v>
      </c>
      <c r="T133" s="635">
        <f>+C133/Ricavi!C$12</f>
        <v>0</v>
      </c>
      <c r="U133" s="635">
        <f>+D133/Ricavi!D$12</f>
        <v>0</v>
      </c>
      <c r="V133" s="635">
        <f>+E133/Ricavi!E$12</f>
        <v>0</v>
      </c>
      <c r="W133" s="635">
        <f>+F133/Ricavi!F$12</f>
        <v>1.6583790277749386E-5</v>
      </c>
      <c r="X133" s="635">
        <f>+G133/Ricavi!G$12</f>
        <v>1.0122509340171825E-5</v>
      </c>
      <c r="Y133" s="635">
        <f>+H133/Ricavi!H$12</f>
        <v>2.006273924596096E-5</v>
      </c>
      <c r="AA133" s="635">
        <f t="shared" si="73"/>
        <v>5.3412599235842422E-6</v>
      </c>
    </row>
    <row r="134" spans="2:35">
      <c r="B134" s="604" t="s">
        <v>3872</v>
      </c>
      <c r="C134" s="613">
        <f>+BdV!E663</f>
        <v>0</v>
      </c>
      <c r="D134" s="613">
        <f>+BdV!F663</f>
        <v>0</v>
      </c>
      <c r="E134" s="613">
        <f>+BdV!G663</f>
        <v>0</v>
      </c>
      <c r="F134" s="613">
        <f>+BdV!H663</f>
        <v>0</v>
      </c>
      <c r="G134" s="613">
        <f>+BdV!I663</f>
        <v>0</v>
      </c>
      <c r="H134" s="613">
        <f>+BdV!J663</f>
        <v>0</v>
      </c>
      <c r="I134" s="609">
        <f>+G134</f>
        <v>0</v>
      </c>
      <c r="J134" s="609">
        <f t="shared" ref="J134:M134" si="76">+I134</f>
        <v>0</v>
      </c>
      <c r="K134" s="609">
        <f t="shared" si="76"/>
        <v>0</v>
      </c>
      <c r="L134" s="609">
        <f t="shared" si="76"/>
        <v>0</v>
      </c>
      <c r="M134" s="609">
        <f t="shared" si="76"/>
        <v>0</v>
      </c>
      <c r="O134" s="608" t="str">
        <f t="shared" si="69"/>
        <v>n/a</v>
      </c>
      <c r="P134" s="608" t="str">
        <f t="shared" si="70"/>
        <v>n/a</v>
      </c>
      <c r="Q134" s="608" t="str">
        <f t="shared" si="71"/>
        <v>n/a</v>
      </c>
      <c r="R134" s="608" t="str">
        <f t="shared" si="72"/>
        <v>n/a</v>
      </c>
      <c r="T134" s="635">
        <f>+C134/Ricavi!C$12</f>
        <v>0</v>
      </c>
      <c r="U134" s="635">
        <f>+D134/Ricavi!D$12</f>
        <v>0</v>
      </c>
      <c r="V134" s="635">
        <f>+E134/Ricavi!E$12</f>
        <v>0</v>
      </c>
      <c r="W134" s="635">
        <f>+F134/Ricavi!F$12</f>
        <v>0</v>
      </c>
      <c r="X134" s="635">
        <f>+G134/Ricavi!G$12</f>
        <v>0</v>
      </c>
      <c r="Y134" s="635">
        <f>+H134/Ricavi!H$12</f>
        <v>0</v>
      </c>
      <c r="AA134" s="635">
        <f t="shared" si="73"/>
        <v>0</v>
      </c>
    </row>
    <row r="135" spans="2:35">
      <c r="B135" s="604" t="s">
        <v>3837</v>
      </c>
      <c r="C135" s="613">
        <f>+BdV!E664</f>
        <v>46.48</v>
      </c>
      <c r="D135" s="613">
        <f>+BdV!F664</f>
        <v>108.79</v>
      </c>
      <c r="E135" s="613">
        <f>+BdV!G664</f>
        <v>166.27</v>
      </c>
      <c r="F135" s="613">
        <f>+BdV!H664</f>
        <v>84.35</v>
      </c>
      <c r="G135" s="613">
        <f>+BdV!I664</f>
        <v>1956.88</v>
      </c>
      <c r="H135" s="613">
        <f>+BdV!J664</f>
        <v>23.24</v>
      </c>
      <c r="I135" s="609">
        <v>1000</v>
      </c>
      <c r="J135" s="609">
        <v>1000</v>
      </c>
      <c r="K135" s="609">
        <v>1000</v>
      </c>
      <c r="L135" s="609">
        <v>1000</v>
      </c>
      <c r="M135" s="609">
        <v>1000</v>
      </c>
      <c r="O135" s="608">
        <f t="shared" si="69"/>
        <v>1.5472672902433464</v>
      </c>
      <c r="P135" s="608">
        <f t="shared" si="70"/>
        <v>2.430640014978465</v>
      </c>
      <c r="Q135" s="608">
        <f t="shared" si="71"/>
        <v>0.21975607327514735</v>
      </c>
      <c r="R135" s="608">
        <f t="shared" si="72"/>
        <v>-0.12564628209451578</v>
      </c>
      <c r="T135" s="635">
        <f>+C135/Ricavi!C$12</f>
        <v>1.790786356728008E-6</v>
      </c>
      <c r="U135" s="635">
        <f>+D135/Ricavi!D$12</f>
        <v>4.3472592911591411E-6</v>
      </c>
      <c r="V135" s="635">
        <f>+E135/Ricavi!E$12</f>
        <v>6.1930975177456527E-6</v>
      </c>
      <c r="W135" s="635">
        <f>+F135/Ricavi!F$12</f>
        <v>2.7085209114513429E-6</v>
      </c>
      <c r="X135" s="635">
        <f>+G135/Ricavi!G$12</f>
        <v>3.8354443863213876E-5</v>
      </c>
      <c r="Y135" s="635">
        <f>+H135/Ricavi!H$12</f>
        <v>9.0279607341542933E-7</v>
      </c>
      <c r="AA135" s="635">
        <f t="shared" si="73"/>
        <v>1.0678821588059604E-5</v>
      </c>
    </row>
    <row r="136" spans="2:35">
      <c r="B136" s="604" t="s">
        <v>3838</v>
      </c>
      <c r="C136" s="613">
        <f>+BdV!E665</f>
        <v>0</v>
      </c>
      <c r="D136" s="613">
        <f>+BdV!F665</f>
        <v>4</v>
      </c>
      <c r="E136" s="613">
        <f>+BdV!G665</f>
        <v>2</v>
      </c>
      <c r="F136" s="613">
        <f>+BdV!H665</f>
        <v>48</v>
      </c>
      <c r="G136" s="613">
        <f>+BdV!I665</f>
        <v>276.39999999999998</v>
      </c>
      <c r="H136" s="613">
        <f>+BdV!J665</f>
        <v>2796.85</v>
      </c>
      <c r="I136" s="609">
        <f>+H136</f>
        <v>2796.85</v>
      </c>
      <c r="J136" s="609">
        <v>100</v>
      </c>
      <c r="K136" s="609">
        <v>100</v>
      </c>
      <c r="L136" s="609">
        <v>100</v>
      </c>
      <c r="M136" s="609">
        <v>100</v>
      </c>
      <c r="O136" s="608" t="str">
        <f t="shared" si="69"/>
        <v>n/a</v>
      </c>
      <c r="P136" s="608">
        <f t="shared" si="70"/>
        <v>10.755849607748475</v>
      </c>
      <c r="Q136" s="608" t="str">
        <f t="shared" si="71"/>
        <v>n/a</v>
      </c>
      <c r="R136" s="608">
        <f t="shared" si="72"/>
        <v>-0.18399580343426147</v>
      </c>
      <c r="T136" s="635">
        <f>+C136/Ricavi!C$12</f>
        <v>0</v>
      </c>
      <c r="U136" s="635">
        <f>+D136/Ricavi!D$12</f>
        <v>1.5984040044706831E-7</v>
      </c>
      <c r="V136" s="635">
        <f>+E136/Ricavi!E$12</f>
        <v>7.449446704451377E-8</v>
      </c>
      <c r="W136" s="635">
        <f>+F136/Ricavi!F$12</f>
        <v>1.5413041345544099E-6</v>
      </c>
      <c r="X136" s="635">
        <f>+G136/Ricavi!G$12</f>
        <v>5.4173829175996051E-6</v>
      </c>
      <c r="Y136" s="635">
        <f>+H136/Ricavi!H$12</f>
        <v>1.0864824431720928E-4</v>
      </c>
      <c r="AA136" s="635">
        <f t="shared" si="73"/>
        <v>1.4386043839291193E-6</v>
      </c>
    </row>
    <row r="137" spans="2:35">
      <c r="B137" s="604" t="s">
        <v>3839</v>
      </c>
      <c r="C137" s="613">
        <f>+BdV!E666</f>
        <v>6391</v>
      </c>
      <c r="D137" s="613">
        <f>+BdV!F666</f>
        <v>6077</v>
      </c>
      <c r="E137" s="613">
        <f>+BdV!G666</f>
        <v>4082</v>
      </c>
      <c r="F137" s="613">
        <f>+BdV!H666</f>
        <v>1710</v>
      </c>
      <c r="G137" s="613">
        <f>+BdV!I666</f>
        <v>1025</v>
      </c>
      <c r="H137" s="613">
        <f>+BdV!J666</f>
        <v>478</v>
      </c>
      <c r="I137" s="609">
        <f>+G137*(1+$AB$137)</f>
        <v>1045.5</v>
      </c>
      <c r="J137" s="609">
        <f t="shared" ref="J137:M137" si="77">+I137*(1+$AB$137)</f>
        <v>1066.4100000000001</v>
      </c>
      <c r="K137" s="609">
        <f t="shared" si="77"/>
        <v>1087.7382</v>
      </c>
      <c r="L137" s="609">
        <f t="shared" si="77"/>
        <v>1109.492964</v>
      </c>
      <c r="M137" s="609">
        <f t="shared" si="77"/>
        <v>1131.6828232800001</v>
      </c>
      <c r="O137" s="608">
        <f t="shared" si="69"/>
        <v>-0.36716751880215637</v>
      </c>
      <c r="P137" s="608">
        <f t="shared" si="70"/>
        <v>-0.49889881183145313</v>
      </c>
      <c r="Q137" s="608">
        <f t="shared" si="71"/>
        <v>-0.35561943848724653</v>
      </c>
      <c r="R137" s="608">
        <f t="shared" si="72"/>
        <v>2.0000000000000018E-2</v>
      </c>
      <c r="T137" s="635">
        <f>+C137/Ricavi!C$12</f>
        <v>2.4623312405010114E-4</v>
      </c>
      <c r="U137" s="635">
        <f>+D137/Ricavi!D$12</f>
        <v>2.4283752837920853E-4</v>
      </c>
      <c r="V137" s="635">
        <f>+E137/Ricavi!E$12</f>
        <v>1.5204320723785259E-4</v>
      </c>
      <c r="W137" s="635">
        <f>+F137/Ricavi!F$12</f>
        <v>5.4908959793500851E-5</v>
      </c>
      <c r="X137" s="635">
        <f>+G137/Ricavi!G$12</f>
        <v>2.0089788315989852E-5</v>
      </c>
      <c r="Y137" s="635">
        <f>+H137/Ricavi!H$12</f>
        <v>1.856869720708155E-5</v>
      </c>
      <c r="AA137" s="635">
        <f t="shared" si="73"/>
        <v>1.4322252155533059E-4</v>
      </c>
      <c r="AB137" s="647">
        <v>0.02</v>
      </c>
      <c r="AC137" s="647"/>
      <c r="AD137" s="647"/>
    </row>
    <row r="138" spans="2:35">
      <c r="B138" s="604" t="s">
        <v>3840</v>
      </c>
      <c r="C138" s="613">
        <f>+BdV!E667</f>
        <v>0</v>
      </c>
      <c r="D138" s="613">
        <f>+BdV!F667</f>
        <v>0</v>
      </c>
      <c r="E138" s="613">
        <f>+BdV!G667</f>
        <v>0</v>
      </c>
      <c r="F138" s="613">
        <f>+BdV!H667</f>
        <v>0</v>
      </c>
      <c r="G138" s="613">
        <f>+BdV!I667</f>
        <v>44.4</v>
      </c>
      <c r="H138" s="613">
        <f>+BdV!J667</f>
        <v>0</v>
      </c>
      <c r="I138" s="609">
        <v>0</v>
      </c>
      <c r="J138" s="609">
        <v>0</v>
      </c>
      <c r="K138" s="609">
        <v>0</v>
      </c>
      <c r="L138" s="609">
        <v>0</v>
      </c>
      <c r="M138" s="609">
        <v>0</v>
      </c>
      <c r="O138" s="608" t="str">
        <f t="shared" si="69"/>
        <v>n/a</v>
      </c>
      <c r="P138" s="608" t="str">
        <f t="shared" si="70"/>
        <v>n/a</v>
      </c>
      <c r="Q138" s="608" t="str">
        <f t="shared" si="71"/>
        <v>n/a</v>
      </c>
      <c r="R138" s="608" t="str">
        <f t="shared" si="72"/>
        <v>n/a</v>
      </c>
      <c r="T138" s="635">
        <f>+C138/Ricavi!C$12</f>
        <v>0</v>
      </c>
      <c r="U138" s="635">
        <f>+D138/Ricavi!D$12</f>
        <v>0</v>
      </c>
      <c r="V138" s="635">
        <f>+E138/Ricavi!E$12</f>
        <v>0</v>
      </c>
      <c r="W138" s="635">
        <f>+F138/Ricavi!F$12</f>
        <v>0</v>
      </c>
      <c r="X138" s="635">
        <f>+G138/Ricavi!G$12</f>
        <v>8.7023083046824338E-7</v>
      </c>
      <c r="Y138" s="635">
        <f>+H138/Ricavi!H$12</f>
        <v>0</v>
      </c>
      <c r="AA138" s="635">
        <f t="shared" si="73"/>
        <v>1.7404616609364867E-7</v>
      </c>
    </row>
    <row r="139" spans="2:35">
      <c r="B139" s="604" t="s">
        <v>3841</v>
      </c>
      <c r="C139" s="613">
        <f>+BdV!E668</f>
        <v>284.04000000000002</v>
      </c>
      <c r="D139" s="613">
        <f>+BdV!F668</f>
        <v>176.95</v>
      </c>
      <c r="E139" s="613">
        <f>+BdV!G668</f>
        <v>521.11</v>
      </c>
      <c r="F139" s="613">
        <f>+BdV!H668</f>
        <v>242.12</v>
      </c>
      <c r="G139" s="613">
        <f>+BdV!I668</f>
        <v>173.08</v>
      </c>
      <c r="H139" s="613">
        <f>+BdV!J668</f>
        <v>85.83</v>
      </c>
      <c r="I139" s="609">
        <v>300</v>
      </c>
      <c r="J139" s="609">
        <v>300</v>
      </c>
      <c r="K139" s="609">
        <v>300</v>
      </c>
      <c r="L139" s="609">
        <v>300</v>
      </c>
      <c r="M139" s="609">
        <v>300</v>
      </c>
      <c r="O139" s="608">
        <f t="shared" si="69"/>
        <v>-0.11647906280473941</v>
      </c>
      <c r="P139" s="608">
        <f t="shared" si="70"/>
        <v>-0.42368657074820171</v>
      </c>
      <c r="Q139" s="608">
        <f t="shared" si="71"/>
        <v>-5.1835435704673305E-2</v>
      </c>
      <c r="R139" s="608">
        <f t="shared" si="72"/>
        <v>0.11628444650103242</v>
      </c>
      <c r="T139" s="635">
        <f>+C139/Ricavi!C$12</f>
        <v>1.0943523166201021E-5</v>
      </c>
      <c r="U139" s="635">
        <f>+D139/Ricavi!D$12</f>
        <v>7.0709397147771843E-6</v>
      </c>
      <c r="V139" s="635">
        <f>+E139/Ricavi!E$12</f>
        <v>1.9409905860783286E-5</v>
      </c>
      <c r="W139" s="635">
        <f>+F139/Ricavi!F$12</f>
        <v>7.7745949387148688E-6</v>
      </c>
      <c r="X139" s="635">
        <f>+G139/Ricavi!G$12</f>
        <v>3.3923322553478285E-6</v>
      </c>
      <c r="Y139" s="635">
        <f>+H139/Ricavi!H$12</f>
        <v>3.3342077014305639E-6</v>
      </c>
      <c r="AA139" s="635">
        <f t="shared" si="73"/>
        <v>9.7182591871648361E-6</v>
      </c>
    </row>
    <row r="140" spans="2:35">
      <c r="B140" s="604" t="s">
        <v>3842</v>
      </c>
      <c r="C140" s="613">
        <f>+BdV!E669</f>
        <v>0</v>
      </c>
      <c r="D140" s="613">
        <f>+BdV!F669</f>
        <v>0</v>
      </c>
      <c r="E140" s="613">
        <f>+BdV!G669</f>
        <v>0</v>
      </c>
      <c r="F140" s="613">
        <f>+BdV!H669</f>
        <v>0</v>
      </c>
      <c r="G140" s="613">
        <f>+BdV!I669</f>
        <v>2100</v>
      </c>
      <c r="H140" s="613">
        <f>+BdV!J669</f>
        <v>0</v>
      </c>
      <c r="I140" s="609"/>
      <c r="J140" s="609"/>
      <c r="K140" s="609"/>
      <c r="L140" s="609"/>
      <c r="M140" s="609"/>
      <c r="O140" s="608" t="str">
        <f t="shared" si="69"/>
        <v>n/a</v>
      </c>
      <c r="P140" s="608" t="str">
        <f t="shared" si="70"/>
        <v>n/a</v>
      </c>
      <c r="Q140" s="608" t="str">
        <f t="shared" si="71"/>
        <v>n/a</v>
      </c>
      <c r="R140" s="608" t="str">
        <f t="shared" si="72"/>
        <v>n/a</v>
      </c>
      <c r="T140" s="635">
        <f>+C140/Ricavi!C$12</f>
        <v>0</v>
      </c>
      <c r="U140" s="635">
        <f>+D140/Ricavi!D$12</f>
        <v>0</v>
      </c>
      <c r="V140" s="635">
        <f>+E140/Ricavi!E$12</f>
        <v>0</v>
      </c>
      <c r="W140" s="635">
        <f>+F140/Ricavi!F$12</f>
        <v>0</v>
      </c>
      <c r="X140" s="635">
        <f>+G140/Ricavi!G$12</f>
        <v>4.115956630593043E-5</v>
      </c>
      <c r="Y140" s="635">
        <f>+H140/Ricavi!H$12</f>
        <v>0</v>
      </c>
      <c r="AA140" s="635">
        <f t="shared" si="73"/>
        <v>8.231913261186086E-6</v>
      </c>
    </row>
    <row r="141" spans="2:35">
      <c r="B141" s="604" t="s">
        <v>3843</v>
      </c>
      <c r="C141" s="613">
        <f>+BdV!E670</f>
        <v>90</v>
      </c>
      <c r="D141" s="613">
        <f>+BdV!F670</f>
        <v>1211.4000000000001</v>
      </c>
      <c r="E141" s="613">
        <f>+BdV!G670</f>
        <v>0</v>
      </c>
      <c r="F141" s="613">
        <f>+BdV!H670</f>
        <v>168.12</v>
      </c>
      <c r="G141" s="613">
        <f>+BdV!I670</f>
        <v>0</v>
      </c>
      <c r="H141" s="613">
        <f>+BdV!J670</f>
        <v>0</v>
      </c>
      <c r="I141" s="609"/>
      <c r="J141" s="609"/>
      <c r="K141" s="609"/>
      <c r="L141" s="609"/>
      <c r="M141" s="609"/>
      <c r="O141" s="608" t="str">
        <f t="shared" si="69"/>
        <v>n/a</v>
      </c>
      <c r="P141" s="608" t="str">
        <f t="shared" si="70"/>
        <v>n/a</v>
      </c>
      <c r="Q141" s="608">
        <f t="shared" si="71"/>
        <v>0.23156959159748558</v>
      </c>
      <c r="R141" s="608" t="str">
        <f t="shared" si="72"/>
        <v>n/a</v>
      </c>
      <c r="T141" s="635">
        <f>+C141/Ricavi!C$12</f>
        <v>3.4675295203425289E-6</v>
      </c>
      <c r="U141" s="635">
        <f>+D141/Ricavi!D$12</f>
        <v>4.8407665275394641E-5</v>
      </c>
      <c r="V141" s="635">
        <f>+E141/Ricavi!E$12</f>
        <v>0</v>
      </c>
      <c r="W141" s="635">
        <f>+F141/Ricavi!F$12</f>
        <v>5.3984177312768204E-6</v>
      </c>
      <c r="X141" s="635">
        <f>+G141/Ricavi!G$12</f>
        <v>0</v>
      </c>
      <c r="Y141" s="635">
        <f>+H141/Ricavi!H$12</f>
        <v>0</v>
      </c>
      <c r="AA141" s="635">
        <f t="shared" si="73"/>
        <v>1.1454722505402798E-5</v>
      </c>
    </row>
    <row r="142" spans="2:35">
      <c r="B142" s="604" t="s">
        <v>3844</v>
      </c>
      <c r="C142" s="613">
        <f>+BdV!E671</f>
        <v>5799.31</v>
      </c>
      <c r="D142" s="613">
        <f>+BdV!F671</f>
        <v>0</v>
      </c>
      <c r="E142" s="613">
        <f>+BdV!G671</f>
        <v>1870.3</v>
      </c>
      <c r="F142" s="613">
        <f>+BdV!H671</f>
        <v>1511.59</v>
      </c>
      <c r="G142" s="613">
        <f>+BdV!I671</f>
        <v>0</v>
      </c>
      <c r="H142" s="613">
        <f>+BdV!J671</f>
        <v>0</v>
      </c>
      <c r="I142" s="609">
        <v>2000</v>
      </c>
      <c r="J142" s="609">
        <v>2000</v>
      </c>
      <c r="K142" s="609">
        <v>2000</v>
      </c>
      <c r="L142" s="609">
        <v>2000</v>
      </c>
      <c r="M142" s="609">
        <v>2000</v>
      </c>
      <c r="O142" s="608" t="str">
        <f t="shared" si="69"/>
        <v>n/a</v>
      </c>
      <c r="P142" s="608" t="str">
        <f t="shared" si="70"/>
        <v>n/a</v>
      </c>
      <c r="Q142" s="608">
        <f t="shared" si="71"/>
        <v>-0.36121815871142537</v>
      </c>
      <c r="R142" s="608" t="str">
        <f t="shared" si="72"/>
        <v>n/a</v>
      </c>
      <c r="T142" s="635">
        <f>+C142/Ricavi!C$12</f>
        <v>2.2343642914019591E-4</v>
      </c>
      <c r="U142" s="635">
        <f>+D142/Ricavi!D$12</f>
        <v>0</v>
      </c>
      <c r="V142" s="635">
        <f>+E142/Ricavi!E$12</f>
        <v>6.9663500856677042E-5</v>
      </c>
      <c r="W142" s="635">
        <f>+F142/Ricavi!F$12</f>
        <v>4.8537914932314589E-5</v>
      </c>
      <c r="X142" s="635">
        <f>+G142/Ricavi!G$12</f>
        <v>0</v>
      </c>
      <c r="Y142" s="635">
        <f>+H142/Ricavi!H$12</f>
        <v>0</v>
      </c>
      <c r="AA142" s="635">
        <f t="shared" si="73"/>
        <v>6.8327568985837502E-5</v>
      </c>
    </row>
    <row r="143" spans="2:35">
      <c r="B143" s="604" t="s">
        <v>3845</v>
      </c>
      <c r="C143" s="613">
        <f>+BdV!E672</f>
        <v>2101.14</v>
      </c>
      <c r="D143" s="613">
        <f>+BdV!F672</f>
        <v>3358.62</v>
      </c>
      <c r="E143" s="613">
        <f>+BdV!G672</f>
        <v>6464.84</v>
      </c>
      <c r="F143" s="613">
        <f>+BdV!H672</f>
        <v>8986.7099999999991</v>
      </c>
      <c r="G143" s="613">
        <f>+BdV!I672</f>
        <v>31035.89</v>
      </c>
      <c r="H143" s="613">
        <f>+BdV!J672</f>
        <v>5618.76</v>
      </c>
      <c r="I143" s="609">
        <v>15000</v>
      </c>
      <c r="J143" s="609">
        <v>15000</v>
      </c>
      <c r="K143" s="609">
        <v>15000</v>
      </c>
      <c r="L143" s="609">
        <v>15000</v>
      </c>
      <c r="M143" s="609">
        <v>15000</v>
      </c>
      <c r="O143" s="608">
        <f t="shared" si="69"/>
        <v>0.96043434943121175</v>
      </c>
      <c r="P143" s="608">
        <f t="shared" si="70"/>
        <v>1.1910546576488339</v>
      </c>
      <c r="Q143" s="608">
        <f t="shared" si="71"/>
        <v>0.62323692072926473</v>
      </c>
      <c r="R143" s="608">
        <f t="shared" si="72"/>
        <v>-0.13533991545924495</v>
      </c>
      <c r="T143" s="635">
        <f>+C143/Ricavi!C$12</f>
        <v>8.0952944181916672E-5</v>
      </c>
      <c r="U143" s="635">
        <f>+D143/Ricavi!D$12</f>
        <v>1.3421079143738314E-4</v>
      </c>
      <c r="V143" s="635">
        <f>+E143/Ricavi!E$12</f>
        <v>2.407974051640272E-4</v>
      </c>
      <c r="W143" s="635">
        <f>+F143/Ricavi!F$12</f>
        <v>2.8856777664669709E-4</v>
      </c>
      <c r="X143" s="635">
        <f>+G143/Ricavi!G$12</f>
        <v>6.0829703443741109E-4</v>
      </c>
      <c r="Y143" s="635">
        <f>+H143/Ricavi!H$12</f>
        <v>2.1826998560514968E-4</v>
      </c>
      <c r="AA143" s="635">
        <f t="shared" si="73"/>
        <v>2.70565190373487E-4</v>
      </c>
    </row>
    <row r="144" spans="2:35">
      <c r="B144" s="604" t="s">
        <v>3846</v>
      </c>
      <c r="C144" s="613">
        <f>+BdV!E673</f>
        <v>2822.87</v>
      </c>
      <c r="D144" s="613">
        <f>+BdV!F673</f>
        <v>7372.47</v>
      </c>
      <c r="E144" s="613">
        <f>+BdV!G673</f>
        <v>819.23</v>
      </c>
      <c r="F144" s="613">
        <f>+BdV!H673</f>
        <v>1954.41</v>
      </c>
      <c r="G144" s="613">
        <f>+BdV!I673</f>
        <v>11764.83</v>
      </c>
      <c r="H144" s="613">
        <f>+BdV!J673</f>
        <v>50</v>
      </c>
      <c r="I144" s="609">
        <f>+$AA$144*Ricavi!J12</f>
        <v>9500.6335414524474</v>
      </c>
      <c r="J144" s="609">
        <f>+$AA$144*Ricavi!K12</f>
        <v>10097.486789580926</v>
      </c>
      <c r="K144" s="609">
        <f>+$AA$144*Ricavi!L12</f>
        <v>10469.848569703016</v>
      </c>
      <c r="L144" s="609">
        <f>+$AA$144*Ricavi!M12</f>
        <v>10933.157591116873</v>
      </c>
      <c r="M144" s="609">
        <f>+$AA$144*Ricavi!N12</f>
        <v>11416.968843092562</v>
      </c>
      <c r="O144" s="608">
        <f t="shared" si="69"/>
        <v>0.42880741190703442</v>
      </c>
      <c r="P144" s="608">
        <f t="shared" si="70"/>
        <v>2.7895697429217989</v>
      </c>
      <c r="Q144" s="608">
        <f t="shared" si="71"/>
        <v>-0.11534297084760681</v>
      </c>
      <c r="R144" s="608">
        <f t="shared" si="72"/>
        <v>-5.9847851451029221E-3</v>
      </c>
      <c r="T144" s="635">
        <f>+C144/Ricavi!C$12</f>
        <v>1.0875983396765904E-4</v>
      </c>
      <c r="U144" s="635">
        <f>+D144/Ricavi!D$12</f>
        <v>2.9460463927099943E-4</v>
      </c>
      <c r="V144" s="635">
        <f>+E144/Ricavi!E$12</f>
        <v>3.0514051118438509E-5</v>
      </c>
      <c r="W144" s="635">
        <f>+F144/Ricavi!F$12</f>
        <v>6.2757087783635093E-5</v>
      </c>
      <c r="X144" s="635">
        <f>+G144/Ricavi!G$12</f>
        <v>2.3058823831571405E-4</v>
      </c>
      <c r="Y144" s="635">
        <f>+H144/Ricavi!H$12</f>
        <v>1.9423323438369826E-6</v>
      </c>
      <c r="AA144" s="635">
        <f t="shared" si="73"/>
        <v>1.4544477009128921E-4</v>
      </c>
      <c r="AB144" s="634">
        <f>+C144/(C39+C108+C121)</f>
        <v>1.6765276979065127E-4</v>
      </c>
      <c r="AC144" s="634"/>
      <c r="AD144" s="634"/>
      <c r="AE144" s="634">
        <f>+D144/(D39+D108+D121)</f>
        <v>4.5796613340794422E-4</v>
      </c>
      <c r="AF144" s="634">
        <f>+E144/(E39+E108+E121)</f>
        <v>4.9411744058331277E-5</v>
      </c>
      <c r="AG144" s="634">
        <f>+F144/(F39+F108+F121)</f>
        <v>1.0694164533813996E-4</v>
      </c>
      <c r="AH144" s="634">
        <f>+G144/(G39+G108+G121)</f>
        <v>3.5077458583388795E-4</v>
      </c>
      <c r="AI144" s="261">
        <f>+AVERAGE(AB144:AH144)</f>
        <v>2.2654937568579092E-4</v>
      </c>
    </row>
    <row r="145" spans="2:30">
      <c r="B145" s="604" t="s">
        <v>3847</v>
      </c>
      <c r="C145" s="613">
        <f>+BdV!E674</f>
        <v>4753.6899999999996</v>
      </c>
      <c r="D145" s="613">
        <f>+BdV!F674</f>
        <v>6654.67</v>
      </c>
      <c r="E145" s="613">
        <f>+BdV!G674</f>
        <v>6461.32</v>
      </c>
      <c r="F145" s="613">
        <f>+BdV!H674</f>
        <v>7763.41</v>
      </c>
      <c r="G145" s="613">
        <f>+BdV!I674</f>
        <v>9625.2999999999993</v>
      </c>
      <c r="H145" s="613">
        <f>+BdV!J674</f>
        <v>0</v>
      </c>
      <c r="I145" s="609">
        <v>7000</v>
      </c>
      <c r="J145" s="609">
        <v>7000</v>
      </c>
      <c r="K145" s="609">
        <v>7000</v>
      </c>
      <c r="L145" s="609">
        <v>7000</v>
      </c>
      <c r="M145" s="609">
        <v>7000</v>
      </c>
      <c r="O145" s="608">
        <f t="shared" si="69"/>
        <v>0.19287752022903693</v>
      </c>
      <c r="P145" s="608">
        <f t="shared" si="70"/>
        <v>0.22052452956935431</v>
      </c>
      <c r="Q145" s="608">
        <f t="shared" si="71"/>
        <v>0.17762555620661669</v>
      </c>
      <c r="R145" s="608">
        <f t="shared" si="72"/>
        <v>-6.1710723025036551E-2</v>
      </c>
      <c r="T145" s="635">
        <f>+C145/Ricavi!C$12</f>
        <v>1.8315067117285637E-4</v>
      </c>
      <c r="U145" s="635">
        <f>+D145/Ricavi!D$12</f>
        <v>2.6592127941077302E-4</v>
      </c>
      <c r="V145" s="635">
        <f>+E145/Ricavi!E$12</f>
        <v>2.4066629490202882E-4</v>
      </c>
      <c r="W145" s="635">
        <f>+F145/Ricavi!F$12</f>
        <v>2.492869985675219E-4</v>
      </c>
      <c r="X145" s="635">
        <f>+G145/Ricavi!G$12</f>
        <v>1.8865389217355817E-4</v>
      </c>
      <c r="Y145" s="635">
        <f>+H145/Ricavi!H$12</f>
        <v>0</v>
      </c>
      <c r="AA145" s="635">
        <f t="shared" si="73"/>
        <v>2.2553582724534768E-4</v>
      </c>
    </row>
    <row r="146" spans="2:30">
      <c r="B146" s="650" t="s">
        <v>3848</v>
      </c>
      <c r="C146" s="651">
        <f>+BdV!E675</f>
        <v>6468.27</v>
      </c>
      <c r="D146" s="651">
        <f>+BdV!F675</f>
        <v>85000</v>
      </c>
      <c r="E146" s="651">
        <f>+BdV!G675</f>
        <v>15000</v>
      </c>
      <c r="F146" s="651">
        <f>+BdV!H675</f>
        <v>0</v>
      </c>
      <c r="G146" s="651">
        <f>+BdV!I675</f>
        <v>250</v>
      </c>
      <c r="H146" s="651">
        <f>+BdV!J675</f>
        <v>0</v>
      </c>
      <c r="I146" s="609">
        <f>+$AA$146*Ricavi!J12</f>
        <v>54993.004919493331</v>
      </c>
      <c r="J146" s="609">
        <f>+$AA$146*Ricavi!K12</f>
        <v>58447.801219901638</v>
      </c>
      <c r="K146" s="609">
        <f>+$AA$146*Ricavi!L12</f>
        <v>60603.162029971878</v>
      </c>
      <c r="L146" s="609">
        <f>+$AA$146*Ricavi!M12</f>
        <v>63284.957426320012</v>
      </c>
      <c r="M146" s="609">
        <f>+$AA$146*Ricavi!N12</f>
        <v>66085.426936476259</v>
      </c>
      <c r="O146" s="608">
        <f t="shared" si="69"/>
        <v>-0.55660788344159307</v>
      </c>
      <c r="P146" s="608">
        <f t="shared" si="70"/>
        <v>-0.87090055512641951</v>
      </c>
      <c r="Q146" s="608" t="str">
        <f t="shared" si="71"/>
        <v>n/a</v>
      </c>
      <c r="R146" s="608">
        <f t="shared" si="72"/>
        <v>2.0509362866630112</v>
      </c>
      <c r="T146" s="635">
        <f>+C146/Ricavi!C$12</f>
        <v>2.4921019078384411E-4</v>
      </c>
      <c r="U146" s="635">
        <f>+D146/Ricavi!D$12</f>
        <v>3.3966085095002018E-3</v>
      </c>
      <c r="V146" s="635">
        <f>+E146/Ricavi!E$12</f>
        <v>5.5870850283385321E-4</v>
      </c>
      <c r="W146" s="635">
        <f>+F146/Ricavi!F$12</f>
        <v>0</v>
      </c>
      <c r="X146" s="635">
        <f>+G146/Ricavi!G$12</f>
        <v>4.8999483697536229E-6</v>
      </c>
      <c r="Y146" s="635">
        <f>+H146/Ricavi!H$12</f>
        <v>0</v>
      </c>
      <c r="AA146" s="635">
        <f t="shared" si="73"/>
        <v>8.4188543029753047E-4</v>
      </c>
    </row>
    <row r="147" spans="2:30">
      <c r="B147" s="604" t="s">
        <v>3849</v>
      </c>
      <c r="C147" s="613">
        <f>+BdV!E676</f>
        <v>12915.91</v>
      </c>
      <c r="D147" s="613">
        <f>+BdV!F676</f>
        <v>10078</v>
      </c>
      <c r="E147" s="613">
        <f>+BdV!G676</f>
        <v>256493.94</v>
      </c>
      <c r="F147" s="613">
        <f>+BdV!H676</f>
        <v>242819.5</v>
      </c>
      <c r="G147" s="613">
        <f>+BdV!I676</f>
        <v>63992.99</v>
      </c>
      <c r="H147" s="613">
        <f>+BdV!J676</f>
        <v>7383.15</v>
      </c>
      <c r="I147" s="609">
        <f>+$AA$147*Ricavi!J12</f>
        <v>254822.60427634322</v>
      </c>
      <c r="J147" s="609">
        <f>+$AA$147*Ricavi!K12</f>
        <v>270831.18921915762</v>
      </c>
      <c r="K147" s="609">
        <f>+$AA$147*Ricavi!L12</f>
        <v>280818.54407604015</v>
      </c>
      <c r="L147" s="609">
        <f>+$AA$147*Ricavi!M12</f>
        <v>293245.25340087473</v>
      </c>
      <c r="M147" s="609">
        <f>+$AA$147*Ricavi!N12</f>
        <v>306221.86624134803</v>
      </c>
      <c r="O147" s="608">
        <f t="shared" si="69"/>
        <v>0.49194168416159756</v>
      </c>
      <c r="P147" s="608">
        <f t="shared" si="70"/>
        <v>-0.50050902356156568</v>
      </c>
      <c r="Q147" s="608">
        <f t="shared" si="71"/>
        <v>1.6590072213418887</v>
      </c>
      <c r="R147" s="608">
        <f t="shared" si="72"/>
        <v>0.36766823188938491</v>
      </c>
      <c r="T147" s="635">
        <f>+C147/Ricavi!C$12</f>
        <v>4.9762554674541415E-4</v>
      </c>
      <c r="U147" s="635">
        <f>+D147/Ricavi!D$12</f>
        <v>4.0271788892638863E-4</v>
      </c>
      <c r="V147" s="635">
        <f>+E147/Ricavi!E$12</f>
        <v>9.553689680223746E-3</v>
      </c>
      <c r="W147" s="635">
        <f>+F147/Ricavi!F$12</f>
        <v>7.797056235425719E-3</v>
      </c>
      <c r="X147" s="635">
        <f>+G147/Ricavi!G$12</f>
        <v>1.2542493881046394E-3</v>
      </c>
      <c r="Y147" s="635">
        <f>+H147/Ricavi!H$12</f>
        <v>2.8681062088800033E-4</v>
      </c>
      <c r="AA147" s="635">
        <f t="shared" si="73"/>
        <v>3.9010677478851811E-3</v>
      </c>
    </row>
    <row r="148" spans="2:30">
      <c r="B148" s="604" t="s">
        <v>3850</v>
      </c>
      <c r="C148" s="613">
        <f>+BdV!E677</f>
        <v>0</v>
      </c>
      <c r="D148" s="613">
        <f>+BdV!F677</f>
        <v>0</v>
      </c>
      <c r="E148" s="613">
        <f>+BdV!G677</f>
        <v>7621.21</v>
      </c>
      <c r="F148" s="613">
        <f>+BdV!H677</f>
        <v>148.13</v>
      </c>
      <c r="G148" s="613">
        <f>+BdV!I677</f>
        <v>0</v>
      </c>
      <c r="H148" s="613">
        <f>+BdV!J677</f>
        <v>0</v>
      </c>
      <c r="I148" s="609"/>
      <c r="J148" s="609"/>
      <c r="K148" s="609"/>
      <c r="L148" s="609"/>
      <c r="M148" s="609"/>
      <c r="O148" s="608" t="str">
        <f t="shared" si="69"/>
        <v>n/a</v>
      </c>
      <c r="P148" s="608" t="str">
        <f t="shared" si="70"/>
        <v>n/a</v>
      </c>
      <c r="Q148" s="608" t="str">
        <f t="shared" si="71"/>
        <v>n/a</v>
      </c>
      <c r="R148" s="608" t="str">
        <f t="shared" si="72"/>
        <v>n/a</v>
      </c>
      <c r="T148" s="635">
        <f>+C148/Ricavi!C$12</f>
        <v>0</v>
      </c>
      <c r="U148" s="635">
        <f>+D148/Ricavi!D$12</f>
        <v>0</v>
      </c>
      <c r="V148" s="635">
        <f>+E148/Ricavi!E$12</f>
        <v>2.8386898859215936E-4</v>
      </c>
      <c r="W148" s="635">
        <f>+F148/Ricavi!F$12</f>
        <v>4.7565287802405149E-6</v>
      </c>
      <c r="X148" s="635">
        <f>+G148/Ricavi!G$12</f>
        <v>0</v>
      </c>
      <c r="Y148" s="635">
        <f>+H148/Ricavi!H$12</f>
        <v>0</v>
      </c>
      <c r="AA148" s="635">
        <f t="shared" si="73"/>
        <v>5.7725103474479982E-5</v>
      </c>
    </row>
    <row r="149" spans="2:30">
      <c r="B149" s="604" t="s">
        <v>3851</v>
      </c>
      <c r="C149" s="613">
        <f>+BdV!E678</f>
        <v>333</v>
      </c>
      <c r="D149" s="613">
        <f>+BdV!F678</f>
        <v>0</v>
      </c>
      <c r="E149" s="613">
        <f>+BdV!G678</f>
        <v>100</v>
      </c>
      <c r="F149" s="613">
        <f>+BdV!H678</f>
        <v>0</v>
      </c>
      <c r="G149" s="613">
        <f>+BdV!I678</f>
        <v>884.83</v>
      </c>
      <c r="H149" s="613">
        <f>+BdV!J678</f>
        <v>0</v>
      </c>
      <c r="I149" s="609"/>
      <c r="J149" s="609"/>
      <c r="K149" s="609"/>
      <c r="L149" s="609"/>
      <c r="M149" s="609"/>
      <c r="O149" s="608">
        <f t="shared" si="69"/>
        <v>0.27674422271862453</v>
      </c>
      <c r="P149" s="608">
        <f t="shared" si="70"/>
        <v>1.9746092180318411</v>
      </c>
      <c r="Q149" s="608" t="str">
        <f t="shared" si="71"/>
        <v>n/a</v>
      </c>
      <c r="R149" s="608" t="str">
        <f t="shared" si="72"/>
        <v>n/a</v>
      </c>
      <c r="T149" s="635">
        <f>+C149/Ricavi!C$12</f>
        <v>1.2829859225267357E-5</v>
      </c>
      <c r="U149" s="635">
        <f>+D149/Ricavi!D$12</f>
        <v>0</v>
      </c>
      <c r="V149" s="635">
        <f>+E149/Ricavi!E$12</f>
        <v>3.7247233522256882E-6</v>
      </c>
      <c r="W149" s="635">
        <f>+F149/Ricavi!F$12</f>
        <v>0</v>
      </c>
      <c r="X149" s="635">
        <f>+G149/Ricavi!G$12</f>
        <v>1.7342485264036393E-5</v>
      </c>
      <c r="Y149" s="635">
        <f>+H149/Ricavi!H$12</f>
        <v>0</v>
      </c>
      <c r="AA149" s="635">
        <f t="shared" si="73"/>
        <v>6.7794135683058872E-6</v>
      </c>
    </row>
    <row r="150" spans="2:30">
      <c r="B150" s="604" t="s">
        <v>3852</v>
      </c>
      <c r="C150" s="613">
        <f>+BdV!E679</f>
        <v>10887.12</v>
      </c>
      <c r="D150" s="613">
        <f>+BdV!F679</f>
        <v>20817.32</v>
      </c>
      <c r="E150" s="613">
        <f>+BdV!G679</f>
        <v>4439.3</v>
      </c>
      <c r="F150" s="613">
        <f>+BdV!H679</f>
        <v>18345.04</v>
      </c>
      <c r="G150" s="613">
        <f>+BdV!I679</f>
        <v>28921.82</v>
      </c>
      <c r="H150" s="613">
        <f>+BdV!J679</f>
        <v>65705.710000000006</v>
      </c>
      <c r="I150" s="609">
        <v>20000</v>
      </c>
      <c r="J150" s="609">
        <v>20000</v>
      </c>
      <c r="K150" s="609">
        <v>20000</v>
      </c>
      <c r="L150" s="609">
        <v>20000</v>
      </c>
      <c r="M150" s="609">
        <v>20000</v>
      </c>
      <c r="O150" s="608">
        <f t="shared" si="69"/>
        <v>0.2766685274993661</v>
      </c>
      <c r="P150" s="608">
        <f t="shared" si="70"/>
        <v>1.5524401178612832</v>
      </c>
      <c r="Q150" s="608">
        <f t="shared" si="71"/>
        <v>0.18996782192538353</v>
      </c>
      <c r="R150" s="608">
        <f t="shared" si="72"/>
        <v>-7.1117298007937202E-2</v>
      </c>
      <c r="T150" s="635">
        <f>+C150/Ricavi!C$12</f>
        <v>4.1946011101679507E-4</v>
      </c>
      <c r="U150" s="635">
        <f>+D150/Ricavi!D$12</f>
        <v>8.3186219125869101E-4</v>
      </c>
      <c r="V150" s="635">
        <f>+E150/Ricavi!E$12</f>
        <v>1.6535164377535499E-4</v>
      </c>
      <c r="W150" s="635">
        <f>+F150/Ricavi!F$12</f>
        <v>5.8906845834512573E-4</v>
      </c>
      <c r="X150" s="635">
        <f>+G150/Ricavi!G$12</f>
        <v>5.6686169903723087E-4</v>
      </c>
      <c r="Y150" s="635">
        <f>+H150/Ricavi!H$12</f>
        <v>2.5524465141554611E-3</v>
      </c>
      <c r="AA150" s="635">
        <f t="shared" si="73"/>
        <v>5.145208206866396E-4</v>
      </c>
    </row>
    <row r="151" spans="2:30">
      <c r="B151" s="604" t="s">
        <v>3853</v>
      </c>
      <c r="C151" s="613">
        <f>+BdV!E680</f>
        <v>1349.38</v>
      </c>
      <c r="D151" s="613">
        <f>+BdV!F680</f>
        <v>1536.12</v>
      </c>
      <c r="E151" s="613">
        <f>+BdV!G680</f>
        <v>1523.07</v>
      </c>
      <c r="F151" s="613">
        <f>+BdV!H680</f>
        <v>1560</v>
      </c>
      <c r="G151" s="613">
        <f>+BdV!I680</f>
        <v>1706</v>
      </c>
      <c r="H151" s="613">
        <f>+BdV!J680</f>
        <v>0</v>
      </c>
      <c r="I151" s="609">
        <f>+G151*(1+$AB$151)</f>
        <v>1740.1200000000001</v>
      </c>
      <c r="J151" s="609">
        <f t="shared" ref="J151:M151" si="78">+I151*(1+$AB$151)</f>
        <v>1774.9224000000002</v>
      </c>
      <c r="K151" s="609">
        <f t="shared" si="78"/>
        <v>1810.4208480000002</v>
      </c>
      <c r="L151" s="609">
        <f t="shared" si="78"/>
        <v>1846.6292649600002</v>
      </c>
      <c r="M151" s="609">
        <f t="shared" si="78"/>
        <v>1883.5618502592004</v>
      </c>
      <c r="O151" s="608">
        <f t="shared" si="69"/>
        <v>6.037917385289493E-2</v>
      </c>
      <c r="P151" s="608">
        <f t="shared" si="70"/>
        <v>5.8350651482003135E-2</v>
      </c>
      <c r="Q151" s="608">
        <f t="shared" si="71"/>
        <v>4.953463852377693E-2</v>
      </c>
      <c r="R151" s="608">
        <f t="shared" si="72"/>
        <v>2.0000000000000018E-2</v>
      </c>
      <c r="T151" s="635">
        <f>+C151/Ricavi!C$12</f>
        <v>5.1989055379553353E-5</v>
      </c>
      <c r="U151" s="635">
        <f>+D151/Ricavi!D$12</f>
        <v>6.138350898368764E-5</v>
      </c>
      <c r="V151" s="635">
        <f>+E151/Ricavi!E$12</f>
        <v>5.6730143960743792E-5</v>
      </c>
      <c r="W151" s="635">
        <f>+F151/Ricavi!F$12</f>
        <v>5.0092384373018319E-5</v>
      </c>
      <c r="X151" s="635">
        <f>+G151/Ricavi!G$12</f>
        <v>3.3437247675198722E-5</v>
      </c>
      <c r="Y151" s="635">
        <f>+H151/Ricavi!H$12</f>
        <v>0</v>
      </c>
      <c r="AA151" s="635">
        <f t="shared" si="73"/>
        <v>5.0726468074440368E-5</v>
      </c>
      <c r="AB151" s="647">
        <v>0.02</v>
      </c>
      <c r="AC151" s="647"/>
      <c r="AD151" s="647"/>
    </row>
    <row r="152" spans="2:30">
      <c r="B152" s="604" t="s">
        <v>3854</v>
      </c>
      <c r="C152" s="613">
        <f>+BdV!E681</f>
        <v>1265.54</v>
      </c>
      <c r="D152" s="613">
        <f>+BdV!F681</f>
        <v>997.49</v>
      </c>
      <c r="E152" s="613">
        <f>+BdV!G681</f>
        <v>462.46</v>
      </c>
      <c r="F152" s="613">
        <f>+BdV!H681</f>
        <v>1621.66</v>
      </c>
      <c r="G152" s="613">
        <f>+BdV!I681</f>
        <v>1210.1600000000001</v>
      </c>
      <c r="H152" s="613">
        <f>+BdV!J681</f>
        <v>0</v>
      </c>
      <c r="I152" s="609">
        <f>+G152*(1+$AB$152)</f>
        <v>1234.3632</v>
      </c>
      <c r="J152" s="609">
        <f t="shared" ref="J152:M152" si="79">+I152*(1+$AB$152)</f>
        <v>1259.0504639999999</v>
      </c>
      <c r="K152" s="609">
        <f t="shared" si="79"/>
        <v>1284.23147328</v>
      </c>
      <c r="L152" s="609">
        <f t="shared" si="79"/>
        <v>1309.9161027456</v>
      </c>
      <c r="M152" s="609">
        <f t="shared" si="79"/>
        <v>1336.1144248005121</v>
      </c>
      <c r="O152" s="608">
        <f t="shared" si="69"/>
        <v>-1.1124244432328623E-2</v>
      </c>
      <c r="P152" s="608">
        <f t="shared" si="70"/>
        <v>0.61764905928436464</v>
      </c>
      <c r="Q152" s="608">
        <f t="shared" si="71"/>
        <v>8.6162095013225803E-2</v>
      </c>
      <c r="R152" s="608">
        <f t="shared" si="72"/>
        <v>2.0000000000000018E-2</v>
      </c>
      <c r="T152" s="635">
        <f>+C152/Ricavi!C$12</f>
        <v>4.8758858990825372E-5</v>
      </c>
      <c r="U152" s="635">
        <f>+D152/Ricavi!D$12</f>
        <v>3.9859800260486546E-5</v>
      </c>
      <c r="V152" s="635">
        <f>+E152/Ricavi!E$12</f>
        <v>1.7225355614702919E-5</v>
      </c>
      <c r="W152" s="635">
        <f>+F152/Ricavi!F$12</f>
        <v>5.2072317975864679E-5</v>
      </c>
      <c r="X152" s="635">
        <f>+G152/Ricavi!G$12</f>
        <v>2.3718886076564178E-5</v>
      </c>
      <c r="Y152" s="635">
        <f>+H152/Ricavi!H$12</f>
        <v>0</v>
      </c>
      <c r="AA152" s="635">
        <f t="shared" si="73"/>
        <v>3.6327043783688737E-5</v>
      </c>
      <c r="AB152" s="647">
        <v>0.02</v>
      </c>
      <c r="AC152" s="647"/>
      <c r="AD152" s="647"/>
    </row>
    <row r="153" spans="2:30">
      <c r="B153" s="604" t="s">
        <v>3855</v>
      </c>
      <c r="C153" s="613">
        <f>+BdV!E682</f>
        <v>5223.78</v>
      </c>
      <c r="D153" s="613">
        <f>+BdV!F682</f>
        <v>6625.33</v>
      </c>
      <c r="E153" s="613">
        <f>+BdV!G682</f>
        <v>7779.45</v>
      </c>
      <c r="F153" s="613">
        <f>+BdV!H682</f>
        <v>1995.8</v>
      </c>
      <c r="G153" s="613">
        <f>+BdV!I682</f>
        <v>1490.92</v>
      </c>
      <c r="H153" s="613">
        <f>+BdV!J682</f>
        <v>0</v>
      </c>
      <c r="I153" s="609">
        <f>+G153*(1+$AB$153)</f>
        <v>1520.7384000000002</v>
      </c>
      <c r="J153" s="609">
        <f t="shared" ref="J153:M153" si="80">+I153*(1+$AB$153)</f>
        <v>1551.1531680000003</v>
      </c>
      <c r="K153" s="609">
        <f t="shared" si="80"/>
        <v>1582.1762313600002</v>
      </c>
      <c r="L153" s="609">
        <f t="shared" si="80"/>
        <v>1613.8197559872003</v>
      </c>
      <c r="M153" s="609">
        <f t="shared" si="80"/>
        <v>1646.0961511069443</v>
      </c>
      <c r="O153" s="608">
        <f t="shared" si="69"/>
        <v>-0.26908417377939087</v>
      </c>
      <c r="P153" s="608">
        <f t="shared" si="70"/>
        <v>-0.56222321914462481</v>
      </c>
      <c r="Q153" s="608">
        <f t="shared" si="71"/>
        <v>-0.27437754590072005</v>
      </c>
      <c r="R153" s="608">
        <f t="shared" si="72"/>
        <v>2.0000000000000018E-2</v>
      </c>
      <c r="T153" s="635">
        <f>+C153/Ricavi!C$12</f>
        <v>2.0126234841972104E-4</v>
      </c>
      <c r="U153" s="635">
        <f>+D153/Ricavi!D$12</f>
        <v>2.6474885007349378E-4</v>
      </c>
      <c r="V153" s="635">
        <f>+E153/Ricavi!E$12</f>
        <v>2.8976299082472131E-4</v>
      </c>
      <c r="W153" s="635">
        <f>+F153/Ricavi!F$12</f>
        <v>6.4086141494660236E-5</v>
      </c>
      <c r="X153" s="635">
        <f>+G153/Ricavi!G$12</f>
        <v>2.9221724093732287E-5</v>
      </c>
      <c r="Y153" s="635">
        <f>+H153/Ricavi!H$12</f>
        <v>0</v>
      </c>
      <c r="AA153" s="635">
        <f t="shared" si="73"/>
        <v>1.6981641098126574E-4</v>
      </c>
      <c r="AB153" s="647">
        <v>0.02</v>
      </c>
      <c r="AC153" s="647"/>
      <c r="AD153" s="647"/>
    </row>
    <row r="154" spans="2:30">
      <c r="B154" s="604" t="s">
        <v>3856</v>
      </c>
      <c r="C154" s="613">
        <f>+BdV!E683</f>
        <v>21966.31</v>
      </c>
      <c r="D154" s="613">
        <f>+BdV!F683</f>
        <v>16133.52</v>
      </c>
      <c r="E154" s="613">
        <f>+BdV!G683</f>
        <v>20379.16</v>
      </c>
      <c r="F154" s="613">
        <f>+BdV!H683</f>
        <v>22751.279999999999</v>
      </c>
      <c r="G154" s="613">
        <f>+BdV!I683</f>
        <v>27181.4</v>
      </c>
      <c r="H154" s="613">
        <f>+BdV!J683</f>
        <v>17258.189999999999</v>
      </c>
      <c r="I154" s="609">
        <v>25000</v>
      </c>
      <c r="J154" s="609">
        <v>25000</v>
      </c>
      <c r="K154" s="609">
        <v>25000</v>
      </c>
      <c r="L154" s="609">
        <v>25000</v>
      </c>
      <c r="M154" s="609">
        <v>25000</v>
      </c>
      <c r="O154" s="608">
        <f t="shared" si="69"/>
        <v>5.4699349954479448E-2</v>
      </c>
      <c r="P154" s="608">
        <f t="shared" si="70"/>
        <v>0.15489571851353312</v>
      </c>
      <c r="Q154" s="608">
        <f t="shared" si="71"/>
        <v>1.1772588327262579E-2</v>
      </c>
      <c r="R154" s="608">
        <f t="shared" si="72"/>
        <v>-1.6592225399430283E-2</v>
      </c>
      <c r="T154" s="635">
        <f>+C154/Ricavi!C$12</f>
        <v>8.4632031531105885E-4</v>
      </c>
      <c r="U154" s="635">
        <f>+D154/Ricavi!D$12</f>
        <v>6.4469707435519644E-4</v>
      </c>
      <c r="V154" s="635">
        <f>+E154/Ricavi!E$12</f>
        <v>7.5906733150743662E-4</v>
      </c>
      <c r="W154" s="635">
        <f>+F154/Ricavi!F$12</f>
        <v>7.3055504021677189E-4</v>
      </c>
      <c r="X154" s="635">
        <f>+G154/Ricavi!G$12</f>
        <v>5.327498264704845E-4</v>
      </c>
      <c r="Y154" s="635">
        <f>+H154/Ricavi!H$12</f>
        <v>6.7042281266167932E-4</v>
      </c>
      <c r="AA154" s="635">
        <f t="shared" si="73"/>
        <v>7.0267791757218964E-4</v>
      </c>
    </row>
    <row r="155" spans="2:30">
      <c r="B155" s="604" t="s">
        <v>3857</v>
      </c>
      <c r="C155" s="613">
        <f>+BdV!E684</f>
        <v>2626.95</v>
      </c>
      <c r="D155" s="613">
        <f>+BdV!F684</f>
        <v>2744.28</v>
      </c>
      <c r="E155" s="613">
        <f>+BdV!G684</f>
        <v>107.25</v>
      </c>
      <c r="F155" s="613">
        <f>+BdV!H684</f>
        <v>360.8</v>
      </c>
      <c r="G155" s="1446">
        <f>+BdV!I684</f>
        <v>221805.33</v>
      </c>
      <c r="H155" s="651">
        <f>+BdV!J684</f>
        <v>19361.3</v>
      </c>
      <c r="I155" s="609">
        <f>+H155</f>
        <v>19361.3</v>
      </c>
      <c r="J155" s="609">
        <v>0</v>
      </c>
      <c r="K155" s="609">
        <v>0</v>
      </c>
      <c r="L155" s="609">
        <v>0</v>
      </c>
      <c r="M155" s="609">
        <v>0</v>
      </c>
      <c r="O155" s="608">
        <f t="shared" si="69"/>
        <v>2.0313078406413023</v>
      </c>
      <c r="P155" s="608">
        <f t="shared" si="70"/>
        <v>44.47653202515518</v>
      </c>
      <c r="Q155" s="608">
        <f t="shared" si="71"/>
        <v>-0.48405321881920371</v>
      </c>
      <c r="R155" s="608" t="str">
        <f t="shared" si="72"/>
        <v>n/a</v>
      </c>
      <c r="T155" s="635">
        <f>+C155/Ricavi!C$12</f>
        <v>1.0121140748293118E-4</v>
      </c>
      <c r="U155" s="635">
        <f>+D155/Ricavi!D$12</f>
        <v>1.0966170353472017E-4</v>
      </c>
      <c r="V155" s="635">
        <f>+E155/Ricavi!E$12</f>
        <v>3.9947657952620508E-6</v>
      </c>
      <c r="W155" s="635">
        <f>+F155/Ricavi!F$12</f>
        <v>1.1585469411400648E-5</v>
      </c>
      <c r="X155" s="635">
        <f>+G155/Ricavi!G$12</f>
        <v>4.3473386605446572E-3</v>
      </c>
      <c r="Y155" s="635">
        <f>+H155/Ricavi!H$12</f>
        <v>7.5212158417461929E-4</v>
      </c>
      <c r="AA155" s="635">
        <f t="shared" si="73"/>
        <v>9.1475840135379417E-4</v>
      </c>
      <c r="AB155" s="872" t="s">
        <v>4267</v>
      </c>
      <c r="AC155" s="724"/>
      <c r="AD155" s="724"/>
    </row>
    <row r="156" spans="2:30">
      <c r="B156" s="604" t="s">
        <v>3858</v>
      </c>
      <c r="C156" s="613">
        <f>+BdV!E685</f>
        <v>52.53</v>
      </c>
      <c r="D156" s="613">
        <f>+BdV!F685</f>
        <v>718.17</v>
      </c>
      <c r="E156" s="613">
        <f>+BdV!G685</f>
        <v>342.59</v>
      </c>
      <c r="F156" s="613">
        <f>+BdV!H685</f>
        <v>155.16</v>
      </c>
      <c r="G156" s="613">
        <f>+BdV!I685</f>
        <v>416.55</v>
      </c>
      <c r="H156" s="613">
        <f>+BdV!J685</f>
        <v>164.67</v>
      </c>
      <c r="I156" s="609">
        <v>350</v>
      </c>
      <c r="J156" s="609">
        <v>350</v>
      </c>
      <c r="K156" s="609">
        <v>350</v>
      </c>
      <c r="L156" s="609">
        <v>350</v>
      </c>
      <c r="M156" s="609">
        <v>350</v>
      </c>
      <c r="O156" s="608">
        <f t="shared" si="69"/>
        <v>0.67808878334654876</v>
      </c>
      <c r="P156" s="608">
        <f t="shared" si="70"/>
        <v>0.1026716995400927</v>
      </c>
      <c r="Q156" s="608">
        <f t="shared" si="71"/>
        <v>0.43479809055887264</v>
      </c>
      <c r="R156" s="608">
        <f t="shared" si="72"/>
        <v>-3.4215611108294519E-2</v>
      </c>
      <c r="T156" s="635">
        <f>+C156/Ricavi!C$12</f>
        <v>2.0238813967065895E-6</v>
      </c>
      <c r="U156" s="635">
        <f>+D156/Ricavi!D$12</f>
        <v>2.869814509726776E-5</v>
      </c>
      <c r="V156" s="635">
        <f>+E156/Ricavi!E$12</f>
        <v>1.2760529732389984E-5</v>
      </c>
      <c r="W156" s="635">
        <f>+F156/Ricavi!F$12</f>
        <v>4.9822656149471299E-6</v>
      </c>
      <c r="X156" s="635">
        <f>+G156/Ricavi!G$12</f>
        <v>8.1642939736834869E-6</v>
      </c>
      <c r="Y156" s="635">
        <f>+H156/Ricavi!H$12</f>
        <v>6.3968773411927173E-6</v>
      </c>
      <c r="AA156" s="635">
        <f t="shared" si="73"/>
        <v>1.1325823162998991E-5</v>
      </c>
    </row>
    <row r="157" spans="2:30">
      <c r="B157" s="604" t="s">
        <v>3859</v>
      </c>
      <c r="C157" s="613">
        <f>+BdV!E686</f>
        <v>0</v>
      </c>
      <c r="D157" s="613">
        <f>+BdV!F686</f>
        <v>9505.08</v>
      </c>
      <c r="E157" s="613">
        <f>+BdV!G686</f>
        <v>377275.64</v>
      </c>
      <c r="F157" s="613">
        <f>+BdV!H686</f>
        <v>298466.84000000003</v>
      </c>
      <c r="G157" s="1446">
        <f>+BdV!I686</f>
        <v>544164.77</v>
      </c>
      <c r="H157" s="613">
        <f>+BdV!J686</f>
        <v>0</v>
      </c>
      <c r="I157" s="609">
        <f>+$AB$157*SP!K13*1000</f>
        <v>368815.61067250912</v>
      </c>
      <c r="J157" s="609">
        <f>+$AB$157*SP!L13*1000</f>
        <v>391985.5176297584</v>
      </c>
      <c r="K157" s="609">
        <f>+$AB$157*SP!M13*1000</f>
        <v>406440.6417778093</v>
      </c>
      <c r="L157" s="609">
        <f>+$AB$157*SP!N13*1000</f>
        <v>424426.34756440588</v>
      </c>
      <c r="M157" s="609">
        <f>+$AB$157*SP!O13*1000</f>
        <v>443207.95213520632</v>
      </c>
      <c r="O157" s="608" t="str">
        <f t="shared" si="69"/>
        <v>n/a</v>
      </c>
      <c r="P157" s="608">
        <f t="shared" si="70"/>
        <v>0.20098014760432581</v>
      </c>
      <c r="Q157" s="608" t="str">
        <f t="shared" si="71"/>
        <v>n/a</v>
      </c>
      <c r="R157" s="608">
        <f t="shared" si="72"/>
        <v>-4.021175966999524E-2</v>
      </c>
      <c r="T157" s="635">
        <f>+C157/Ricavi!C$12</f>
        <v>0</v>
      </c>
      <c r="U157" s="635">
        <f>+D157/Ricavi!D$12</f>
        <v>3.7982394837035501E-4</v>
      </c>
      <c r="V157" s="635">
        <f>+E157/Ricavi!E$12</f>
        <v>1.4052473865338921E-2</v>
      </c>
      <c r="W157" s="635">
        <f>+F157/Ricavi!F$12</f>
        <v>9.5839203024872827E-3</v>
      </c>
      <c r="X157" s="635">
        <f>+G157/Ricavi!G$12</f>
        <v>1.066551711055542E-2</v>
      </c>
      <c r="Y157" s="635">
        <f>+H157/Ricavi!H$12</f>
        <v>0</v>
      </c>
      <c r="AA157" s="635">
        <f t="shared" si="73"/>
        <v>6.9363470453503951E-3</v>
      </c>
      <c r="AB157" s="724">
        <f>+H191</f>
        <v>1.1396808574138424E-2</v>
      </c>
      <c r="AC157" s="3" t="s">
        <v>4266</v>
      </c>
    </row>
    <row r="158" spans="2:30">
      <c r="B158" s="604" t="s">
        <v>3860</v>
      </c>
      <c r="C158" s="613">
        <f>+BdV!E687</f>
        <v>0</v>
      </c>
      <c r="D158" s="613">
        <f>+BdV!F687</f>
        <v>-9505.08</v>
      </c>
      <c r="E158" s="613">
        <f>+BdV!G687</f>
        <v>-192735</v>
      </c>
      <c r="F158" s="613">
        <f>+BdV!H687</f>
        <v>-82574</v>
      </c>
      <c r="G158" s="613">
        <f>+BdV!I687</f>
        <v>-82538</v>
      </c>
      <c r="H158" s="613">
        <f>+BdV!J687</f>
        <v>0</v>
      </c>
      <c r="I158" s="609">
        <f>-$AB$158*SP!K13*1000</f>
        <v>-65745.860779064213</v>
      </c>
      <c r="J158" s="609">
        <f>-$AB$158*SP!L13*1000</f>
        <v>-69876.178024306384</v>
      </c>
      <c r="K158" s="609">
        <f>-$AB$158*SP!M13*1000</f>
        <v>-72452.979418501491</v>
      </c>
      <c r="L158" s="609">
        <f>-$AB$158*SP!N13*1000</f>
        <v>-75659.149858257573</v>
      </c>
      <c r="M158" s="609">
        <f>-$AB$158*SP!O13*1000</f>
        <v>-79007.198920138908</v>
      </c>
      <c r="O158" s="608" t="str">
        <f t="shared" si="69"/>
        <v>n/a</v>
      </c>
      <c r="P158" s="608">
        <f t="shared" si="70"/>
        <v>0.34559489816696254</v>
      </c>
      <c r="Q158" s="608" t="str">
        <f t="shared" si="71"/>
        <v>n/a</v>
      </c>
      <c r="R158" s="608">
        <f t="shared" si="72"/>
        <v>8.7058466209282148E-3</v>
      </c>
      <c r="T158" s="635">
        <f>+C158/Ricavi!C$12</f>
        <v>0</v>
      </c>
      <c r="U158" s="635">
        <f>+D158/Ricavi!D$12</f>
        <v>-3.7982394837035501E-4</v>
      </c>
      <c r="V158" s="635">
        <f>+E158/Ricavi!E$12</f>
        <v>-7.1788455529121801E-3</v>
      </c>
      <c r="W158" s="635">
        <f>+F158/Ricavi!F$12</f>
        <v>-2.6514926584728302E-3</v>
      </c>
      <c r="X158" s="635">
        <f>+G158/Ricavi!G$12</f>
        <v>-1.6177277541708981E-3</v>
      </c>
      <c r="Y158" s="635">
        <f>+H158/Ricavi!H$12</f>
        <v>0</v>
      </c>
      <c r="AA158" s="635">
        <f t="shared" si="73"/>
        <v>-2.3655779827852527E-3</v>
      </c>
      <c r="AB158" s="724">
        <f>+H196</f>
        <v>2.0316195089320312E-3</v>
      </c>
    </row>
    <row r="159" spans="2:30">
      <c r="B159" s="604" t="s">
        <v>3861</v>
      </c>
      <c r="C159" s="613">
        <f>+BdV!E688</f>
        <v>100</v>
      </c>
      <c r="D159" s="613">
        <f>+BdV!F688</f>
        <v>0</v>
      </c>
      <c r="E159" s="613">
        <f>+BdV!G688</f>
        <v>0</v>
      </c>
      <c r="F159" s="613">
        <f>+BdV!H688</f>
        <v>120</v>
      </c>
      <c r="G159" s="613">
        <f>+BdV!I688</f>
        <v>361</v>
      </c>
      <c r="H159" s="613">
        <f>+BdV!J688</f>
        <v>14020</v>
      </c>
      <c r="I159" s="609">
        <f>+H159</f>
        <v>14020</v>
      </c>
      <c r="J159" s="609">
        <v>0</v>
      </c>
      <c r="K159" s="609">
        <v>0</v>
      </c>
      <c r="L159" s="609">
        <v>0</v>
      </c>
      <c r="M159" s="609">
        <v>0</v>
      </c>
      <c r="O159" s="608">
        <f t="shared" si="69"/>
        <v>0.37840487520902211</v>
      </c>
      <c r="P159" s="608" t="str">
        <f t="shared" si="70"/>
        <v>n/a</v>
      </c>
      <c r="Q159" s="608">
        <f t="shared" si="71"/>
        <v>6.2658569182611146E-2</v>
      </c>
      <c r="R159" s="608" t="str">
        <f t="shared" si="72"/>
        <v>n/a</v>
      </c>
      <c r="T159" s="635">
        <f>+C159/Ricavi!C$12</f>
        <v>3.8528105781583653E-6</v>
      </c>
      <c r="U159" s="635">
        <f>+D159/Ricavi!D$12</f>
        <v>0</v>
      </c>
      <c r="V159" s="635">
        <f>+E159/Ricavi!E$12</f>
        <v>0</v>
      </c>
      <c r="W159" s="635">
        <f>+F159/Ricavi!F$12</f>
        <v>3.8532603363860244E-6</v>
      </c>
      <c r="X159" s="635">
        <f>+G159/Ricavi!G$12</f>
        <v>7.0755254459242308E-6</v>
      </c>
      <c r="Y159" s="635">
        <f>+H159/Ricavi!H$12</f>
        <v>5.4462998921188984E-4</v>
      </c>
      <c r="AA159" s="635">
        <f t="shared" si="73"/>
        <v>2.9563192720937238E-6</v>
      </c>
    </row>
    <row r="160" spans="2:30">
      <c r="B160" s="604" t="s">
        <v>3862</v>
      </c>
      <c r="C160" s="613">
        <f>+BdV!E689</f>
        <v>0</v>
      </c>
      <c r="D160" s="613">
        <f>+BdV!F689</f>
        <v>0</v>
      </c>
      <c r="E160" s="613">
        <f>+BdV!G689</f>
        <v>139900</v>
      </c>
      <c r="F160" s="613">
        <f>+BdV!H689</f>
        <v>118000.01</v>
      </c>
      <c r="G160" s="613">
        <f>+BdV!I689</f>
        <v>0</v>
      </c>
      <c r="H160" s="613">
        <f>+BdV!J689</f>
        <v>0</v>
      </c>
      <c r="I160" s="609">
        <v>0</v>
      </c>
      <c r="J160" s="609">
        <v>0</v>
      </c>
      <c r="K160" s="609">
        <v>0</v>
      </c>
      <c r="L160" s="609">
        <v>0</v>
      </c>
      <c r="M160" s="609">
        <v>0</v>
      </c>
      <c r="O160" s="608" t="str">
        <f t="shared" si="69"/>
        <v>n/a</v>
      </c>
      <c r="P160" s="608" t="str">
        <f t="shared" si="70"/>
        <v>n/a</v>
      </c>
      <c r="Q160" s="608" t="str">
        <f t="shared" si="71"/>
        <v>n/a</v>
      </c>
      <c r="R160" s="608" t="str">
        <f t="shared" si="72"/>
        <v>n/a</v>
      </c>
      <c r="T160" s="635">
        <f>+C160/Ricavi!C$12</f>
        <v>0</v>
      </c>
      <c r="U160" s="635">
        <f>+D160/Ricavi!D$12</f>
        <v>0</v>
      </c>
      <c r="V160" s="635">
        <f>+E160/Ricavi!E$12</f>
        <v>5.210887969763738E-3</v>
      </c>
      <c r="W160" s="635">
        <f>+F160/Ricavi!F$12</f>
        <v>3.7890396518846189E-3</v>
      </c>
      <c r="X160" s="635">
        <f>+G160/Ricavi!G$12</f>
        <v>0</v>
      </c>
      <c r="Y160" s="635">
        <f>+H160/Ricavi!H$12</f>
        <v>0</v>
      </c>
      <c r="AA160" s="635">
        <f t="shared" si="73"/>
        <v>1.7999855243296715E-3</v>
      </c>
    </row>
    <row r="161" spans="2:27">
      <c r="B161" s="604" t="s">
        <v>3863</v>
      </c>
      <c r="C161" s="613">
        <f>+BdV!E690</f>
        <v>13352.26</v>
      </c>
      <c r="D161" s="613">
        <f>+BdV!F690</f>
        <v>125500</v>
      </c>
      <c r="E161" s="613">
        <f>+BdV!G690</f>
        <v>0</v>
      </c>
      <c r="F161" s="613">
        <f>+BdV!H690</f>
        <v>14575</v>
      </c>
      <c r="G161" s="613">
        <f>+BdV!I690</f>
        <v>12900</v>
      </c>
      <c r="H161" s="613">
        <f>+BdV!J690</f>
        <v>839.38</v>
      </c>
      <c r="I161" s="609">
        <f>+H161</f>
        <v>839.38</v>
      </c>
      <c r="J161" s="609">
        <v>0</v>
      </c>
      <c r="K161" s="609">
        <v>0</v>
      </c>
      <c r="L161" s="609">
        <v>0</v>
      </c>
      <c r="M161" s="609">
        <v>0</v>
      </c>
      <c r="O161" s="608">
        <f t="shared" si="69"/>
        <v>-8.5775876521162475E-3</v>
      </c>
      <c r="P161" s="608" t="str">
        <f t="shared" si="70"/>
        <v>n/a</v>
      </c>
      <c r="Q161" s="608">
        <f t="shared" si="71"/>
        <v>2.9638075802495889E-2</v>
      </c>
      <c r="R161" s="608" t="str">
        <f t="shared" si="72"/>
        <v>n/a</v>
      </c>
      <c r="T161" s="635">
        <f>+C161/Ricavi!C$12</f>
        <v>5.1443728570320813E-4</v>
      </c>
      <c r="U161" s="635">
        <f>+D161/Ricavi!D$12</f>
        <v>5.0149925640267682E-3</v>
      </c>
      <c r="V161" s="635">
        <f>+E161/Ricavi!E$12</f>
        <v>0</v>
      </c>
      <c r="W161" s="635">
        <f>+F161/Ricavi!F$12</f>
        <v>4.6801057835688592E-4</v>
      </c>
      <c r="X161" s="635">
        <f>+G161/Ricavi!G$12</f>
        <v>2.5283733587928695E-4</v>
      </c>
      <c r="Y161" s="635">
        <f>+H161/Ricavi!H$12</f>
        <v>3.2607098455397726E-5</v>
      </c>
      <c r="AA161" s="635">
        <f t="shared" si="73"/>
        <v>1.2500555527932299E-3</v>
      </c>
    </row>
    <row r="162" spans="2:27">
      <c r="B162" s="604" t="s">
        <v>2414</v>
      </c>
      <c r="C162" s="613">
        <f>+BdV!E691</f>
        <v>0.7</v>
      </c>
      <c r="D162" s="613">
        <f>+BdV!F691</f>
        <v>0</v>
      </c>
      <c r="E162" s="613">
        <f>+BdV!G691</f>
        <v>0</v>
      </c>
      <c r="F162" s="613">
        <f>+BdV!H691</f>
        <v>0</v>
      </c>
      <c r="G162" s="613">
        <f>+BdV!I691</f>
        <v>0.55000000000000004</v>
      </c>
      <c r="H162" s="613">
        <f>+BdV!J691</f>
        <v>0</v>
      </c>
      <c r="I162" s="609">
        <v>0</v>
      </c>
      <c r="J162" s="609">
        <v>0</v>
      </c>
      <c r="K162" s="609">
        <v>0</v>
      </c>
      <c r="L162" s="609">
        <v>0</v>
      </c>
      <c r="M162" s="609">
        <v>0</v>
      </c>
      <c r="O162" s="608">
        <f t="shared" si="69"/>
        <v>-5.8509022651879961E-2</v>
      </c>
      <c r="P162" s="608" t="str">
        <f t="shared" si="70"/>
        <v>n/a</v>
      </c>
      <c r="Q162" s="608" t="str">
        <f t="shared" si="71"/>
        <v>n/a</v>
      </c>
      <c r="R162" s="608" t="str">
        <f t="shared" si="72"/>
        <v>n/a</v>
      </c>
      <c r="T162" s="635">
        <f>+C162/Ricavi!C$12</f>
        <v>2.6969674047108556E-8</v>
      </c>
      <c r="U162" s="635">
        <f>+D162/Ricavi!D$12</f>
        <v>0</v>
      </c>
      <c r="V162" s="635">
        <f>+E162/Ricavi!E$12</f>
        <v>0</v>
      </c>
      <c r="W162" s="635">
        <f>+F162/Ricavi!F$12</f>
        <v>0</v>
      </c>
      <c r="X162" s="635">
        <f>+G162/Ricavi!G$12</f>
        <v>1.077988641345797E-8</v>
      </c>
      <c r="Y162" s="635">
        <f>+H162/Ricavi!H$12</f>
        <v>0</v>
      </c>
      <c r="AA162" s="635">
        <f t="shared" si="73"/>
        <v>7.5499120921133042E-9</v>
      </c>
    </row>
    <row r="163" spans="2:27">
      <c r="B163" s="604" t="s">
        <v>3873</v>
      </c>
      <c r="C163" s="613">
        <f>+BdV!E692</f>
        <v>0</v>
      </c>
      <c r="D163" s="613">
        <f>+BdV!F692</f>
        <v>0.1</v>
      </c>
      <c r="E163" s="613">
        <f>+BdV!G692</f>
        <v>0</v>
      </c>
      <c r="F163" s="613">
        <f>+BdV!H692</f>
        <v>0</v>
      </c>
      <c r="G163" s="613">
        <f>+BdV!I692</f>
        <v>0</v>
      </c>
      <c r="H163" s="613">
        <f>+BdV!J692</f>
        <v>0</v>
      </c>
      <c r="I163" s="609">
        <v>0</v>
      </c>
      <c r="J163" s="609">
        <v>0</v>
      </c>
      <c r="K163" s="609">
        <v>0</v>
      </c>
      <c r="L163" s="609">
        <v>0</v>
      </c>
      <c r="M163" s="609">
        <v>0</v>
      </c>
      <c r="O163" s="608" t="str">
        <f t="shared" si="69"/>
        <v>n/a</v>
      </c>
      <c r="P163" s="608" t="str">
        <f t="shared" si="70"/>
        <v>n/a</v>
      </c>
      <c r="Q163" s="608" t="str">
        <f t="shared" si="71"/>
        <v>n/a</v>
      </c>
      <c r="R163" s="608" t="str">
        <f t="shared" si="72"/>
        <v>n/a</v>
      </c>
      <c r="T163" s="635">
        <f>+C163/Ricavi!C$12</f>
        <v>0</v>
      </c>
      <c r="U163" s="635">
        <f>+D163/Ricavi!D$12</f>
        <v>3.9960100111767078E-9</v>
      </c>
      <c r="V163" s="635">
        <f>+E163/Ricavi!E$12</f>
        <v>0</v>
      </c>
      <c r="W163" s="635">
        <f>+F163/Ricavi!F$12</f>
        <v>0</v>
      </c>
      <c r="X163" s="635">
        <f>+G163/Ricavi!G$12</f>
        <v>0</v>
      </c>
      <c r="Y163" s="635">
        <f>+H163/Ricavi!H$12</f>
        <v>0</v>
      </c>
      <c r="AA163" s="635">
        <f t="shared" si="73"/>
        <v>7.9920200223534157E-10</v>
      </c>
    </row>
    <row r="164" spans="2:27">
      <c r="B164" s="604" t="s">
        <v>2411</v>
      </c>
      <c r="C164" s="613">
        <f>+BdV!E693</f>
        <v>309</v>
      </c>
      <c r="D164" s="613">
        <f>+BdV!F693</f>
        <v>256</v>
      </c>
      <c r="E164" s="613">
        <f>+BdV!G693</f>
        <v>0</v>
      </c>
      <c r="F164" s="613">
        <f>+BdV!H693</f>
        <v>0</v>
      </c>
      <c r="G164" s="613">
        <f>+BdV!I693</f>
        <v>0</v>
      </c>
      <c r="H164" s="613">
        <f>+BdV!J693</f>
        <v>0</v>
      </c>
      <c r="I164" s="609">
        <v>0</v>
      </c>
      <c r="J164" s="609">
        <v>0</v>
      </c>
      <c r="K164" s="609">
        <v>0</v>
      </c>
      <c r="L164" s="609">
        <v>0</v>
      </c>
      <c r="M164" s="609">
        <v>0</v>
      </c>
      <c r="O164" s="608" t="str">
        <f t="shared" si="69"/>
        <v>n/a</v>
      </c>
      <c r="P164" s="608" t="str">
        <f t="shared" si="70"/>
        <v>n/a</v>
      </c>
      <c r="Q164" s="608" t="str">
        <f t="shared" si="71"/>
        <v>n/a</v>
      </c>
      <c r="R164" s="608" t="str">
        <f t="shared" si="72"/>
        <v>n/a</v>
      </c>
      <c r="T164" s="635">
        <f>+C164/Ricavi!C$12</f>
        <v>1.1905184686509349E-5</v>
      </c>
      <c r="U164" s="635">
        <f>+D164/Ricavi!D$12</f>
        <v>1.0229785628612372E-5</v>
      </c>
      <c r="V164" s="635">
        <f>+E164/Ricavi!E$12</f>
        <v>0</v>
      </c>
      <c r="W164" s="635">
        <f>+F164/Ricavi!F$12</f>
        <v>0</v>
      </c>
      <c r="X164" s="635">
        <f>+G164/Ricavi!G$12</f>
        <v>0</v>
      </c>
      <c r="Y164" s="635">
        <f>+H164/Ricavi!H$12</f>
        <v>0</v>
      </c>
      <c r="AA164" s="635">
        <f t="shared" si="73"/>
        <v>4.426994063024344E-6</v>
      </c>
    </row>
    <row r="165" spans="2:27">
      <c r="B165" s="604" t="s">
        <v>2412</v>
      </c>
      <c r="C165" s="613">
        <f>+BdV!E694</f>
        <v>516.46</v>
      </c>
      <c r="D165" s="613">
        <f>+BdV!F694</f>
        <v>516.46</v>
      </c>
      <c r="E165" s="613">
        <f>+BdV!G694</f>
        <v>516.46</v>
      </c>
      <c r="F165" s="613">
        <f>+BdV!H694</f>
        <v>0</v>
      </c>
      <c r="G165" s="613">
        <f>+BdV!I694</f>
        <v>0</v>
      </c>
      <c r="H165" s="613">
        <f>+BdV!J694</f>
        <v>0</v>
      </c>
      <c r="I165" s="609">
        <v>0</v>
      </c>
      <c r="J165" s="609">
        <v>0</v>
      </c>
      <c r="K165" s="609">
        <v>0</v>
      </c>
      <c r="L165" s="609">
        <v>0</v>
      </c>
      <c r="M165" s="609">
        <v>0</v>
      </c>
      <c r="O165" s="608" t="str">
        <f t="shared" si="69"/>
        <v>n/a</v>
      </c>
      <c r="P165" s="608" t="str">
        <f t="shared" si="70"/>
        <v>n/a</v>
      </c>
      <c r="Q165" s="608" t="str">
        <f t="shared" si="71"/>
        <v>n/a</v>
      </c>
      <c r="R165" s="608" t="str">
        <f t="shared" si="72"/>
        <v>n/a</v>
      </c>
      <c r="T165" s="635">
        <f>+C165/Ricavi!C$12</f>
        <v>1.9898225511956695E-5</v>
      </c>
      <c r="U165" s="635">
        <f>+D165/Ricavi!D$12</f>
        <v>2.0637793303723228E-5</v>
      </c>
      <c r="V165" s="635">
        <f>+E165/Ricavi!E$12</f>
        <v>1.9236706224904793E-5</v>
      </c>
      <c r="W165" s="635">
        <f>+F165/Ricavi!F$12</f>
        <v>0</v>
      </c>
      <c r="X165" s="635">
        <f>+G165/Ricavi!G$12</f>
        <v>0</v>
      </c>
      <c r="Y165" s="635">
        <f>+H165/Ricavi!H$12</f>
        <v>0</v>
      </c>
      <c r="AA165" s="635">
        <f t="shared" si="73"/>
        <v>1.1954545008116942E-5</v>
      </c>
    </row>
    <row r="166" spans="2:27">
      <c r="B166" s="604" t="s">
        <v>2413</v>
      </c>
      <c r="C166" s="613">
        <f>+BdV!E695</f>
        <v>0</v>
      </c>
      <c r="D166" s="613">
        <f>+BdV!F695</f>
        <v>197908.99</v>
      </c>
      <c r="E166" s="613">
        <f>+BdV!G695</f>
        <v>0</v>
      </c>
      <c r="F166" s="613">
        <f>+BdV!H695</f>
        <v>0</v>
      </c>
      <c r="G166" s="613">
        <f>+BdV!I695</f>
        <v>0</v>
      </c>
      <c r="H166" s="613">
        <f>+BdV!J695</f>
        <v>0</v>
      </c>
      <c r="I166" s="609">
        <v>0</v>
      </c>
      <c r="J166" s="609">
        <v>0</v>
      </c>
      <c r="K166" s="609">
        <v>0</v>
      </c>
      <c r="L166" s="609">
        <v>0</v>
      </c>
      <c r="M166" s="609">
        <v>0</v>
      </c>
      <c r="O166" s="608" t="str">
        <f t="shared" si="69"/>
        <v>n/a</v>
      </c>
      <c r="P166" s="608" t="str">
        <f t="shared" si="70"/>
        <v>n/a</v>
      </c>
      <c r="Q166" s="608" t="str">
        <f t="shared" si="71"/>
        <v>n/a</v>
      </c>
      <c r="R166" s="608" t="str">
        <f t="shared" si="72"/>
        <v>n/a</v>
      </c>
      <c r="T166" s="635">
        <f>+C166/Ricavi!C$12</f>
        <v>0</v>
      </c>
      <c r="U166" s="635">
        <f>+D166/Ricavi!D$12</f>
        <v>7.9084630534187097E-3</v>
      </c>
      <c r="V166" s="635">
        <f>+E166/Ricavi!E$12</f>
        <v>0</v>
      </c>
      <c r="W166" s="635">
        <f>+F166/Ricavi!F$12</f>
        <v>0</v>
      </c>
      <c r="X166" s="635">
        <f>+G166/Ricavi!G$12</f>
        <v>0</v>
      </c>
      <c r="Y166" s="635">
        <f>+H166/Ricavi!H$12</f>
        <v>0</v>
      </c>
      <c r="AA166" s="635">
        <f t="shared" si="73"/>
        <v>1.5816926106837419E-3</v>
      </c>
    </row>
    <row r="167" spans="2:27">
      <c r="B167" s="604" t="s">
        <v>3864</v>
      </c>
      <c r="C167" s="613">
        <f>+BdV!E696</f>
        <v>0</v>
      </c>
      <c r="D167" s="613">
        <f>+BdV!F696</f>
        <v>10938.9</v>
      </c>
      <c r="E167" s="613">
        <f>+BdV!G696</f>
        <v>14911.05</v>
      </c>
      <c r="F167" s="613">
        <f>+BdV!H696</f>
        <v>12295.08</v>
      </c>
      <c r="G167" s="613">
        <f>+BdV!I696</f>
        <v>0</v>
      </c>
      <c r="H167" s="613">
        <f>+BdV!J696</f>
        <v>0</v>
      </c>
      <c r="I167" s="609">
        <v>0</v>
      </c>
      <c r="J167" s="609">
        <v>0</v>
      </c>
      <c r="K167" s="609">
        <v>0</v>
      </c>
      <c r="L167" s="609">
        <v>0</v>
      </c>
      <c r="M167" s="609">
        <v>0</v>
      </c>
      <c r="O167" s="608" t="str">
        <f t="shared" si="69"/>
        <v>n/a</v>
      </c>
      <c r="P167" s="608" t="str">
        <f t="shared" si="70"/>
        <v>n/a</v>
      </c>
      <c r="Q167" s="608" t="str">
        <f t="shared" si="71"/>
        <v>n/a</v>
      </c>
      <c r="R167" s="608" t="str">
        <f t="shared" si="72"/>
        <v>n/a</v>
      </c>
      <c r="T167" s="635">
        <f>+C167/Ricavi!C$12</f>
        <v>0</v>
      </c>
      <c r="U167" s="635">
        <f>+D167/Ricavi!D$12</f>
        <v>4.3711953911260886E-4</v>
      </c>
      <c r="V167" s="635">
        <f>+E167/Ricavi!E$12</f>
        <v>5.5539536141204849E-4</v>
      </c>
      <c r="W167" s="635">
        <f>+F167/Ricavi!F$12</f>
        <v>3.9480120080577572E-4</v>
      </c>
      <c r="X167" s="635">
        <f>+G167/Ricavi!G$12</f>
        <v>0</v>
      </c>
      <c r="Y167" s="635">
        <f>+H167/Ricavi!H$12</f>
        <v>0</v>
      </c>
      <c r="AA167" s="635">
        <f t="shared" si="73"/>
        <v>2.7746322026608666E-4</v>
      </c>
    </row>
    <row r="168" spans="2:27">
      <c r="B168" s="604" t="s">
        <v>3865</v>
      </c>
      <c r="C168" s="613">
        <f>+BdV!E697</f>
        <v>11226.6</v>
      </c>
      <c r="D168" s="613">
        <f>+BdV!F697</f>
        <v>5360.99</v>
      </c>
      <c r="E168" s="613">
        <f>+BdV!G697</f>
        <v>6807.89</v>
      </c>
      <c r="F168" s="613">
        <f>+BdV!H697</f>
        <v>220</v>
      </c>
      <c r="G168" s="613">
        <f>+BdV!I697</f>
        <v>6079.55</v>
      </c>
      <c r="H168" s="613">
        <f>+BdV!J697</f>
        <v>2160.81</v>
      </c>
      <c r="I168" s="609">
        <v>0</v>
      </c>
      <c r="J168" s="609">
        <v>0</v>
      </c>
      <c r="K168" s="609">
        <v>0</v>
      </c>
      <c r="L168" s="609">
        <v>0</v>
      </c>
      <c r="M168" s="609">
        <v>0</v>
      </c>
      <c r="O168" s="608">
        <f t="shared" si="69"/>
        <v>-0.14216098095750351</v>
      </c>
      <c r="P168" s="608">
        <f t="shared" si="70"/>
        <v>-5.5005126904453361E-2</v>
      </c>
      <c r="Q168" s="608">
        <f t="shared" si="71"/>
        <v>-0.73039694408860145</v>
      </c>
      <c r="R168" s="608" t="str">
        <f t="shared" si="72"/>
        <v>n/a</v>
      </c>
      <c r="T168" s="635">
        <f>+C168/Ricavi!C$12</f>
        <v>4.3253963236752706E-4</v>
      </c>
      <c r="U168" s="635">
        <f>+D168/Ricavi!D$12</f>
        <v>2.1422569709818217E-4</v>
      </c>
      <c r="V168" s="635">
        <f>+E168/Ricavi!E$12</f>
        <v>2.5357506862383743E-4</v>
      </c>
      <c r="W168" s="635">
        <f>+F168/Ricavi!F$12</f>
        <v>7.0643106167077119E-6</v>
      </c>
      <c r="X168" s="635">
        <f>+G168/Ricavi!G$12</f>
        <v>1.1915792444534255E-4</v>
      </c>
      <c r="Y168" s="635">
        <f>+H168/Ricavi!H$12</f>
        <v>8.3940223037727799E-5</v>
      </c>
      <c r="AA168" s="635">
        <f t="shared" si="73"/>
        <v>2.0531252663031938E-4</v>
      </c>
    </row>
    <row r="169" spans="2:27">
      <c r="B169" s="604" t="s">
        <v>4170</v>
      </c>
      <c r="C169" s="613">
        <f>+BdV!E698</f>
        <v>0</v>
      </c>
      <c r="D169" s="613">
        <f>+BdV!F698</f>
        <v>0</v>
      </c>
      <c r="E169" s="613">
        <f>+BdV!G698</f>
        <v>0</v>
      </c>
      <c r="F169" s="613">
        <f>+BdV!H698</f>
        <v>0</v>
      </c>
      <c r="G169" s="613">
        <f>+BdV!I698</f>
        <v>0</v>
      </c>
      <c r="H169" s="613">
        <f>+BdV!J698</f>
        <v>60</v>
      </c>
      <c r="I169" s="609">
        <v>0</v>
      </c>
      <c r="J169" s="609">
        <v>0</v>
      </c>
      <c r="K169" s="609">
        <v>0</v>
      </c>
      <c r="L169" s="609">
        <v>0</v>
      </c>
      <c r="M169" s="609">
        <v>0</v>
      </c>
      <c r="O169" s="608" t="str">
        <f t="shared" ref="O169" si="81">IF(G169*C169&lt;=0,"n/a",IF(C169&gt;G169,-ABS((G169/C169)^(1/(4))-1),ABS((G169/C169)^(1/(4))-1)))</f>
        <v>n/a</v>
      </c>
      <c r="P169" s="608" t="str">
        <f t="shared" ref="P169" si="82">IF(G169*E169&lt;=0,"n/a",IF(E169&gt;G169,-ABS((G169/E169)^(1/(2))-1),ABS((G169/E169)^(1/(2))-1)))</f>
        <v>n/a</v>
      </c>
      <c r="Q169" s="608" t="str">
        <f t="shared" ref="Q169" si="83">IF(F169*C169&lt;=0,"n/a",IF(C169&gt;F169,-ABS((F169/C169)^(1/(3))-1),ABS((F169/C169)^(1/(3))-1)))</f>
        <v>n/a</v>
      </c>
      <c r="R169" s="608" t="str">
        <f t="shared" ref="R169" si="84">IF(M169*G169&lt;=0,"n/a",IF(G169&gt;M169,-ABS((M169/G169)^(1/(5))-1),ABS((M169/G169)^(1/(5))-1)))</f>
        <v>n/a</v>
      </c>
      <c r="T169" s="635">
        <f>+C169/Ricavi!C$12</f>
        <v>0</v>
      </c>
      <c r="U169" s="635">
        <f>+D169/Ricavi!D$12</f>
        <v>0</v>
      </c>
      <c r="V169" s="635">
        <f>+E169/Ricavi!E$12</f>
        <v>0</v>
      </c>
      <c r="W169" s="635">
        <f>+F169/Ricavi!F$12</f>
        <v>0</v>
      </c>
      <c r="X169" s="635">
        <f>+G169/Ricavi!G$12</f>
        <v>0</v>
      </c>
      <c r="Y169" s="635">
        <f>+H169/Ricavi!H$12</f>
        <v>2.3307988126043789E-6</v>
      </c>
      <c r="AA169" s="635">
        <f t="shared" ref="AA169" si="85">+AVERAGE(T169:X169)</f>
        <v>0</v>
      </c>
    </row>
    <row r="170" spans="2:27">
      <c r="B170" s="596" t="s">
        <v>2299</v>
      </c>
      <c r="C170" s="610">
        <f>+SUM(C130:C169)</f>
        <v>121853.95</v>
      </c>
      <c r="D170" s="610">
        <f t="shared" ref="D170:H170" si="86">+SUM(D130:D169)</f>
        <v>536555.92999999993</v>
      </c>
      <c r="E170" s="610">
        <f t="shared" si="86"/>
        <v>695061.2300000001</v>
      </c>
      <c r="F170" s="610">
        <f t="shared" si="86"/>
        <v>710789.98999999987</v>
      </c>
      <c r="G170" s="610">
        <f t="shared" si="86"/>
        <v>902870.16000000015</v>
      </c>
      <c r="H170" s="610">
        <f t="shared" si="86"/>
        <v>144862.99000000002</v>
      </c>
      <c r="I170" s="610">
        <f>+SUM(I130:I169)</f>
        <v>752780.72543073387</v>
      </c>
      <c r="J170" s="610">
        <f t="shared" ref="J170" si="87">+SUM(J130:J169)</f>
        <v>755147.23449009215</v>
      </c>
      <c r="K170" s="610">
        <f t="shared" ref="K170" si="88">+SUM(K130:K169)</f>
        <v>779728.53384414292</v>
      </c>
      <c r="L170" s="610">
        <f t="shared" ref="L170" si="89">+SUM(L130:L169)</f>
        <v>810271.54006976227</v>
      </c>
      <c r="M170" s="610">
        <f t="shared" ref="M170" si="90">+SUM(M130:M169)</f>
        <v>842161.47946019273</v>
      </c>
      <c r="O170" s="640">
        <f t="shared" si="69"/>
        <v>0.64985744929371592</v>
      </c>
      <c r="P170" s="640">
        <f t="shared" si="70"/>
        <v>0.13972773695456264</v>
      </c>
      <c r="Q170" s="640">
        <f t="shared" si="71"/>
        <v>0.80011629713646193</v>
      </c>
      <c r="R170" s="640">
        <f t="shared" si="72"/>
        <v>-1.3824941285433323E-2</v>
      </c>
      <c r="S170" s="1"/>
      <c r="T170" s="636">
        <f>+C170/Ricavi!C$12</f>
        <v>4.6948018755038051E-3</v>
      </c>
      <c r="U170" s="636">
        <f>+D170/Ricavi!D$12</f>
        <v>2.1440828678362285E-2</v>
      </c>
      <c r="V170" s="636">
        <f>+E170/Ricavi!E$12</f>
        <v>2.5889107946077107E-2</v>
      </c>
      <c r="W170" s="636">
        <f>+F170/Ricavi!F$12</f>
        <v>2.282382396639349E-2</v>
      </c>
      <c r="X170" s="636">
        <f>+G170/Ricavi!G$12</f>
        <v>1.7696068674364775E-2</v>
      </c>
      <c r="Y170" s="636">
        <f>+H170/Ricavi!H$12</f>
        <v>5.6274414180386674E-3</v>
      </c>
      <c r="Z170" s="1"/>
      <c r="AA170" s="636">
        <f t="shared" si="73"/>
        <v>1.8508926228140293E-2</v>
      </c>
    </row>
    <row r="172" spans="2:27">
      <c r="B172" s="604" t="s">
        <v>2529</v>
      </c>
      <c r="C172" s="613">
        <f>+BdV!E657</f>
        <v>-81280.55</v>
      </c>
      <c r="D172" s="613">
        <f>+BdV!F657</f>
        <v>-112580</v>
      </c>
      <c r="E172" s="613">
        <f>+BdV!G657</f>
        <v>-100208.61</v>
      </c>
      <c r="F172" s="613">
        <f>+BdV!H657</f>
        <v>-80033.78</v>
      </c>
      <c r="G172" s="613">
        <f>+BdV!I657</f>
        <v>-298552.58</v>
      </c>
      <c r="H172" s="613">
        <f>+BdV!J657</f>
        <v>0</v>
      </c>
      <c r="I172" s="609">
        <f>-I173*$O$174</f>
        <v>-278138.01513305411</v>
      </c>
      <c r="J172" s="609">
        <f t="shared" ref="J172:M172" si="91">-J173*$O$174</f>
        <v>-285319.17317515053</v>
      </c>
      <c r="K172" s="609">
        <f t="shared" si="91"/>
        <v>-296761.00208919222</v>
      </c>
      <c r="L172" s="609">
        <f t="shared" si="91"/>
        <v>-309652.96142584988</v>
      </c>
      <c r="M172" s="609">
        <f t="shared" si="91"/>
        <v>-323355.64390315558</v>
      </c>
    </row>
    <row r="173" spans="2:27">
      <c r="B173" s="604" t="s">
        <v>2530</v>
      </c>
      <c r="C173" s="613">
        <f>+C39</f>
        <v>9852112.8500000015</v>
      </c>
      <c r="D173" s="613">
        <f t="shared" ref="D173:M173" si="92">+D39</f>
        <v>9455625.2000000011</v>
      </c>
      <c r="E173" s="613">
        <f t="shared" si="92"/>
        <v>10419766.989999998</v>
      </c>
      <c r="F173" s="613">
        <f t="shared" si="92"/>
        <v>11069803.960000001</v>
      </c>
      <c r="G173" s="613">
        <f t="shared" si="92"/>
        <v>21800479.280000005</v>
      </c>
      <c r="H173" s="613">
        <f t="shared" ref="H173" si="93">+H39</f>
        <v>10541588.269999998</v>
      </c>
      <c r="I173" s="613">
        <f>+I39</f>
        <v>27430835.694924857</v>
      </c>
      <c r="J173" s="613">
        <f t="shared" si="92"/>
        <v>28139063.824969582</v>
      </c>
      <c r="K173" s="613">
        <f t="shared" si="92"/>
        <v>29267492.561474286</v>
      </c>
      <c r="L173" s="613">
        <f t="shared" si="92"/>
        <v>30538937.668250997</v>
      </c>
      <c r="M173" s="613">
        <f t="shared" si="92"/>
        <v>31890338.811438452</v>
      </c>
    </row>
    <row r="174" spans="2:27">
      <c r="C174" s="882">
        <f>-C172/C173</f>
        <v>8.250062827893815E-3</v>
      </c>
      <c r="D174" s="882">
        <f t="shared" ref="D174:F174" si="94">-D172/D173</f>
        <v>1.1906140272987977E-2</v>
      </c>
      <c r="E174" s="882">
        <f t="shared" si="94"/>
        <v>9.6171641934192642E-3</v>
      </c>
      <c r="F174" s="882">
        <f t="shared" si="94"/>
        <v>7.229918460091681E-3</v>
      </c>
      <c r="G174" s="882">
        <f>-G172/G173</f>
        <v>1.3694771393117736E-2</v>
      </c>
      <c r="H174" s="882"/>
      <c r="O174" s="818">
        <f>+AVERAGE(C174:G174)</f>
        <v>1.0139611429502095E-2</v>
      </c>
      <c r="P174" s="3" t="s">
        <v>4480</v>
      </c>
    </row>
    <row r="177" spans="2:13">
      <c r="C177" s="704"/>
      <c r="D177" s="704"/>
      <c r="E177" s="704"/>
      <c r="F177" s="704"/>
      <c r="G177" s="704"/>
      <c r="H177" s="704"/>
      <c r="I177" s="595"/>
      <c r="J177" s="595"/>
      <c r="K177" s="595"/>
      <c r="L177" s="595"/>
      <c r="M177" s="595"/>
    </row>
    <row r="178" spans="2:13">
      <c r="G178" s="260"/>
      <c r="H178" s="260"/>
    </row>
    <row r="181" spans="2:13">
      <c r="B181" s="907" t="s">
        <v>405</v>
      </c>
      <c r="C181" s="908"/>
      <c r="D181" s="908"/>
      <c r="E181" s="908"/>
      <c r="F181" s="908"/>
      <c r="G181" s="908"/>
      <c r="H181" s="908"/>
    </row>
    <row r="182" spans="2:13">
      <c r="B182" s="906" t="s">
        <v>3868</v>
      </c>
      <c r="F182" s="781">
        <f>+F39-BdV!H534</f>
        <v>0</v>
      </c>
      <c r="G182" s="781">
        <f>+G39-BdV!I534</f>
        <v>0</v>
      </c>
      <c r="H182" s="781">
        <f>+H39-BdV!J534</f>
        <v>0</v>
      </c>
    </row>
    <row r="183" spans="2:13">
      <c r="B183" s="906" t="s">
        <v>3869</v>
      </c>
      <c r="F183" s="781">
        <f>+F108-BdV!H603</f>
        <v>0</v>
      </c>
      <c r="G183" s="781">
        <f>+G108-BdV!I603</f>
        <v>0</v>
      </c>
      <c r="H183" s="781">
        <f>+H108-BdV!J603</f>
        <v>0</v>
      </c>
    </row>
    <row r="184" spans="2:13">
      <c r="B184" s="906" t="s">
        <v>3870</v>
      </c>
      <c r="F184" s="781">
        <f>+F121-BdV!H616</f>
        <v>0</v>
      </c>
      <c r="G184" s="781">
        <f>+G121-BdV!I616</f>
        <v>0</v>
      </c>
      <c r="H184" s="781">
        <f>+H121-BdV!J616</f>
        <v>0</v>
      </c>
    </row>
    <row r="185" spans="2:13">
      <c r="B185" s="906" t="s">
        <v>3871</v>
      </c>
      <c r="F185" s="781">
        <f>+F170-BdV!H699</f>
        <v>0</v>
      </c>
      <c r="G185" s="781">
        <f>+G170-BdV!I699</f>
        <v>0</v>
      </c>
      <c r="H185" s="781">
        <f>+H170-BdV!J699</f>
        <v>0</v>
      </c>
    </row>
    <row r="189" spans="2:13">
      <c r="B189" s="604" t="s">
        <v>3859</v>
      </c>
      <c r="C189" s="613">
        <f>+C157</f>
        <v>0</v>
      </c>
      <c r="D189" s="613">
        <f t="shared" ref="D189:G189" si="95">+D157</f>
        <v>9505.08</v>
      </c>
      <c r="E189" s="613">
        <f t="shared" si="95"/>
        <v>377275.64</v>
      </c>
      <c r="F189" s="613">
        <f t="shared" si="95"/>
        <v>298466.84000000003</v>
      </c>
      <c r="G189" s="613">
        <f t="shared" si="95"/>
        <v>544164.77</v>
      </c>
    </row>
    <row r="190" spans="2:13">
      <c r="B190" s="604" t="s">
        <v>4264</v>
      </c>
      <c r="C190" s="613">
        <f>+SP!C13*1000</f>
        <v>14317311.210000001</v>
      </c>
      <c r="D190" s="613">
        <f>+SP!D13*1000</f>
        <v>13154665.749999998</v>
      </c>
      <c r="E190" s="613">
        <f>+SP!E13*1000</f>
        <v>17593991.219999995</v>
      </c>
      <c r="F190" s="613">
        <f>+SP!F13*1000</f>
        <v>17572798.529999997</v>
      </c>
      <c r="G190" s="613">
        <f>+SP!I13*1000</f>
        <v>30513714.280000001</v>
      </c>
    </row>
    <row r="191" spans="2:13">
      <c r="B191" t="s">
        <v>4265</v>
      </c>
      <c r="C191" s="703">
        <f>+C189/C190</f>
        <v>0</v>
      </c>
      <c r="D191" s="703">
        <f t="shared" ref="D191:G191" si="96">+D189/D190</f>
        <v>7.2256339922586034E-4</v>
      </c>
      <c r="E191" s="703">
        <f t="shared" si="96"/>
        <v>2.144343686901079E-2</v>
      </c>
      <c r="F191" s="703">
        <f t="shared" si="96"/>
        <v>1.6984593517672342E-2</v>
      </c>
      <c r="G191" s="703">
        <f t="shared" si="96"/>
        <v>1.7833449084783133E-2</v>
      </c>
      <c r="H191" s="818">
        <f>+AVERAGE(C191:G191)</f>
        <v>1.1396808574138424E-2</v>
      </c>
      <c r="I191" s="3" t="s">
        <v>4269</v>
      </c>
    </row>
    <row r="194" spans="2:9">
      <c r="B194" s="604" t="s">
        <v>3860</v>
      </c>
      <c r="C194" s="613">
        <f>-C158</f>
        <v>0</v>
      </c>
      <c r="D194" s="613">
        <f t="shared" ref="D194:G194" si="97">-D158</f>
        <v>9505.08</v>
      </c>
      <c r="E194" s="613">
        <f t="shared" si="97"/>
        <v>192735</v>
      </c>
      <c r="F194" s="613">
        <f t="shared" si="97"/>
        <v>82574</v>
      </c>
      <c r="G194" s="613">
        <f t="shared" si="97"/>
        <v>82538</v>
      </c>
    </row>
    <row r="195" spans="2:9">
      <c r="B195" s="604" t="s">
        <v>4264</v>
      </c>
      <c r="C195" s="613">
        <f>+SP!C13*1000</f>
        <v>14317311.210000001</v>
      </c>
      <c r="D195" s="613">
        <f>+SP!D13*1000</f>
        <v>13154665.749999998</v>
      </c>
      <c r="E195" s="613">
        <f>+SP!E13*1000</f>
        <v>17593991.219999995</v>
      </c>
      <c r="F195" s="613">
        <f>+SP!F13*1000</f>
        <v>17572798.529999997</v>
      </c>
      <c r="G195" s="613">
        <f>+SP!I13*1000</f>
        <v>30513714.280000001</v>
      </c>
    </row>
    <row r="196" spans="2:9">
      <c r="B196" t="s">
        <v>4268</v>
      </c>
      <c r="C196" s="703">
        <f>+C194/C195</f>
        <v>0</v>
      </c>
      <c r="D196" s="703">
        <f>+D194/D195</f>
        <v>7.2256339922586034E-4</v>
      </c>
      <c r="E196" s="703">
        <f t="shared" ref="E196" si="98">+E194/E195</f>
        <v>1.0954592257662843E-2</v>
      </c>
      <c r="F196" s="703">
        <f t="shared" ref="F196" si="99">+F194/F195</f>
        <v>4.6989669777998651E-3</v>
      </c>
      <c r="G196" s="703">
        <f t="shared" ref="G196" si="100">+G194/G195</f>
        <v>2.7049476587024004E-3</v>
      </c>
      <c r="H196" s="818">
        <f>+AVERAGE(F196:G196,C196:D196)</f>
        <v>2.0316195089320312E-3</v>
      </c>
      <c r="I196" s="3" t="s">
        <v>4269</v>
      </c>
    </row>
  </sheetData>
  <autoFilter ref="B2:AA121"/>
  <mergeCells count="2">
    <mergeCell ref="T3:X3"/>
    <mergeCell ref="AC3:AG3"/>
  </mergeCells>
  <pageMargins left="0.7" right="0.7" top="0.75" bottom="0.75" header="0.3" footer="0.3"/>
  <pageSetup orientation="portrait" r:id="rId1"/>
  <ignoredErrors>
    <ignoredError sqref="I11 J11:M11 J47:M47 I91:M91 J108:M108 H121" formula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AH54"/>
  <sheetViews>
    <sheetView showGridLines="0" zoomScale="90" workbookViewId="0">
      <selection activeCell="H13" sqref="H13"/>
    </sheetView>
  </sheetViews>
  <sheetFormatPr defaultRowHeight="15"/>
  <cols>
    <col min="1" max="1" width="3.85546875" customWidth="1"/>
    <col min="2" max="2" width="31.5703125" bestFit="1" customWidth="1"/>
    <col min="3" max="6" width="10.28515625" bestFit="1" customWidth="1"/>
    <col min="7" max="7" width="10.28515625" customWidth="1"/>
    <col min="8" max="8" width="11.140625" bestFit="1" customWidth="1"/>
    <col min="9" max="9" width="11.140625" customWidth="1"/>
    <col min="10" max="14" width="11.140625" bestFit="1" customWidth="1"/>
    <col min="19" max="19" width="10.28515625" bestFit="1" customWidth="1"/>
    <col min="27" max="27" width="2.85546875" customWidth="1"/>
  </cols>
  <sheetData>
    <row r="2" spans="2:34">
      <c r="B2" s="597" t="s">
        <v>368</v>
      </c>
      <c r="C2" s="605"/>
      <c r="D2" s="605"/>
      <c r="E2" s="605"/>
      <c r="F2" s="605"/>
      <c r="G2" s="924"/>
      <c r="H2" s="605"/>
      <c r="I2" s="605"/>
      <c r="J2" s="597"/>
      <c r="K2" s="597"/>
      <c r="L2" s="597"/>
      <c r="M2" s="597"/>
      <c r="N2" s="597"/>
    </row>
    <row r="4" spans="2:34">
      <c r="B4" s="599" t="s">
        <v>2452</v>
      </c>
      <c r="C4" s="606">
        <v>2018</v>
      </c>
      <c r="D4" s="606">
        <f>+C4+1</f>
        <v>2019</v>
      </c>
      <c r="E4" s="606">
        <f t="shared" ref="E4:N4" si="0">+D4+1</f>
        <v>2020</v>
      </c>
      <c r="F4" s="606">
        <f t="shared" si="0"/>
        <v>2021</v>
      </c>
      <c r="G4" s="925" t="s">
        <v>3880</v>
      </c>
      <c r="H4" s="606">
        <f>+F4+1</f>
        <v>2022</v>
      </c>
      <c r="I4" s="1049">
        <v>45078</v>
      </c>
      <c r="J4" s="599">
        <f>+H4+1</f>
        <v>2023</v>
      </c>
      <c r="K4" s="599">
        <f t="shared" si="0"/>
        <v>2024</v>
      </c>
      <c r="L4" s="599">
        <f t="shared" si="0"/>
        <v>2025</v>
      </c>
      <c r="M4" s="599">
        <f t="shared" si="0"/>
        <v>2026</v>
      </c>
      <c r="N4" s="599">
        <f t="shared" si="0"/>
        <v>2027</v>
      </c>
      <c r="P4" s="607" t="s">
        <v>2492</v>
      </c>
      <c r="Q4" s="607" t="s">
        <v>2493</v>
      </c>
      <c r="R4" s="607" t="s">
        <v>2494</v>
      </c>
      <c r="S4" s="638" t="s">
        <v>2496</v>
      </c>
      <c r="U4" s="606">
        <v>2018</v>
      </c>
      <c r="V4" s="606">
        <f>+U4+1</f>
        <v>2019</v>
      </c>
      <c r="W4" s="606">
        <f t="shared" ref="W4:Y4" si="1">+V4+1</f>
        <v>2020</v>
      </c>
      <c r="X4" s="606">
        <f t="shared" si="1"/>
        <v>2021</v>
      </c>
      <c r="Y4" s="606">
        <f t="shared" si="1"/>
        <v>2022</v>
      </c>
      <c r="Z4" s="1049">
        <v>45078</v>
      </c>
      <c r="AB4" s="606" t="s">
        <v>2451</v>
      </c>
    </row>
    <row r="5" spans="2:34">
      <c r="B5" s="604" t="s">
        <v>2227</v>
      </c>
      <c r="C5" s="613">
        <f>+BdV!E618</f>
        <v>4060754.58</v>
      </c>
      <c r="D5" s="613">
        <f>+BdV!F618</f>
        <v>4431507.45</v>
      </c>
      <c r="E5" s="613">
        <f>+BdV!G618</f>
        <v>4572560.2300000004</v>
      </c>
      <c r="F5" s="613">
        <f>+BdV!H618</f>
        <v>5572148.3799999999</v>
      </c>
      <c r="G5" s="613">
        <f>6592537-G6</f>
        <v>5824103.7300000004</v>
      </c>
      <c r="H5" s="613">
        <f>+BdV!I618</f>
        <v>6507980.5700000003</v>
      </c>
      <c r="I5" s="613">
        <f>+BdV!J618</f>
        <v>3738937.41</v>
      </c>
      <c r="J5" s="609">
        <f>+J36*CE!L6*1000</f>
        <v>9672192.9668763448</v>
      </c>
      <c r="K5" s="609">
        <f>+K36*CE!M6*1000</f>
        <v>10279824.001545534</v>
      </c>
      <c r="L5" s="609">
        <f>+L36*CE!N6*1000</f>
        <v>10658909.772522427</v>
      </c>
      <c r="M5" s="609">
        <f>+M36*CE!O6*1000</f>
        <v>11130585.081211831</v>
      </c>
      <c r="N5" s="609">
        <f>+N36*CE!P6*1000</f>
        <v>11623132.843236074</v>
      </c>
      <c r="P5" s="608">
        <f t="shared" ref="P5:P19" si="2">IF(H5*C5&lt;=0,"n/a",IF(C5&gt;H5,-ABS((H5/C5)^(1/(4))-1),ABS((H5/C5)^(1/(4))-1)))</f>
        <v>0.12514857947157498</v>
      </c>
      <c r="Q5" s="608">
        <f t="shared" ref="Q5:Q19" si="3">IF(H5*E5&lt;=0,"n/a",IF(E5&gt;H5,-ABS((H5/E5)^(1/(2))-1),ABS((H5/E5)^(1/(2))-1)))</f>
        <v>0.19300813875914913</v>
      </c>
      <c r="R5" s="608">
        <f t="shared" ref="R5:R19" si="4">IF(F5*C5&lt;=0,"n/a",IF(C5&gt;F5,-ABS((F5/C5)^(1/(3))-1),ABS((F5/C5)^(1/(3))-1)))</f>
        <v>0.11123346032043457</v>
      </c>
      <c r="S5" s="608">
        <f t="shared" ref="S5:S19" si="5">IF(N5*H5&lt;=0,"n/a",IF(H5&gt;N5,-ABS((N5/H5)^(1/(5))-1),ABS((N5/H5)^(1/(5))-1)))</f>
        <v>0.12298871174161619</v>
      </c>
      <c r="U5" s="635">
        <f>+C5/Ricavi!C$12</f>
        <v>0.1564531820112903</v>
      </c>
      <c r="V5" s="635">
        <f>+D5/Ricavi!D$12</f>
        <v>0.17708348134804164</v>
      </c>
      <c r="W5" s="635">
        <f>+E5/Ricavi!E$12</f>
        <v>0.17031521868139465</v>
      </c>
      <c r="X5" s="635">
        <f>+F5/Ricavi!F$12</f>
        <v>0.17892448617593035</v>
      </c>
      <c r="Y5" s="635">
        <f>+H5/Ricavi!G$12</f>
        <v>0.12755507513743902</v>
      </c>
      <c r="Z5" s="635">
        <f>+I5/Ricavi!H$12</f>
        <v>0.14524518126050154</v>
      </c>
      <c r="AB5" s="635">
        <f t="shared" ref="AB5:AB19" si="6">+AVERAGE(U5:Y5)</f>
        <v>0.16206628867081921</v>
      </c>
      <c r="AD5" s="635">
        <f>+J5/Ricavi!J$12</f>
        <v>0.14807116559206313</v>
      </c>
      <c r="AE5" s="635">
        <f>+K5/Ricavi!K$12</f>
        <v>0.1480711655920631</v>
      </c>
      <c r="AF5" s="635">
        <f>+L5/Ricavi!L$12</f>
        <v>0.1480711655920631</v>
      </c>
      <c r="AG5" s="635">
        <f>+M5/Ricavi!M$12</f>
        <v>0.14807116559206313</v>
      </c>
      <c r="AH5" s="635">
        <f>+N5/Ricavi!N$12</f>
        <v>0.14807116559206307</v>
      </c>
    </row>
    <row r="6" spans="2:34">
      <c r="B6" s="604" t="s">
        <v>2228</v>
      </c>
      <c r="C6" s="613">
        <f>+BdV!E619</f>
        <v>536257.64</v>
      </c>
      <c r="D6" s="613">
        <f>+BdV!F619</f>
        <v>596665.31000000006</v>
      </c>
      <c r="E6" s="613">
        <f>+BdV!G619</f>
        <v>633168.91</v>
      </c>
      <c r="F6" s="613">
        <f>+BdV!H619</f>
        <v>768433.27</v>
      </c>
      <c r="G6" s="613">
        <f>+F6</f>
        <v>768433.27</v>
      </c>
      <c r="H6" s="613">
        <f>+BdV!I619</f>
        <v>864792.54</v>
      </c>
      <c r="I6" s="613">
        <f>+BdV!J619</f>
        <v>495458.9</v>
      </c>
      <c r="J6" s="609">
        <f>+J5*J39</f>
        <v>1302360.4400235738</v>
      </c>
      <c r="K6" s="609">
        <f t="shared" ref="K6:N6" si="7">+K5*K39</f>
        <v>1384177.9372957889</v>
      </c>
      <c r="L6" s="609">
        <f t="shared" si="7"/>
        <v>1435221.8229158239</v>
      </c>
      <c r="M6" s="609">
        <f t="shared" si="7"/>
        <v>1498732.8865057158</v>
      </c>
      <c r="N6" s="609">
        <f t="shared" si="7"/>
        <v>1565054.4251970269</v>
      </c>
      <c r="P6" s="608">
        <f t="shared" si="2"/>
        <v>0.12689800620130676</v>
      </c>
      <c r="Q6" s="608">
        <f t="shared" si="3"/>
        <v>0.16868151897350114</v>
      </c>
      <c r="R6" s="608">
        <f t="shared" si="4"/>
        <v>0.12739876756294466</v>
      </c>
      <c r="S6" s="608">
        <f t="shared" si="5"/>
        <v>0.12596139918595362</v>
      </c>
      <c r="U6" s="635">
        <f>+C6/Ricavi!C$12</f>
        <v>2.0660991080102407E-2</v>
      </c>
      <c r="V6" s="635">
        <f>+D6/Ricavi!D$12</f>
        <v>2.3842805520818539E-2</v>
      </c>
      <c r="W6" s="635">
        <f>+E6/Ricavi!E$12</f>
        <v>2.3583790249802852E-2</v>
      </c>
      <c r="X6" s="635">
        <f>+F6/Ricavi!F$12</f>
        <v>2.467477867042011E-2</v>
      </c>
      <c r="Y6" s="635">
        <f>+H6/Ricavi!G$12</f>
        <v>1.6949755186192378E-2</v>
      </c>
      <c r="Z6" s="635">
        <f>+I6/Ricavi!H$12</f>
        <v>1.9246916930237862E-2</v>
      </c>
      <c r="AB6" s="635">
        <f t="shared" si="6"/>
        <v>2.194242414146726E-2</v>
      </c>
      <c r="AD6" s="635">
        <f>+J6/Ricavi!J$12</f>
        <v>1.9937777196515294E-2</v>
      </c>
      <c r="AE6" s="635">
        <f>+K6/Ricavi!K$12</f>
        <v>1.993777719651529E-2</v>
      </c>
      <c r="AF6" s="635">
        <f>+L6/Ricavi!L$12</f>
        <v>1.993777719651529E-2</v>
      </c>
      <c r="AG6" s="635">
        <f>+M6/Ricavi!M$12</f>
        <v>1.9937777196515294E-2</v>
      </c>
      <c r="AH6" s="635">
        <f>+N6/Ricavi!N$12</f>
        <v>1.9937777196515283E-2</v>
      </c>
    </row>
    <row r="7" spans="2:34">
      <c r="B7" s="600" t="s">
        <v>2229</v>
      </c>
      <c r="C7" s="610">
        <f>+SUM(C5:C6)</f>
        <v>4597012.22</v>
      </c>
      <c r="D7" s="610">
        <f t="shared" ref="D7:N7" si="8">+SUM(D5:D6)</f>
        <v>5028172.76</v>
      </c>
      <c r="E7" s="610">
        <f t="shared" si="8"/>
        <v>5205729.1400000006</v>
      </c>
      <c r="F7" s="610">
        <f t="shared" si="8"/>
        <v>6340581.6500000004</v>
      </c>
      <c r="G7" s="610">
        <f t="shared" si="8"/>
        <v>6592537</v>
      </c>
      <c r="H7" s="610">
        <f t="shared" si="8"/>
        <v>7372773.1100000003</v>
      </c>
      <c r="I7" s="610">
        <f t="shared" ref="I7" si="9">+SUM(I5:I6)</f>
        <v>4234396.3100000005</v>
      </c>
      <c r="J7" s="610">
        <f t="shared" si="8"/>
        <v>10974553.406899918</v>
      </c>
      <c r="K7" s="610">
        <f t="shared" si="8"/>
        <v>11664001.938841322</v>
      </c>
      <c r="L7" s="610">
        <f t="shared" si="8"/>
        <v>12094131.595438251</v>
      </c>
      <c r="M7" s="610">
        <f t="shared" si="8"/>
        <v>12629317.967717547</v>
      </c>
      <c r="N7" s="610">
        <f t="shared" si="8"/>
        <v>13188187.268433101</v>
      </c>
      <c r="P7" s="608">
        <f t="shared" si="2"/>
        <v>0.12535307694663977</v>
      </c>
      <c r="Q7" s="608">
        <f t="shared" si="3"/>
        <v>0.19007587349029498</v>
      </c>
      <c r="R7" s="608">
        <f t="shared" si="4"/>
        <v>0.11314348058188539</v>
      </c>
      <c r="S7" s="608">
        <f>IF(N7*H7&lt;=0,"n/a",IF(H7&gt;N7,-ABS((N7/H7)^(1/(5))-1),ABS((N7/H7)^(1/(5))-1)))</f>
        <v>0.12333902664741347</v>
      </c>
      <c r="U7" s="635">
        <f>+C7/Ricavi!C$12</f>
        <v>0.17711417309139268</v>
      </c>
      <c r="V7" s="635">
        <f>+D7/Ricavi!D$12</f>
        <v>0.20092628686886016</v>
      </c>
      <c r="W7" s="635">
        <f>+E7/Ricavi!E$12</f>
        <v>0.19389900893119752</v>
      </c>
      <c r="X7" s="635">
        <f>+F7/Ricavi!F$12</f>
        <v>0.20359926484635046</v>
      </c>
      <c r="Y7" s="635">
        <f>+H7/Ricavi!G$12</f>
        <v>0.1445048303236314</v>
      </c>
      <c r="Z7" s="635">
        <f>+I7/Ricavi!H$12</f>
        <v>0.1644920981907394</v>
      </c>
      <c r="AB7" s="635">
        <f t="shared" si="6"/>
        <v>0.18400871281228642</v>
      </c>
    </row>
    <row r="8" spans="2:34">
      <c r="B8" s="604" t="s">
        <v>2230</v>
      </c>
      <c r="C8" s="613">
        <f>+BdV!E621</f>
        <v>1221002.6299999999</v>
      </c>
      <c r="D8" s="613">
        <f>+BdV!F621</f>
        <v>1360151.8</v>
      </c>
      <c r="E8" s="613">
        <f>+BdV!G621</f>
        <v>1401557.23</v>
      </c>
      <c r="F8" s="613">
        <f>+BdV!H621</f>
        <v>1740246.08</v>
      </c>
      <c r="G8" s="613">
        <f>2528396-G9-G10-G11</f>
        <v>1831472.9399999997</v>
      </c>
      <c r="H8" s="613">
        <f>+BdV!I621</f>
        <v>1976563.85</v>
      </c>
      <c r="I8" s="613">
        <f>+BdV!J621</f>
        <v>1178538.8700000001</v>
      </c>
      <c r="J8" s="609">
        <f>+J$7*J25</f>
        <v>2958517.578010228</v>
      </c>
      <c r="K8" s="609">
        <f>+K$7*K25</f>
        <v>3144378.9543464677</v>
      </c>
      <c r="L8" s="609">
        <f t="shared" ref="L8:N8" si="10">+L$7*L25</f>
        <v>3260333.2080353191</v>
      </c>
      <c r="M8" s="609">
        <f t="shared" si="10"/>
        <v>3404608.6269242857</v>
      </c>
      <c r="N8" s="609">
        <f t="shared" si="10"/>
        <v>3555268.4842026429</v>
      </c>
      <c r="P8" s="608">
        <f t="shared" si="2"/>
        <v>0.12797263121958125</v>
      </c>
      <c r="Q8" s="608">
        <f t="shared" si="3"/>
        <v>0.18754481017793645</v>
      </c>
      <c r="R8" s="608">
        <f t="shared" si="4"/>
        <v>0.12537696531020104</v>
      </c>
      <c r="S8" s="608">
        <f t="shared" si="5"/>
        <v>0.12458506343065978</v>
      </c>
      <c r="U8" s="635">
        <f>+C8/Ricavi!C$12</f>
        <v>4.704291848823184E-2</v>
      </c>
      <c r="V8" s="635">
        <f>+D8/Ricavi!D$12</f>
        <v>5.4351802095200193E-2</v>
      </c>
      <c r="W8" s="635">
        <f>+E8/Ricavi!E$12</f>
        <v>5.2204129440617503E-2</v>
      </c>
      <c r="X8" s="635">
        <f>+F8/Ricavi!F$12</f>
        <v>5.5880176630127176E-2</v>
      </c>
      <c r="Y8" s="635">
        <f>+H8/Ricavi!G$12</f>
        <v>3.8740243258085776E-2</v>
      </c>
      <c r="Z8" s="635">
        <f>+I8/Ricavi!H$12</f>
        <v>4.5782283313401777E-2</v>
      </c>
      <c r="AB8" s="635">
        <f t="shared" si="6"/>
        <v>4.9643853982452503E-2</v>
      </c>
      <c r="AD8" s="635">
        <f>+J8/Ricavi!J$12</f>
        <v>4.529181207414E-2</v>
      </c>
      <c r="AE8" s="635">
        <f>+K8/Ricavi!K$12</f>
        <v>4.5291812074139987E-2</v>
      </c>
      <c r="AF8" s="635">
        <f>+L8/Ricavi!L$12</f>
        <v>4.5291812074139993E-2</v>
      </c>
      <c r="AG8" s="635">
        <f>+M8/Ricavi!M$12</f>
        <v>4.529181207414E-2</v>
      </c>
      <c r="AH8" s="635">
        <f>+N8/Ricavi!N$12</f>
        <v>4.5291812074139987E-2</v>
      </c>
    </row>
    <row r="9" spans="2:34">
      <c r="B9" s="604" t="s">
        <v>2231</v>
      </c>
      <c r="C9" s="613">
        <f>+BdV!E622</f>
        <v>157567.59</v>
      </c>
      <c r="D9" s="613">
        <f>+BdV!F622</f>
        <v>185379.52</v>
      </c>
      <c r="E9" s="613">
        <f>+BdV!G622</f>
        <v>180707.96</v>
      </c>
      <c r="F9" s="613">
        <f>+BdV!H622</f>
        <v>208623.49</v>
      </c>
      <c r="G9" s="613">
        <f>+F9</f>
        <v>208623.49</v>
      </c>
      <c r="H9" s="613">
        <f>+BdV!I622</f>
        <v>239985.63</v>
      </c>
      <c r="I9" s="613">
        <f>+BdV!J622</f>
        <v>131466.07999999999</v>
      </c>
      <c r="J9" s="609">
        <f>+J$7*J26</f>
        <v>376011.65890901699</v>
      </c>
      <c r="K9" s="609">
        <f t="shared" ref="K9:N11" si="11">+K$7*K26</f>
        <v>399633.63937745994</v>
      </c>
      <c r="L9" s="609">
        <f t="shared" si="11"/>
        <v>414370.80085696874</v>
      </c>
      <c r="M9" s="609">
        <f t="shared" si="11"/>
        <v>432707.42998483061</v>
      </c>
      <c r="N9" s="609">
        <f t="shared" si="11"/>
        <v>451855.48686551041</v>
      </c>
      <c r="P9" s="608">
        <f t="shared" si="2"/>
        <v>0.11091181644505022</v>
      </c>
      <c r="Q9" s="608">
        <f t="shared" si="3"/>
        <v>0.15240193058959517</v>
      </c>
      <c r="R9" s="608">
        <f t="shared" si="4"/>
        <v>9.8075254286708491E-2</v>
      </c>
      <c r="S9" s="608">
        <f t="shared" si="5"/>
        <v>0.13491376783069775</v>
      </c>
      <c r="U9" s="635">
        <f>+C9/Ricavi!C$12</f>
        <v>6.0707807752692026E-3</v>
      </c>
      <c r="V9" s="635">
        <f>+D9/Ricavi!D$12</f>
        <v>7.4077841778713268E-3</v>
      </c>
      <c r="W9" s="635">
        <f>+E9/Ricavi!E$12</f>
        <v>6.7308715854506561E-3</v>
      </c>
      <c r="X9" s="635">
        <f>+F9/Ricavi!F$12</f>
        <v>6.6990051604618869E-3</v>
      </c>
      <c r="Y9" s="635">
        <f>+H9/Ricavi!G$12</f>
        <v>4.7036687859311841E-3</v>
      </c>
      <c r="Z9" s="635">
        <f>+I9/Ricavi!H$12</f>
        <v>5.1070163860292041E-3</v>
      </c>
      <c r="AB9" s="635">
        <f t="shared" si="6"/>
        <v>6.3224220969968518E-3</v>
      </c>
      <c r="AD9" s="635">
        <f>+J9/Ricavi!J$12</f>
        <v>5.7563455155965788E-3</v>
      </c>
      <c r="AE9" s="635">
        <f>+K9/Ricavi!K$12</f>
        <v>5.756345515596578E-3</v>
      </c>
      <c r="AF9" s="635">
        <f>+L9/Ricavi!L$12</f>
        <v>5.756345515596578E-3</v>
      </c>
      <c r="AG9" s="635">
        <f>+M9/Ricavi!M$12</f>
        <v>5.7563455155965797E-3</v>
      </c>
      <c r="AH9" s="635">
        <f>+N9/Ricavi!N$12</f>
        <v>5.756345515596578E-3</v>
      </c>
    </row>
    <row r="10" spans="2:34">
      <c r="B10" s="604" t="s">
        <v>2232</v>
      </c>
      <c r="C10" s="613">
        <f>+BdV!E623</f>
        <v>361003</v>
      </c>
      <c r="D10" s="613">
        <f>+BdV!F623</f>
        <v>319767.59000000003</v>
      </c>
      <c r="E10" s="613">
        <f>+BdV!G623</f>
        <v>325497</v>
      </c>
      <c r="F10" s="613">
        <f>+BdV!H623</f>
        <v>484523.99</v>
      </c>
      <c r="G10" s="613">
        <f>+F10</f>
        <v>484523.99</v>
      </c>
      <c r="H10" s="613">
        <f>+BdV!I623</f>
        <v>605638.06999999995</v>
      </c>
      <c r="I10" s="613">
        <f>+BdV!J623</f>
        <v>371914.17</v>
      </c>
      <c r="J10" s="609">
        <f>+J$7*J27</f>
        <v>797220.85406672442</v>
      </c>
      <c r="K10" s="609">
        <f t="shared" si="11"/>
        <v>847304.2357853651</v>
      </c>
      <c r="L10" s="609">
        <f t="shared" si="11"/>
        <v>878550.00219404977</v>
      </c>
      <c r="M10" s="609">
        <f t="shared" si="11"/>
        <v>917427.36885984254</v>
      </c>
      <c r="N10" s="609">
        <f t="shared" si="11"/>
        <v>958025.12666454783</v>
      </c>
      <c r="P10" s="608">
        <f t="shared" si="2"/>
        <v>0.13808733121164019</v>
      </c>
      <c r="Q10" s="608">
        <f t="shared" si="3"/>
        <v>0.36405878937001113</v>
      </c>
      <c r="R10" s="608">
        <f t="shared" si="4"/>
        <v>0.10306598185510185</v>
      </c>
      <c r="S10" s="608">
        <f t="shared" si="5"/>
        <v>9.6056006992685461E-2</v>
      </c>
      <c r="U10" s="635">
        <f>+C10/Ricavi!C$12</f>
        <v>1.3908761771469044E-2</v>
      </c>
      <c r="V10" s="635">
        <f>+D10/Ricavi!D$12</f>
        <v>1.2777944908898491E-2</v>
      </c>
      <c r="W10" s="635">
        <f>+E10/Ricavi!E$12</f>
        <v>1.2123862769794049E-2</v>
      </c>
      <c r="X10" s="635">
        <f>+F10/Ricavi!F$12</f>
        <v>1.5558308939120824E-2</v>
      </c>
      <c r="Y10" s="635">
        <f>+H10/Ricavi!G$12</f>
        <v>1.1870381095028922E-2</v>
      </c>
      <c r="Z10" s="635">
        <f>+I10/Ricavi!H$12</f>
        <v>1.4447618430445718E-2</v>
      </c>
      <c r="AB10" s="635">
        <f t="shared" si="6"/>
        <v>1.3247851896862266E-2</v>
      </c>
      <c r="AD10" s="635">
        <f>+J10/Ricavi!J$12</f>
        <v>1.2204618073711052E-2</v>
      </c>
      <c r="AE10" s="635">
        <f>+K10/Ricavi!K$12</f>
        <v>1.220461807371105E-2</v>
      </c>
      <c r="AF10" s="635">
        <f>+L10/Ricavi!L$12</f>
        <v>1.2204618073711048E-2</v>
      </c>
      <c r="AG10" s="635">
        <f>+M10/Ricavi!M$12</f>
        <v>1.2204618073711053E-2</v>
      </c>
      <c r="AH10" s="635">
        <f>+N10/Ricavi!N$12</f>
        <v>1.2204618073711048E-2</v>
      </c>
    </row>
    <row r="11" spans="2:34">
      <c r="B11" s="604" t="s">
        <v>2233</v>
      </c>
      <c r="C11" s="613">
        <f>+BdV!E624</f>
        <v>0</v>
      </c>
      <c r="D11" s="613">
        <f>+BdV!F624</f>
        <v>2308.77</v>
      </c>
      <c r="E11" s="613">
        <f>+BdV!G624</f>
        <v>3266.87</v>
      </c>
      <c r="F11" s="613">
        <f>+BdV!H624</f>
        <v>3775.58</v>
      </c>
      <c r="G11" s="613">
        <f>+F11</f>
        <v>3775.58</v>
      </c>
      <c r="H11" s="613">
        <f>+BdV!I624</f>
        <v>4662.0600000000004</v>
      </c>
      <c r="I11" s="613">
        <f>+BdV!J624</f>
        <v>2680.4</v>
      </c>
      <c r="J11" s="609">
        <f>+J$7*J28</f>
        <v>5080.1580945391888</v>
      </c>
      <c r="K11" s="609">
        <f t="shared" si="11"/>
        <v>5399.3061646655042</v>
      </c>
      <c r="L11" s="609">
        <f t="shared" si="11"/>
        <v>5598.4146454979382</v>
      </c>
      <c r="M11" s="609">
        <f t="shared" si="11"/>
        <v>5846.1542372987615</v>
      </c>
      <c r="N11" s="609">
        <f t="shared" si="11"/>
        <v>6104.8567372141169</v>
      </c>
      <c r="P11" s="608" t="str">
        <f t="shared" si="2"/>
        <v>n/a</v>
      </c>
      <c r="Q11" s="608">
        <f t="shared" si="3"/>
        <v>0.19460135464266681</v>
      </c>
      <c r="R11" s="608" t="str">
        <f t="shared" si="4"/>
        <v>n/a</v>
      </c>
      <c r="S11" s="608">
        <f t="shared" si="5"/>
        <v>5.5405914547567825E-2</v>
      </c>
      <c r="U11" s="635">
        <f>+C11/Ricavi!C$12</f>
        <v>0</v>
      </c>
      <c r="V11" s="635">
        <f>+D11/Ricavi!D$12</f>
        <v>9.2258680335044482E-5</v>
      </c>
      <c r="W11" s="635">
        <f>+E11/Ricavi!E$12</f>
        <v>1.2168186977685535E-4</v>
      </c>
      <c r="X11" s="635">
        <f>+F11/Ricavi!F$12</f>
        <v>1.2123577217376956E-4</v>
      </c>
      <c r="Y11" s="635">
        <f>+H11/Ricavi!G$12</f>
        <v>9.1375413186774304E-5</v>
      </c>
      <c r="Z11" s="635">
        <f>+I11/Ricavi!H$12</f>
        <v>1.0412455228841295E-4</v>
      </c>
      <c r="AB11" s="635">
        <f t="shared" si="6"/>
        <v>8.5310347094488725E-5</v>
      </c>
      <c r="AD11" s="635">
        <f>+J11/Ricavi!J$12</f>
        <v>7.7771910985074646E-5</v>
      </c>
      <c r="AE11" s="635">
        <f>+K11/Ricavi!K$12</f>
        <v>7.7771910985074632E-5</v>
      </c>
      <c r="AF11" s="635">
        <f>+L11/Ricavi!L$12</f>
        <v>7.7771910985074646E-5</v>
      </c>
      <c r="AG11" s="635">
        <f>+M11/Ricavi!M$12</f>
        <v>7.7771910985074646E-5</v>
      </c>
      <c r="AH11" s="635">
        <f>+N11/Ricavi!N$12</f>
        <v>7.7771910985074632E-5</v>
      </c>
    </row>
    <row r="12" spans="2:34">
      <c r="B12" s="600" t="s">
        <v>2234</v>
      </c>
      <c r="C12" s="610">
        <f>+SUM(C8:C11)</f>
        <v>1739573.22</v>
      </c>
      <c r="D12" s="610">
        <f t="shared" ref="D12:N12" si="12">+SUM(D8:D11)</f>
        <v>1867607.6800000002</v>
      </c>
      <c r="E12" s="610">
        <f t="shared" si="12"/>
        <v>1911029.06</v>
      </c>
      <c r="F12" s="610">
        <f t="shared" si="12"/>
        <v>2437169.14</v>
      </c>
      <c r="G12" s="610">
        <f t="shared" si="12"/>
        <v>2528396</v>
      </c>
      <c r="H12" s="610">
        <f t="shared" si="12"/>
        <v>2826849.61</v>
      </c>
      <c r="I12" s="610">
        <f t="shared" ref="I12" si="13">+SUM(I8:I11)</f>
        <v>1684599.52</v>
      </c>
      <c r="J12" s="610">
        <f t="shared" si="12"/>
        <v>4136830.2490805085</v>
      </c>
      <c r="K12" s="610">
        <f t="shared" si="12"/>
        <v>4396716.1356739579</v>
      </c>
      <c r="L12" s="610">
        <f t="shared" si="12"/>
        <v>4558852.425731835</v>
      </c>
      <c r="M12" s="610">
        <f t="shared" si="12"/>
        <v>4760589.5800062586</v>
      </c>
      <c r="N12" s="610">
        <f t="shared" si="12"/>
        <v>4971253.9544699155</v>
      </c>
      <c r="P12" s="608">
        <f t="shared" si="2"/>
        <v>0.12905473852409655</v>
      </c>
      <c r="Q12" s="608">
        <f t="shared" si="3"/>
        <v>0.21623558672233911</v>
      </c>
      <c r="R12" s="608">
        <f t="shared" si="4"/>
        <v>0.11895937431308323</v>
      </c>
      <c r="S12" s="608">
        <f t="shared" si="5"/>
        <v>0.11952204276086342</v>
      </c>
      <c r="U12" s="635">
        <f>+C12/Ricavi!C$12</f>
        <v>6.7022461034970088E-2</v>
      </c>
      <c r="V12" s="635">
        <f>+D12/Ricavi!D$12</f>
        <v>7.4629789862305063E-2</v>
      </c>
      <c r="W12" s="635">
        <f>+E12/Ricavi!E$12</f>
        <v>7.1180545665639069E-2</v>
      </c>
      <c r="X12" s="635">
        <f>+F12/Ricavi!F$12</f>
        <v>7.825872650188366E-2</v>
      </c>
      <c r="Y12" s="635">
        <f>+H12/Ricavi!G$12</f>
        <v>5.5405668552232654E-2</v>
      </c>
      <c r="Z12" s="635">
        <f>+I12/Ricavi!H$12</f>
        <v>6.5441042682165107E-2</v>
      </c>
      <c r="AB12" s="635">
        <f t="shared" si="6"/>
        <v>6.9299438323406098E-2</v>
      </c>
    </row>
    <row r="13" spans="2:34">
      <c r="B13" s="604" t="s">
        <v>2235</v>
      </c>
      <c r="C13" s="613">
        <f>+BdV!E626</f>
        <v>298606.05</v>
      </c>
      <c r="D13" s="613">
        <f>+BdV!F626</f>
        <v>325959.40000000002</v>
      </c>
      <c r="E13" s="613">
        <f>+BdV!G626</f>
        <v>346566.52</v>
      </c>
      <c r="F13" s="613">
        <f>+BdV!H626</f>
        <v>401329.54</v>
      </c>
      <c r="G13" s="613">
        <f>+F13</f>
        <v>401329.54</v>
      </c>
      <c r="H13" s="613">
        <f>+BdV!I626</f>
        <v>545778.51</v>
      </c>
      <c r="I13" s="613">
        <f>+BdV!J626</f>
        <v>250193.97</v>
      </c>
      <c r="J13" s="609">
        <f>+J$7*J29</f>
        <v>732395.20582308085</v>
      </c>
      <c r="K13" s="609">
        <f t="shared" ref="K13:N14" si="14">+K$7*K29</f>
        <v>778406.08031918341</v>
      </c>
      <c r="L13" s="609">
        <f t="shared" si="14"/>
        <v>807111.11155770801</v>
      </c>
      <c r="M13" s="609">
        <f t="shared" si="14"/>
        <v>842827.18297732167</v>
      </c>
      <c r="N13" s="609">
        <f t="shared" si="14"/>
        <v>880123.75271914154</v>
      </c>
      <c r="P13" s="608">
        <f t="shared" si="2"/>
        <v>0.16273155064535239</v>
      </c>
      <c r="Q13" s="608">
        <f t="shared" si="3"/>
        <v>0.25491674092770977</v>
      </c>
      <c r="R13" s="608">
        <f t="shared" si="4"/>
        <v>0.10357242841657199</v>
      </c>
      <c r="S13" s="608">
        <f t="shared" si="5"/>
        <v>0.10028568345256805</v>
      </c>
      <c r="U13" s="635">
        <f>+C13/Ricavi!C$12</f>
        <v>1.1504725481420857E-2</v>
      </c>
      <c r="V13" s="635">
        <f>+D13/Ricavi!D$12</f>
        <v>1.3025370256371531E-2</v>
      </c>
      <c r="W13" s="635">
        <f>+E13/Ricavi!E$12</f>
        <v>1.2908644101435912E-2</v>
      </c>
      <c r="X13" s="635">
        <f>+F13/Ricavi!F$12</f>
        <v>1.2886893319183737E-2</v>
      </c>
      <c r="Y13" s="635">
        <f>+H13/Ricavi!G$12</f>
        <v>1.0697146081284246E-2</v>
      </c>
      <c r="Z13" s="635">
        <f>+I13/Ricavi!H$12</f>
        <v>9.7191968032795933E-3</v>
      </c>
      <c r="AB13" s="635">
        <f t="shared" si="6"/>
        <v>1.2204555847939256E-2</v>
      </c>
      <c r="AD13" s="635">
        <f>+J13/Ricavi!J$12</f>
        <v>1.1212205150543603E-2</v>
      </c>
      <c r="AE13" s="635">
        <f>+K13/Ricavi!K$12</f>
        <v>1.1212205150543603E-2</v>
      </c>
      <c r="AF13" s="635">
        <f>+L13/Ricavi!L$12</f>
        <v>1.1212205150543603E-2</v>
      </c>
      <c r="AG13" s="635">
        <f>+M13/Ricavi!M$12</f>
        <v>1.1212205150543603E-2</v>
      </c>
      <c r="AH13" s="635">
        <f>+N13/Ricavi!N$12</f>
        <v>1.12122051505436E-2</v>
      </c>
    </row>
    <row r="14" spans="2:34">
      <c r="B14" s="604" t="s">
        <v>2236</v>
      </c>
      <c r="C14" s="613">
        <f>+BdV!E627</f>
        <v>10098.44</v>
      </c>
      <c r="D14" s="613">
        <f>+BdV!F627</f>
        <v>13946.15</v>
      </c>
      <c r="E14" s="613">
        <f>+BdV!G627</f>
        <v>24259.42</v>
      </c>
      <c r="F14" s="613">
        <f>+BdV!H627</f>
        <v>48876.37</v>
      </c>
      <c r="G14" s="613">
        <f>+F14</f>
        <v>48876.37</v>
      </c>
      <c r="H14" s="613">
        <f>+BdV!I627</f>
        <v>48271.63</v>
      </c>
      <c r="I14" s="613">
        <f>+BdV!J627</f>
        <v>25721.24</v>
      </c>
      <c r="J14" s="609">
        <f>+J$7*J30</f>
        <v>52428.213225781888</v>
      </c>
      <c r="K14" s="609">
        <f t="shared" si="14"/>
        <v>55721.882981682858</v>
      </c>
      <c r="L14" s="609">
        <f t="shared" si="14"/>
        <v>57776.720979611586</v>
      </c>
      <c r="M14" s="609">
        <f t="shared" si="14"/>
        <v>60333.441440213697</v>
      </c>
      <c r="N14" s="609">
        <f t="shared" si="14"/>
        <v>63003.301231030964</v>
      </c>
      <c r="P14" s="608">
        <f t="shared" si="2"/>
        <v>0.47862967744579676</v>
      </c>
      <c r="Q14" s="608">
        <f t="shared" si="3"/>
        <v>0.41060615752320784</v>
      </c>
      <c r="R14" s="608">
        <f t="shared" si="4"/>
        <v>0.69153719334497299</v>
      </c>
      <c r="S14" s="608">
        <f t="shared" si="5"/>
        <v>5.4712925748469976E-2</v>
      </c>
      <c r="U14" s="635">
        <f>+C14/Ricavi!C$12</f>
        <v>3.8907376454897565E-4</v>
      </c>
      <c r="V14" s="635">
        <f>+D14/Ricavi!D$12</f>
        <v>5.5728955017372048E-4</v>
      </c>
      <c r="W14" s="635">
        <f>+E14/Ricavi!E$12</f>
        <v>9.0359628185450902E-4</v>
      </c>
      <c r="X14" s="635">
        <f>+F14/Ricavi!F$12</f>
        <v>1.569444815896065E-3</v>
      </c>
      <c r="Y14" s="635">
        <f>+H14/Ricavi!G$12</f>
        <v>9.4611397889540023E-4</v>
      </c>
      <c r="Z14" s="635">
        <f>+I14/Ricavi!H$12</f>
        <v>9.9918392751187097E-4</v>
      </c>
      <c r="AB14" s="635">
        <f t="shared" si="6"/>
        <v>8.7310367827373413E-4</v>
      </c>
      <c r="AD14" s="635">
        <f>+J14/Ricavi!J$12</f>
        <v>8.0262115001597783E-4</v>
      </c>
      <c r="AE14" s="635">
        <f>+K14/Ricavi!K$12</f>
        <v>8.0262115001597761E-4</v>
      </c>
      <c r="AF14" s="635">
        <f>+L14/Ricavi!L$12</f>
        <v>8.0262115001597761E-4</v>
      </c>
      <c r="AG14" s="635">
        <f>+M14/Ricavi!M$12</f>
        <v>8.0262115001597783E-4</v>
      </c>
      <c r="AH14" s="635">
        <f>+N14/Ricavi!N$12</f>
        <v>8.0262115001597761E-4</v>
      </c>
    </row>
    <row r="15" spans="2:34">
      <c r="B15" s="600" t="s">
        <v>2237</v>
      </c>
      <c r="C15" s="610">
        <f>+SUM(C13:C14)</f>
        <v>308704.49</v>
      </c>
      <c r="D15" s="610">
        <f t="shared" ref="D15:N15" si="15">+SUM(D13:D14)</f>
        <v>339905.55000000005</v>
      </c>
      <c r="E15" s="610">
        <f t="shared" si="15"/>
        <v>370825.94</v>
      </c>
      <c r="F15" s="610">
        <f t="shared" si="15"/>
        <v>450205.91</v>
      </c>
      <c r="G15" s="610">
        <f t="shared" si="15"/>
        <v>450205.91</v>
      </c>
      <c r="H15" s="610">
        <f t="shared" si="15"/>
        <v>594050.14</v>
      </c>
      <c r="I15" s="610">
        <f t="shared" ref="I15" si="16">+SUM(I13:I14)</f>
        <v>275915.21000000002</v>
      </c>
      <c r="J15" s="610">
        <f t="shared" si="15"/>
        <v>784823.41904886276</v>
      </c>
      <c r="K15" s="610">
        <f t="shared" si="15"/>
        <v>834127.96330086631</v>
      </c>
      <c r="L15" s="610">
        <f t="shared" si="15"/>
        <v>864887.83253731963</v>
      </c>
      <c r="M15" s="610">
        <f t="shared" si="15"/>
        <v>903160.62441753538</v>
      </c>
      <c r="N15" s="610">
        <f t="shared" si="15"/>
        <v>943127.0539501725</v>
      </c>
      <c r="P15" s="608">
        <f t="shared" si="2"/>
        <v>0.17779590249788302</v>
      </c>
      <c r="Q15" s="608">
        <f t="shared" si="3"/>
        <v>0.26568752079570057</v>
      </c>
      <c r="R15" s="608">
        <f t="shared" si="4"/>
        <v>0.13402531256139461</v>
      </c>
      <c r="S15" s="608">
        <f t="shared" si="5"/>
        <v>9.6855507036752053E-2</v>
      </c>
      <c r="U15" s="635">
        <f>+C15/Ricavi!C$12</f>
        <v>1.1893799245969833E-2</v>
      </c>
      <c r="V15" s="635">
        <f>+D15/Ricavi!D$12</f>
        <v>1.3582659806545253E-2</v>
      </c>
      <c r="W15" s="635">
        <f>+E15/Ricavi!E$12</f>
        <v>1.381224038329042E-2</v>
      </c>
      <c r="X15" s="635">
        <f>+F15/Ricavi!F$12</f>
        <v>1.4456338135079802E-2</v>
      </c>
      <c r="Y15" s="635">
        <f>+H15/Ricavi!G$12</f>
        <v>1.1643260060179645E-2</v>
      </c>
      <c r="Z15" s="635">
        <f>+I15/Ricavi!H$12</f>
        <v>1.0718380730791465E-2</v>
      </c>
      <c r="AB15" s="635">
        <f t="shared" si="6"/>
        <v>1.307765952621299E-2</v>
      </c>
    </row>
    <row r="16" spans="2:34">
      <c r="B16" s="604" t="s">
        <v>2238</v>
      </c>
      <c r="C16" s="613">
        <f>+BdV!E629</f>
        <v>17549.68</v>
      </c>
      <c r="D16" s="613">
        <f>+BdV!F629</f>
        <v>20383.64</v>
      </c>
      <c r="E16" s="613">
        <f>+BdV!G629</f>
        <v>25288.55</v>
      </c>
      <c r="F16" s="613">
        <f>+BdV!H629</f>
        <v>30947.32</v>
      </c>
      <c r="G16" s="613">
        <f>+F16</f>
        <v>30947.32</v>
      </c>
      <c r="H16" s="613">
        <f>+BdV!I629</f>
        <v>35707.24</v>
      </c>
      <c r="I16" s="613">
        <f>+BdV!J629</f>
        <v>21309.02</v>
      </c>
      <c r="J16" s="609">
        <f>+J$7*J31</f>
        <v>49282.986184872221</v>
      </c>
      <c r="K16" s="609">
        <f t="shared" ref="K16:N16" si="17">+K$7*K31</f>
        <v>52379.065015149354</v>
      </c>
      <c r="L16" s="609">
        <f t="shared" si="17"/>
        <v>54310.63098761459</v>
      </c>
      <c r="M16" s="609">
        <f t="shared" si="17"/>
        <v>56713.970933528886</v>
      </c>
      <c r="N16" s="609">
        <f t="shared" si="17"/>
        <v>59223.662854932925</v>
      </c>
      <c r="P16" s="608">
        <f t="shared" si="2"/>
        <v>0.19432292912250126</v>
      </c>
      <c r="Q16" s="608">
        <f t="shared" si="3"/>
        <v>0.18827285751420275</v>
      </c>
      <c r="R16" s="608">
        <f t="shared" si="4"/>
        <v>0.20814190381517839</v>
      </c>
      <c r="S16" s="608">
        <f t="shared" si="5"/>
        <v>0.10649077194464396</v>
      </c>
      <c r="U16" s="635">
        <f>+C16/Ricavi!C$12</f>
        <v>6.7615592747294296E-4</v>
      </c>
      <c r="V16" s="635">
        <f>+D16/Ricavi!D$12</f>
        <v>8.145322950422199E-4</v>
      </c>
      <c r="W16" s="635">
        <f>+E16/Ricavi!E$12</f>
        <v>9.4192852728926929E-4</v>
      </c>
      <c r="X16" s="635">
        <f>+F16/Ricavi!F$12</f>
        <v>9.9373400561204948E-4</v>
      </c>
      <c r="Y16" s="635">
        <f>+H16/Ricavi!G$12</f>
        <v>6.998545297056053E-4</v>
      </c>
      <c r="Z16" s="635">
        <f>+I16/Ricavi!H$12</f>
        <v>8.2778397522938272E-4</v>
      </c>
      <c r="AB16" s="635">
        <f t="shared" si="6"/>
        <v>8.2524105702441752E-4</v>
      </c>
      <c r="AD16" s="635">
        <f>+J16/Ricavi!J$12</f>
        <v>7.5447101120112178E-4</v>
      </c>
      <c r="AE16" s="635">
        <f>+K16/Ricavi!K$12</f>
        <v>7.5447101120112157E-4</v>
      </c>
      <c r="AF16" s="635">
        <f>+L16/Ricavi!L$12</f>
        <v>7.5447101120112168E-4</v>
      </c>
      <c r="AG16" s="635">
        <f>+M16/Ricavi!M$12</f>
        <v>7.5447101120112178E-4</v>
      </c>
      <c r="AH16" s="635">
        <f>+N16/Ricavi!N$12</f>
        <v>7.5447101120112157E-4</v>
      </c>
    </row>
    <row r="17" spans="2:34">
      <c r="B17" s="600" t="s">
        <v>2239</v>
      </c>
      <c r="C17" s="610">
        <f>+C16</f>
        <v>17549.68</v>
      </c>
      <c r="D17" s="610">
        <f t="shared" ref="D17:N17" si="18">+D16</f>
        <v>20383.64</v>
      </c>
      <c r="E17" s="610">
        <f t="shared" si="18"/>
        <v>25288.55</v>
      </c>
      <c r="F17" s="610">
        <f t="shared" si="18"/>
        <v>30947.32</v>
      </c>
      <c r="G17" s="610">
        <f t="shared" si="18"/>
        <v>30947.32</v>
      </c>
      <c r="H17" s="610">
        <f t="shared" si="18"/>
        <v>35707.24</v>
      </c>
      <c r="I17" s="610">
        <f t="shared" ref="I17" si="19">+I16</f>
        <v>21309.02</v>
      </c>
      <c r="J17" s="610">
        <f t="shared" si="18"/>
        <v>49282.986184872221</v>
      </c>
      <c r="K17" s="610">
        <f t="shared" si="18"/>
        <v>52379.065015149354</v>
      </c>
      <c r="L17" s="610">
        <f t="shared" si="18"/>
        <v>54310.63098761459</v>
      </c>
      <c r="M17" s="610">
        <f t="shared" si="18"/>
        <v>56713.970933528886</v>
      </c>
      <c r="N17" s="610">
        <f t="shared" si="18"/>
        <v>59223.662854932925</v>
      </c>
      <c r="P17" s="608">
        <f t="shared" si="2"/>
        <v>0.19432292912250126</v>
      </c>
      <c r="Q17" s="608">
        <f t="shared" si="3"/>
        <v>0.18827285751420275</v>
      </c>
      <c r="R17" s="608">
        <f t="shared" si="4"/>
        <v>0.20814190381517839</v>
      </c>
      <c r="S17" s="608">
        <f t="shared" si="5"/>
        <v>0.10649077194464396</v>
      </c>
      <c r="U17" s="635">
        <f>+C17/Ricavi!C$12</f>
        <v>6.7615592747294296E-4</v>
      </c>
      <c r="V17" s="635">
        <f>+D17/Ricavi!D$12</f>
        <v>8.145322950422199E-4</v>
      </c>
      <c r="W17" s="635">
        <f>+E17/Ricavi!E$12</f>
        <v>9.4192852728926929E-4</v>
      </c>
      <c r="X17" s="635">
        <f>+F17/Ricavi!F$12</f>
        <v>9.9373400561204948E-4</v>
      </c>
      <c r="Y17" s="635">
        <f>+H17/Ricavi!G$12</f>
        <v>6.998545297056053E-4</v>
      </c>
      <c r="Z17" s="635">
        <f>+I17/Ricavi!H$12</f>
        <v>8.2778397522938272E-4</v>
      </c>
      <c r="AB17" s="635">
        <f t="shared" si="6"/>
        <v>8.2524105702441752E-4</v>
      </c>
    </row>
    <row r="18" spans="2:34">
      <c r="B18" s="604" t="s">
        <v>2240</v>
      </c>
      <c r="C18" s="613">
        <f>+BdV!E631</f>
        <v>161153.22</v>
      </c>
      <c r="D18" s="613">
        <f>+BdV!F631</f>
        <v>77257.97</v>
      </c>
      <c r="E18" s="613">
        <f>+BdV!G631</f>
        <v>92589.759999999995</v>
      </c>
      <c r="F18" s="613">
        <f>+BdV!H631</f>
        <v>98441.09</v>
      </c>
      <c r="G18" s="613">
        <f>+F18</f>
        <v>98441.09</v>
      </c>
      <c r="H18" s="613">
        <f>+BdV!I631</f>
        <v>264666.55</v>
      </c>
      <c r="I18" s="613">
        <f>+BdV!J631</f>
        <v>150716.48000000001</v>
      </c>
      <c r="J18" s="609">
        <f>+J$7*J32</f>
        <v>262578.5146202856</v>
      </c>
      <c r="K18" s="609">
        <f t="shared" ref="K18:N18" si="20">+K$7*K32</f>
        <v>279074.34499371023</v>
      </c>
      <c r="L18" s="609">
        <f t="shared" si="20"/>
        <v>289365.68006091635</v>
      </c>
      <c r="M18" s="609">
        <f t="shared" si="20"/>
        <v>302170.61502890906</v>
      </c>
      <c r="N18" s="609">
        <f t="shared" si="20"/>
        <v>315542.19065553142</v>
      </c>
      <c r="P18" s="608">
        <f t="shared" si="2"/>
        <v>0.13204845720364933</v>
      </c>
      <c r="Q18" s="608">
        <f t="shared" si="3"/>
        <v>0.69070582503563505</v>
      </c>
      <c r="R18" s="608">
        <f t="shared" si="4"/>
        <v>-0.15151179642282453</v>
      </c>
      <c r="S18" s="608">
        <f t="shared" si="5"/>
        <v>3.5789909814742504E-2</v>
      </c>
      <c r="U18" s="635">
        <f>+C18/Ricavi!C$12</f>
        <v>6.2089283072028221E-3</v>
      </c>
      <c r="V18" s="635">
        <f>+D18/Ricavi!D$12</f>
        <v>3.0872362156318975E-3</v>
      </c>
      <c r="W18" s="635">
        <f>+E18/Ricavi!E$12</f>
        <v>3.4487124124897195E-3</v>
      </c>
      <c r="X18" s="635">
        <f>+F18/Ricavi!F$12</f>
        <v>3.1609928963967243E-3</v>
      </c>
      <c r="Y18" s="635">
        <f>+H18/Ricavi!G$12</f>
        <v>5.1874097208032622E-3</v>
      </c>
      <c r="Z18" s="635">
        <f>+I18/Ricavi!H$12</f>
        <v>5.8548298770651937E-3</v>
      </c>
      <c r="AB18" s="635">
        <f t="shared" si="6"/>
        <v>4.218655910504885E-3</v>
      </c>
      <c r="AD18" s="635">
        <f>+J18/Ricavi!J$12</f>
        <v>4.0198026292908792E-3</v>
      </c>
      <c r="AE18" s="635">
        <f>+K18/Ricavi!K$12</f>
        <v>4.0198026292908784E-3</v>
      </c>
      <c r="AF18" s="635">
        <f>+L18/Ricavi!L$12</f>
        <v>4.0198026292908784E-3</v>
      </c>
      <c r="AG18" s="635">
        <f>+M18/Ricavi!M$12</f>
        <v>4.0198026292908792E-3</v>
      </c>
      <c r="AH18" s="635">
        <f>+N18/Ricavi!N$12</f>
        <v>4.0198026292908784E-3</v>
      </c>
    </row>
    <row r="19" spans="2:34">
      <c r="B19" s="600" t="s">
        <v>2241</v>
      </c>
      <c r="C19" s="610">
        <f>+C18</f>
        <v>161153.22</v>
      </c>
      <c r="D19" s="610">
        <f t="shared" ref="D19:N19" si="21">+D18</f>
        <v>77257.97</v>
      </c>
      <c r="E19" s="610">
        <f t="shared" si="21"/>
        <v>92589.759999999995</v>
      </c>
      <c r="F19" s="610">
        <f t="shared" si="21"/>
        <v>98441.09</v>
      </c>
      <c r="G19" s="610">
        <f t="shared" si="21"/>
        <v>98441.09</v>
      </c>
      <c r="H19" s="610">
        <f t="shared" si="21"/>
        <v>264666.55</v>
      </c>
      <c r="I19" s="610">
        <f t="shared" ref="I19" si="22">+I18</f>
        <v>150716.48000000001</v>
      </c>
      <c r="J19" s="610">
        <f t="shared" si="21"/>
        <v>262578.5146202856</v>
      </c>
      <c r="K19" s="610">
        <f t="shared" si="21"/>
        <v>279074.34499371023</v>
      </c>
      <c r="L19" s="610">
        <f t="shared" si="21"/>
        <v>289365.68006091635</v>
      </c>
      <c r="M19" s="610">
        <f t="shared" si="21"/>
        <v>302170.61502890906</v>
      </c>
      <c r="N19" s="610">
        <f t="shared" si="21"/>
        <v>315542.19065553142</v>
      </c>
      <c r="P19" s="608">
        <f t="shared" si="2"/>
        <v>0.13204845720364933</v>
      </c>
      <c r="Q19" s="608">
        <f t="shared" si="3"/>
        <v>0.69070582503563505</v>
      </c>
      <c r="R19" s="608">
        <f t="shared" si="4"/>
        <v>-0.15151179642282453</v>
      </c>
      <c r="S19" s="608">
        <f t="shared" si="5"/>
        <v>3.5789909814742504E-2</v>
      </c>
      <c r="U19" s="635">
        <f>+C19/Ricavi!C$12</f>
        <v>6.2089283072028221E-3</v>
      </c>
      <c r="V19" s="635">
        <f>+D19/Ricavi!D$12</f>
        <v>3.0872362156318975E-3</v>
      </c>
      <c r="W19" s="635">
        <f>+E19/Ricavi!E$12</f>
        <v>3.4487124124897195E-3</v>
      </c>
      <c r="X19" s="635">
        <f>+F19/Ricavi!F$12</f>
        <v>3.1609928963967243E-3</v>
      </c>
      <c r="Y19" s="635">
        <f>+H19/Ricavi!G$12</f>
        <v>5.1874097208032622E-3</v>
      </c>
      <c r="Z19" s="635">
        <f>+I19/Ricavi!H$12</f>
        <v>5.8548298770651937E-3</v>
      </c>
      <c r="AB19" s="635">
        <f t="shared" si="6"/>
        <v>4.218655910504885E-3</v>
      </c>
    </row>
    <row r="21" spans="2:34" ht="15.75" thickBot="1">
      <c r="B21" s="910" t="s">
        <v>2513</v>
      </c>
      <c r="C21" s="911">
        <f>+C7+C12+C15+C17+C19</f>
        <v>6823992.8299999991</v>
      </c>
      <c r="D21" s="911">
        <f t="shared" ref="D21:N21" si="23">+D7+D12+D15+D17+D19</f>
        <v>7333327.5999999987</v>
      </c>
      <c r="E21" s="911">
        <f t="shared" si="23"/>
        <v>7605462.4500000011</v>
      </c>
      <c r="F21" s="911">
        <f t="shared" si="23"/>
        <v>9357345.1100000013</v>
      </c>
      <c r="G21" s="911">
        <f t="shared" si="23"/>
        <v>9700527.3200000003</v>
      </c>
      <c r="H21" s="911">
        <f t="shared" si="23"/>
        <v>11094046.650000002</v>
      </c>
      <c r="I21" s="911">
        <f t="shared" ref="I21" si="24">+I7+I12+I15+I17+I19</f>
        <v>6366936.54</v>
      </c>
      <c r="J21" s="911">
        <f t="shared" si="23"/>
        <v>16208068.575834448</v>
      </c>
      <c r="K21" s="911">
        <f t="shared" si="23"/>
        <v>17226299.447825003</v>
      </c>
      <c r="L21" s="911">
        <f t="shared" si="23"/>
        <v>17861548.164755937</v>
      </c>
      <c r="M21" s="911">
        <f t="shared" si="23"/>
        <v>18651952.758103784</v>
      </c>
      <c r="N21" s="911">
        <f t="shared" si="23"/>
        <v>19477334.130363654</v>
      </c>
      <c r="P21" s="608">
        <f>IF(H21*C21&lt;=0,"n/a",IF(C21&gt;H21,-ABS((H21/C21)^(1/(4))-1),ABS((H21/C21)^(1/(4))-1)))</f>
        <v>0.12917916575369381</v>
      </c>
      <c r="Q21" s="608">
        <f>IF(H21*E21&lt;=0,"n/a",IF(E21&gt;H21,-ABS((H21/E21)^(1/(2))-1),ABS((H21/E21)^(1/(2))-1)))</f>
        <v>0.20776427880185144</v>
      </c>
      <c r="R21" s="608">
        <f>IF(F21*C21&lt;=0,"n/a",IF(C21&gt;F21,-ABS((F21/C21)^(1/(3))-1),ABS((F21/C21)^(1/(3))-1)))</f>
        <v>0.11097604587745491</v>
      </c>
      <c r="S21" s="608">
        <f>IF(N21*H21&lt;=0,"n/a",IF(H21&gt;N21,-ABS((N21/H21)^(1/(5))-1),ABS((N21/H21)^(1/(5))-1)))</f>
        <v>0.11914898551515041</v>
      </c>
      <c r="U21" s="635">
        <f>+C21/Ricavi!C$12</f>
        <v>0.26291551760700838</v>
      </c>
      <c r="V21" s="635">
        <f>+D21/Ricavi!D$12</f>
        <v>0.29304050504838453</v>
      </c>
      <c r="W21" s="635">
        <f>+E21/Ricavi!E$12</f>
        <v>0.28328243591990598</v>
      </c>
      <c r="X21" s="635">
        <f>+F21/Ricavi!F$12</f>
        <v>0.30046905638532273</v>
      </c>
      <c r="Y21" s="635">
        <f>+H21/Ricavi!G$12</f>
        <v>0.21744102318655259</v>
      </c>
      <c r="Z21" s="635">
        <f>+I21/Ricavi!H$12</f>
        <v>0.24733413545599053</v>
      </c>
      <c r="AB21" s="635">
        <f>+AVERAGE(U21:Y21)</f>
        <v>0.27142970762943486</v>
      </c>
    </row>
    <row r="22" spans="2:34" ht="15.75" thickTop="1">
      <c r="B22" s="912" t="s">
        <v>363</v>
      </c>
      <c r="C22" s="913"/>
      <c r="D22" s="913"/>
      <c r="E22" s="913"/>
      <c r="F22" s="913">
        <f>+F21-BdV!H633</f>
        <v>0</v>
      </c>
      <c r="G22" s="913">
        <f>+G21+CE!H20*1000</f>
        <v>0.32000000029802322</v>
      </c>
      <c r="H22" s="913">
        <f>+H21-BdV!I633</f>
        <v>0</v>
      </c>
      <c r="I22" s="913">
        <f>+I21-BdV!J633</f>
        <v>0</v>
      </c>
    </row>
    <row r="23" spans="2:34">
      <c r="F23" s="780"/>
      <c r="G23" s="780"/>
      <c r="H23" s="780"/>
      <c r="I23" s="780"/>
    </row>
    <row r="24" spans="2:34">
      <c r="B24" s="600" t="s">
        <v>2515</v>
      </c>
      <c r="C24" s="610">
        <f>+C7</f>
        <v>4597012.22</v>
      </c>
      <c r="D24" s="610">
        <f t="shared" ref="D24:N24" si="25">+D7</f>
        <v>5028172.76</v>
      </c>
      <c r="E24" s="610">
        <f t="shared" si="25"/>
        <v>5205729.1400000006</v>
      </c>
      <c r="F24" s="610">
        <f t="shared" si="25"/>
        <v>6340581.6500000004</v>
      </c>
      <c r="G24" s="610">
        <f>+G7</f>
        <v>6592537</v>
      </c>
      <c r="H24" s="610">
        <f t="shared" si="25"/>
        <v>7372773.1100000003</v>
      </c>
      <c r="I24" s="610">
        <f>+I7</f>
        <v>4234396.3100000005</v>
      </c>
      <c r="J24" s="610">
        <f t="shared" si="25"/>
        <v>10974553.406899918</v>
      </c>
      <c r="K24" s="610">
        <f t="shared" si="25"/>
        <v>11664001.938841322</v>
      </c>
      <c r="L24" s="610">
        <f t="shared" si="25"/>
        <v>12094131.595438251</v>
      </c>
      <c r="M24" s="610">
        <f t="shared" si="25"/>
        <v>12629317.967717547</v>
      </c>
      <c r="N24" s="610">
        <f t="shared" si="25"/>
        <v>13188187.268433101</v>
      </c>
      <c r="P24" s="610" t="s">
        <v>1</v>
      </c>
    </row>
    <row r="25" spans="2:34">
      <c r="B25" s="604" t="s">
        <v>2230</v>
      </c>
      <c r="C25" s="700">
        <f>+C8/C$24</f>
        <v>0.26560787127948943</v>
      </c>
      <c r="D25" s="700">
        <f>+D8/D$24</f>
        <v>0.27050617886884221</v>
      </c>
      <c r="E25" s="700">
        <f t="shared" ref="E25:H25" si="26">+E8/E$24</f>
        <v>0.26923360634164684</v>
      </c>
      <c r="F25" s="700">
        <f>+F8/F$24</f>
        <v>0.27446158350472466</v>
      </c>
      <c r="G25" s="700">
        <f>+G8/G$24</f>
        <v>0.27781003580260522</v>
      </c>
      <c r="H25" s="700">
        <f t="shared" si="26"/>
        <v>0.26808960760220657</v>
      </c>
      <c r="I25" s="700">
        <f>+I8/I$24</f>
        <v>0.27832512209987259</v>
      </c>
      <c r="J25" s="701">
        <f>+$P25</f>
        <v>0.26957976951938195</v>
      </c>
      <c r="K25" s="701">
        <f t="shared" ref="J25:K32" si="27">+$P25</f>
        <v>0.26957976951938195</v>
      </c>
      <c r="L25" s="701">
        <f t="shared" ref="L25:N32" si="28">+$P25</f>
        <v>0.26957976951938195</v>
      </c>
      <c r="M25" s="701">
        <f t="shared" si="28"/>
        <v>0.26957976951938195</v>
      </c>
      <c r="N25" s="701">
        <f t="shared" si="28"/>
        <v>0.26957976951938195</v>
      </c>
      <c r="P25" s="700">
        <f>+AVERAGE(C25:F25,H25)</f>
        <v>0.26957976951938195</v>
      </c>
    </row>
    <row r="26" spans="2:34">
      <c r="B26" s="604" t="s">
        <v>2231</v>
      </c>
      <c r="C26" s="700">
        <f>+C9/C$24</f>
        <v>3.4276086827543829E-2</v>
      </c>
      <c r="D26" s="700">
        <f>+D9/D$24</f>
        <v>3.686816838807265E-2</v>
      </c>
      <c r="E26" s="700">
        <f t="shared" ref="E26:H26" si="29">+E9/E$24</f>
        <v>3.4713285140302162E-2</v>
      </c>
      <c r="F26" s="700">
        <f t="shared" si="29"/>
        <v>3.2902894642165829E-2</v>
      </c>
      <c r="G26" s="700">
        <f t="shared" ref="G26" si="30">+G9/G$24</f>
        <v>3.1645402976122845E-2</v>
      </c>
      <c r="H26" s="700">
        <f t="shared" si="29"/>
        <v>3.2550252994290228E-2</v>
      </c>
      <c r="I26" s="700">
        <f>+I9/I$24</f>
        <v>3.1047183677524029E-2</v>
      </c>
      <c r="J26" s="701">
        <f t="shared" si="27"/>
        <v>3.4262137598474948E-2</v>
      </c>
      <c r="K26" s="701">
        <f t="shared" si="27"/>
        <v>3.4262137598474948E-2</v>
      </c>
      <c r="L26" s="701">
        <f t="shared" si="28"/>
        <v>3.4262137598474948E-2</v>
      </c>
      <c r="M26" s="701">
        <f t="shared" si="28"/>
        <v>3.4262137598474948E-2</v>
      </c>
      <c r="N26" s="701">
        <f t="shared" si="28"/>
        <v>3.4262137598474948E-2</v>
      </c>
      <c r="P26" s="700">
        <f t="shared" ref="P26:P32" si="31">+AVERAGE(C26:F26,H26)</f>
        <v>3.4262137598474948E-2</v>
      </c>
    </row>
    <row r="27" spans="2:34">
      <c r="B27" s="604" t="s">
        <v>2232</v>
      </c>
      <c r="C27" s="700">
        <f t="shared" ref="C27:H28" si="32">+C10/C$24</f>
        <v>7.8529919591991001E-2</v>
      </c>
      <c r="D27" s="700">
        <f>+D10/D$24</f>
        <v>6.3595187608470327E-2</v>
      </c>
      <c r="E27" s="700">
        <f t="shared" si="32"/>
        <v>6.2526687663968614E-2</v>
      </c>
      <c r="F27" s="700">
        <f t="shared" si="32"/>
        <v>7.6416331615254879E-2</v>
      </c>
      <c r="G27" s="700">
        <f t="shared" ref="G27" si="33">+G10/G$24</f>
        <v>7.3495831726086633E-2</v>
      </c>
      <c r="H27" s="700">
        <f t="shared" si="32"/>
        <v>8.2145220117861448E-2</v>
      </c>
      <c r="I27" s="700">
        <f t="shared" ref="I27" si="34">+I10/I$24</f>
        <v>8.7831686684990501E-2</v>
      </c>
      <c r="J27" s="701">
        <f t="shared" si="27"/>
        <v>7.2642669319509259E-2</v>
      </c>
      <c r="K27" s="701">
        <f t="shared" si="27"/>
        <v>7.2642669319509259E-2</v>
      </c>
      <c r="L27" s="701">
        <f t="shared" si="28"/>
        <v>7.2642669319509259E-2</v>
      </c>
      <c r="M27" s="701">
        <f t="shared" si="28"/>
        <v>7.2642669319509259E-2</v>
      </c>
      <c r="N27" s="701">
        <f t="shared" si="28"/>
        <v>7.2642669319509259E-2</v>
      </c>
      <c r="P27" s="700">
        <f t="shared" si="31"/>
        <v>7.2642669319509259E-2</v>
      </c>
    </row>
    <row r="28" spans="2:34">
      <c r="B28" s="604" t="s">
        <v>2233</v>
      </c>
      <c r="C28" s="700">
        <f t="shared" si="32"/>
        <v>0</v>
      </c>
      <c r="D28" s="700">
        <f>+D11/D$24</f>
        <v>4.5916680078430719E-4</v>
      </c>
      <c r="E28" s="700">
        <f t="shared" si="32"/>
        <v>6.275528196228818E-4</v>
      </c>
      <c r="F28" s="700">
        <f t="shared" si="32"/>
        <v>5.9546272067957672E-4</v>
      </c>
      <c r="G28" s="700">
        <f t="shared" ref="G28" si="35">+G11/G$24</f>
        <v>5.7270516646322955E-4</v>
      </c>
      <c r="H28" s="700">
        <f t="shared" si="32"/>
        <v>6.3233466301528441E-4</v>
      </c>
      <c r="I28" s="700">
        <f t="shared" ref="I28" si="36">+I11/I$24</f>
        <v>6.3300640841527651E-4</v>
      </c>
      <c r="J28" s="701">
        <f t="shared" si="27"/>
        <v>4.6290340082041003E-4</v>
      </c>
      <c r="K28" s="701">
        <f t="shared" si="27"/>
        <v>4.6290340082041003E-4</v>
      </c>
      <c r="L28" s="701">
        <f t="shared" si="28"/>
        <v>4.6290340082041003E-4</v>
      </c>
      <c r="M28" s="701">
        <f t="shared" si="28"/>
        <v>4.6290340082041003E-4</v>
      </c>
      <c r="N28" s="701">
        <f t="shared" si="28"/>
        <v>4.6290340082041003E-4</v>
      </c>
      <c r="P28" s="700">
        <f t="shared" si="31"/>
        <v>4.6290340082041003E-4</v>
      </c>
    </row>
    <row r="29" spans="2:34">
      <c r="B29" s="604" t="s">
        <v>2235</v>
      </c>
      <c r="C29" s="700">
        <f>+C13/C$24</f>
        <v>6.4956549103974318E-2</v>
      </c>
      <c r="D29" s="700">
        <f t="shared" ref="D29:H30" si="37">+D13/D$24</f>
        <v>6.4826611088836181E-2</v>
      </c>
      <c r="E29" s="700">
        <f t="shared" si="37"/>
        <v>6.6574059210464415E-2</v>
      </c>
      <c r="F29" s="700">
        <f t="shared" si="37"/>
        <v>6.3295382372372727E-2</v>
      </c>
      <c r="G29" s="700">
        <f>+G13/G$24</f>
        <v>6.0876342446011297E-2</v>
      </c>
      <c r="H29" s="700">
        <f t="shared" si="37"/>
        <v>7.402621806708494E-2</v>
      </c>
      <c r="I29" s="700">
        <f t="shared" ref="I29" si="38">+I13/I$24</f>
        <v>5.9086101461296607E-2</v>
      </c>
      <c r="J29" s="701">
        <f>+$P29</f>
        <v>6.673576396854651E-2</v>
      </c>
      <c r="K29" s="701">
        <f t="shared" si="27"/>
        <v>6.673576396854651E-2</v>
      </c>
      <c r="L29" s="701">
        <f t="shared" si="28"/>
        <v>6.673576396854651E-2</v>
      </c>
      <c r="M29" s="701">
        <f t="shared" si="28"/>
        <v>6.673576396854651E-2</v>
      </c>
      <c r="N29" s="701">
        <f t="shared" si="28"/>
        <v>6.673576396854651E-2</v>
      </c>
      <c r="P29" s="700">
        <f>+AVERAGE(C29:F29,H29)</f>
        <v>6.673576396854651E-2</v>
      </c>
    </row>
    <row r="30" spans="2:34">
      <c r="B30" s="604" t="s">
        <v>2236</v>
      </c>
      <c r="C30" s="700">
        <f>+C14/C$24</f>
        <v>2.1967398642242465E-3</v>
      </c>
      <c r="D30" s="700">
        <f t="shared" si="37"/>
        <v>2.7736019953300095E-3</v>
      </c>
      <c r="E30" s="700">
        <f t="shared" si="37"/>
        <v>4.6601387332265223E-3</v>
      </c>
      <c r="F30" s="700">
        <f t="shared" si="37"/>
        <v>7.7084994244968046E-3</v>
      </c>
      <c r="G30" s="700">
        <f t="shared" ref="G30" si="39">+G14/G$24</f>
        <v>7.4138939227796526E-3</v>
      </c>
      <c r="H30" s="700">
        <f t="shared" si="37"/>
        <v>6.5472827224978842E-3</v>
      </c>
      <c r="I30" s="700">
        <f t="shared" ref="I30" si="40">+I14/I$24</f>
        <v>6.0743582123516443E-3</v>
      </c>
      <c r="J30" s="701">
        <f t="shared" si="27"/>
        <v>4.7772525479550937E-3</v>
      </c>
      <c r="K30" s="701">
        <f t="shared" si="27"/>
        <v>4.7772525479550937E-3</v>
      </c>
      <c r="L30" s="701">
        <f t="shared" si="28"/>
        <v>4.7772525479550937E-3</v>
      </c>
      <c r="M30" s="701">
        <f t="shared" si="28"/>
        <v>4.7772525479550937E-3</v>
      </c>
      <c r="N30" s="701">
        <f t="shared" si="28"/>
        <v>4.7772525479550937E-3</v>
      </c>
      <c r="P30" s="700">
        <f t="shared" si="31"/>
        <v>4.7772525479550937E-3</v>
      </c>
    </row>
    <row r="31" spans="2:34">
      <c r="B31" s="604" t="s">
        <v>2238</v>
      </c>
      <c r="C31" s="700">
        <f>+C16/C$24</f>
        <v>3.8176274415037343E-3</v>
      </c>
      <c r="D31" s="700">
        <f t="shared" ref="D31:H31" si="41">+D16/D$24</f>
        <v>4.0538861675866525E-3</v>
      </c>
      <c r="E31" s="700">
        <f t="shared" si="41"/>
        <v>4.8578305401421624E-3</v>
      </c>
      <c r="F31" s="700">
        <f t="shared" si="41"/>
        <v>4.8808329753154429E-3</v>
      </c>
      <c r="G31" s="700">
        <f t="shared" ref="G31" si="42">+G16/G$24</f>
        <v>4.6942959895409008E-3</v>
      </c>
      <c r="H31" s="700">
        <f t="shared" si="41"/>
        <v>4.8431220474652575E-3</v>
      </c>
      <c r="I31" s="700">
        <f t="shared" ref="I31" si="43">+I16/I$24</f>
        <v>5.0323631611137497E-3</v>
      </c>
      <c r="J31" s="701">
        <f t="shared" si="27"/>
        <v>4.4906598344026495E-3</v>
      </c>
      <c r="K31" s="701">
        <f t="shared" si="27"/>
        <v>4.4906598344026495E-3</v>
      </c>
      <c r="L31" s="701">
        <f t="shared" si="28"/>
        <v>4.4906598344026495E-3</v>
      </c>
      <c r="M31" s="701">
        <f t="shared" si="28"/>
        <v>4.4906598344026495E-3</v>
      </c>
      <c r="N31" s="701">
        <f t="shared" si="28"/>
        <v>4.4906598344026495E-3</v>
      </c>
      <c r="P31" s="700">
        <f t="shared" si="31"/>
        <v>4.4906598344026495E-3</v>
      </c>
    </row>
    <row r="32" spans="2:34">
      <c r="B32" s="604" t="s">
        <v>2240</v>
      </c>
      <c r="C32" s="700">
        <f>+C18/C$24</f>
        <v>3.5056078228132274E-2</v>
      </c>
      <c r="D32" s="700">
        <f t="shared" ref="D32:H32" si="44">+D18/D$24</f>
        <v>1.5365019001455312E-2</v>
      </c>
      <c r="E32" s="700">
        <f t="shared" si="44"/>
        <v>1.7786127074602268E-2</v>
      </c>
      <c r="F32" s="700">
        <f t="shared" si="44"/>
        <v>1.5525561444351086E-2</v>
      </c>
      <c r="G32" s="700">
        <f t="shared" ref="G32" si="45">+G18/G$24</f>
        <v>1.4932201366484555E-2</v>
      </c>
      <c r="H32" s="700">
        <f t="shared" si="44"/>
        <v>3.589782922263289E-2</v>
      </c>
      <c r="I32" s="700">
        <f t="shared" ref="I32" si="46">+I18/I$24</f>
        <v>3.5593380724441445E-2</v>
      </c>
      <c r="J32" s="701">
        <f>+$P32</f>
        <v>2.3926122994234765E-2</v>
      </c>
      <c r="K32" s="701">
        <f t="shared" si="27"/>
        <v>2.3926122994234765E-2</v>
      </c>
      <c r="L32" s="701">
        <f t="shared" si="28"/>
        <v>2.3926122994234765E-2</v>
      </c>
      <c r="M32" s="701">
        <f t="shared" si="28"/>
        <v>2.3926122994234765E-2</v>
      </c>
      <c r="N32" s="701">
        <f t="shared" si="28"/>
        <v>2.3926122994234765E-2</v>
      </c>
      <c r="P32" s="700">
        <f t="shared" si="31"/>
        <v>2.3926122994234765E-2</v>
      </c>
      <c r="S32" s="595"/>
    </row>
    <row r="33" spans="2:22">
      <c r="S33" s="595"/>
      <c r="T33" s="704"/>
    </row>
    <row r="34" spans="2:22">
      <c r="B34" s="702" t="s">
        <v>2514</v>
      </c>
      <c r="C34" s="598">
        <v>117</v>
      </c>
      <c r="D34" s="598">
        <v>130</v>
      </c>
      <c r="E34" s="598">
        <v>144</v>
      </c>
      <c r="F34" s="598">
        <v>157</v>
      </c>
      <c r="G34" s="598">
        <f>+F34</f>
        <v>157</v>
      </c>
      <c r="H34" s="598">
        <v>191</v>
      </c>
      <c r="I34" s="598">
        <v>213</v>
      </c>
      <c r="J34" s="651">
        <f>+J5/J35</f>
        <v>269.83378926626347</v>
      </c>
      <c r="K34" s="651">
        <f t="shared" ref="K34:N34" si="47">+K5/K35</f>
        <v>281.99155742389854</v>
      </c>
      <c r="L34" s="651">
        <f t="shared" si="47"/>
        <v>286.37656179997879</v>
      </c>
      <c r="M34" s="651">
        <f t="shared" si="47"/>
        <v>293.18551282600646</v>
      </c>
      <c r="N34" s="651">
        <f t="shared" si="47"/>
        <v>300.15635494320242</v>
      </c>
    </row>
    <row r="35" spans="2:22">
      <c r="B35" s="705" t="s">
        <v>2516</v>
      </c>
      <c r="C35" s="1250">
        <f>+C5/C34</f>
        <v>34707.3041025641</v>
      </c>
      <c r="D35" s="1250">
        <f t="shared" ref="D35:E35" si="48">+D5/D34</f>
        <v>34088.518846153849</v>
      </c>
      <c r="E35" s="1250">
        <f t="shared" si="48"/>
        <v>31753.890486111115</v>
      </c>
      <c r="F35" s="1250">
        <f>+F5/F34</f>
        <v>35491.390955414012</v>
      </c>
      <c r="G35" s="1250">
        <f>+G5/G34</f>
        <v>37096.202101910829</v>
      </c>
      <c r="H35" s="1250">
        <f>+H5/H34</f>
        <v>34073.196701570683</v>
      </c>
      <c r="I35" s="1251">
        <f>+I5*2/I34</f>
        <v>35107.39352112676</v>
      </c>
      <c r="J35" s="609">
        <f>+H35*(1+J41)</f>
        <v>35845.00293005236</v>
      </c>
      <c r="K35" s="609">
        <f t="shared" ref="K35:N35" si="49">+J35*(1+K41)</f>
        <v>36454.367979863244</v>
      </c>
      <c r="L35" s="609">
        <f t="shared" si="49"/>
        <v>37219.909707440369</v>
      </c>
      <c r="M35" s="609">
        <f t="shared" si="49"/>
        <v>37964.307901589178</v>
      </c>
      <c r="N35" s="609">
        <f t="shared" si="49"/>
        <v>38723.594059620962</v>
      </c>
      <c r="P35" s="604">
        <f>+AVERAGE(C35:E35,H35,G35)</f>
        <v>34343.822447662111</v>
      </c>
    </row>
    <row r="36" spans="2:22">
      <c r="B36" s="705" t="s">
        <v>3718</v>
      </c>
      <c r="C36" s="1252">
        <f>+C5/(CE!C11*1000)</f>
        <v>0.15519652304778722</v>
      </c>
      <c r="D36" s="1252">
        <f>+D5/(CE!D11*1000)</f>
        <v>0.16693349423713702</v>
      </c>
      <c r="E36" s="1252">
        <f>+E5/(CE!E11*1000)</f>
        <v>0.16538016679115011</v>
      </c>
      <c r="F36" s="1252">
        <f>+F5/(CE!F11*1000)</f>
        <v>0.17129866346427364</v>
      </c>
      <c r="G36" s="1252">
        <f>+G5/(CE!H11*1000)</f>
        <v>0.17904426027260439</v>
      </c>
      <c r="H36" s="1252">
        <f>+H5/(CE!I11*1000)</f>
        <v>0.12216040181859651</v>
      </c>
      <c r="I36" s="1252">
        <f>+I5/(CE!J11*1000)</f>
        <v>0.13714770396191245</v>
      </c>
      <c r="J36" s="701">
        <f>+P36</f>
        <v>0.15774296923345507</v>
      </c>
      <c r="K36" s="701">
        <f>+J36</f>
        <v>0.15774296923345507</v>
      </c>
      <c r="L36" s="701">
        <f t="shared" ref="L36:N36" si="50">+K36</f>
        <v>0.15774296923345507</v>
      </c>
      <c r="M36" s="701">
        <f t="shared" si="50"/>
        <v>0.15774296923345507</v>
      </c>
      <c r="N36" s="701">
        <f t="shared" si="50"/>
        <v>0.15774296923345507</v>
      </c>
      <c r="P36" s="895">
        <f>+AVERAGE(C36:E36,G36:H36)</f>
        <v>0.15774296923345507</v>
      </c>
    </row>
    <row r="37" spans="2:22">
      <c r="B37" s="702" t="s">
        <v>2517</v>
      </c>
      <c r="C37" s="598"/>
      <c r="D37" s="635">
        <f>+D34/C34-1</f>
        <v>0.11111111111111116</v>
      </c>
      <c r="E37" s="635">
        <f t="shared" ref="E37:F37" si="51">+E34/D34-1</f>
        <v>0.10769230769230775</v>
      </c>
      <c r="F37" s="635">
        <f t="shared" si="51"/>
        <v>9.0277777777777679E-2</v>
      </c>
      <c r="G37" s="635">
        <f>+G34/E34-1</f>
        <v>9.0277777777777679E-2</v>
      </c>
      <c r="H37" s="635">
        <f>+H34/F34-1</f>
        <v>0.21656050955414008</v>
      </c>
      <c r="I37" s="635">
        <f>+I34/H34-1</f>
        <v>0.11518324607329844</v>
      </c>
      <c r="J37" s="635">
        <f>+J34/H34-1</f>
        <v>0.41274235217938982</v>
      </c>
      <c r="K37" s="635">
        <f t="shared" ref="K37:N37" si="52">+K34/J34-1</f>
        <v>4.5056507528929979E-2</v>
      </c>
      <c r="L37" s="635">
        <f t="shared" si="52"/>
        <v>1.5550126451085777E-2</v>
      </c>
      <c r="M37" s="635">
        <f t="shared" si="52"/>
        <v>2.3776216123382987E-2</v>
      </c>
      <c r="N37" s="635">
        <f t="shared" si="52"/>
        <v>2.3776216123382765E-2</v>
      </c>
      <c r="P37" s="700">
        <f>+AVERAGE(C37:H37)</f>
        <v>0.12318389678262287</v>
      </c>
    </row>
    <row r="38" spans="2:22">
      <c r="B38" s="702" t="s">
        <v>2518</v>
      </c>
      <c r="C38" s="598"/>
      <c r="D38" s="635">
        <f>+D35/C35-1</f>
        <v>-1.7828675329598309E-2</v>
      </c>
      <c r="E38" s="635">
        <f t="shared" ref="E38:F38" si="53">+E35/D35-1</f>
        <v>-6.8487233797960845E-2</v>
      </c>
      <c r="F38" s="635">
        <f t="shared" si="53"/>
        <v>0.11770212758457577</v>
      </c>
      <c r="G38" s="635">
        <f>+G35/E35-1</f>
        <v>0.16824116774404052</v>
      </c>
      <c r="H38" s="730">
        <f>+H35/G35-1</f>
        <v>-8.1490967512936607E-2</v>
      </c>
      <c r="I38" s="730">
        <f>+I35/H35-1</f>
        <v>3.0352209938329766E-2</v>
      </c>
      <c r="J38" s="598"/>
      <c r="K38" s="598"/>
      <c r="L38" s="598"/>
      <c r="M38" s="598"/>
      <c r="N38" s="598"/>
    </row>
    <row r="39" spans="2:22">
      <c r="B39" s="702" t="s">
        <v>2519</v>
      </c>
      <c r="C39" s="635">
        <f>+C6/C5</f>
        <v>0.13205861852404782</v>
      </c>
      <c r="D39" s="635">
        <f t="shared" ref="D39:F39" si="54">+D6/D5</f>
        <v>0.13464161275414308</v>
      </c>
      <c r="E39" s="635">
        <f t="shared" si="54"/>
        <v>0.13847142041910293</v>
      </c>
      <c r="F39" s="635">
        <f t="shared" si="54"/>
        <v>0.13790610328291367</v>
      </c>
      <c r="G39" s="635">
        <f>+G6/G5</f>
        <v>0.13194017579765874</v>
      </c>
      <c r="H39" s="635">
        <f>+H6/H5</f>
        <v>0.13288185646811174</v>
      </c>
      <c r="I39" s="635">
        <f>+I6/I5</f>
        <v>0.1325132907212801</v>
      </c>
      <c r="J39" s="701">
        <f>+$P$39</f>
        <v>0.13464996454099631</v>
      </c>
      <c r="K39" s="701">
        <f t="shared" ref="K39:N39" si="55">+$P$39</f>
        <v>0.13464996454099631</v>
      </c>
      <c r="L39" s="701">
        <f t="shared" si="55"/>
        <v>0.13464996454099631</v>
      </c>
      <c r="M39" s="701">
        <f t="shared" si="55"/>
        <v>0.13464996454099631</v>
      </c>
      <c r="N39" s="701">
        <f t="shared" si="55"/>
        <v>0.13464996454099631</v>
      </c>
      <c r="P39" s="700">
        <f>+AVERAGE(C39:H39)</f>
        <v>0.13464996454099631</v>
      </c>
    </row>
    <row r="40" spans="2:22">
      <c r="B40" s="702" t="s">
        <v>4255</v>
      </c>
      <c r="C40" s="598"/>
      <c r="D40" s="635"/>
      <c r="E40" s="635"/>
      <c r="F40" s="635"/>
      <c r="G40" s="635"/>
      <c r="H40" s="598"/>
      <c r="I40" s="598"/>
      <c r="J40" s="598"/>
      <c r="K40" s="598"/>
      <c r="L40" s="598"/>
      <c r="M40" s="598"/>
      <c r="N40" s="598"/>
    </row>
    <row r="41" spans="2:22">
      <c r="B41" s="893" t="s">
        <v>3717</v>
      </c>
      <c r="C41" s="840"/>
      <c r="D41" s="840"/>
      <c r="E41" s="840"/>
      <c r="F41" s="840"/>
      <c r="G41" s="840"/>
      <c r="H41" s="840"/>
      <c r="I41" s="840"/>
      <c r="J41" s="894">
        <f>+Inflazione!H89</f>
        <v>5.1999999999999998E-2</v>
      </c>
      <c r="K41" s="894">
        <f>+Inflazione!I89</f>
        <v>1.7000000000000001E-2</v>
      </c>
      <c r="L41" s="894">
        <f>+Inflazione!J89</f>
        <v>2.1000000000000001E-2</v>
      </c>
      <c r="M41" s="894">
        <f>+Inflazione!K89</f>
        <v>0.02</v>
      </c>
      <c r="N41" s="894">
        <f>+Inflazione!L89</f>
        <v>0.02</v>
      </c>
    </row>
    <row r="42" spans="2:22">
      <c r="B42" s="893"/>
      <c r="C42" s="3"/>
      <c r="D42" s="882"/>
      <c r="E42" s="882"/>
      <c r="F42" s="882"/>
      <c r="G42" s="882"/>
      <c r="H42" s="882"/>
      <c r="I42" s="882"/>
    </row>
    <row r="43" spans="2:22" ht="15.75" thickBot="1">
      <c r="B43" s="1253" t="s">
        <v>4256</v>
      </c>
      <c r="C43" s="1254">
        <f>+CE!C6/Personale!C34</f>
        <v>206.46176205128205</v>
      </c>
      <c r="D43" s="1254">
        <f>+CE!D6/Personale!D34</f>
        <v>182.51702292307692</v>
      </c>
      <c r="E43" s="1254">
        <f>+CE!E6/Personale!E34</f>
        <v>173.31318625</v>
      </c>
      <c r="F43" s="1254">
        <f>+CE!F6/Personale!F34</f>
        <v>184.1348274522293</v>
      </c>
      <c r="G43" s="1254">
        <f>+CE!H6/Personale!G34</f>
        <v>184.1348274522293</v>
      </c>
      <c r="H43" s="1254">
        <f>+CE!I6/Personale!H34</f>
        <v>250.91119732984293</v>
      </c>
      <c r="I43" s="1254"/>
      <c r="J43" s="1254">
        <f>+CE!K6/Personale!J34</f>
        <v>190.10211308037023</v>
      </c>
      <c r="K43" s="1254">
        <f>+CE!L6/Personale!K34</f>
        <v>217.43969734465361</v>
      </c>
      <c r="L43" s="1254">
        <f>+CE!M6/Personale!L34</f>
        <v>227.56119051920552</v>
      </c>
      <c r="M43" s="1254">
        <f>+CE!N6/Personale!M34</f>
        <v>230.47311297438091</v>
      </c>
      <c r="N43" s="1254">
        <f>+CE!O6/Personale!N34</f>
        <v>235.0825752338686</v>
      </c>
    </row>
    <row r="44" spans="2:22" ht="5.0999999999999996" customHeight="1" thickTop="1" thickBot="1"/>
    <row r="45" spans="2:22">
      <c r="B45" s="1255" t="s">
        <v>4257</v>
      </c>
      <c r="C45" s="1256">
        <f>+AVERAGE(C43:F43,H43)</f>
        <v>199.46759920128625</v>
      </c>
    </row>
    <row r="46" spans="2:22" ht="15.75" thickBot="1">
      <c r="B46" s="1257" t="s">
        <v>4258</v>
      </c>
      <c r="C46" s="1258">
        <f>+AVERAGE(J43:N43)</f>
        <v>220.13173783049578</v>
      </c>
      <c r="D46" s="840" t="s">
        <v>4481</v>
      </c>
    </row>
    <row r="47" spans="2:22">
      <c r="B47" s="595"/>
      <c r="C47" s="780"/>
    </row>
    <row r="48" spans="2:22">
      <c r="R48" s="1234" t="s">
        <v>4254</v>
      </c>
      <c r="S48" s="1234"/>
      <c r="T48" s="1234"/>
      <c r="U48" s="1234"/>
      <c r="V48" s="1234"/>
    </row>
    <row r="49" spans="2:22">
      <c r="B49" s="600" t="s">
        <v>4259</v>
      </c>
      <c r="C49" s="1259">
        <v>2018</v>
      </c>
      <c r="D49" s="1259">
        <f>+C49+1</f>
        <v>2019</v>
      </c>
      <c r="E49" s="1259">
        <f t="shared" ref="E49:G49" si="56">+D49+1</f>
        <v>2020</v>
      </c>
      <c r="F49" s="1259">
        <f t="shared" si="56"/>
        <v>2021</v>
      </c>
      <c r="G49" s="1259">
        <f t="shared" si="56"/>
        <v>2022</v>
      </c>
      <c r="P49" s="610" t="s">
        <v>1</v>
      </c>
      <c r="R49" s="1">
        <v>2023</v>
      </c>
      <c r="S49" s="1">
        <v>2024</v>
      </c>
      <c r="T49" s="1">
        <v>2025</v>
      </c>
      <c r="U49" s="1">
        <f>+T49+1</f>
        <v>2026</v>
      </c>
      <c r="V49" s="1">
        <f>+U49+1</f>
        <v>2027</v>
      </c>
    </row>
    <row r="50" spans="2:22">
      <c r="B50" s="604" t="s">
        <v>3816</v>
      </c>
      <c r="C50" s="613">
        <v>57777.22</v>
      </c>
      <c r="D50" s="613">
        <v>42954.51</v>
      </c>
      <c r="E50" s="613">
        <v>65956.160000000003</v>
      </c>
      <c r="F50" s="613">
        <v>67736.27</v>
      </c>
      <c r="G50" s="613">
        <v>132888.29</v>
      </c>
      <c r="J50" s="609">
        <f>+($P$53*J34)*(1+R50)</f>
        <v>136792.45716209081</v>
      </c>
      <c r="K50" s="609">
        <f t="shared" ref="K50:N50" si="57">+($P$53*K34)*(1+S50)</f>
        <v>138199.71192610584</v>
      </c>
      <c r="L50" s="609">
        <f t="shared" si="57"/>
        <v>140900.74567888267</v>
      </c>
      <c r="M50" s="609">
        <f t="shared" si="57"/>
        <v>144109.54838911991</v>
      </c>
      <c r="N50" s="609">
        <f t="shared" si="57"/>
        <v>147535.92815706271</v>
      </c>
      <c r="R50" s="703">
        <f>+Costi!AC10</f>
        <v>5.1999999999999998E-2</v>
      </c>
      <c r="S50" s="703">
        <f>+Costi!AD10</f>
        <v>1.7000000000000001E-2</v>
      </c>
      <c r="T50" s="703">
        <f>+Costi!AE10</f>
        <v>2.1000000000000001E-2</v>
      </c>
      <c r="U50" s="703">
        <f>+Costi!AF10</f>
        <v>0.02</v>
      </c>
      <c r="V50" s="703">
        <f>+Costi!AG10</f>
        <v>0.02</v>
      </c>
    </row>
    <row r="51" spans="2:22">
      <c r="B51" s="604" t="s">
        <v>3817</v>
      </c>
      <c r="C51" s="613">
        <v>34917.96</v>
      </c>
      <c r="D51" s="613">
        <v>44595.360000000001</v>
      </c>
      <c r="E51" s="613">
        <v>40382.629999999997</v>
      </c>
      <c r="F51" s="613">
        <v>52642.79</v>
      </c>
      <c r="G51" s="613">
        <v>82564.490000000005</v>
      </c>
      <c r="J51" s="609">
        <f>+($P$54*J34)*(1+R51)</f>
        <v>95918.003162740133</v>
      </c>
      <c r="K51" s="609">
        <f t="shared" ref="K51:N51" si="58">+($P$54*K34)*(1+S51)</f>
        <v>96904.761275766985</v>
      </c>
      <c r="L51" s="609">
        <f t="shared" si="58"/>
        <v>98798.709008093516</v>
      </c>
      <c r="M51" s="609">
        <f t="shared" si="58"/>
        <v>101048.70111214968</v>
      </c>
      <c r="N51" s="609">
        <f t="shared" si="58"/>
        <v>103451.25686877927</v>
      </c>
      <c r="R51" s="724">
        <f>+R50</f>
        <v>5.1999999999999998E-2</v>
      </c>
      <c r="S51" s="724">
        <f t="shared" ref="S51:V51" si="59">+S50</f>
        <v>1.7000000000000001E-2</v>
      </c>
      <c r="T51" s="724">
        <f t="shared" si="59"/>
        <v>2.1000000000000001E-2</v>
      </c>
      <c r="U51" s="724">
        <f t="shared" si="59"/>
        <v>0.02</v>
      </c>
      <c r="V51" s="724">
        <f t="shared" si="59"/>
        <v>0.02</v>
      </c>
    </row>
    <row r="53" spans="2:22">
      <c r="B53" s="604" t="s">
        <v>4260</v>
      </c>
      <c r="C53" s="604">
        <f>+C50/C34</f>
        <v>493.82239316239315</v>
      </c>
      <c r="D53" s="604">
        <f t="shared" ref="D53:E53" si="60">+D50/D34</f>
        <v>330.41930769230771</v>
      </c>
      <c r="E53" s="604">
        <f t="shared" si="60"/>
        <v>458.0288888888889</v>
      </c>
      <c r="F53" s="604">
        <f>+F50/F34</f>
        <v>431.4412101910828</v>
      </c>
      <c r="G53" s="604">
        <f>+G50/H34</f>
        <v>695.75020942408378</v>
      </c>
      <c r="P53" s="604">
        <f>+AVERAGE(C53:G53)</f>
        <v>481.8924018717513</v>
      </c>
    </row>
    <row r="54" spans="2:22">
      <c r="B54" s="604" t="s">
        <v>4261</v>
      </c>
      <c r="C54" s="604">
        <f>+C51/C34</f>
        <v>298.44410256410254</v>
      </c>
      <c r="D54" s="604">
        <f t="shared" ref="D54:F54" si="61">+D51/D34</f>
        <v>343.04123076923076</v>
      </c>
      <c r="E54" s="604">
        <f t="shared" si="61"/>
        <v>280.43493055555552</v>
      </c>
      <c r="F54" s="604">
        <f t="shared" si="61"/>
        <v>335.3043949044586</v>
      </c>
      <c r="G54" s="604">
        <f>+G51/H34</f>
        <v>432.27481675392676</v>
      </c>
      <c r="P54" s="604">
        <f>+AVERAGE(C54:G54)</f>
        <v>337.8998951094548</v>
      </c>
    </row>
  </sheetData>
  <pageMargins left="0.7" right="0.7" top="0.75" bottom="0.75" header="0.3" footer="0.3"/>
  <pageSetup orientation="portrait" r:id="rId1"/>
  <ignoredErrors>
    <ignoredError sqref="J18:N18 C18:F18 G12:G17 G18:I18 G37:I38 I7 I12:I15 J37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B2:M51"/>
  <sheetViews>
    <sheetView showGridLines="0" zoomScale="92" workbookViewId="0">
      <selection activeCell="F1" sqref="F1"/>
    </sheetView>
  </sheetViews>
  <sheetFormatPr defaultColWidth="8.7109375" defaultRowHeight="12"/>
  <cols>
    <col min="1" max="1" width="3.28515625" style="598" customWidth="1"/>
    <col min="2" max="2" width="23.85546875" style="598" bestFit="1" customWidth="1"/>
    <col min="3" max="7" width="9.140625" style="598" bestFit="1" customWidth="1"/>
    <col min="8" max="16384" width="8.7109375" style="598"/>
  </cols>
  <sheetData>
    <row r="2" spans="2:13">
      <c r="B2" s="597" t="s">
        <v>9</v>
      </c>
      <c r="C2" s="605"/>
      <c r="D2" s="605"/>
      <c r="E2" s="605"/>
      <c r="F2" s="605"/>
      <c r="G2" s="605"/>
      <c r="H2" s="597"/>
      <c r="I2" s="597"/>
      <c r="J2" s="597"/>
      <c r="K2" s="597"/>
      <c r="L2" s="597"/>
    </row>
    <row r="4" spans="2:13">
      <c r="B4" s="599" t="s">
        <v>2452</v>
      </c>
      <c r="C4" s="606">
        <v>2018</v>
      </c>
      <c r="D4" s="606">
        <f>+C4+1</f>
        <v>2019</v>
      </c>
      <c r="E4" s="606">
        <f t="shared" ref="E4:G4" si="0">+D4+1</f>
        <v>2020</v>
      </c>
      <c r="F4" s="606">
        <f t="shared" si="0"/>
        <v>2021</v>
      </c>
      <c r="G4" s="606">
        <f t="shared" si="0"/>
        <v>2022</v>
      </c>
      <c r="H4" s="1049">
        <v>45078</v>
      </c>
      <c r="I4" s="599">
        <f>+G4+1</f>
        <v>2023</v>
      </c>
      <c r="J4" s="599">
        <f>+I4+1</f>
        <v>2024</v>
      </c>
      <c r="K4" s="599">
        <f>+J4+1</f>
        <v>2025</v>
      </c>
      <c r="L4" s="599">
        <f>+K4+1</f>
        <v>2026</v>
      </c>
      <c r="M4" s="599">
        <f>+L4+1</f>
        <v>2027</v>
      </c>
    </row>
    <row r="6" spans="2:13">
      <c r="B6" s="728" t="s">
        <v>2534</v>
      </c>
    </row>
    <row r="7" spans="2:13" ht="3.4" customHeight="1"/>
    <row r="8" spans="2:13">
      <c r="B8" s="728" t="s">
        <v>2531</v>
      </c>
      <c r="C8" s="613">
        <f>+SP!C8</f>
        <v>5353.854769999999</v>
      </c>
      <c r="D8" s="613">
        <f>+SP!D8</f>
        <v>4843.1765400000022</v>
      </c>
      <c r="E8" s="613">
        <f>+SP!E8</f>
        <v>4899.8916599999984</v>
      </c>
      <c r="F8" s="613">
        <f>+SP!F8</f>
        <v>5325.4994699999988</v>
      </c>
      <c r="G8" s="613">
        <f>+SP!I8</f>
        <v>6142.4648399999996</v>
      </c>
      <c r="H8" s="613">
        <f>+SP!J8</f>
        <v>6945.0452399999995</v>
      </c>
      <c r="I8" s="609">
        <f>+Immobilizzazioni!M1376/1000</f>
        <v>6086.6989057857163</v>
      </c>
      <c r="J8" s="609">
        <f>+Immobilizzazioni!N1376/1000</f>
        <v>4549.4493016571441</v>
      </c>
      <c r="K8" s="609">
        <f>+Immobilizzazioni!O1376/1000</f>
        <v>3238.0146125285728</v>
      </c>
      <c r="L8" s="609">
        <f>+Immobilizzazioni!P1376/1000</f>
        <v>2029.0234604000016</v>
      </c>
      <c r="M8" s="609">
        <f>+Immobilizzazioni!Q1376/1000</f>
        <v>1097.9031602714299</v>
      </c>
    </row>
    <row r="9" spans="2:13">
      <c r="B9" s="598" t="s">
        <v>2532</v>
      </c>
      <c r="C9" s="613">
        <f>+CE!C29</f>
        <v>-1008.8810500000001</v>
      </c>
      <c r="D9" s="613">
        <f>+CE!D29</f>
        <v>-1096.4354499999997</v>
      </c>
      <c r="E9" s="613">
        <f>+CE!E29</f>
        <v>-1214.2543099999996</v>
      </c>
      <c r="F9" s="613">
        <f>+CE!F29</f>
        <v>-1436.1092499999995</v>
      </c>
      <c r="G9" s="613">
        <f>+CE!I29</f>
        <v>-1521.0348400000003</v>
      </c>
      <c r="H9" s="613">
        <f>+CE!J29</f>
        <v>-877.66613000000007</v>
      </c>
      <c r="I9" s="609">
        <f>-Immobilizzazioni!M1381/1000</f>
        <v>-1694.7175144142857</v>
      </c>
      <c r="J9" s="609">
        <f>-Immobilizzazioni!N1381/1000</f>
        <v>-1537.2496041285717</v>
      </c>
      <c r="K9" s="609">
        <f>-Immobilizzazioni!O1381/1000</f>
        <v>-1311.4346891285716</v>
      </c>
      <c r="L9" s="609">
        <f>-Immobilizzazioni!P1381/1000</f>
        <v>-1208.9911521285712</v>
      </c>
      <c r="M9" s="609">
        <f>-Immobilizzazioni!Q1381/1000</f>
        <v>-931.12030012857156</v>
      </c>
    </row>
    <row r="10" spans="2:13" ht="5.0999999999999996" customHeight="1"/>
    <row r="11" spans="2:13">
      <c r="B11" s="728" t="s">
        <v>2624</v>
      </c>
      <c r="C11" s="728"/>
      <c r="D11" s="729">
        <f>+C8-D8+D9</f>
        <v>-585.75722000000292</v>
      </c>
      <c r="E11" s="729">
        <f t="shared" ref="E11:F11" si="1">+D8-E8+E9</f>
        <v>-1270.9694299999958</v>
      </c>
      <c r="F11" s="729">
        <f t="shared" si="1"/>
        <v>-1861.7170599999999</v>
      </c>
      <c r="G11" s="729">
        <f>+F8-G8+G9</f>
        <v>-2338.0002100000011</v>
      </c>
      <c r="H11" s="729">
        <f>+G8-H8+H9</f>
        <v>-1680.2465299999999</v>
      </c>
    </row>
    <row r="12" spans="2:13">
      <c r="B12" s="598" t="s">
        <v>2533</v>
      </c>
      <c r="D12" s="635">
        <f>-D11/CE!D6</f>
        <v>2.4687148064702999E-2</v>
      </c>
      <c r="E12" s="635">
        <f>-E11/CE!E6</f>
        <v>5.0926168909563814E-2</v>
      </c>
      <c r="F12" s="635">
        <f>-F11/CE!F6</f>
        <v>6.4398846268972396E-2</v>
      </c>
      <c r="G12" s="635">
        <f>-G11/CE!I6</f>
        <v>4.878554216024069E-2</v>
      </c>
      <c r="H12" s="635">
        <f>-H11/CE!J6</f>
        <v>6.5511829280123959E-2</v>
      </c>
    </row>
    <row r="13" spans="2:13">
      <c r="D13" s="822">
        <f>+D11-RF!D20+D30</f>
        <v>1.4210854715202004E-13</v>
      </c>
      <c r="E13" s="822">
        <f>+E11-RF!E20+E30</f>
        <v>7.3896444519050419E-13</v>
      </c>
      <c r="F13" s="822">
        <f>+F11-RF!F20+F30</f>
        <v>2.300000014656689E-4</v>
      </c>
      <c r="G13" s="822">
        <f>+G11-RF!G20+G30</f>
        <v>240.00018000000085</v>
      </c>
      <c r="H13" s="822">
        <f>+H11-RF!H20+H30</f>
        <v>0</v>
      </c>
    </row>
    <row r="14" spans="2:13">
      <c r="B14" s="728" t="s">
        <v>2636</v>
      </c>
    </row>
    <row r="15" spans="2:13" ht="3.4" customHeight="1"/>
    <row r="16" spans="2:13">
      <c r="B16" s="728" t="s">
        <v>2531</v>
      </c>
      <c r="C16" s="613">
        <v>0</v>
      </c>
      <c r="D16" s="613">
        <v>0</v>
      </c>
      <c r="E16" s="613">
        <v>0</v>
      </c>
      <c r="F16" s="613">
        <v>0</v>
      </c>
      <c r="G16" s="613">
        <v>0</v>
      </c>
      <c r="H16" s="613">
        <v>0</v>
      </c>
      <c r="I16" s="609">
        <f>+D41-D51</f>
        <v>1601.8229521799915</v>
      </c>
      <c r="J16" s="609">
        <f>+I16+E41-E51</f>
        <v>4339.393365764452</v>
      </c>
      <c r="K16" s="609">
        <f>+J16+F41-F51</f>
        <v>6627.5368920190758</v>
      </c>
      <c r="L16" s="609">
        <f>+K16+G41-G51</f>
        <v>8472.8806688765908</v>
      </c>
      <c r="M16" s="609">
        <f>+L16+H41-H51</f>
        <v>9855.8300367571865</v>
      </c>
    </row>
    <row r="17" spans="2:13">
      <c r="B17" s="598" t="s">
        <v>2532</v>
      </c>
      <c r="C17" s="613">
        <v>0</v>
      </c>
      <c r="D17" s="613">
        <v>0</v>
      </c>
      <c r="E17" s="613">
        <v>0</v>
      </c>
      <c r="F17" s="613">
        <v>0</v>
      </c>
      <c r="G17" s="613">
        <v>0</v>
      </c>
      <c r="H17" s="613">
        <v>0</v>
      </c>
      <c r="I17" s="609">
        <f>-D51</f>
        <v>-148.17704782000851</v>
      </c>
      <c r="J17" s="609">
        <f>-E51</f>
        <v>-577.00806958503267</v>
      </c>
      <c r="K17" s="609">
        <f>-F51</f>
        <v>-1148.6656040122148</v>
      </c>
      <c r="L17" s="609">
        <f>-G51</f>
        <v>-1743.5501390038226</v>
      </c>
      <c r="M17" s="609">
        <f>-H51</f>
        <v>-2364.75935003313</v>
      </c>
    </row>
    <row r="20" spans="2:13">
      <c r="B20" s="728" t="s">
        <v>2637</v>
      </c>
    </row>
    <row r="21" spans="2:13">
      <c r="B21" s="728" t="s">
        <v>2531</v>
      </c>
      <c r="C21" s="613">
        <v>0</v>
      </c>
      <c r="D21" s="613">
        <v>0</v>
      </c>
      <c r="E21" s="613">
        <v>0</v>
      </c>
      <c r="F21" s="613">
        <v>0</v>
      </c>
      <c r="G21" s="613">
        <v>0</v>
      </c>
      <c r="H21" s="613">
        <v>0</v>
      </c>
      <c r="I21" s="773">
        <f>+I8+I16</f>
        <v>7688.5218579657076</v>
      </c>
      <c r="J21" s="773">
        <f>+J8+J16</f>
        <v>8888.8426674215953</v>
      </c>
      <c r="K21" s="773">
        <f t="shared" ref="K21:M21" si="2">+K8+K16</f>
        <v>9865.5515045476495</v>
      </c>
      <c r="L21" s="773">
        <f t="shared" si="2"/>
        <v>10501.904129276592</v>
      </c>
      <c r="M21" s="773">
        <f t="shared" si="2"/>
        <v>10953.733197028616</v>
      </c>
    </row>
    <row r="22" spans="2:13">
      <c r="B22" s="728" t="s">
        <v>2532</v>
      </c>
      <c r="C22" s="613">
        <v>0</v>
      </c>
      <c r="D22" s="613">
        <v>0</v>
      </c>
      <c r="E22" s="613">
        <v>0</v>
      </c>
      <c r="F22" s="613">
        <v>0</v>
      </c>
      <c r="G22" s="613">
        <v>0</v>
      </c>
      <c r="H22" s="613">
        <v>0</v>
      </c>
      <c r="I22" s="773">
        <f>+I9+I17</f>
        <v>-1842.8945622342942</v>
      </c>
      <c r="J22" s="773">
        <f t="shared" ref="J22:M22" si="3">+J9+J17</f>
        <v>-2114.2576737136042</v>
      </c>
      <c r="K22" s="773">
        <f t="shared" si="3"/>
        <v>-2460.1002931407866</v>
      </c>
      <c r="L22" s="773">
        <f t="shared" si="3"/>
        <v>-2952.5412911323938</v>
      </c>
      <c r="M22" s="773">
        <f t="shared" si="3"/>
        <v>-3295.8796501617016</v>
      </c>
    </row>
    <row r="26" spans="2:13">
      <c r="B26" s="728" t="s">
        <v>2622</v>
      </c>
      <c r="C26" s="613">
        <f>+SP!C7</f>
        <v>250.66577000000001</v>
      </c>
      <c r="D26" s="613">
        <f>+SP!D7</f>
        <v>188.53018</v>
      </c>
      <c r="E26" s="613">
        <f>+SP!E7</f>
        <v>129.52259000000004</v>
      </c>
      <c r="F26" s="613">
        <f>+SP!F7</f>
        <v>8221.1811800000014</v>
      </c>
      <c r="G26" s="613">
        <f>+SP!I7</f>
        <v>7996.9581000000007</v>
      </c>
      <c r="H26" s="613">
        <f>+SP!J7</f>
        <v>7434.2651599999999</v>
      </c>
      <c r="I26" s="773">
        <f>+Immobilizzazioni!M1377/1000</f>
        <v>7584.0880999999999</v>
      </c>
      <c r="J26" s="773">
        <f>+Immobilizzazioni!N1377/1000</f>
        <v>7171.2181</v>
      </c>
      <c r="K26" s="773">
        <f>+Immobilizzazioni!O1377/1000</f>
        <v>6760.2800999999999</v>
      </c>
      <c r="L26" s="773">
        <f>+Immobilizzazioni!P1377/1000</f>
        <v>6355.5420999999997</v>
      </c>
      <c r="M26" s="773">
        <f>+Immobilizzazioni!Q1377/1000</f>
        <v>5955.4040999999997</v>
      </c>
    </row>
    <row r="27" spans="2:13">
      <c r="B27" s="598" t="s">
        <v>2623</v>
      </c>
      <c r="C27" s="613">
        <f>+CE!C30</f>
        <v>-66.597589999999997</v>
      </c>
      <c r="D27" s="613">
        <f>+CE!D30</f>
        <v>-66.735590000000002</v>
      </c>
      <c r="E27" s="613">
        <f>+CE!E30</f>
        <v>-68.66758999999999</v>
      </c>
      <c r="F27" s="613">
        <f>+CE!F30</f>
        <v>-234.86759000000001</v>
      </c>
      <c r="G27" s="613">
        <f>+CE!I30</f>
        <v>-463.74299999999999</v>
      </c>
      <c r="H27" s="613">
        <f>+CE!J30</f>
        <v>-206.22594000000001</v>
      </c>
      <c r="I27" s="773">
        <f>-Immobilizzazioni!M1382/1000</f>
        <v>-412.87</v>
      </c>
      <c r="J27" s="773">
        <f>-Immobilizzazioni!N1382/1000</f>
        <v>-412.87</v>
      </c>
      <c r="K27" s="773">
        <f>-Immobilizzazioni!O1382/1000</f>
        <v>-410.93799999999999</v>
      </c>
      <c r="L27" s="773">
        <f>-Immobilizzazioni!P1382/1000</f>
        <v>-404.738</v>
      </c>
      <c r="M27" s="773">
        <f>-Immobilizzazioni!Q1382/1000</f>
        <v>-400.13799999999998</v>
      </c>
    </row>
    <row r="30" spans="2:13">
      <c r="B30" s="728" t="s">
        <v>2625</v>
      </c>
      <c r="D30" s="729">
        <f>+C26-D26+D27</f>
        <v>-4.5999999999999943</v>
      </c>
      <c r="E30" s="729">
        <f t="shared" ref="E30:G30" si="4">+D26-E26+E27</f>
        <v>-9.660000000000025</v>
      </c>
      <c r="F30" s="729">
        <f>+E26-F26+F27</f>
        <v>-8326.5261800000007</v>
      </c>
      <c r="G30" s="729">
        <f t="shared" si="4"/>
        <v>-239.51991999999933</v>
      </c>
      <c r="H30" s="729">
        <f>+G26-H26+H27</f>
        <v>356.46700000000078</v>
      </c>
    </row>
    <row r="31" spans="2:13">
      <c r="B31" s="598" t="s">
        <v>2533</v>
      </c>
      <c r="D31" s="635">
        <f>-D30/CE!D6</f>
        <v>1.9387021998232152E-4</v>
      </c>
      <c r="E31" s="635">
        <f>-E30/CE!E6</f>
        <v>3.8706422047176178E-4</v>
      </c>
      <c r="F31" s="896">
        <f>-F30/CE!F6</f>
        <v>0.28802372333656007</v>
      </c>
      <c r="G31" s="635">
        <f>-G30/CE!I6</f>
        <v>4.9979076586042902E-3</v>
      </c>
      <c r="H31" s="635">
        <f>-H30/CE!J6</f>
        <v>-1.389843980097254E-2</v>
      </c>
    </row>
    <row r="35" spans="2:10">
      <c r="B35" s="765" t="s">
        <v>2531</v>
      </c>
      <c r="C35" s="766"/>
      <c r="D35" s="767">
        <f>+'Calcolo Aliquota media Imm.Mate'!I1080</f>
        <v>0.16934519750858115</v>
      </c>
      <c r="E35" s="766" t="s">
        <v>3723</v>
      </c>
      <c r="F35" s="766"/>
      <c r="G35" s="772">
        <f>+AVERAGE(D12:H12)</f>
        <v>5.0861906936720783E-2</v>
      </c>
      <c r="H35" s="766"/>
      <c r="I35" s="766"/>
      <c r="J35" s="766"/>
    </row>
    <row r="36" spans="2:10">
      <c r="B36" s="766"/>
      <c r="C36" s="766"/>
      <c r="D36" s="766"/>
      <c r="E36" s="766"/>
      <c r="F36" s="766"/>
      <c r="G36" s="766"/>
      <c r="H36" s="766"/>
      <c r="I36" s="766"/>
      <c r="J36" s="766"/>
    </row>
    <row r="37" spans="2:10">
      <c r="B37" s="599" t="s">
        <v>2631</v>
      </c>
      <c r="C37" s="606">
        <v>2022</v>
      </c>
      <c r="D37" s="606">
        <f>+C37+1</f>
        <v>2023</v>
      </c>
      <c r="E37" s="606">
        <f>+D37+1</f>
        <v>2024</v>
      </c>
      <c r="F37" s="606">
        <f t="shared" ref="F37:J37" si="5">+E37+1</f>
        <v>2025</v>
      </c>
      <c r="G37" s="606">
        <f t="shared" si="5"/>
        <v>2026</v>
      </c>
      <c r="H37" s="599">
        <f t="shared" si="5"/>
        <v>2027</v>
      </c>
      <c r="I37" s="599">
        <f t="shared" si="5"/>
        <v>2028</v>
      </c>
      <c r="J37" s="599">
        <f t="shared" si="5"/>
        <v>2029</v>
      </c>
    </row>
    <row r="38" spans="2:10">
      <c r="B38" s="766"/>
      <c r="C38" s="768"/>
      <c r="D38" s="768"/>
      <c r="E38" s="768"/>
      <c r="F38" s="768"/>
      <c r="G38" s="768"/>
      <c r="H38" s="768"/>
      <c r="I38" s="768"/>
      <c r="J38" s="768"/>
    </row>
    <row r="39" spans="2:10">
      <c r="B39" s="766"/>
      <c r="C39" s="768"/>
      <c r="D39" s="768"/>
      <c r="E39" s="768"/>
      <c r="F39" s="768"/>
      <c r="G39" s="768"/>
      <c r="H39" s="768"/>
      <c r="I39" s="768"/>
      <c r="J39" s="768"/>
    </row>
    <row r="40" spans="2:10">
      <c r="B40" s="766"/>
      <c r="C40" s="768"/>
      <c r="D40" s="768"/>
      <c r="E40" s="768"/>
      <c r="F40" s="768"/>
      <c r="G40" s="768"/>
      <c r="H40" s="768"/>
      <c r="I40" s="768"/>
      <c r="J40" s="768"/>
    </row>
    <row r="41" spans="2:10" ht="12.75" thickBot="1">
      <c r="B41" s="769" t="s">
        <v>2626</v>
      </c>
      <c r="C41" s="770"/>
      <c r="D41" s="774">
        <v>1750</v>
      </c>
      <c r="E41" s="770">
        <f>+$G$35*CE!M6</f>
        <v>3314.5784831694937</v>
      </c>
      <c r="F41" s="770">
        <f>+$G$35*CE!N6</f>
        <v>3436.8091302668386</v>
      </c>
      <c r="G41" s="770">
        <f>+$G$35*CE!O6</f>
        <v>3588.8939158613366</v>
      </c>
      <c r="H41" s="770">
        <f>+$G$35*CE!P6</f>
        <v>3747.7087179137247</v>
      </c>
      <c r="I41" s="770">
        <f>+$G$35*CE!Q6</f>
        <v>0</v>
      </c>
      <c r="J41" s="770">
        <v>0</v>
      </c>
    </row>
    <row r="42" spans="2:10" ht="12.75" thickTop="1">
      <c r="B42" s="766"/>
      <c r="C42" s="768"/>
      <c r="D42" s="768"/>
      <c r="E42" s="768"/>
      <c r="F42" s="768"/>
      <c r="G42" s="768"/>
      <c r="H42" s="768"/>
      <c r="I42" s="768"/>
      <c r="J42" s="768"/>
    </row>
    <row r="43" spans="2:10">
      <c r="B43" s="766" t="s">
        <v>2627</v>
      </c>
      <c r="C43" s="768"/>
      <c r="D43" s="768">
        <f>+(D41*$D$35)/2</f>
        <v>148.17704782000851</v>
      </c>
      <c r="E43" s="768">
        <f>+(E41*$D$35)/2</f>
        <v>280.65397394501559</v>
      </c>
      <c r="F43" s="768">
        <f t="shared" ref="F43:J43" si="6">+(F41*$D$35)/2</f>
        <v>291.00356048216639</v>
      </c>
      <c r="G43" s="768">
        <f t="shared" si="6"/>
        <v>303.88097450944161</v>
      </c>
      <c r="H43" s="768">
        <f t="shared" si="6"/>
        <v>317.32823651986558</v>
      </c>
      <c r="I43" s="768">
        <f t="shared" si="6"/>
        <v>0</v>
      </c>
      <c r="J43" s="768">
        <f t="shared" si="6"/>
        <v>0</v>
      </c>
    </row>
    <row r="44" spans="2:10">
      <c r="B44" s="766" t="s">
        <v>2632</v>
      </c>
      <c r="C44" s="768"/>
      <c r="D44" s="768"/>
      <c r="E44" s="768">
        <f>+$D$41*$D$35</f>
        <v>296.35409564001702</v>
      </c>
      <c r="F44" s="768">
        <f t="shared" ref="F44:J44" si="7">+$D$41*$D$35</f>
        <v>296.35409564001702</v>
      </c>
      <c r="G44" s="768">
        <f t="shared" si="7"/>
        <v>296.35409564001702</v>
      </c>
      <c r="H44" s="768">
        <f t="shared" si="7"/>
        <v>296.35409564001702</v>
      </c>
      <c r="I44" s="768">
        <f t="shared" si="7"/>
        <v>296.35409564001702</v>
      </c>
      <c r="J44" s="768">
        <f t="shared" si="7"/>
        <v>296.35409564001702</v>
      </c>
    </row>
    <row r="45" spans="2:10">
      <c r="B45" s="766" t="s">
        <v>2628</v>
      </c>
      <c r="C45" s="768"/>
      <c r="D45" s="768"/>
      <c r="E45" s="768"/>
      <c r="F45" s="768">
        <f>+$E$41*$D$35</f>
        <v>561.30794789003119</v>
      </c>
      <c r="G45" s="768">
        <f t="shared" ref="G45:J45" si="8">+$E$41*$D$35</f>
        <v>561.30794789003119</v>
      </c>
      <c r="H45" s="768">
        <f t="shared" si="8"/>
        <v>561.30794789003119</v>
      </c>
      <c r="I45" s="768">
        <f t="shared" si="8"/>
        <v>561.30794789003119</v>
      </c>
      <c r="J45" s="768">
        <f t="shared" si="8"/>
        <v>561.30794789003119</v>
      </c>
    </row>
    <row r="46" spans="2:10">
      <c r="B46" s="766" t="s">
        <v>2629</v>
      </c>
      <c r="C46" s="766"/>
      <c r="D46" s="766"/>
      <c r="E46" s="766"/>
      <c r="F46" s="766"/>
      <c r="G46" s="768">
        <f>+$F$41*$D$35</f>
        <v>582.00712096433278</v>
      </c>
      <c r="H46" s="768">
        <f t="shared" ref="H46:J46" si="9">+$F$41*$D$35</f>
        <v>582.00712096433278</v>
      </c>
      <c r="I46" s="768">
        <f t="shared" si="9"/>
        <v>582.00712096433278</v>
      </c>
      <c r="J46" s="768">
        <f t="shared" si="9"/>
        <v>582.00712096433278</v>
      </c>
    </row>
    <row r="47" spans="2:10">
      <c r="B47" s="766" t="s">
        <v>2633</v>
      </c>
      <c r="C47" s="766"/>
      <c r="D47" s="766"/>
      <c r="E47" s="766"/>
      <c r="F47" s="766"/>
      <c r="G47" s="768"/>
      <c r="H47" s="768">
        <f>+$G$41*$D$35</f>
        <v>607.76194901888323</v>
      </c>
      <c r="I47" s="768">
        <f t="shared" ref="I47:J47" si="10">+$G$41*$D$35</f>
        <v>607.76194901888323</v>
      </c>
      <c r="J47" s="768">
        <f t="shared" si="10"/>
        <v>607.76194901888323</v>
      </c>
    </row>
    <row r="48" spans="2:10">
      <c r="B48" s="766" t="s">
        <v>2634</v>
      </c>
      <c r="C48" s="766"/>
      <c r="D48" s="766"/>
      <c r="E48" s="766"/>
      <c r="F48" s="766"/>
      <c r="G48" s="768"/>
      <c r="H48" s="768"/>
      <c r="I48" s="768">
        <f>+$H$41*$D$35</f>
        <v>634.65647303973117</v>
      </c>
      <c r="J48" s="768">
        <f>+$H$41*$D$35</f>
        <v>634.65647303973117</v>
      </c>
    </row>
    <row r="49" spans="2:10">
      <c r="B49" s="766" t="s">
        <v>2635</v>
      </c>
      <c r="C49" s="766"/>
      <c r="D49" s="766"/>
      <c r="E49" s="766"/>
      <c r="F49" s="766"/>
      <c r="G49" s="768"/>
      <c r="H49" s="768"/>
      <c r="I49" s="768"/>
      <c r="J49" s="768">
        <f>+$I$41*$D$35</f>
        <v>0</v>
      </c>
    </row>
    <row r="50" spans="2:10">
      <c r="B50" s="766"/>
      <c r="C50" s="766"/>
      <c r="D50" s="766"/>
      <c r="E50" s="766"/>
      <c r="F50" s="766"/>
      <c r="G50" s="766"/>
      <c r="H50" s="766"/>
      <c r="I50" s="766"/>
      <c r="J50" s="766"/>
    </row>
    <row r="51" spans="2:10">
      <c r="B51" s="765" t="s">
        <v>2630</v>
      </c>
      <c r="C51" s="765"/>
      <c r="D51" s="771">
        <f>+SUM(D43:D49)</f>
        <v>148.17704782000851</v>
      </c>
      <c r="E51" s="771">
        <f>+SUM(E43:E49)</f>
        <v>577.00806958503267</v>
      </c>
      <c r="F51" s="771">
        <f t="shared" ref="F51:I51" si="11">+SUM(F43:F49)</f>
        <v>1148.6656040122148</v>
      </c>
      <c r="G51" s="771">
        <f t="shared" si="11"/>
        <v>1743.5501390038226</v>
      </c>
      <c r="H51" s="771">
        <f t="shared" si="11"/>
        <v>2364.75935003313</v>
      </c>
      <c r="I51" s="771">
        <f t="shared" si="11"/>
        <v>2682.0875865529956</v>
      </c>
      <c r="J51" s="771">
        <f>+SUM(J43:J49)</f>
        <v>2682.0875865529956</v>
      </c>
    </row>
  </sheetData>
  <pageMargins left="0.7" right="0.7" top="0.75" bottom="0.75" header="0.3" footer="0.3"/>
  <pageSetup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AA1384"/>
  <sheetViews>
    <sheetView showGridLines="0" zoomScale="95" workbookViewId="0">
      <pane ySplit="4" topLeftCell="A1344" activePane="bottomLeft" state="frozen"/>
      <selection activeCell="D1" sqref="D1"/>
      <selection pane="bottomLeft" activeCell="B4" sqref="B4"/>
    </sheetView>
  </sheetViews>
  <sheetFormatPr defaultColWidth="8.7109375" defaultRowHeight="12" outlineLevelCol="1"/>
  <cols>
    <col min="1" max="1" width="8.7109375" style="598"/>
    <col min="2" max="2" width="24.28515625" style="598" bestFit="1" customWidth="1"/>
    <col min="3" max="3" width="27.7109375" style="598" customWidth="1" outlineLevel="1"/>
    <col min="4" max="4" width="5.7109375" style="598" customWidth="1" outlineLevel="1"/>
    <col min="5" max="5" width="63.28515625" style="598" customWidth="1" outlineLevel="1"/>
    <col min="6" max="6" width="4.7109375" style="730" customWidth="1" outlineLevel="1"/>
    <col min="7" max="7" width="12.140625" style="598" customWidth="1" outlineLevel="1"/>
    <col min="8" max="8" width="11.85546875" style="598" customWidth="1" outlineLevel="1"/>
    <col min="9" max="9" width="11.5703125" style="598" customWidth="1" outlineLevel="1"/>
    <col min="10" max="10" width="11.140625" style="598" bestFit="1" customWidth="1"/>
    <col min="11" max="11" width="11.85546875" style="598" customWidth="1"/>
    <col min="12" max="12" width="13.7109375" style="598" bestFit="1" customWidth="1"/>
    <col min="13" max="23" width="12.7109375" style="598" customWidth="1"/>
    <col min="24" max="16384" width="8.7109375" style="598"/>
  </cols>
  <sheetData>
    <row r="1" spans="2:27">
      <c r="L1" s="598" t="s">
        <v>870</v>
      </c>
      <c r="M1" s="598">
        <v>2023</v>
      </c>
      <c r="N1" s="598">
        <v>2024</v>
      </c>
      <c r="O1" s="598">
        <v>2025</v>
      </c>
      <c r="P1" s="598">
        <v>2026</v>
      </c>
      <c r="Q1" s="598">
        <v>2027</v>
      </c>
      <c r="R1" s="598">
        <v>2028</v>
      </c>
      <c r="S1" s="598">
        <v>2029</v>
      </c>
      <c r="T1" s="598">
        <v>2030</v>
      </c>
      <c r="U1" s="598">
        <v>2031</v>
      </c>
      <c r="V1" s="598">
        <v>2032</v>
      </c>
      <c r="W1" s="598">
        <v>2033</v>
      </c>
    </row>
    <row r="2" spans="2:27">
      <c r="I2" s="746"/>
      <c r="K2" s="746"/>
    </row>
    <row r="3" spans="2:27">
      <c r="B3" s="736"/>
      <c r="C3" s="736"/>
      <c r="D3" s="736"/>
      <c r="E3" s="599"/>
      <c r="F3" s="737"/>
      <c r="G3" s="599"/>
      <c r="H3" s="1524">
        <v>2021</v>
      </c>
      <c r="I3" s="1525"/>
      <c r="J3" s="1526">
        <v>2022</v>
      </c>
      <c r="K3" s="1526"/>
      <c r="L3" s="1525"/>
      <c r="M3" s="599">
        <v>2023</v>
      </c>
      <c r="N3" s="599">
        <f>+M3+1</f>
        <v>2024</v>
      </c>
      <c r="O3" s="599">
        <f t="shared" ref="O3:W3" si="0">+N3+1</f>
        <v>2025</v>
      </c>
      <c r="P3" s="599">
        <f t="shared" si="0"/>
        <v>2026</v>
      </c>
      <c r="Q3" s="599">
        <f t="shared" si="0"/>
        <v>2027</v>
      </c>
      <c r="R3" s="599">
        <f t="shared" si="0"/>
        <v>2028</v>
      </c>
      <c r="S3" s="599">
        <f t="shared" si="0"/>
        <v>2029</v>
      </c>
      <c r="T3" s="599">
        <f t="shared" si="0"/>
        <v>2030</v>
      </c>
      <c r="U3" s="599">
        <f t="shared" si="0"/>
        <v>2031</v>
      </c>
      <c r="V3" s="599">
        <f t="shared" si="0"/>
        <v>2032</v>
      </c>
      <c r="W3" s="599">
        <f t="shared" si="0"/>
        <v>2033</v>
      </c>
    </row>
    <row r="4" spans="2:27" ht="12.75" thickBot="1">
      <c r="B4" s="599" t="s">
        <v>2594</v>
      </c>
      <c r="C4" s="599" t="s">
        <v>2593</v>
      </c>
      <c r="D4" s="599" t="s">
        <v>865</v>
      </c>
      <c r="E4" s="599" t="s">
        <v>866</v>
      </c>
      <c r="F4" s="737" t="s">
        <v>867</v>
      </c>
      <c r="G4" s="599" t="s">
        <v>868</v>
      </c>
      <c r="H4" s="734" t="s">
        <v>869</v>
      </c>
      <c r="I4" s="735" t="s">
        <v>870</v>
      </c>
      <c r="J4" s="599" t="s">
        <v>871</v>
      </c>
      <c r="K4" s="599" t="s">
        <v>869</v>
      </c>
      <c r="L4" s="735" t="s">
        <v>870</v>
      </c>
      <c r="M4" s="599"/>
      <c r="N4" s="599"/>
      <c r="O4" s="599"/>
      <c r="P4" s="599"/>
      <c r="Q4" s="599"/>
      <c r="R4" s="599"/>
      <c r="S4" s="599"/>
      <c r="T4" s="599"/>
      <c r="U4" s="599"/>
      <c r="V4" s="599"/>
      <c r="W4" s="599"/>
    </row>
    <row r="5" spans="2:27">
      <c r="B5" s="598" t="s">
        <v>2595</v>
      </c>
      <c r="C5" s="604" t="s">
        <v>1111</v>
      </c>
      <c r="D5" s="745">
        <v>2000</v>
      </c>
      <c r="E5" s="604" t="s">
        <v>877</v>
      </c>
      <c r="F5" s="738">
        <v>0.12</v>
      </c>
      <c r="G5" s="739">
        <v>1032.9100000000001</v>
      </c>
      <c r="H5" s="741">
        <v>1032.9100000000001</v>
      </c>
      <c r="I5" s="742">
        <f t="shared" ref="I5:I28" si="1">+G5-H5</f>
        <v>0</v>
      </c>
      <c r="J5" s="740">
        <f t="shared" ref="J5:J28" si="2">IF(I5=0,0,G5*F5)</f>
        <v>0</v>
      </c>
      <c r="K5" s="739">
        <f t="shared" ref="K5:K28" si="3">+H5+J5</f>
        <v>1032.9100000000001</v>
      </c>
      <c r="L5" s="849">
        <f t="shared" ref="L5:L28" si="4">+G5-K5</f>
        <v>0</v>
      </c>
      <c r="M5" s="740">
        <f>+IF(L5=0,0,G5*F5)</f>
        <v>0</v>
      </c>
      <c r="N5" s="604">
        <f>+IF(L5-M5&gt;0,G5*F5,0)</f>
        <v>0</v>
      </c>
      <c r="O5" s="604">
        <f t="shared" ref="O5:O68" si="5">+IF(L5-SUM(M5:N5)&gt;0,G5*F5,0)</f>
        <v>0</v>
      </c>
      <c r="P5" s="604">
        <f t="shared" ref="P5:P68" si="6">+IF(L5-SUM(M5:O5)&gt;0,G5*F5,0)</f>
        <v>0</v>
      </c>
      <c r="Q5" s="604">
        <f t="shared" ref="Q5:Q68" si="7">+IF(L5-SUM(M5:P5)&gt;0,G5*F5,0)</f>
        <v>0</v>
      </c>
      <c r="R5" s="604">
        <f>+IF(L5-SUM(M5:Q5)&gt;0,G5*F5,0)</f>
        <v>0</v>
      </c>
      <c r="S5" s="604">
        <f t="shared" ref="S5:S68" si="8">+IF(L5-SUM(M5:R5)&gt;0,G5*F5,0)</f>
        <v>0</v>
      </c>
      <c r="T5" s="604">
        <f t="shared" ref="T5:T68" si="9">+IF(L5-SUM(M5:S5)&gt;0,G5*F5,0)</f>
        <v>0</v>
      </c>
      <c r="U5" s="604">
        <f t="shared" ref="U5:U68" si="10">+IF(L5-SUM(M5:T5)&gt;0,G5*F5,0)</f>
        <v>0</v>
      </c>
      <c r="V5" s="604">
        <f t="shared" ref="V5:V68" si="11">+IF(L5-SUM(M5:U5)&gt;0,G5*F5,0)</f>
        <v>0</v>
      </c>
      <c r="W5" s="604">
        <f t="shared" ref="W5:W68" si="12">+IF(L5-SUM(M5:V5)&gt;0,G5*F5,0)</f>
        <v>0</v>
      </c>
      <c r="X5" s="746">
        <v>0</v>
      </c>
      <c r="Y5" s="746">
        <f t="shared" ref="Y5:Y68" si="13">+SUM(M5:W5)-L5</f>
        <v>0</v>
      </c>
      <c r="Z5" s="746">
        <f>+SUM(L5:L28)</f>
        <v>9408.9122000000007</v>
      </c>
    </row>
    <row r="6" spans="2:27">
      <c r="B6" s="598" t="s">
        <v>2595</v>
      </c>
      <c r="C6" s="604" t="s">
        <v>1111</v>
      </c>
      <c r="D6" s="745">
        <v>2001</v>
      </c>
      <c r="E6" s="604" t="s">
        <v>878</v>
      </c>
      <c r="F6" s="738">
        <v>0.12</v>
      </c>
      <c r="G6" s="739">
        <v>2453.17</v>
      </c>
      <c r="H6" s="741">
        <v>2453.17</v>
      </c>
      <c r="I6" s="742">
        <f t="shared" si="1"/>
        <v>0</v>
      </c>
      <c r="J6" s="740">
        <f t="shared" si="2"/>
        <v>0</v>
      </c>
      <c r="K6" s="739">
        <f t="shared" si="3"/>
        <v>2453.17</v>
      </c>
      <c r="L6" s="850">
        <f t="shared" si="4"/>
        <v>0</v>
      </c>
      <c r="M6" s="740">
        <f t="shared" ref="M6" si="14">+IF(L6=0,0,G6*F6)</f>
        <v>0</v>
      </c>
      <c r="N6" s="604">
        <f t="shared" ref="N6:N68" si="15">+IF(L6-M6&gt;0,G6*F6,0)</f>
        <v>0</v>
      </c>
      <c r="O6" s="604">
        <f t="shared" si="5"/>
        <v>0</v>
      </c>
      <c r="P6" s="604">
        <f t="shared" si="6"/>
        <v>0</v>
      </c>
      <c r="Q6" s="604">
        <f t="shared" si="7"/>
        <v>0</v>
      </c>
      <c r="R6" s="604">
        <f t="shared" ref="R6:R68" si="16">+IF(L6-SUM(M6:Q6)&gt;0,G6*F6,0)</f>
        <v>0</v>
      </c>
      <c r="S6" s="604">
        <f t="shared" si="8"/>
        <v>0</v>
      </c>
      <c r="T6" s="604">
        <f t="shared" si="9"/>
        <v>0</v>
      </c>
      <c r="U6" s="604">
        <f t="shared" si="10"/>
        <v>0</v>
      </c>
      <c r="V6" s="604">
        <f t="shared" si="11"/>
        <v>0</v>
      </c>
      <c r="W6" s="604">
        <f t="shared" si="12"/>
        <v>0</v>
      </c>
      <c r="X6" s="746">
        <v>0</v>
      </c>
      <c r="Y6" s="746">
        <f t="shared" si="13"/>
        <v>0</v>
      </c>
      <c r="Z6" s="746">
        <f>+Z5-BdV!I40-BdV!I47</f>
        <v>2.2000000026309863E-3</v>
      </c>
      <c r="AA6" s="598" t="s">
        <v>363</v>
      </c>
    </row>
    <row r="7" spans="2:27">
      <c r="B7" s="598" t="s">
        <v>2595</v>
      </c>
      <c r="C7" s="604" t="s">
        <v>1111</v>
      </c>
      <c r="D7" s="745">
        <v>2001</v>
      </c>
      <c r="E7" s="604" t="s">
        <v>879</v>
      </c>
      <c r="F7" s="738">
        <v>0.12</v>
      </c>
      <c r="G7" s="739">
        <v>1334.18</v>
      </c>
      <c r="H7" s="741">
        <v>1334.18</v>
      </c>
      <c r="I7" s="742">
        <f t="shared" si="1"/>
        <v>0</v>
      </c>
      <c r="J7" s="740">
        <f t="shared" si="2"/>
        <v>0</v>
      </c>
      <c r="K7" s="739">
        <f t="shared" si="3"/>
        <v>1334.18</v>
      </c>
      <c r="L7" s="850">
        <f t="shared" si="4"/>
        <v>0</v>
      </c>
      <c r="M7" s="740">
        <f>+IF(L7=0,0,G7*F7)</f>
        <v>0</v>
      </c>
      <c r="N7" s="604">
        <f t="shared" si="15"/>
        <v>0</v>
      </c>
      <c r="O7" s="604">
        <f t="shared" si="5"/>
        <v>0</v>
      </c>
      <c r="P7" s="604">
        <f t="shared" si="6"/>
        <v>0</v>
      </c>
      <c r="Q7" s="604">
        <f t="shared" si="7"/>
        <v>0</v>
      </c>
      <c r="R7" s="604">
        <f t="shared" si="16"/>
        <v>0</v>
      </c>
      <c r="S7" s="604">
        <f t="shared" si="8"/>
        <v>0</v>
      </c>
      <c r="T7" s="604">
        <f t="shared" si="9"/>
        <v>0</v>
      </c>
      <c r="U7" s="604">
        <f t="shared" si="10"/>
        <v>0</v>
      </c>
      <c r="V7" s="604">
        <f t="shared" si="11"/>
        <v>0</v>
      </c>
      <c r="W7" s="604">
        <f t="shared" si="12"/>
        <v>0</v>
      </c>
      <c r="X7" s="746">
        <v>0</v>
      </c>
      <c r="Y7" s="746">
        <f t="shared" si="13"/>
        <v>0</v>
      </c>
    </row>
    <row r="8" spans="2:27">
      <c r="B8" s="598" t="s">
        <v>2595</v>
      </c>
      <c r="C8" s="604" t="s">
        <v>1111</v>
      </c>
      <c r="D8" s="745">
        <v>2001</v>
      </c>
      <c r="E8" s="604" t="s">
        <v>880</v>
      </c>
      <c r="F8" s="738">
        <v>0.12</v>
      </c>
      <c r="G8" s="739">
        <v>6025.33</v>
      </c>
      <c r="H8" s="741">
        <v>6025.33</v>
      </c>
      <c r="I8" s="742">
        <f t="shared" si="1"/>
        <v>0</v>
      </c>
      <c r="J8" s="740">
        <f t="shared" si="2"/>
        <v>0</v>
      </c>
      <c r="K8" s="739">
        <f t="shared" si="3"/>
        <v>6025.33</v>
      </c>
      <c r="L8" s="850">
        <f t="shared" si="4"/>
        <v>0</v>
      </c>
      <c r="M8" s="740">
        <f t="shared" ref="M8:M71" si="17">+IF(L8=0,0,G8*F8)</f>
        <v>0</v>
      </c>
      <c r="N8" s="604">
        <f t="shared" si="15"/>
        <v>0</v>
      </c>
      <c r="O8" s="604">
        <f t="shared" si="5"/>
        <v>0</v>
      </c>
      <c r="P8" s="604">
        <f t="shared" si="6"/>
        <v>0</v>
      </c>
      <c r="Q8" s="604">
        <f t="shared" si="7"/>
        <v>0</v>
      </c>
      <c r="R8" s="604">
        <f t="shared" si="16"/>
        <v>0</v>
      </c>
      <c r="S8" s="604">
        <f t="shared" si="8"/>
        <v>0</v>
      </c>
      <c r="T8" s="604">
        <f t="shared" si="9"/>
        <v>0</v>
      </c>
      <c r="U8" s="604">
        <f t="shared" si="10"/>
        <v>0</v>
      </c>
      <c r="V8" s="604">
        <f t="shared" si="11"/>
        <v>0</v>
      </c>
      <c r="W8" s="604">
        <f t="shared" si="12"/>
        <v>0</v>
      </c>
      <c r="X8" s="746">
        <v>0</v>
      </c>
      <c r="Y8" s="746">
        <f t="shared" si="13"/>
        <v>0</v>
      </c>
    </row>
    <row r="9" spans="2:27">
      <c r="B9" s="598" t="s">
        <v>2595</v>
      </c>
      <c r="C9" s="604" t="s">
        <v>1111</v>
      </c>
      <c r="D9" s="745">
        <v>2001</v>
      </c>
      <c r="E9" s="604" t="s">
        <v>877</v>
      </c>
      <c r="F9" s="738">
        <v>0.12</v>
      </c>
      <c r="G9" s="739">
        <v>856.18</v>
      </c>
      <c r="H9" s="741">
        <v>856.18</v>
      </c>
      <c r="I9" s="742">
        <f t="shared" si="1"/>
        <v>0</v>
      </c>
      <c r="J9" s="740">
        <f t="shared" si="2"/>
        <v>0</v>
      </c>
      <c r="K9" s="739">
        <f t="shared" si="3"/>
        <v>856.18</v>
      </c>
      <c r="L9" s="850">
        <f t="shared" si="4"/>
        <v>0</v>
      </c>
      <c r="M9" s="740">
        <f t="shared" si="17"/>
        <v>0</v>
      </c>
      <c r="N9" s="604">
        <f t="shared" si="15"/>
        <v>0</v>
      </c>
      <c r="O9" s="604">
        <f t="shared" si="5"/>
        <v>0</v>
      </c>
      <c r="P9" s="604">
        <f t="shared" si="6"/>
        <v>0</v>
      </c>
      <c r="Q9" s="604">
        <f t="shared" si="7"/>
        <v>0</v>
      </c>
      <c r="R9" s="604">
        <f t="shared" si="16"/>
        <v>0</v>
      </c>
      <c r="S9" s="604">
        <f t="shared" si="8"/>
        <v>0</v>
      </c>
      <c r="T9" s="604">
        <f t="shared" si="9"/>
        <v>0</v>
      </c>
      <c r="U9" s="604">
        <f t="shared" si="10"/>
        <v>0</v>
      </c>
      <c r="V9" s="604">
        <f t="shared" si="11"/>
        <v>0</v>
      </c>
      <c r="W9" s="604">
        <f t="shared" si="12"/>
        <v>0</v>
      </c>
      <c r="X9" s="746">
        <v>0</v>
      </c>
      <c r="Y9" s="746">
        <f t="shared" si="13"/>
        <v>0</v>
      </c>
    </row>
    <row r="10" spans="2:27">
      <c r="B10" s="598" t="s">
        <v>2595</v>
      </c>
      <c r="C10" s="604" t="s">
        <v>1111</v>
      </c>
      <c r="D10" s="745">
        <v>2002</v>
      </c>
      <c r="E10" s="604" t="s">
        <v>881</v>
      </c>
      <c r="F10" s="738">
        <v>0.12</v>
      </c>
      <c r="G10" s="739">
        <v>2117.4699999999998</v>
      </c>
      <c r="H10" s="741">
        <v>2117.4699999999998</v>
      </c>
      <c r="I10" s="742">
        <f t="shared" si="1"/>
        <v>0</v>
      </c>
      <c r="J10" s="740">
        <f t="shared" si="2"/>
        <v>0</v>
      </c>
      <c r="K10" s="739">
        <f t="shared" si="3"/>
        <v>2117.4699999999998</v>
      </c>
      <c r="L10" s="850">
        <f t="shared" si="4"/>
        <v>0</v>
      </c>
      <c r="M10" s="740">
        <f t="shared" si="17"/>
        <v>0</v>
      </c>
      <c r="N10" s="604">
        <f t="shared" si="15"/>
        <v>0</v>
      </c>
      <c r="O10" s="604">
        <f t="shared" si="5"/>
        <v>0</v>
      </c>
      <c r="P10" s="604">
        <f t="shared" si="6"/>
        <v>0</v>
      </c>
      <c r="Q10" s="604">
        <f t="shared" si="7"/>
        <v>0</v>
      </c>
      <c r="R10" s="604">
        <f t="shared" si="16"/>
        <v>0</v>
      </c>
      <c r="S10" s="604">
        <f t="shared" si="8"/>
        <v>0</v>
      </c>
      <c r="T10" s="604">
        <f t="shared" si="9"/>
        <v>0</v>
      </c>
      <c r="U10" s="604">
        <f t="shared" si="10"/>
        <v>0</v>
      </c>
      <c r="V10" s="604">
        <f t="shared" si="11"/>
        <v>0</v>
      </c>
      <c r="W10" s="604">
        <f t="shared" si="12"/>
        <v>0</v>
      </c>
      <c r="X10" s="746">
        <v>0</v>
      </c>
      <c r="Y10" s="746">
        <f t="shared" si="13"/>
        <v>0</v>
      </c>
    </row>
    <row r="11" spans="2:27">
      <c r="B11" s="598" t="s">
        <v>2595</v>
      </c>
      <c r="C11" s="604" t="s">
        <v>1111</v>
      </c>
      <c r="D11" s="745">
        <v>2002</v>
      </c>
      <c r="E11" s="604" t="s">
        <v>882</v>
      </c>
      <c r="F11" s="738">
        <v>0.12</v>
      </c>
      <c r="G11" s="739">
        <v>2065.83</v>
      </c>
      <c r="H11" s="741">
        <v>2065.83</v>
      </c>
      <c r="I11" s="742">
        <f t="shared" si="1"/>
        <v>0</v>
      </c>
      <c r="J11" s="740">
        <f t="shared" si="2"/>
        <v>0</v>
      </c>
      <c r="K11" s="739">
        <f t="shared" si="3"/>
        <v>2065.83</v>
      </c>
      <c r="L11" s="850">
        <f t="shared" si="4"/>
        <v>0</v>
      </c>
      <c r="M11" s="740">
        <f t="shared" si="17"/>
        <v>0</v>
      </c>
      <c r="N11" s="604">
        <f t="shared" si="15"/>
        <v>0</v>
      </c>
      <c r="O11" s="604">
        <f t="shared" si="5"/>
        <v>0</v>
      </c>
      <c r="P11" s="604">
        <f t="shared" si="6"/>
        <v>0</v>
      </c>
      <c r="Q11" s="604">
        <f t="shared" si="7"/>
        <v>0</v>
      </c>
      <c r="R11" s="604">
        <f t="shared" si="16"/>
        <v>0</v>
      </c>
      <c r="S11" s="604">
        <f t="shared" si="8"/>
        <v>0</v>
      </c>
      <c r="T11" s="604">
        <f t="shared" si="9"/>
        <v>0</v>
      </c>
      <c r="U11" s="604">
        <f t="shared" si="10"/>
        <v>0</v>
      </c>
      <c r="V11" s="604">
        <f t="shared" si="11"/>
        <v>0</v>
      </c>
      <c r="W11" s="604">
        <f t="shared" si="12"/>
        <v>0</v>
      </c>
      <c r="X11" s="746">
        <v>0</v>
      </c>
      <c r="Y11" s="746">
        <f t="shared" si="13"/>
        <v>0</v>
      </c>
    </row>
    <row r="12" spans="2:27">
      <c r="B12" s="598" t="s">
        <v>2595</v>
      </c>
      <c r="C12" s="604" t="s">
        <v>1111</v>
      </c>
      <c r="D12" s="745">
        <v>2003</v>
      </c>
      <c r="E12" s="604" t="s">
        <v>883</v>
      </c>
      <c r="F12" s="738">
        <v>0.12</v>
      </c>
      <c r="G12" s="739">
        <v>4166.67</v>
      </c>
      <c r="H12" s="741">
        <v>4166.67</v>
      </c>
      <c r="I12" s="742">
        <f t="shared" si="1"/>
        <v>0</v>
      </c>
      <c r="J12" s="740">
        <f t="shared" si="2"/>
        <v>0</v>
      </c>
      <c r="K12" s="739">
        <f t="shared" si="3"/>
        <v>4166.67</v>
      </c>
      <c r="L12" s="850">
        <f t="shared" si="4"/>
        <v>0</v>
      </c>
      <c r="M12" s="740">
        <f t="shared" si="17"/>
        <v>0</v>
      </c>
      <c r="N12" s="604">
        <f t="shared" si="15"/>
        <v>0</v>
      </c>
      <c r="O12" s="604">
        <f t="shared" si="5"/>
        <v>0</v>
      </c>
      <c r="P12" s="604">
        <f t="shared" si="6"/>
        <v>0</v>
      </c>
      <c r="Q12" s="604">
        <f t="shared" si="7"/>
        <v>0</v>
      </c>
      <c r="R12" s="604">
        <f t="shared" si="16"/>
        <v>0</v>
      </c>
      <c r="S12" s="604">
        <f t="shared" si="8"/>
        <v>0</v>
      </c>
      <c r="T12" s="604">
        <f t="shared" si="9"/>
        <v>0</v>
      </c>
      <c r="U12" s="604">
        <f t="shared" si="10"/>
        <v>0</v>
      </c>
      <c r="V12" s="604">
        <f t="shared" si="11"/>
        <v>0</v>
      </c>
      <c r="W12" s="604">
        <f t="shared" si="12"/>
        <v>0</v>
      </c>
      <c r="X12" s="746">
        <v>0</v>
      </c>
      <c r="Y12" s="746">
        <f t="shared" si="13"/>
        <v>0</v>
      </c>
    </row>
    <row r="13" spans="2:27">
      <c r="B13" s="598" t="s">
        <v>2595</v>
      </c>
      <c r="C13" s="604" t="s">
        <v>1111</v>
      </c>
      <c r="D13" s="745">
        <v>2004</v>
      </c>
      <c r="E13" s="604" t="s">
        <v>884</v>
      </c>
      <c r="F13" s="738">
        <v>0.12</v>
      </c>
      <c r="G13" s="739">
        <v>2666.67</v>
      </c>
      <c r="H13" s="741">
        <v>2666.67</v>
      </c>
      <c r="I13" s="742">
        <f t="shared" si="1"/>
        <v>0</v>
      </c>
      <c r="J13" s="740">
        <f t="shared" si="2"/>
        <v>0</v>
      </c>
      <c r="K13" s="739">
        <f t="shared" si="3"/>
        <v>2666.67</v>
      </c>
      <c r="L13" s="850">
        <f t="shared" si="4"/>
        <v>0</v>
      </c>
      <c r="M13" s="740">
        <f t="shared" si="17"/>
        <v>0</v>
      </c>
      <c r="N13" s="604">
        <f t="shared" si="15"/>
        <v>0</v>
      </c>
      <c r="O13" s="604">
        <f t="shared" si="5"/>
        <v>0</v>
      </c>
      <c r="P13" s="604">
        <f t="shared" si="6"/>
        <v>0</v>
      </c>
      <c r="Q13" s="604">
        <f t="shared" si="7"/>
        <v>0</v>
      </c>
      <c r="R13" s="604">
        <f t="shared" si="16"/>
        <v>0</v>
      </c>
      <c r="S13" s="604">
        <f t="shared" si="8"/>
        <v>0</v>
      </c>
      <c r="T13" s="604">
        <f t="shared" si="9"/>
        <v>0</v>
      </c>
      <c r="U13" s="604">
        <f t="shared" si="10"/>
        <v>0</v>
      </c>
      <c r="V13" s="604">
        <f t="shared" si="11"/>
        <v>0</v>
      </c>
      <c r="W13" s="604">
        <f t="shared" si="12"/>
        <v>0</v>
      </c>
      <c r="X13" s="746">
        <v>0</v>
      </c>
      <c r="Y13" s="746">
        <f t="shared" si="13"/>
        <v>0</v>
      </c>
    </row>
    <row r="14" spans="2:27">
      <c r="B14" s="598" t="s">
        <v>2595</v>
      </c>
      <c r="C14" s="604" t="s">
        <v>1111</v>
      </c>
      <c r="D14" s="745">
        <v>2004</v>
      </c>
      <c r="E14" s="604" t="s">
        <v>885</v>
      </c>
      <c r="F14" s="738">
        <v>0.12</v>
      </c>
      <c r="G14" s="739">
        <v>698.33</v>
      </c>
      <c r="H14" s="741">
        <v>698.33</v>
      </c>
      <c r="I14" s="742">
        <f t="shared" si="1"/>
        <v>0</v>
      </c>
      <c r="J14" s="740">
        <f t="shared" si="2"/>
        <v>0</v>
      </c>
      <c r="K14" s="739">
        <f t="shared" si="3"/>
        <v>698.33</v>
      </c>
      <c r="L14" s="850">
        <f t="shared" si="4"/>
        <v>0</v>
      </c>
      <c r="M14" s="740">
        <f t="shared" si="17"/>
        <v>0</v>
      </c>
      <c r="N14" s="604">
        <f t="shared" si="15"/>
        <v>0</v>
      </c>
      <c r="O14" s="604">
        <f t="shared" si="5"/>
        <v>0</v>
      </c>
      <c r="P14" s="604">
        <f t="shared" si="6"/>
        <v>0</v>
      </c>
      <c r="Q14" s="604">
        <f t="shared" si="7"/>
        <v>0</v>
      </c>
      <c r="R14" s="604">
        <f t="shared" si="16"/>
        <v>0</v>
      </c>
      <c r="S14" s="604">
        <f t="shared" si="8"/>
        <v>0</v>
      </c>
      <c r="T14" s="604">
        <f t="shared" si="9"/>
        <v>0</v>
      </c>
      <c r="U14" s="604">
        <f t="shared" si="10"/>
        <v>0</v>
      </c>
      <c r="V14" s="604">
        <f t="shared" si="11"/>
        <v>0</v>
      </c>
      <c r="W14" s="604">
        <f t="shared" si="12"/>
        <v>0</v>
      </c>
      <c r="X14" s="746">
        <v>0</v>
      </c>
      <c r="Y14" s="746">
        <f t="shared" si="13"/>
        <v>0</v>
      </c>
    </row>
    <row r="15" spans="2:27">
      <c r="B15" s="598" t="s">
        <v>2595</v>
      </c>
      <c r="C15" s="604" t="s">
        <v>1111</v>
      </c>
      <c r="D15" s="745">
        <v>2004</v>
      </c>
      <c r="E15" s="604" t="s">
        <v>882</v>
      </c>
      <c r="F15" s="738">
        <v>0.12</v>
      </c>
      <c r="G15" s="739">
        <v>4000</v>
      </c>
      <c r="H15" s="741">
        <v>4000</v>
      </c>
      <c r="I15" s="742">
        <f t="shared" si="1"/>
        <v>0</v>
      </c>
      <c r="J15" s="740">
        <f t="shared" si="2"/>
        <v>0</v>
      </c>
      <c r="K15" s="739">
        <f t="shared" si="3"/>
        <v>4000</v>
      </c>
      <c r="L15" s="850">
        <f t="shared" si="4"/>
        <v>0</v>
      </c>
      <c r="M15" s="740">
        <f t="shared" si="17"/>
        <v>0</v>
      </c>
      <c r="N15" s="604">
        <f t="shared" si="15"/>
        <v>0</v>
      </c>
      <c r="O15" s="604">
        <f t="shared" si="5"/>
        <v>0</v>
      </c>
      <c r="P15" s="604">
        <f t="shared" si="6"/>
        <v>0</v>
      </c>
      <c r="Q15" s="604">
        <f t="shared" si="7"/>
        <v>0</v>
      </c>
      <c r="R15" s="604">
        <f t="shared" si="16"/>
        <v>0</v>
      </c>
      <c r="S15" s="604">
        <f t="shared" si="8"/>
        <v>0</v>
      </c>
      <c r="T15" s="604">
        <f t="shared" si="9"/>
        <v>0</v>
      </c>
      <c r="U15" s="604">
        <f t="shared" si="10"/>
        <v>0</v>
      </c>
      <c r="V15" s="604">
        <f t="shared" si="11"/>
        <v>0</v>
      </c>
      <c r="W15" s="604">
        <f t="shared" si="12"/>
        <v>0</v>
      </c>
      <c r="X15" s="746">
        <v>0</v>
      </c>
      <c r="Y15" s="746">
        <f t="shared" si="13"/>
        <v>0</v>
      </c>
    </row>
    <row r="16" spans="2:27">
      <c r="B16" s="598" t="s">
        <v>2595</v>
      </c>
      <c r="C16" s="604" t="s">
        <v>1111</v>
      </c>
      <c r="D16" s="745">
        <v>2006</v>
      </c>
      <c r="E16" s="604" t="s">
        <v>1112</v>
      </c>
      <c r="F16" s="738">
        <v>0.12</v>
      </c>
      <c r="G16" s="739">
        <v>1250</v>
      </c>
      <c r="H16" s="741">
        <v>1250</v>
      </c>
      <c r="I16" s="742">
        <f t="shared" si="1"/>
        <v>0</v>
      </c>
      <c r="J16" s="740">
        <f t="shared" si="2"/>
        <v>0</v>
      </c>
      <c r="K16" s="739">
        <f t="shared" si="3"/>
        <v>1250</v>
      </c>
      <c r="L16" s="850">
        <f t="shared" si="4"/>
        <v>0</v>
      </c>
      <c r="M16" s="740">
        <f t="shared" si="17"/>
        <v>0</v>
      </c>
      <c r="N16" s="604">
        <f t="shared" si="15"/>
        <v>0</v>
      </c>
      <c r="O16" s="604">
        <f t="shared" si="5"/>
        <v>0</v>
      </c>
      <c r="P16" s="604">
        <f t="shared" si="6"/>
        <v>0</v>
      </c>
      <c r="Q16" s="604">
        <f t="shared" si="7"/>
        <v>0</v>
      </c>
      <c r="R16" s="604">
        <f t="shared" si="16"/>
        <v>0</v>
      </c>
      <c r="S16" s="604">
        <f t="shared" si="8"/>
        <v>0</v>
      </c>
      <c r="T16" s="604">
        <f t="shared" si="9"/>
        <v>0</v>
      </c>
      <c r="U16" s="604">
        <f t="shared" si="10"/>
        <v>0</v>
      </c>
      <c r="V16" s="604">
        <f t="shared" si="11"/>
        <v>0</v>
      </c>
      <c r="W16" s="604">
        <f t="shared" si="12"/>
        <v>0</v>
      </c>
      <c r="X16" s="746">
        <v>0</v>
      </c>
      <c r="Y16" s="746">
        <f t="shared" si="13"/>
        <v>0</v>
      </c>
    </row>
    <row r="17" spans="2:25">
      <c r="B17" s="598" t="s">
        <v>2595</v>
      </c>
      <c r="C17" s="604" t="s">
        <v>1111</v>
      </c>
      <c r="D17" s="745">
        <v>2007</v>
      </c>
      <c r="E17" s="604" t="s">
        <v>1113</v>
      </c>
      <c r="F17" s="738">
        <v>0.12</v>
      </c>
      <c r="G17" s="739">
        <v>8099.4</v>
      </c>
      <c r="H17" s="741">
        <v>8099.4</v>
      </c>
      <c r="I17" s="742">
        <f t="shared" si="1"/>
        <v>0</v>
      </c>
      <c r="J17" s="740">
        <f t="shared" si="2"/>
        <v>0</v>
      </c>
      <c r="K17" s="739">
        <f t="shared" si="3"/>
        <v>8099.4</v>
      </c>
      <c r="L17" s="850">
        <f t="shared" si="4"/>
        <v>0</v>
      </c>
      <c r="M17" s="740">
        <f t="shared" si="17"/>
        <v>0</v>
      </c>
      <c r="N17" s="604">
        <f t="shared" si="15"/>
        <v>0</v>
      </c>
      <c r="O17" s="604">
        <f t="shared" si="5"/>
        <v>0</v>
      </c>
      <c r="P17" s="604">
        <f t="shared" si="6"/>
        <v>0</v>
      </c>
      <c r="Q17" s="604">
        <f t="shared" si="7"/>
        <v>0</v>
      </c>
      <c r="R17" s="604">
        <f t="shared" si="16"/>
        <v>0</v>
      </c>
      <c r="S17" s="604">
        <f t="shared" si="8"/>
        <v>0</v>
      </c>
      <c r="T17" s="604">
        <f t="shared" si="9"/>
        <v>0</v>
      </c>
      <c r="U17" s="604">
        <f t="shared" si="10"/>
        <v>0</v>
      </c>
      <c r="V17" s="604">
        <f t="shared" si="11"/>
        <v>0</v>
      </c>
      <c r="W17" s="604">
        <f t="shared" si="12"/>
        <v>0</v>
      </c>
      <c r="X17" s="746">
        <v>0</v>
      </c>
      <c r="Y17" s="746">
        <f t="shared" si="13"/>
        <v>0</v>
      </c>
    </row>
    <row r="18" spans="2:25">
      <c r="B18" s="598" t="s">
        <v>2595</v>
      </c>
      <c r="C18" s="604" t="s">
        <v>1111</v>
      </c>
      <c r="D18" s="745">
        <v>2007</v>
      </c>
      <c r="E18" s="604" t="s">
        <v>1114</v>
      </c>
      <c r="F18" s="738">
        <v>0.12</v>
      </c>
      <c r="G18" s="739">
        <v>72894.600000000006</v>
      </c>
      <c r="H18" s="741">
        <v>72894.600000000006</v>
      </c>
      <c r="I18" s="742">
        <f t="shared" si="1"/>
        <v>0</v>
      </c>
      <c r="J18" s="740">
        <f t="shared" si="2"/>
        <v>0</v>
      </c>
      <c r="K18" s="739">
        <f t="shared" si="3"/>
        <v>72894.600000000006</v>
      </c>
      <c r="L18" s="850">
        <f t="shared" si="4"/>
        <v>0</v>
      </c>
      <c r="M18" s="740">
        <f t="shared" si="17"/>
        <v>0</v>
      </c>
      <c r="N18" s="604">
        <f t="shared" si="15"/>
        <v>0</v>
      </c>
      <c r="O18" s="604">
        <f t="shared" si="5"/>
        <v>0</v>
      </c>
      <c r="P18" s="604">
        <f t="shared" si="6"/>
        <v>0</v>
      </c>
      <c r="Q18" s="604">
        <f t="shared" si="7"/>
        <v>0</v>
      </c>
      <c r="R18" s="604">
        <f t="shared" si="16"/>
        <v>0</v>
      </c>
      <c r="S18" s="604">
        <f t="shared" si="8"/>
        <v>0</v>
      </c>
      <c r="T18" s="604">
        <f t="shared" si="9"/>
        <v>0</v>
      </c>
      <c r="U18" s="604">
        <f t="shared" si="10"/>
        <v>0</v>
      </c>
      <c r="V18" s="604">
        <f t="shared" si="11"/>
        <v>0</v>
      </c>
      <c r="W18" s="604">
        <f t="shared" si="12"/>
        <v>0</v>
      </c>
      <c r="X18" s="746">
        <v>0</v>
      </c>
      <c r="Y18" s="746">
        <f t="shared" si="13"/>
        <v>0</v>
      </c>
    </row>
    <row r="19" spans="2:25">
      <c r="B19" s="598" t="s">
        <v>2595</v>
      </c>
      <c r="C19" s="604" t="s">
        <v>1111</v>
      </c>
      <c r="D19" s="745">
        <v>2007</v>
      </c>
      <c r="E19" s="604" t="s">
        <v>886</v>
      </c>
      <c r="F19" s="738">
        <v>0.12</v>
      </c>
      <c r="G19" s="739">
        <v>2651.5</v>
      </c>
      <c r="H19" s="741">
        <v>2651.5</v>
      </c>
      <c r="I19" s="742">
        <f t="shared" si="1"/>
        <v>0</v>
      </c>
      <c r="J19" s="740">
        <f t="shared" si="2"/>
        <v>0</v>
      </c>
      <c r="K19" s="739">
        <f t="shared" si="3"/>
        <v>2651.5</v>
      </c>
      <c r="L19" s="850">
        <f t="shared" si="4"/>
        <v>0</v>
      </c>
      <c r="M19" s="740">
        <f t="shared" si="17"/>
        <v>0</v>
      </c>
      <c r="N19" s="604">
        <f t="shared" si="15"/>
        <v>0</v>
      </c>
      <c r="O19" s="604">
        <f t="shared" si="5"/>
        <v>0</v>
      </c>
      <c r="P19" s="604">
        <f t="shared" si="6"/>
        <v>0</v>
      </c>
      <c r="Q19" s="604">
        <f t="shared" si="7"/>
        <v>0</v>
      </c>
      <c r="R19" s="604">
        <f t="shared" si="16"/>
        <v>0</v>
      </c>
      <c r="S19" s="604">
        <f t="shared" si="8"/>
        <v>0</v>
      </c>
      <c r="T19" s="604">
        <f t="shared" si="9"/>
        <v>0</v>
      </c>
      <c r="U19" s="604">
        <f t="shared" si="10"/>
        <v>0</v>
      </c>
      <c r="V19" s="604">
        <f t="shared" si="11"/>
        <v>0</v>
      </c>
      <c r="W19" s="604">
        <f t="shared" si="12"/>
        <v>0</v>
      </c>
      <c r="X19" s="746">
        <v>0</v>
      </c>
      <c r="Y19" s="746">
        <f t="shared" si="13"/>
        <v>0</v>
      </c>
    </row>
    <row r="20" spans="2:25">
      <c r="B20" s="598" t="s">
        <v>2595</v>
      </c>
      <c r="C20" s="604" t="s">
        <v>1111</v>
      </c>
      <c r="D20" s="745">
        <v>2010</v>
      </c>
      <c r="E20" s="604" t="s">
        <v>887</v>
      </c>
      <c r="F20" s="738">
        <v>0.12</v>
      </c>
      <c r="G20" s="739">
        <v>1850</v>
      </c>
      <c r="H20" s="741">
        <v>1850</v>
      </c>
      <c r="I20" s="742">
        <f t="shared" si="1"/>
        <v>0</v>
      </c>
      <c r="J20" s="740">
        <f t="shared" si="2"/>
        <v>0</v>
      </c>
      <c r="K20" s="739">
        <f t="shared" si="3"/>
        <v>1850</v>
      </c>
      <c r="L20" s="850">
        <f t="shared" si="4"/>
        <v>0</v>
      </c>
      <c r="M20" s="740">
        <f t="shared" si="17"/>
        <v>0</v>
      </c>
      <c r="N20" s="604">
        <f t="shared" si="15"/>
        <v>0</v>
      </c>
      <c r="O20" s="604">
        <f t="shared" si="5"/>
        <v>0</v>
      </c>
      <c r="P20" s="604">
        <f t="shared" si="6"/>
        <v>0</v>
      </c>
      <c r="Q20" s="604">
        <f t="shared" si="7"/>
        <v>0</v>
      </c>
      <c r="R20" s="604">
        <f t="shared" si="16"/>
        <v>0</v>
      </c>
      <c r="S20" s="604">
        <f t="shared" si="8"/>
        <v>0</v>
      </c>
      <c r="T20" s="604">
        <f t="shared" si="9"/>
        <v>0</v>
      </c>
      <c r="U20" s="604">
        <f t="shared" si="10"/>
        <v>0</v>
      </c>
      <c r="V20" s="604">
        <f t="shared" si="11"/>
        <v>0</v>
      </c>
      <c r="W20" s="604">
        <f t="shared" si="12"/>
        <v>0</v>
      </c>
      <c r="X20" s="746">
        <v>0</v>
      </c>
      <c r="Y20" s="746">
        <f t="shared" si="13"/>
        <v>0</v>
      </c>
    </row>
    <row r="21" spans="2:25">
      <c r="B21" s="598" t="s">
        <v>2595</v>
      </c>
      <c r="C21" s="604" t="s">
        <v>1111</v>
      </c>
      <c r="D21" s="745">
        <v>2012</v>
      </c>
      <c r="E21" s="604" t="s">
        <v>888</v>
      </c>
      <c r="F21" s="738">
        <v>0.12</v>
      </c>
      <c r="G21" s="739">
        <v>1322.31</v>
      </c>
      <c r="H21" s="741">
        <v>1322.31</v>
      </c>
      <c r="I21" s="742">
        <f t="shared" si="1"/>
        <v>0</v>
      </c>
      <c r="J21" s="740">
        <f t="shared" si="2"/>
        <v>0</v>
      </c>
      <c r="K21" s="739">
        <f t="shared" si="3"/>
        <v>1322.31</v>
      </c>
      <c r="L21" s="850">
        <f t="shared" si="4"/>
        <v>0</v>
      </c>
      <c r="M21" s="740">
        <f t="shared" si="17"/>
        <v>0</v>
      </c>
      <c r="N21" s="604">
        <f t="shared" si="15"/>
        <v>0</v>
      </c>
      <c r="O21" s="604">
        <f t="shared" si="5"/>
        <v>0</v>
      </c>
      <c r="P21" s="604">
        <f t="shared" si="6"/>
        <v>0</v>
      </c>
      <c r="Q21" s="604">
        <f t="shared" si="7"/>
        <v>0</v>
      </c>
      <c r="R21" s="604">
        <f t="shared" si="16"/>
        <v>0</v>
      </c>
      <c r="S21" s="604">
        <f t="shared" si="8"/>
        <v>0</v>
      </c>
      <c r="T21" s="604">
        <f t="shared" si="9"/>
        <v>0</v>
      </c>
      <c r="U21" s="604">
        <f t="shared" si="10"/>
        <v>0</v>
      </c>
      <c r="V21" s="604">
        <f t="shared" si="11"/>
        <v>0</v>
      </c>
      <c r="W21" s="604">
        <f t="shared" si="12"/>
        <v>0</v>
      </c>
      <c r="X21" s="746">
        <v>0</v>
      </c>
      <c r="Y21" s="746">
        <f t="shared" si="13"/>
        <v>0</v>
      </c>
    </row>
    <row r="22" spans="2:25">
      <c r="B22" s="598" t="s">
        <v>2595</v>
      </c>
      <c r="C22" s="604" t="s">
        <v>1111</v>
      </c>
      <c r="D22" s="745">
        <v>2012</v>
      </c>
      <c r="E22" s="604" t="s">
        <v>1115</v>
      </c>
      <c r="F22" s="738">
        <v>0.12</v>
      </c>
      <c r="G22" s="739">
        <v>992.7</v>
      </c>
      <c r="H22" s="741">
        <v>992.7</v>
      </c>
      <c r="I22" s="742">
        <f t="shared" si="1"/>
        <v>0</v>
      </c>
      <c r="J22" s="740">
        <f t="shared" si="2"/>
        <v>0</v>
      </c>
      <c r="K22" s="739">
        <f t="shared" si="3"/>
        <v>992.7</v>
      </c>
      <c r="L22" s="850">
        <f t="shared" si="4"/>
        <v>0</v>
      </c>
      <c r="M22" s="740">
        <f t="shared" si="17"/>
        <v>0</v>
      </c>
      <c r="N22" s="604">
        <f t="shared" si="15"/>
        <v>0</v>
      </c>
      <c r="O22" s="604">
        <f t="shared" si="5"/>
        <v>0</v>
      </c>
      <c r="P22" s="604">
        <f t="shared" si="6"/>
        <v>0</v>
      </c>
      <c r="Q22" s="604">
        <f t="shared" si="7"/>
        <v>0</v>
      </c>
      <c r="R22" s="604">
        <f t="shared" si="16"/>
        <v>0</v>
      </c>
      <c r="S22" s="604">
        <f t="shared" si="8"/>
        <v>0</v>
      </c>
      <c r="T22" s="604">
        <f t="shared" si="9"/>
        <v>0</v>
      </c>
      <c r="U22" s="604">
        <f t="shared" si="10"/>
        <v>0</v>
      </c>
      <c r="V22" s="604">
        <f t="shared" si="11"/>
        <v>0</v>
      </c>
      <c r="W22" s="604">
        <f t="shared" si="12"/>
        <v>0</v>
      </c>
      <c r="X22" s="746">
        <v>0</v>
      </c>
      <c r="Y22" s="746">
        <f t="shared" si="13"/>
        <v>0</v>
      </c>
    </row>
    <row r="23" spans="2:25">
      <c r="B23" s="598" t="s">
        <v>2595</v>
      </c>
      <c r="C23" s="604" t="s">
        <v>1111</v>
      </c>
      <c r="D23" s="745">
        <v>2015</v>
      </c>
      <c r="E23" s="604" t="s">
        <v>1116</v>
      </c>
      <c r="F23" s="738">
        <v>0.12</v>
      </c>
      <c r="G23" s="739">
        <v>487</v>
      </c>
      <c r="H23" s="741">
        <v>379.86</v>
      </c>
      <c r="I23" s="742">
        <f t="shared" si="1"/>
        <v>107.13999999999999</v>
      </c>
      <c r="J23" s="740">
        <f>IF(I23=0,0,G23*F23)</f>
        <v>58.44</v>
      </c>
      <c r="K23" s="739">
        <f t="shared" si="3"/>
        <v>438.3</v>
      </c>
      <c r="L23" s="850">
        <f>+G23-K23</f>
        <v>48.699999999999989</v>
      </c>
      <c r="M23" s="740">
        <f>+L23</f>
        <v>48.699999999999989</v>
      </c>
      <c r="N23" s="604">
        <f t="shared" si="15"/>
        <v>0</v>
      </c>
      <c r="O23" s="604">
        <f t="shared" si="5"/>
        <v>0</v>
      </c>
      <c r="P23" s="604">
        <f t="shared" si="6"/>
        <v>0</v>
      </c>
      <c r="Q23" s="604">
        <f t="shared" si="7"/>
        <v>0</v>
      </c>
      <c r="R23" s="604">
        <f t="shared" si="16"/>
        <v>0</v>
      </c>
      <c r="S23" s="604">
        <f t="shared" si="8"/>
        <v>0</v>
      </c>
      <c r="T23" s="604">
        <f t="shared" si="9"/>
        <v>0</v>
      </c>
      <c r="U23" s="604">
        <f t="shared" si="10"/>
        <v>0</v>
      </c>
      <c r="V23" s="604">
        <f t="shared" si="11"/>
        <v>0</v>
      </c>
      <c r="W23" s="604">
        <f t="shared" si="12"/>
        <v>0</v>
      </c>
      <c r="X23" s="746">
        <v>0</v>
      </c>
      <c r="Y23" s="746">
        <f t="shared" si="13"/>
        <v>0</v>
      </c>
    </row>
    <row r="24" spans="2:25">
      <c r="B24" s="598" t="s">
        <v>2595</v>
      </c>
      <c r="C24" s="604" t="s">
        <v>1111</v>
      </c>
      <c r="D24" s="745">
        <v>2018</v>
      </c>
      <c r="E24" s="604" t="s">
        <v>1117</v>
      </c>
      <c r="F24" s="738">
        <v>0.12</v>
      </c>
      <c r="G24" s="739">
        <v>2295.08</v>
      </c>
      <c r="H24" s="741">
        <f>+G24*0.42</f>
        <v>963.93359999999996</v>
      </c>
      <c r="I24" s="742">
        <f t="shared" si="1"/>
        <v>1331.1464000000001</v>
      </c>
      <c r="J24" s="740">
        <f t="shared" si="2"/>
        <v>275.40959999999995</v>
      </c>
      <c r="K24" s="739">
        <f t="shared" si="3"/>
        <v>1239.3431999999998</v>
      </c>
      <c r="L24" s="850">
        <f>+G24-K24</f>
        <v>1055.7368000000001</v>
      </c>
      <c r="M24" s="740">
        <f t="shared" si="17"/>
        <v>275.40959999999995</v>
      </c>
      <c r="N24" s="604">
        <f t="shared" si="15"/>
        <v>275.40959999999995</v>
      </c>
      <c r="O24" s="604">
        <f t="shared" si="5"/>
        <v>275.40959999999995</v>
      </c>
      <c r="P24" s="604">
        <f>+L24-SUM(M24:O24)</f>
        <v>229.50800000000027</v>
      </c>
      <c r="Q24" s="604">
        <f t="shared" si="7"/>
        <v>0</v>
      </c>
      <c r="R24" s="604">
        <f t="shared" si="16"/>
        <v>0</v>
      </c>
      <c r="S24" s="604">
        <f t="shared" si="8"/>
        <v>0</v>
      </c>
      <c r="T24" s="604">
        <f t="shared" si="9"/>
        <v>0</v>
      </c>
      <c r="U24" s="604">
        <f t="shared" si="10"/>
        <v>0</v>
      </c>
      <c r="V24" s="604">
        <f t="shared" si="11"/>
        <v>0</v>
      </c>
      <c r="W24" s="604">
        <f t="shared" si="12"/>
        <v>0</v>
      </c>
      <c r="X24" s="746">
        <v>0</v>
      </c>
      <c r="Y24" s="746">
        <f t="shared" si="13"/>
        <v>0</v>
      </c>
    </row>
    <row r="25" spans="2:25">
      <c r="B25" s="598" t="s">
        <v>2595</v>
      </c>
      <c r="C25" s="604" t="s">
        <v>1111</v>
      </c>
      <c r="D25" s="745"/>
      <c r="E25" s="604"/>
      <c r="F25" s="738">
        <v>0.12</v>
      </c>
      <c r="G25" s="739">
        <v>5404.92</v>
      </c>
      <c r="H25" s="741">
        <f>+G25*0.42</f>
        <v>2270.0664000000002</v>
      </c>
      <c r="I25" s="742">
        <f t="shared" si="1"/>
        <v>3134.8535999999999</v>
      </c>
      <c r="J25" s="740">
        <f t="shared" si="2"/>
        <v>648.59039999999993</v>
      </c>
      <c r="K25" s="739">
        <f t="shared" si="3"/>
        <v>2918.6568000000002</v>
      </c>
      <c r="L25" s="850">
        <f t="shared" si="4"/>
        <v>2486.2631999999999</v>
      </c>
      <c r="M25" s="740">
        <f t="shared" si="17"/>
        <v>648.59039999999993</v>
      </c>
      <c r="N25" s="604">
        <f t="shared" si="15"/>
        <v>648.59039999999993</v>
      </c>
      <c r="O25" s="604">
        <f t="shared" si="5"/>
        <v>648.59039999999993</v>
      </c>
      <c r="P25" s="604">
        <f>+IF(L25-SUM(M25:O25)&gt;0,G25*F25,0)-X25</f>
        <v>540.49200000000008</v>
      </c>
      <c r="Q25" s="604">
        <f t="shared" si="7"/>
        <v>0</v>
      </c>
      <c r="R25" s="604">
        <f t="shared" si="16"/>
        <v>0</v>
      </c>
      <c r="S25" s="604">
        <f t="shared" si="8"/>
        <v>0</v>
      </c>
      <c r="T25" s="604">
        <f t="shared" si="9"/>
        <v>0</v>
      </c>
      <c r="U25" s="604">
        <f t="shared" si="10"/>
        <v>0</v>
      </c>
      <c r="V25" s="604">
        <f t="shared" si="11"/>
        <v>0</v>
      </c>
      <c r="W25" s="604">
        <f t="shared" si="12"/>
        <v>0</v>
      </c>
      <c r="X25" s="746">
        <v>108.09839999999986</v>
      </c>
      <c r="Y25" s="746">
        <f>+SUM(M25:W25)-L25</f>
        <v>0</v>
      </c>
    </row>
    <row r="26" spans="2:25">
      <c r="B26" s="598" t="s">
        <v>2595</v>
      </c>
      <c r="C26" s="604" t="s">
        <v>1111</v>
      </c>
      <c r="D26" s="745">
        <v>2018</v>
      </c>
      <c r="E26" s="604" t="s">
        <v>1118</v>
      </c>
      <c r="F26" s="738">
        <v>0.12</v>
      </c>
      <c r="G26" s="739">
        <v>1285</v>
      </c>
      <c r="H26" s="741">
        <f>+G26*0.42</f>
        <v>539.69999999999993</v>
      </c>
      <c r="I26" s="742">
        <f t="shared" si="1"/>
        <v>745.30000000000007</v>
      </c>
      <c r="J26" s="740">
        <f t="shared" si="2"/>
        <v>154.19999999999999</v>
      </c>
      <c r="K26" s="739">
        <f t="shared" si="3"/>
        <v>693.89999999999986</v>
      </c>
      <c r="L26" s="850">
        <f t="shared" si="4"/>
        <v>591.10000000000014</v>
      </c>
      <c r="M26" s="740">
        <f t="shared" si="17"/>
        <v>154.19999999999999</v>
      </c>
      <c r="N26" s="604">
        <f t="shared" si="15"/>
        <v>154.19999999999999</v>
      </c>
      <c r="O26" s="604">
        <f t="shared" si="5"/>
        <v>154.19999999999999</v>
      </c>
      <c r="P26" s="604">
        <f>+IF(L26-SUM(M26:O26)&gt;0,G26*F26,0)-X26</f>
        <v>128.50000000000017</v>
      </c>
      <c r="Q26" s="604">
        <f t="shared" si="7"/>
        <v>0</v>
      </c>
      <c r="R26" s="604">
        <f t="shared" si="16"/>
        <v>0</v>
      </c>
      <c r="S26" s="604">
        <f t="shared" si="8"/>
        <v>0</v>
      </c>
      <c r="T26" s="604">
        <f t="shared" si="9"/>
        <v>0</v>
      </c>
      <c r="U26" s="604">
        <f t="shared" si="10"/>
        <v>0</v>
      </c>
      <c r="V26" s="604">
        <f t="shared" si="11"/>
        <v>0</v>
      </c>
      <c r="W26" s="604">
        <f t="shared" si="12"/>
        <v>0</v>
      </c>
      <c r="X26" s="746">
        <v>25.699999999999818</v>
      </c>
      <c r="Y26" s="746">
        <f t="shared" si="13"/>
        <v>0</v>
      </c>
    </row>
    <row r="27" spans="2:25">
      <c r="B27" s="598" t="s">
        <v>2595</v>
      </c>
      <c r="C27" s="604" t="s">
        <v>1111</v>
      </c>
      <c r="D27" s="745">
        <v>2018</v>
      </c>
      <c r="E27" s="604" t="s">
        <v>1119</v>
      </c>
      <c r="F27" s="738">
        <v>0.12</v>
      </c>
      <c r="G27" s="739">
        <v>3400</v>
      </c>
      <c r="H27" s="741">
        <f>+G27*0.42</f>
        <v>1428</v>
      </c>
      <c r="I27" s="742">
        <f t="shared" si="1"/>
        <v>1972</v>
      </c>
      <c r="J27" s="740">
        <f t="shared" si="2"/>
        <v>408</v>
      </c>
      <c r="K27" s="739">
        <f t="shared" si="3"/>
        <v>1836</v>
      </c>
      <c r="L27" s="850">
        <f t="shared" si="4"/>
        <v>1564</v>
      </c>
      <c r="M27" s="740">
        <f t="shared" si="17"/>
        <v>408</v>
      </c>
      <c r="N27" s="604">
        <f t="shared" si="15"/>
        <v>408</v>
      </c>
      <c r="O27" s="604">
        <f t="shared" si="5"/>
        <v>408</v>
      </c>
      <c r="P27" s="604">
        <f>+IF(L27-SUM(M27:O27)&gt;0,G27*F27,0)-X27</f>
        <v>340</v>
      </c>
      <c r="Q27" s="604">
        <f t="shared" si="7"/>
        <v>0</v>
      </c>
      <c r="R27" s="604">
        <f t="shared" si="16"/>
        <v>0</v>
      </c>
      <c r="S27" s="604">
        <f t="shared" si="8"/>
        <v>0</v>
      </c>
      <c r="T27" s="604">
        <f t="shared" si="9"/>
        <v>0</v>
      </c>
      <c r="U27" s="604">
        <f t="shared" si="10"/>
        <v>0</v>
      </c>
      <c r="V27" s="604">
        <f t="shared" si="11"/>
        <v>0</v>
      </c>
      <c r="W27" s="604">
        <f t="shared" si="12"/>
        <v>0</v>
      </c>
      <c r="X27" s="746">
        <v>68</v>
      </c>
      <c r="Y27" s="746">
        <f t="shared" si="13"/>
        <v>0</v>
      </c>
    </row>
    <row r="28" spans="2:25" ht="12.75" thickBot="1">
      <c r="B28" s="598" t="s">
        <v>2595</v>
      </c>
      <c r="C28" s="604" t="s">
        <v>1111</v>
      </c>
      <c r="D28" s="745"/>
      <c r="E28" s="604" t="s">
        <v>1120</v>
      </c>
      <c r="F28" s="738">
        <v>0.12</v>
      </c>
      <c r="G28" s="739">
        <v>4467.21</v>
      </c>
      <c r="H28" s="741">
        <f>+G28*0.06</f>
        <v>268.0326</v>
      </c>
      <c r="I28" s="742">
        <f t="shared" si="1"/>
        <v>4199.1774000000005</v>
      </c>
      <c r="J28" s="740">
        <f t="shared" si="2"/>
        <v>536.0652</v>
      </c>
      <c r="K28" s="739">
        <f t="shared" si="3"/>
        <v>804.09780000000001</v>
      </c>
      <c r="L28" s="851">
        <f t="shared" si="4"/>
        <v>3663.1122</v>
      </c>
      <c r="M28" s="740">
        <f t="shared" si="17"/>
        <v>536.0652</v>
      </c>
      <c r="N28" s="604">
        <f t="shared" si="15"/>
        <v>536.0652</v>
      </c>
      <c r="O28" s="604">
        <f t="shared" si="5"/>
        <v>536.0652</v>
      </c>
      <c r="P28" s="604">
        <f t="shared" si="6"/>
        <v>536.0652</v>
      </c>
      <c r="Q28" s="604">
        <f t="shared" si="7"/>
        <v>536.0652</v>
      </c>
      <c r="R28" s="604">
        <f t="shared" si="16"/>
        <v>536.0652</v>
      </c>
      <c r="S28" s="604">
        <f>+IF(L28-SUM(M28:R28)&gt;0,G28*F28,0)-X28</f>
        <v>446.721</v>
      </c>
      <c r="T28" s="604">
        <f t="shared" si="9"/>
        <v>0</v>
      </c>
      <c r="U28" s="604">
        <f t="shared" si="10"/>
        <v>0</v>
      </c>
      <c r="V28" s="604">
        <f t="shared" si="11"/>
        <v>0</v>
      </c>
      <c r="W28" s="604">
        <f t="shared" si="12"/>
        <v>0</v>
      </c>
      <c r="X28" s="746">
        <v>89.344200000000001</v>
      </c>
      <c r="Y28" s="746">
        <f t="shared" si="13"/>
        <v>0</v>
      </c>
    </row>
    <row r="29" spans="2:25">
      <c r="B29" s="598" t="s">
        <v>2595</v>
      </c>
      <c r="C29" s="604" t="s">
        <v>906</v>
      </c>
      <c r="D29" s="745">
        <v>2003</v>
      </c>
      <c r="E29" s="604" t="s">
        <v>889</v>
      </c>
      <c r="F29" s="738">
        <v>0.2</v>
      </c>
      <c r="G29" s="739">
        <v>2580</v>
      </c>
      <c r="H29" s="741">
        <v>2580</v>
      </c>
      <c r="I29" s="742">
        <f t="shared" ref="I29:I89" si="18">+G29-H29</f>
        <v>0</v>
      </c>
      <c r="J29" s="740">
        <f t="shared" ref="J29:J53" si="19">IF(I29=0,0,G29*F29)</f>
        <v>0</v>
      </c>
      <c r="K29" s="739">
        <f t="shared" ref="K29:K89" si="20">+H29+J29</f>
        <v>2580</v>
      </c>
      <c r="L29" s="846">
        <f t="shared" ref="L29:L89" si="21">+G29-K29</f>
        <v>0</v>
      </c>
      <c r="M29" s="740">
        <f t="shared" si="17"/>
        <v>0</v>
      </c>
      <c r="N29" s="604">
        <f t="shared" si="15"/>
        <v>0</v>
      </c>
      <c r="O29" s="604">
        <f t="shared" si="5"/>
        <v>0</v>
      </c>
      <c r="P29" s="604">
        <f t="shared" si="6"/>
        <v>0</v>
      </c>
      <c r="Q29" s="604">
        <f t="shared" si="7"/>
        <v>0</v>
      </c>
      <c r="R29" s="604">
        <f t="shared" si="16"/>
        <v>0</v>
      </c>
      <c r="S29" s="604">
        <f t="shared" si="8"/>
        <v>0</v>
      </c>
      <c r="T29" s="604">
        <f t="shared" si="9"/>
        <v>0</v>
      </c>
      <c r="U29" s="604">
        <f t="shared" si="10"/>
        <v>0</v>
      </c>
      <c r="V29" s="604">
        <f t="shared" si="11"/>
        <v>0</v>
      </c>
      <c r="W29" s="604">
        <f t="shared" si="12"/>
        <v>0</v>
      </c>
      <c r="X29" s="746">
        <v>0</v>
      </c>
      <c r="Y29" s="746">
        <f t="shared" si="13"/>
        <v>0</v>
      </c>
    </row>
    <row r="30" spans="2:25">
      <c r="B30" s="598" t="s">
        <v>2595</v>
      </c>
      <c r="C30" s="604" t="s">
        <v>906</v>
      </c>
      <c r="D30" s="745">
        <v>2005</v>
      </c>
      <c r="E30" s="604" t="s">
        <v>890</v>
      </c>
      <c r="F30" s="738">
        <v>0.2</v>
      </c>
      <c r="G30" s="739">
        <v>1200</v>
      </c>
      <c r="H30" s="741">
        <v>1200</v>
      </c>
      <c r="I30" s="742">
        <f t="shared" si="18"/>
        <v>0</v>
      </c>
      <c r="J30" s="740">
        <f t="shared" si="19"/>
        <v>0</v>
      </c>
      <c r="K30" s="739">
        <f t="shared" si="20"/>
        <v>1200</v>
      </c>
      <c r="L30" s="847">
        <f t="shared" si="21"/>
        <v>0</v>
      </c>
      <c r="M30" s="740">
        <f t="shared" si="17"/>
        <v>0</v>
      </c>
      <c r="N30" s="604">
        <f t="shared" si="15"/>
        <v>0</v>
      </c>
      <c r="O30" s="604">
        <f t="shared" si="5"/>
        <v>0</v>
      </c>
      <c r="P30" s="604">
        <f t="shared" si="6"/>
        <v>0</v>
      </c>
      <c r="Q30" s="604">
        <f t="shared" si="7"/>
        <v>0</v>
      </c>
      <c r="R30" s="604">
        <f t="shared" si="16"/>
        <v>0</v>
      </c>
      <c r="S30" s="604">
        <f t="shared" si="8"/>
        <v>0</v>
      </c>
      <c r="T30" s="604">
        <f t="shared" si="9"/>
        <v>0</v>
      </c>
      <c r="U30" s="604">
        <f t="shared" si="10"/>
        <v>0</v>
      </c>
      <c r="V30" s="604">
        <f t="shared" si="11"/>
        <v>0</v>
      </c>
      <c r="W30" s="604">
        <f t="shared" si="12"/>
        <v>0</v>
      </c>
      <c r="X30" s="746">
        <v>0</v>
      </c>
      <c r="Y30" s="746">
        <f t="shared" si="13"/>
        <v>0</v>
      </c>
    </row>
    <row r="31" spans="2:25">
      <c r="B31" s="598" t="s">
        <v>2595</v>
      </c>
      <c r="C31" s="604" t="s">
        <v>906</v>
      </c>
      <c r="D31" s="745">
        <v>2009</v>
      </c>
      <c r="E31" s="604" t="s">
        <v>891</v>
      </c>
      <c r="F31" s="738">
        <v>0.2</v>
      </c>
      <c r="G31" s="739">
        <v>570</v>
      </c>
      <c r="H31" s="741">
        <v>570</v>
      </c>
      <c r="I31" s="742">
        <f t="shared" si="18"/>
        <v>0</v>
      </c>
      <c r="J31" s="740">
        <f t="shared" si="19"/>
        <v>0</v>
      </c>
      <c r="K31" s="739">
        <f t="shared" si="20"/>
        <v>570</v>
      </c>
      <c r="L31" s="847">
        <f t="shared" si="21"/>
        <v>0</v>
      </c>
      <c r="M31" s="740">
        <f t="shared" si="17"/>
        <v>0</v>
      </c>
      <c r="N31" s="604">
        <f t="shared" si="15"/>
        <v>0</v>
      </c>
      <c r="O31" s="604">
        <f t="shared" si="5"/>
        <v>0</v>
      </c>
      <c r="P31" s="604">
        <f t="shared" si="6"/>
        <v>0</v>
      </c>
      <c r="Q31" s="604">
        <f t="shared" si="7"/>
        <v>0</v>
      </c>
      <c r="R31" s="604">
        <f t="shared" si="16"/>
        <v>0</v>
      </c>
      <c r="S31" s="604">
        <f t="shared" si="8"/>
        <v>0</v>
      </c>
      <c r="T31" s="604">
        <f t="shared" si="9"/>
        <v>0</v>
      </c>
      <c r="U31" s="604">
        <f t="shared" si="10"/>
        <v>0</v>
      </c>
      <c r="V31" s="604">
        <f t="shared" si="11"/>
        <v>0</v>
      </c>
      <c r="W31" s="604">
        <f t="shared" si="12"/>
        <v>0</v>
      </c>
      <c r="X31" s="746">
        <v>0</v>
      </c>
      <c r="Y31" s="746">
        <f t="shared" si="13"/>
        <v>0</v>
      </c>
    </row>
    <row r="32" spans="2:25">
      <c r="B32" s="598" t="s">
        <v>2595</v>
      </c>
      <c r="C32" s="604" t="s">
        <v>906</v>
      </c>
      <c r="D32" s="745">
        <v>2010</v>
      </c>
      <c r="E32" s="604" t="s">
        <v>892</v>
      </c>
      <c r="F32" s="738">
        <v>0.2</v>
      </c>
      <c r="G32" s="739">
        <v>1165</v>
      </c>
      <c r="H32" s="741">
        <v>1165</v>
      </c>
      <c r="I32" s="742">
        <f t="shared" si="18"/>
        <v>0</v>
      </c>
      <c r="J32" s="740">
        <f t="shared" si="19"/>
        <v>0</v>
      </c>
      <c r="K32" s="739">
        <f t="shared" si="20"/>
        <v>1165</v>
      </c>
      <c r="L32" s="847">
        <f t="shared" si="21"/>
        <v>0</v>
      </c>
      <c r="M32" s="740">
        <f t="shared" si="17"/>
        <v>0</v>
      </c>
      <c r="N32" s="604">
        <f t="shared" si="15"/>
        <v>0</v>
      </c>
      <c r="O32" s="604">
        <f t="shared" si="5"/>
        <v>0</v>
      </c>
      <c r="P32" s="604">
        <f t="shared" si="6"/>
        <v>0</v>
      </c>
      <c r="Q32" s="604">
        <f t="shared" si="7"/>
        <v>0</v>
      </c>
      <c r="R32" s="604">
        <f t="shared" si="16"/>
        <v>0</v>
      </c>
      <c r="S32" s="604">
        <f t="shared" si="8"/>
        <v>0</v>
      </c>
      <c r="T32" s="604">
        <f t="shared" si="9"/>
        <v>0</v>
      </c>
      <c r="U32" s="604">
        <f t="shared" si="10"/>
        <v>0</v>
      </c>
      <c r="V32" s="604">
        <f t="shared" si="11"/>
        <v>0</v>
      </c>
      <c r="W32" s="604">
        <f t="shared" si="12"/>
        <v>0</v>
      </c>
      <c r="X32" s="746">
        <v>0</v>
      </c>
      <c r="Y32" s="746">
        <f t="shared" si="13"/>
        <v>0</v>
      </c>
    </row>
    <row r="33" spans="2:26">
      <c r="B33" s="598" t="s">
        <v>2595</v>
      </c>
      <c r="C33" s="604" t="s">
        <v>906</v>
      </c>
      <c r="D33" s="745">
        <v>2010</v>
      </c>
      <c r="E33" s="604" t="s">
        <v>893</v>
      </c>
      <c r="F33" s="738">
        <v>0.2</v>
      </c>
      <c r="G33" s="739">
        <v>1600</v>
      </c>
      <c r="H33" s="741">
        <v>1600</v>
      </c>
      <c r="I33" s="742">
        <f t="shared" si="18"/>
        <v>0</v>
      </c>
      <c r="J33" s="740">
        <f t="shared" si="19"/>
        <v>0</v>
      </c>
      <c r="K33" s="739">
        <f t="shared" si="20"/>
        <v>1600</v>
      </c>
      <c r="L33" s="847">
        <f t="shared" si="21"/>
        <v>0</v>
      </c>
      <c r="M33" s="740">
        <f t="shared" si="17"/>
        <v>0</v>
      </c>
      <c r="N33" s="604">
        <f t="shared" si="15"/>
        <v>0</v>
      </c>
      <c r="O33" s="604">
        <f t="shared" si="5"/>
        <v>0</v>
      </c>
      <c r="P33" s="604">
        <f t="shared" si="6"/>
        <v>0</v>
      </c>
      <c r="Q33" s="604">
        <f t="shared" si="7"/>
        <v>0</v>
      </c>
      <c r="R33" s="604">
        <f t="shared" si="16"/>
        <v>0</v>
      </c>
      <c r="S33" s="604">
        <f t="shared" si="8"/>
        <v>0</v>
      </c>
      <c r="T33" s="604">
        <f t="shared" si="9"/>
        <v>0</v>
      </c>
      <c r="U33" s="604">
        <f t="shared" si="10"/>
        <v>0</v>
      </c>
      <c r="V33" s="604">
        <f t="shared" si="11"/>
        <v>0</v>
      </c>
      <c r="W33" s="604">
        <f t="shared" si="12"/>
        <v>0</v>
      </c>
      <c r="X33" s="746">
        <v>0</v>
      </c>
      <c r="Y33" s="746">
        <f t="shared" si="13"/>
        <v>0</v>
      </c>
    </row>
    <row r="34" spans="2:26">
      <c r="B34" s="598" t="s">
        <v>2595</v>
      </c>
      <c r="C34" s="604" t="s">
        <v>906</v>
      </c>
      <c r="D34" s="745">
        <v>2011</v>
      </c>
      <c r="E34" s="604" t="s">
        <v>894</v>
      </c>
      <c r="F34" s="738">
        <v>0.2</v>
      </c>
      <c r="G34" s="739">
        <v>1285.5999999999999</v>
      </c>
      <c r="H34" s="741">
        <v>1285.5999999999999</v>
      </c>
      <c r="I34" s="742">
        <f t="shared" si="18"/>
        <v>0</v>
      </c>
      <c r="J34" s="740">
        <f t="shared" si="19"/>
        <v>0</v>
      </c>
      <c r="K34" s="739">
        <f t="shared" si="20"/>
        <v>1285.5999999999999</v>
      </c>
      <c r="L34" s="847">
        <f t="shared" si="21"/>
        <v>0</v>
      </c>
      <c r="M34" s="740">
        <f t="shared" si="17"/>
        <v>0</v>
      </c>
      <c r="N34" s="604">
        <f t="shared" si="15"/>
        <v>0</v>
      </c>
      <c r="O34" s="604">
        <f t="shared" si="5"/>
        <v>0</v>
      </c>
      <c r="P34" s="604">
        <f t="shared" si="6"/>
        <v>0</v>
      </c>
      <c r="Q34" s="604">
        <f t="shared" si="7"/>
        <v>0</v>
      </c>
      <c r="R34" s="604">
        <f t="shared" si="16"/>
        <v>0</v>
      </c>
      <c r="S34" s="604">
        <f t="shared" si="8"/>
        <v>0</v>
      </c>
      <c r="T34" s="604">
        <f t="shared" si="9"/>
        <v>0</v>
      </c>
      <c r="U34" s="604">
        <f t="shared" si="10"/>
        <v>0</v>
      </c>
      <c r="V34" s="604">
        <f t="shared" si="11"/>
        <v>0</v>
      </c>
      <c r="W34" s="604">
        <f t="shared" si="12"/>
        <v>0</v>
      </c>
      <c r="X34" s="746">
        <v>0</v>
      </c>
      <c r="Y34" s="746">
        <f t="shared" si="13"/>
        <v>0</v>
      </c>
    </row>
    <row r="35" spans="2:26">
      <c r="B35" s="598" t="s">
        <v>2595</v>
      </c>
      <c r="C35" s="604" t="s">
        <v>906</v>
      </c>
      <c r="D35" s="745">
        <v>2011</v>
      </c>
      <c r="E35" s="604" t="s">
        <v>1121</v>
      </c>
      <c r="F35" s="738">
        <v>0.2</v>
      </c>
      <c r="G35" s="739">
        <v>799</v>
      </c>
      <c r="H35" s="741">
        <v>799</v>
      </c>
      <c r="I35" s="742">
        <f t="shared" si="18"/>
        <v>0</v>
      </c>
      <c r="J35" s="740">
        <f t="shared" si="19"/>
        <v>0</v>
      </c>
      <c r="K35" s="739">
        <f t="shared" si="20"/>
        <v>799</v>
      </c>
      <c r="L35" s="847">
        <f t="shared" si="21"/>
        <v>0</v>
      </c>
      <c r="M35" s="740">
        <f t="shared" si="17"/>
        <v>0</v>
      </c>
      <c r="N35" s="604">
        <f t="shared" si="15"/>
        <v>0</v>
      </c>
      <c r="O35" s="604">
        <f t="shared" si="5"/>
        <v>0</v>
      </c>
      <c r="P35" s="604">
        <f t="shared" si="6"/>
        <v>0</v>
      </c>
      <c r="Q35" s="604">
        <f t="shared" si="7"/>
        <v>0</v>
      </c>
      <c r="R35" s="604">
        <f t="shared" si="16"/>
        <v>0</v>
      </c>
      <c r="S35" s="604">
        <f t="shared" si="8"/>
        <v>0</v>
      </c>
      <c r="T35" s="604">
        <f t="shared" si="9"/>
        <v>0</v>
      </c>
      <c r="U35" s="604">
        <f t="shared" si="10"/>
        <v>0</v>
      </c>
      <c r="V35" s="604">
        <f t="shared" si="11"/>
        <v>0</v>
      </c>
      <c r="W35" s="604">
        <f t="shared" si="12"/>
        <v>0</v>
      </c>
      <c r="X35" s="746">
        <v>0</v>
      </c>
      <c r="Y35" s="746">
        <f t="shared" si="13"/>
        <v>0</v>
      </c>
    </row>
    <row r="36" spans="2:26">
      <c r="B36" s="598" t="s">
        <v>2595</v>
      </c>
      <c r="C36" s="604" t="s">
        <v>906</v>
      </c>
      <c r="D36" s="745">
        <v>2011</v>
      </c>
      <c r="E36" s="604" t="s">
        <v>1122</v>
      </c>
      <c r="F36" s="738">
        <v>0.2</v>
      </c>
      <c r="G36" s="739">
        <v>670</v>
      </c>
      <c r="H36" s="741">
        <v>670</v>
      </c>
      <c r="I36" s="742">
        <f t="shared" si="18"/>
        <v>0</v>
      </c>
      <c r="J36" s="740">
        <f t="shared" si="19"/>
        <v>0</v>
      </c>
      <c r="K36" s="739">
        <f t="shared" si="20"/>
        <v>670</v>
      </c>
      <c r="L36" s="847">
        <f t="shared" si="21"/>
        <v>0</v>
      </c>
      <c r="M36" s="740">
        <f t="shared" si="17"/>
        <v>0</v>
      </c>
      <c r="N36" s="604">
        <f t="shared" si="15"/>
        <v>0</v>
      </c>
      <c r="O36" s="604">
        <f t="shared" si="5"/>
        <v>0</v>
      </c>
      <c r="P36" s="604">
        <f t="shared" si="6"/>
        <v>0</v>
      </c>
      <c r="Q36" s="604">
        <f t="shared" si="7"/>
        <v>0</v>
      </c>
      <c r="R36" s="604">
        <f t="shared" si="16"/>
        <v>0</v>
      </c>
      <c r="S36" s="604">
        <f t="shared" si="8"/>
        <v>0</v>
      </c>
      <c r="T36" s="604">
        <f t="shared" si="9"/>
        <v>0</v>
      </c>
      <c r="U36" s="604">
        <f t="shared" si="10"/>
        <v>0</v>
      </c>
      <c r="V36" s="604">
        <f t="shared" si="11"/>
        <v>0</v>
      </c>
      <c r="W36" s="604">
        <f t="shared" si="12"/>
        <v>0</v>
      </c>
      <c r="X36" s="746">
        <v>0</v>
      </c>
      <c r="Y36" s="746">
        <f t="shared" si="13"/>
        <v>0</v>
      </c>
    </row>
    <row r="37" spans="2:26">
      <c r="B37" s="598" t="s">
        <v>2595</v>
      </c>
      <c r="C37" s="604" t="s">
        <v>906</v>
      </c>
      <c r="D37" s="745">
        <v>2011</v>
      </c>
      <c r="E37" s="604" t="s">
        <v>895</v>
      </c>
      <c r="F37" s="738">
        <v>0.2</v>
      </c>
      <c r="G37" s="739">
        <v>1850</v>
      </c>
      <c r="H37" s="741">
        <v>1850</v>
      </c>
      <c r="I37" s="742">
        <f t="shared" si="18"/>
        <v>0</v>
      </c>
      <c r="J37" s="740">
        <f t="shared" si="19"/>
        <v>0</v>
      </c>
      <c r="K37" s="739">
        <f t="shared" si="20"/>
        <v>1850</v>
      </c>
      <c r="L37" s="847">
        <f t="shared" si="21"/>
        <v>0</v>
      </c>
      <c r="M37" s="740">
        <f t="shared" si="17"/>
        <v>0</v>
      </c>
      <c r="N37" s="604">
        <f t="shared" si="15"/>
        <v>0</v>
      </c>
      <c r="O37" s="604">
        <f t="shared" si="5"/>
        <v>0</v>
      </c>
      <c r="P37" s="604">
        <f t="shared" si="6"/>
        <v>0</v>
      </c>
      <c r="Q37" s="604">
        <f t="shared" si="7"/>
        <v>0</v>
      </c>
      <c r="R37" s="604">
        <f t="shared" si="16"/>
        <v>0</v>
      </c>
      <c r="S37" s="604">
        <f t="shared" si="8"/>
        <v>0</v>
      </c>
      <c r="T37" s="604">
        <f t="shared" si="9"/>
        <v>0</v>
      </c>
      <c r="U37" s="604">
        <f t="shared" si="10"/>
        <v>0</v>
      </c>
      <c r="V37" s="604">
        <f t="shared" si="11"/>
        <v>0</v>
      </c>
      <c r="W37" s="604">
        <f t="shared" si="12"/>
        <v>0</v>
      </c>
      <c r="X37" s="746">
        <v>0</v>
      </c>
      <c r="Y37" s="746">
        <f t="shared" si="13"/>
        <v>0</v>
      </c>
    </row>
    <row r="38" spans="2:26">
      <c r="B38" s="598" t="s">
        <v>2595</v>
      </c>
      <c r="C38" s="604" t="s">
        <v>906</v>
      </c>
      <c r="D38" s="745">
        <v>2012</v>
      </c>
      <c r="E38" s="604" t="s">
        <v>1123</v>
      </c>
      <c r="F38" s="738">
        <v>0.2</v>
      </c>
      <c r="G38" s="739">
        <v>720</v>
      </c>
      <c r="H38" s="741">
        <v>720</v>
      </c>
      <c r="I38" s="742">
        <f t="shared" si="18"/>
        <v>0</v>
      </c>
      <c r="J38" s="740">
        <f t="shared" si="19"/>
        <v>0</v>
      </c>
      <c r="K38" s="739">
        <f t="shared" si="20"/>
        <v>720</v>
      </c>
      <c r="L38" s="847">
        <f t="shared" si="21"/>
        <v>0</v>
      </c>
      <c r="M38" s="740">
        <f t="shared" si="17"/>
        <v>0</v>
      </c>
      <c r="N38" s="604">
        <f t="shared" si="15"/>
        <v>0</v>
      </c>
      <c r="O38" s="604">
        <f t="shared" si="5"/>
        <v>0</v>
      </c>
      <c r="P38" s="604">
        <f t="shared" si="6"/>
        <v>0</v>
      </c>
      <c r="Q38" s="604">
        <f t="shared" si="7"/>
        <v>0</v>
      </c>
      <c r="R38" s="604">
        <f t="shared" si="16"/>
        <v>0</v>
      </c>
      <c r="S38" s="604">
        <f t="shared" si="8"/>
        <v>0</v>
      </c>
      <c r="T38" s="604">
        <f t="shared" si="9"/>
        <v>0</v>
      </c>
      <c r="U38" s="604">
        <f t="shared" si="10"/>
        <v>0</v>
      </c>
      <c r="V38" s="604">
        <f t="shared" si="11"/>
        <v>0</v>
      </c>
      <c r="W38" s="604">
        <f t="shared" si="12"/>
        <v>0</v>
      </c>
      <c r="X38" s="746">
        <v>0</v>
      </c>
      <c r="Y38" s="746">
        <f t="shared" si="13"/>
        <v>0</v>
      </c>
    </row>
    <row r="39" spans="2:26">
      <c r="B39" s="598" t="s">
        <v>2595</v>
      </c>
      <c r="C39" s="604" t="s">
        <v>906</v>
      </c>
      <c r="D39" s="745">
        <v>2014</v>
      </c>
      <c r="E39" s="604" t="s">
        <v>896</v>
      </c>
      <c r="F39" s="738">
        <v>0.2</v>
      </c>
      <c r="G39" s="739">
        <v>854.1</v>
      </c>
      <c r="H39" s="741">
        <v>854.1</v>
      </c>
      <c r="I39" s="742">
        <f t="shared" si="18"/>
        <v>0</v>
      </c>
      <c r="J39" s="740">
        <f t="shared" si="19"/>
        <v>0</v>
      </c>
      <c r="K39" s="739">
        <f t="shared" si="20"/>
        <v>854.1</v>
      </c>
      <c r="L39" s="847">
        <f t="shared" si="21"/>
        <v>0</v>
      </c>
      <c r="M39" s="740">
        <f t="shared" si="17"/>
        <v>0</v>
      </c>
      <c r="N39" s="604">
        <f t="shared" si="15"/>
        <v>0</v>
      </c>
      <c r="O39" s="604">
        <f t="shared" si="5"/>
        <v>0</v>
      </c>
      <c r="P39" s="604">
        <f t="shared" si="6"/>
        <v>0</v>
      </c>
      <c r="Q39" s="604">
        <f t="shared" si="7"/>
        <v>0</v>
      </c>
      <c r="R39" s="604">
        <f t="shared" si="16"/>
        <v>0</v>
      </c>
      <c r="S39" s="604">
        <f t="shared" si="8"/>
        <v>0</v>
      </c>
      <c r="T39" s="604">
        <f t="shared" si="9"/>
        <v>0</v>
      </c>
      <c r="U39" s="604">
        <f t="shared" si="10"/>
        <v>0</v>
      </c>
      <c r="V39" s="604">
        <f t="shared" si="11"/>
        <v>0</v>
      </c>
      <c r="W39" s="604">
        <f t="shared" si="12"/>
        <v>0</v>
      </c>
      <c r="X39" s="746">
        <v>0</v>
      </c>
      <c r="Y39" s="746">
        <f t="shared" si="13"/>
        <v>0</v>
      </c>
    </row>
    <row r="40" spans="2:26">
      <c r="B40" s="598" t="s">
        <v>2595</v>
      </c>
      <c r="C40" s="604" t="s">
        <v>906</v>
      </c>
      <c r="D40" s="745">
        <v>2014</v>
      </c>
      <c r="E40" s="604" t="s">
        <v>897</v>
      </c>
      <c r="F40" s="738">
        <v>0.2</v>
      </c>
      <c r="G40" s="739">
        <v>638.1</v>
      </c>
      <c r="H40" s="741">
        <v>638.1</v>
      </c>
      <c r="I40" s="742">
        <f t="shared" si="18"/>
        <v>0</v>
      </c>
      <c r="J40" s="740">
        <f t="shared" si="19"/>
        <v>0</v>
      </c>
      <c r="K40" s="739">
        <f t="shared" si="20"/>
        <v>638.1</v>
      </c>
      <c r="L40" s="847">
        <f t="shared" si="21"/>
        <v>0</v>
      </c>
      <c r="M40" s="740">
        <f t="shared" si="17"/>
        <v>0</v>
      </c>
      <c r="N40" s="604">
        <f t="shared" si="15"/>
        <v>0</v>
      </c>
      <c r="O40" s="604">
        <f t="shared" si="5"/>
        <v>0</v>
      </c>
      <c r="P40" s="604">
        <f t="shared" si="6"/>
        <v>0</v>
      </c>
      <c r="Q40" s="604">
        <f t="shared" si="7"/>
        <v>0</v>
      </c>
      <c r="R40" s="604">
        <f t="shared" si="16"/>
        <v>0</v>
      </c>
      <c r="S40" s="604">
        <f t="shared" si="8"/>
        <v>0</v>
      </c>
      <c r="T40" s="604">
        <f t="shared" si="9"/>
        <v>0</v>
      </c>
      <c r="U40" s="604">
        <f t="shared" si="10"/>
        <v>0</v>
      </c>
      <c r="V40" s="604">
        <f t="shared" si="11"/>
        <v>0</v>
      </c>
      <c r="W40" s="604">
        <f t="shared" si="12"/>
        <v>0</v>
      </c>
      <c r="X40" s="746">
        <v>0</v>
      </c>
      <c r="Y40" s="746">
        <f t="shared" si="13"/>
        <v>0</v>
      </c>
    </row>
    <row r="41" spans="2:26">
      <c r="B41" s="598" t="s">
        <v>2595</v>
      </c>
      <c r="C41" s="604" t="s">
        <v>906</v>
      </c>
      <c r="D41" s="745">
        <v>2014</v>
      </c>
      <c r="E41" s="604" t="s">
        <v>1124</v>
      </c>
      <c r="F41" s="738">
        <v>0.2</v>
      </c>
      <c r="G41" s="739">
        <v>914.75</v>
      </c>
      <c r="H41" s="741">
        <v>914.75</v>
      </c>
      <c r="I41" s="742">
        <f t="shared" si="18"/>
        <v>0</v>
      </c>
      <c r="J41" s="740">
        <f t="shared" si="19"/>
        <v>0</v>
      </c>
      <c r="K41" s="739">
        <f t="shared" si="20"/>
        <v>914.75</v>
      </c>
      <c r="L41" s="847">
        <f t="shared" si="21"/>
        <v>0</v>
      </c>
      <c r="M41" s="740">
        <f t="shared" si="17"/>
        <v>0</v>
      </c>
      <c r="N41" s="604">
        <f t="shared" si="15"/>
        <v>0</v>
      </c>
      <c r="O41" s="604">
        <f t="shared" si="5"/>
        <v>0</v>
      </c>
      <c r="P41" s="604">
        <f t="shared" si="6"/>
        <v>0</v>
      </c>
      <c r="Q41" s="604">
        <f t="shared" si="7"/>
        <v>0</v>
      </c>
      <c r="R41" s="604">
        <f t="shared" si="16"/>
        <v>0</v>
      </c>
      <c r="S41" s="604">
        <f t="shared" si="8"/>
        <v>0</v>
      </c>
      <c r="T41" s="604">
        <f t="shared" si="9"/>
        <v>0</v>
      </c>
      <c r="U41" s="604">
        <f t="shared" si="10"/>
        <v>0</v>
      </c>
      <c r="V41" s="604">
        <f t="shared" si="11"/>
        <v>0</v>
      </c>
      <c r="W41" s="604">
        <f t="shared" si="12"/>
        <v>0</v>
      </c>
      <c r="X41" s="746">
        <v>0</v>
      </c>
      <c r="Y41" s="746">
        <f t="shared" si="13"/>
        <v>0</v>
      </c>
    </row>
    <row r="42" spans="2:26">
      <c r="B42" s="598" t="s">
        <v>2595</v>
      </c>
      <c r="C42" s="604" t="s">
        <v>906</v>
      </c>
      <c r="D42" s="745">
        <v>2014</v>
      </c>
      <c r="E42" s="604" t="s">
        <v>898</v>
      </c>
      <c r="F42" s="738">
        <v>0.2</v>
      </c>
      <c r="G42" s="739">
        <v>1180.48</v>
      </c>
      <c r="H42" s="741">
        <v>1180.48</v>
      </c>
      <c r="I42" s="742">
        <f t="shared" si="18"/>
        <v>0</v>
      </c>
      <c r="J42" s="740">
        <f t="shared" si="19"/>
        <v>0</v>
      </c>
      <c r="K42" s="739">
        <f t="shared" si="20"/>
        <v>1180.48</v>
      </c>
      <c r="L42" s="847">
        <f t="shared" si="21"/>
        <v>0</v>
      </c>
      <c r="M42" s="740">
        <f t="shared" si="17"/>
        <v>0</v>
      </c>
      <c r="N42" s="604">
        <f t="shared" si="15"/>
        <v>0</v>
      </c>
      <c r="O42" s="604">
        <f t="shared" si="5"/>
        <v>0</v>
      </c>
      <c r="P42" s="604">
        <f t="shared" si="6"/>
        <v>0</v>
      </c>
      <c r="Q42" s="604">
        <f t="shared" si="7"/>
        <v>0</v>
      </c>
      <c r="R42" s="604">
        <f t="shared" si="16"/>
        <v>0</v>
      </c>
      <c r="S42" s="604">
        <f t="shared" si="8"/>
        <v>0</v>
      </c>
      <c r="T42" s="604">
        <f t="shared" si="9"/>
        <v>0</v>
      </c>
      <c r="U42" s="604">
        <f t="shared" si="10"/>
        <v>0</v>
      </c>
      <c r="V42" s="604">
        <f t="shared" si="11"/>
        <v>0</v>
      </c>
      <c r="W42" s="604">
        <f t="shared" si="12"/>
        <v>0</v>
      </c>
      <c r="X42" s="746">
        <v>0</v>
      </c>
      <c r="Y42" s="746">
        <f t="shared" si="13"/>
        <v>0</v>
      </c>
    </row>
    <row r="43" spans="2:26">
      <c r="B43" s="598" t="s">
        <v>2595</v>
      </c>
      <c r="C43" s="604" t="s">
        <v>906</v>
      </c>
      <c r="D43" s="745">
        <v>2015</v>
      </c>
      <c r="E43" s="604" t="s">
        <v>899</v>
      </c>
      <c r="F43" s="738">
        <v>0.2</v>
      </c>
      <c r="G43" s="739">
        <v>679.5</v>
      </c>
      <c r="H43" s="741">
        <v>679.5</v>
      </c>
      <c r="I43" s="742">
        <f t="shared" si="18"/>
        <v>0</v>
      </c>
      <c r="J43" s="740">
        <f t="shared" si="19"/>
        <v>0</v>
      </c>
      <c r="K43" s="739">
        <f t="shared" si="20"/>
        <v>679.5</v>
      </c>
      <c r="L43" s="847">
        <f t="shared" si="21"/>
        <v>0</v>
      </c>
      <c r="M43" s="740">
        <f t="shared" si="17"/>
        <v>0</v>
      </c>
      <c r="N43" s="604">
        <f t="shared" si="15"/>
        <v>0</v>
      </c>
      <c r="O43" s="604">
        <f t="shared" si="5"/>
        <v>0</v>
      </c>
      <c r="P43" s="604">
        <f t="shared" si="6"/>
        <v>0</v>
      </c>
      <c r="Q43" s="604">
        <f t="shared" si="7"/>
        <v>0</v>
      </c>
      <c r="R43" s="604">
        <f t="shared" si="16"/>
        <v>0</v>
      </c>
      <c r="S43" s="604">
        <f t="shared" si="8"/>
        <v>0</v>
      </c>
      <c r="T43" s="604">
        <f t="shared" si="9"/>
        <v>0</v>
      </c>
      <c r="U43" s="604">
        <f t="shared" si="10"/>
        <v>0</v>
      </c>
      <c r="V43" s="604">
        <f t="shared" si="11"/>
        <v>0</v>
      </c>
      <c r="W43" s="604">
        <f t="shared" si="12"/>
        <v>0</v>
      </c>
      <c r="X43" s="746">
        <v>0</v>
      </c>
      <c r="Y43" s="746">
        <f t="shared" si="13"/>
        <v>0</v>
      </c>
    </row>
    <row r="44" spans="2:26">
      <c r="B44" s="598" t="s">
        <v>2595</v>
      </c>
      <c r="C44" s="604" t="s">
        <v>906</v>
      </c>
      <c r="D44" s="745">
        <v>2015</v>
      </c>
      <c r="E44" s="604" t="s">
        <v>1125</v>
      </c>
      <c r="F44" s="738">
        <v>0.2</v>
      </c>
      <c r="G44" s="739">
        <v>1356.8</v>
      </c>
      <c r="H44" s="741">
        <v>1356.8</v>
      </c>
      <c r="I44" s="742">
        <f t="shared" si="18"/>
        <v>0</v>
      </c>
      <c r="J44" s="740">
        <f t="shared" si="19"/>
        <v>0</v>
      </c>
      <c r="K44" s="739">
        <f t="shared" si="20"/>
        <v>1356.8</v>
      </c>
      <c r="L44" s="847">
        <f t="shared" si="21"/>
        <v>0</v>
      </c>
      <c r="M44" s="740">
        <f t="shared" si="17"/>
        <v>0</v>
      </c>
      <c r="N44" s="604">
        <f t="shared" si="15"/>
        <v>0</v>
      </c>
      <c r="O44" s="604">
        <f t="shared" si="5"/>
        <v>0</v>
      </c>
      <c r="P44" s="604">
        <f t="shared" si="6"/>
        <v>0</v>
      </c>
      <c r="Q44" s="604">
        <f t="shared" si="7"/>
        <v>0</v>
      </c>
      <c r="R44" s="604">
        <f t="shared" si="16"/>
        <v>0</v>
      </c>
      <c r="S44" s="604">
        <f t="shared" si="8"/>
        <v>0</v>
      </c>
      <c r="T44" s="604">
        <f t="shared" si="9"/>
        <v>0</v>
      </c>
      <c r="U44" s="604">
        <f t="shared" si="10"/>
        <v>0</v>
      </c>
      <c r="V44" s="604">
        <f t="shared" si="11"/>
        <v>0</v>
      </c>
      <c r="W44" s="604">
        <f t="shared" si="12"/>
        <v>0</v>
      </c>
      <c r="X44" s="746">
        <v>0</v>
      </c>
      <c r="Y44" s="746">
        <f t="shared" si="13"/>
        <v>0</v>
      </c>
    </row>
    <row r="45" spans="2:26">
      <c r="B45" s="598" t="s">
        <v>2595</v>
      </c>
      <c r="C45" s="604" t="s">
        <v>906</v>
      </c>
      <c r="D45" s="745">
        <v>2015</v>
      </c>
      <c r="E45" s="604" t="s">
        <v>900</v>
      </c>
      <c r="F45" s="738">
        <v>0.2</v>
      </c>
      <c r="G45" s="739">
        <v>654.91999999999996</v>
      </c>
      <c r="H45" s="741">
        <v>654.91999999999996</v>
      </c>
      <c r="I45" s="742">
        <f t="shared" si="18"/>
        <v>0</v>
      </c>
      <c r="J45" s="740">
        <f t="shared" si="19"/>
        <v>0</v>
      </c>
      <c r="K45" s="739">
        <f t="shared" si="20"/>
        <v>654.91999999999996</v>
      </c>
      <c r="L45" s="847">
        <f t="shared" si="21"/>
        <v>0</v>
      </c>
      <c r="M45" s="740">
        <f t="shared" si="17"/>
        <v>0</v>
      </c>
      <c r="N45" s="604">
        <f t="shared" si="15"/>
        <v>0</v>
      </c>
      <c r="O45" s="604">
        <f t="shared" si="5"/>
        <v>0</v>
      </c>
      <c r="P45" s="604">
        <f t="shared" si="6"/>
        <v>0</v>
      </c>
      <c r="Q45" s="604">
        <f t="shared" si="7"/>
        <v>0</v>
      </c>
      <c r="R45" s="604">
        <f t="shared" si="16"/>
        <v>0</v>
      </c>
      <c r="S45" s="604">
        <f t="shared" si="8"/>
        <v>0</v>
      </c>
      <c r="T45" s="604">
        <f t="shared" si="9"/>
        <v>0</v>
      </c>
      <c r="U45" s="604">
        <f t="shared" si="10"/>
        <v>0</v>
      </c>
      <c r="V45" s="604">
        <f t="shared" si="11"/>
        <v>0</v>
      </c>
      <c r="W45" s="604">
        <f t="shared" si="12"/>
        <v>0</v>
      </c>
      <c r="X45" s="746">
        <v>0</v>
      </c>
      <c r="Y45" s="746">
        <f t="shared" si="13"/>
        <v>0</v>
      </c>
    </row>
    <row r="46" spans="2:26">
      <c r="B46" s="598" t="s">
        <v>2595</v>
      </c>
      <c r="C46" s="604" t="s">
        <v>906</v>
      </c>
      <c r="D46" s="745">
        <v>2015</v>
      </c>
      <c r="E46" s="604" t="s">
        <v>1126</v>
      </c>
      <c r="F46" s="738">
        <v>0.2</v>
      </c>
      <c r="G46" s="739">
        <v>1038</v>
      </c>
      <c r="H46" s="741">
        <v>1038</v>
      </c>
      <c r="I46" s="742">
        <f t="shared" si="18"/>
        <v>0</v>
      </c>
      <c r="J46" s="740">
        <f t="shared" si="19"/>
        <v>0</v>
      </c>
      <c r="K46" s="739">
        <f t="shared" si="20"/>
        <v>1038</v>
      </c>
      <c r="L46" s="847">
        <f t="shared" si="21"/>
        <v>0</v>
      </c>
      <c r="M46" s="740">
        <f t="shared" si="17"/>
        <v>0</v>
      </c>
      <c r="N46" s="604">
        <f t="shared" si="15"/>
        <v>0</v>
      </c>
      <c r="O46" s="604">
        <f t="shared" si="5"/>
        <v>0</v>
      </c>
      <c r="P46" s="604">
        <f t="shared" si="6"/>
        <v>0</v>
      </c>
      <c r="Q46" s="604">
        <f t="shared" si="7"/>
        <v>0</v>
      </c>
      <c r="R46" s="604">
        <f t="shared" si="16"/>
        <v>0</v>
      </c>
      <c r="S46" s="604">
        <f t="shared" si="8"/>
        <v>0</v>
      </c>
      <c r="T46" s="604">
        <f t="shared" si="9"/>
        <v>0</v>
      </c>
      <c r="U46" s="604">
        <f t="shared" si="10"/>
        <v>0</v>
      </c>
      <c r="V46" s="604">
        <f t="shared" si="11"/>
        <v>0</v>
      </c>
      <c r="W46" s="604">
        <f t="shared" si="12"/>
        <v>0</v>
      </c>
      <c r="X46" s="746">
        <v>0</v>
      </c>
      <c r="Y46" s="746">
        <f t="shared" si="13"/>
        <v>0</v>
      </c>
    </row>
    <row r="47" spans="2:26">
      <c r="B47" s="598" t="s">
        <v>2595</v>
      </c>
      <c r="C47" s="604" t="s">
        <v>906</v>
      </c>
      <c r="D47" s="745">
        <v>2015</v>
      </c>
      <c r="E47" s="604" t="s">
        <v>1127</v>
      </c>
      <c r="F47" s="738">
        <v>0.2</v>
      </c>
      <c r="G47" s="739">
        <v>4184</v>
      </c>
      <c r="H47" s="741">
        <v>4184</v>
      </c>
      <c r="I47" s="742">
        <f t="shared" si="18"/>
        <v>0</v>
      </c>
      <c r="J47" s="740">
        <f t="shared" si="19"/>
        <v>0</v>
      </c>
      <c r="K47" s="739">
        <f t="shared" si="20"/>
        <v>4184</v>
      </c>
      <c r="L47" s="847">
        <f t="shared" si="21"/>
        <v>0</v>
      </c>
      <c r="M47" s="740">
        <f t="shared" si="17"/>
        <v>0</v>
      </c>
      <c r="N47" s="604">
        <f t="shared" si="15"/>
        <v>0</v>
      </c>
      <c r="O47" s="604">
        <f t="shared" si="5"/>
        <v>0</v>
      </c>
      <c r="P47" s="604">
        <f t="shared" si="6"/>
        <v>0</v>
      </c>
      <c r="Q47" s="604">
        <f t="shared" si="7"/>
        <v>0</v>
      </c>
      <c r="R47" s="604">
        <f t="shared" si="16"/>
        <v>0</v>
      </c>
      <c r="S47" s="604">
        <f t="shared" si="8"/>
        <v>0</v>
      </c>
      <c r="T47" s="604">
        <f t="shared" si="9"/>
        <v>0</v>
      </c>
      <c r="U47" s="604">
        <f t="shared" si="10"/>
        <v>0</v>
      </c>
      <c r="V47" s="604">
        <f t="shared" si="11"/>
        <v>0</v>
      </c>
      <c r="W47" s="604">
        <f t="shared" si="12"/>
        <v>0</v>
      </c>
      <c r="X47" s="746">
        <v>0</v>
      </c>
      <c r="Y47" s="746">
        <f t="shared" si="13"/>
        <v>0</v>
      </c>
    </row>
    <row r="48" spans="2:26">
      <c r="B48" s="598" t="s">
        <v>2595</v>
      </c>
      <c r="C48" s="604" t="s">
        <v>906</v>
      </c>
      <c r="D48" s="745">
        <v>2015</v>
      </c>
      <c r="E48" s="604" t="s">
        <v>1128</v>
      </c>
      <c r="F48" s="738">
        <v>0.2</v>
      </c>
      <c r="G48" s="739">
        <v>500</v>
      </c>
      <c r="H48" s="741">
        <v>500</v>
      </c>
      <c r="I48" s="742">
        <f t="shared" si="18"/>
        <v>0</v>
      </c>
      <c r="J48" s="740">
        <f t="shared" si="19"/>
        <v>0</v>
      </c>
      <c r="K48" s="739">
        <f t="shared" si="20"/>
        <v>500</v>
      </c>
      <c r="L48" s="847">
        <f t="shared" si="21"/>
        <v>0</v>
      </c>
      <c r="M48" s="740">
        <f t="shared" si="17"/>
        <v>0</v>
      </c>
      <c r="N48" s="604">
        <f t="shared" si="15"/>
        <v>0</v>
      </c>
      <c r="O48" s="604">
        <f t="shared" si="5"/>
        <v>0</v>
      </c>
      <c r="P48" s="604">
        <f t="shared" si="6"/>
        <v>0</v>
      </c>
      <c r="Q48" s="604">
        <f t="shared" si="7"/>
        <v>0</v>
      </c>
      <c r="R48" s="604">
        <f t="shared" si="16"/>
        <v>0</v>
      </c>
      <c r="S48" s="604">
        <f t="shared" si="8"/>
        <v>0</v>
      </c>
      <c r="T48" s="604">
        <f t="shared" si="9"/>
        <v>0</v>
      </c>
      <c r="U48" s="604">
        <f t="shared" si="10"/>
        <v>0</v>
      </c>
      <c r="V48" s="604">
        <f t="shared" si="11"/>
        <v>0</v>
      </c>
      <c r="W48" s="604">
        <f t="shared" si="12"/>
        <v>0</v>
      </c>
      <c r="X48" s="746">
        <v>0</v>
      </c>
      <c r="Y48" s="746">
        <f t="shared" si="13"/>
        <v>0</v>
      </c>
      <c r="Z48" s="746">
        <f>+SUM(L48:L89)</f>
        <v>31384.83</v>
      </c>
    </row>
    <row r="49" spans="2:27">
      <c r="B49" s="598" t="s">
        <v>2595</v>
      </c>
      <c r="C49" s="604" t="s">
        <v>906</v>
      </c>
      <c r="D49" s="745">
        <v>2016</v>
      </c>
      <c r="E49" s="604" t="s">
        <v>1129</v>
      </c>
      <c r="F49" s="738">
        <v>0.2</v>
      </c>
      <c r="G49" s="739">
        <v>749</v>
      </c>
      <c r="H49" s="741">
        <v>749</v>
      </c>
      <c r="I49" s="742">
        <f t="shared" si="18"/>
        <v>0</v>
      </c>
      <c r="J49" s="740">
        <f t="shared" si="19"/>
        <v>0</v>
      </c>
      <c r="K49" s="739">
        <f t="shared" si="20"/>
        <v>749</v>
      </c>
      <c r="L49" s="847">
        <f t="shared" si="21"/>
        <v>0</v>
      </c>
      <c r="M49" s="740">
        <f t="shared" si="17"/>
        <v>0</v>
      </c>
      <c r="N49" s="604">
        <f t="shared" si="15"/>
        <v>0</v>
      </c>
      <c r="O49" s="604">
        <f t="shared" si="5"/>
        <v>0</v>
      </c>
      <c r="P49" s="604">
        <f t="shared" si="6"/>
        <v>0</v>
      </c>
      <c r="Q49" s="604">
        <f t="shared" si="7"/>
        <v>0</v>
      </c>
      <c r="R49" s="604">
        <f t="shared" si="16"/>
        <v>0</v>
      </c>
      <c r="S49" s="604">
        <f t="shared" si="8"/>
        <v>0</v>
      </c>
      <c r="T49" s="604">
        <f t="shared" si="9"/>
        <v>0</v>
      </c>
      <c r="U49" s="604">
        <f t="shared" si="10"/>
        <v>0</v>
      </c>
      <c r="V49" s="604">
        <f t="shared" si="11"/>
        <v>0</v>
      </c>
      <c r="W49" s="604">
        <f t="shared" si="12"/>
        <v>0</v>
      </c>
      <c r="X49" s="746">
        <v>0</v>
      </c>
      <c r="Y49" s="746">
        <f t="shared" si="13"/>
        <v>0</v>
      </c>
      <c r="Z49" s="746">
        <f>+Z48-BdV!I44-BdV!I50</f>
        <v>-1.0000000002037268E-2</v>
      </c>
      <c r="AA49" s="598" t="s">
        <v>363</v>
      </c>
    </row>
    <row r="50" spans="2:27">
      <c r="B50" s="598" t="s">
        <v>2595</v>
      </c>
      <c r="C50" s="604" t="s">
        <v>906</v>
      </c>
      <c r="D50" s="745">
        <v>2016</v>
      </c>
      <c r="E50" s="604" t="s">
        <v>1130</v>
      </c>
      <c r="F50" s="738"/>
      <c r="G50" s="739">
        <v>548.44000000000005</v>
      </c>
      <c r="H50" s="741">
        <v>548.44000000000005</v>
      </c>
      <c r="I50" s="742">
        <f t="shared" si="18"/>
        <v>0</v>
      </c>
      <c r="J50" s="740">
        <f t="shared" si="19"/>
        <v>0</v>
      </c>
      <c r="K50" s="739">
        <f t="shared" si="20"/>
        <v>548.44000000000005</v>
      </c>
      <c r="L50" s="847">
        <f t="shared" si="21"/>
        <v>0</v>
      </c>
      <c r="M50" s="740">
        <f t="shared" si="17"/>
        <v>0</v>
      </c>
      <c r="N50" s="604">
        <f t="shared" si="15"/>
        <v>0</v>
      </c>
      <c r="O50" s="604">
        <f t="shared" si="5"/>
        <v>0</v>
      </c>
      <c r="P50" s="604">
        <f t="shared" si="6"/>
        <v>0</v>
      </c>
      <c r="Q50" s="604">
        <f t="shared" si="7"/>
        <v>0</v>
      </c>
      <c r="R50" s="604">
        <f t="shared" si="16"/>
        <v>0</v>
      </c>
      <c r="S50" s="604">
        <f t="shared" si="8"/>
        <v>0</v>
      </c>
      <c r="T50" s="604">
        <f t="shared" si="9"/>
        <v>0</v>
      </c>
      <c r="U50" s="604">
        <f t="shared" si="10"/>
        <v>0</v>
      </c>
      <c r="V50" s="604">
        <f t="shared" si="11"/>
        <v>0</v>
      </c>
      <c r="W50" s="604">
        <f t="shared" si="12"/>
        <v>0</v>
      </c>
      <c r="X50" s="746">
        <v>0</v>
      </c>
      <c r="Y50" s="746">
        <f t="shared" si="13"/>
        <v>0</v>
      </c>
    </row>
    <row r="51" spans="2:27">
      <c r="B51" s="598" t="s">
        <v>2595</v>
      </c>
      <c r="C51" s="604" t="s">
        <v>906</v>
      </c>
      <c r="D51" s="745">
        <v>2016</v>
      </c>
      <c r="E51" s="604" t="s">
        <v>1131</v>
      </c>
      <c r="F51" s="738"/>
      <c r="G51" s="739">
        <v>2000</v>
      </c>
      <c r="H51" s="741">
        <v>2000</v>
      </c>
      <c r="I51" s="742">
        <f t="shared" si="18"/>
        <v>0</v>
      </c>
      <c r="J51" s="740">
        <f t="shared" si="19"/>
        <v>0</v>
      </c>
      <c r="K51" s="739">
        <f t="shared" si="20"/>
        <v>2000</v>
      </c>
      <c r="L51" s="847">
        <f t="shared" si="21"/>
        <v>0</v>
      </c>
      <c r="M51" s="740">
        <f t="shared" si="17"/>
        <v>0</v>
      </c>
      <c r="N51" s="604">
        <f t="shared" si="15"/>
        <v>0</v>
      </c>
      <c r="O51" s="604">
        <f t="shared" si="5"/>
        <v>0</v>
      </c>
      <c r="P51" s="604">
        <f t="shared" si="6"/>
        <v>0</v>
      </c>
      <c r="Q51" s="604">
        <f t="shared" si="7"/>
        <v>0</v>
      </c>
      <c r="R51" s="604">
        <f t="shared" si="16"/>
        <v>0</v>
      </c>
      <c r="S51" s="604">
        <f t="shared" si="8"/>
        <v>0</v>
      </c>
      <c r="T51" s="604">
        <f t="shared" si="9"/>
        <v>0</v>
      </c>
      <c r="U51" s="604">
        <f t="shared" si="10"/>
        <v>0</v>
      </c>
      <c r="V51" s="604">
        <f t="shared" si="11"/>
        <v>0</v>
      </c>
      <c r="W51" s="604">
        <f t="shared" si="12"/>
        <v>0</v>
      </c>
      <c r="X51" s="746">
        <v>0</v>
      </c>
      <c r="Y51" s="746">
        <f t="shared" si="13"/>
        <v>0</v>
      </c>
    </row>
    <row r="52" spans="2:27">
      <c r="B52" s="598" t="s">
        <v>2595</v>
      </c>
      <c r="C52" s="604" t="s">
        <v>906</v>
      </c>
      <c r="D52" s="745">
        <v>2016</v>
      </c>
      <c r="E52" s="604" t="s">
        <v>1132</v>
      </c>
      <c r="F52" s="738">
        <v>0.2</v>
      </c>
      <c r="G52" s="739">
        <v>2890</v>
      </c>
      <c r="H52" s="741">
        <v>2890</v>
      </c>
      <c r="I52" s="742">
        <f t="shared" si="18"/>
        <v>0</v>
      </c>
      <c r="J52" s="740">
        <f t="shared" si="19"/>
        <v>0</v>
      </c>
      <c r="K52" s="739">
        <f t="shared" si="20"/>
        <v>2890</v>
      </c>
      <c r="L52" s="847">
        <f t="shared" si="21"/>
        <v>0</v>
      </c>
      <c r="M52" s="740">
        <f t="shared" si="17"/>
        <v>0</v>
      </c>
      <c r="N52" s="604">
        <f t="shared" si="15"/>
        <v>0</v>
      </c>
      <c r="O52" s="604">
        <f t="shared" si="5"/>
        <v>0</v>
      </c>
      <c r="P52" s="604">
        <f t="shared" si="6"/>
        <v>0</v>
      </c>
      <c r="Q52" s="604">
        <f t="shared" si="7"/>
        <v>0</v>
      </c>
      <c r="R52" s="604">
        <f t="shared" si="16"/>
        <v>0</v>
      </c>
      <c r="S52" s="604">
        <f t="shared" si="8"/>
        <v>0</v>
      </c>
      <c r="T52" s="604">
        <f t="shared" si="9"/>
        <v>0</v>
      </c>
      <c r="U52" s="604">
        <f t="shared" si="10"/>
        <v>0</v>
      </c>
      <c r="V52" s="604">
        <f t="shared" si="11"/>
        <v>0</v>
      </c>
      <c r="W52" s="604">
        <f t="shared" si="12"/>
        <v>0</v>
      </c>
      <c r="X52" s="746">
        <v>0</v>
      </c>
      <c r="Y52" s="746">
        <f t="shared" si="13"/>
        <v>0</v>
      </c>
    </row>
    <row r="53" spans="2:27">
      <c r="B53" s="598" t="s">
        <v>2595</v>
      </c>
      <c r="C53" s="604" t="s">
        <v>906</v>
      </c>
      <c r="D53" s="745">
        <v>2016</v>
      </c>
      <c r="E53" s="604" t="s">
        <v>1133</v>
      </c>
      <c r="F53" s="738">
        <v>0.2</v>
      </c>
      <c r="G53" s="739">
        <v>2519</v>
      </c>
      <c r="H53" s="741">
        <v>2519</v>
      </c>
      <c r="I53" s="742">
        <f t="shared" si="18"/>
        <v>0</v>
      </c>
      <c r="J53" s="740">
        <f t="shared" si="19"/>
        <v>0</v>
      </c>
      <c r="K53" s="739">
        <f t="shared" si="20"/>
        <v>2519</v>
      </c>
      <c r="L53" s="847">
        <f t="shared" si="21"/>
        <v>0</v>
      </c>
      <c r="M53" s="740">
        <f t="shared" si="17"/>
        <v>0</v>
      </c>
      <c r="N53" s="604">
        <f t="shared" si="15"/>
        <v>0</v>
      </c>
      <c r="O53" s="604">
        <f t="shared" si="5"/>
        <v>0</v>
      </c>
      <c r="P53" s="604">
        <f t="shared" si="6"/>
        <v>0</v>
      </c>
      <c r="Q53" s="604">
        <f t="shared" si="7"/>
        <v>0</v>
      </c>
      <c r="R53" s="604">
        <f t="shared" si="16"/>
        <v>0</v>
      </c>
      <c r="S53" s="604">
        <f t="shared" si="8"/>
        <v>0</v>
      </c>
      <c r="T53" s="604">
        <f t="shared" si="9"/>
        <v>0</v>
      </c>
      <c r="U53" s="604">
        <f t="shared" si="10"/>
        <v>0</v>
      </c>
      <c r="V53" s="604">
        <f t="shared" si="11"/>
        <v>0</v>
      </c>
      <c r="W53" s="604">
        <f t="shared" si="12"/>
        <v>0</v>
      </c>
      <c r="X53" s="746">
        <v>0</v>
      </c>
      <c r="Y53" s="746">
        <f t="shared" si="13"/>
        <v>0</v>
      </c>
    </row>
    <row r="54" spans="2:27">
      <c r="B54" s="598" t="s">
        <v>2595</v>
      </c>
      <c r="C54" s="604" t="s">
        <v>906</v>
      </c>
      <c r="D54" s="745">
        <v>2017</v>
      </c>
      <c r="E54" s="604" t="s">
        <v>1134</v>
      </c>
      <c r="F54" s="738">
        <v>0.2</v>
      </c>
      <c r="G54" s="739">
        <v>694</v>
      </c>
      <c r="H54" s="741">
        <v>624.6</v>
      </c>
      <c r="I54" s="742">
        <f t="shared" si="18"/>
        <v>69.399999999999977</v>
      </c>
      <c r="J54" s="740">
        <f t="shared" ref="J54:J59" si="22">IF(I54=0,0,G54*F54/2)</f>
        <v>69.400000000000006</v>
      </c>
      <c r="K54" s="739">
        <f t="shared" si="20"/>
        <v>694</v>
      </c>
      <c r="L54" s="847">
        <f t="shared" si="21"/>
        <v>0</v>
      </c>
      <c r="M54" s="740">
        <f t="shared" si="17"/>
        <v>0</v>
      </c>
      <c r="N54" s="604">
        <f t="shared" si="15"/>
        <v>0</v>
      </c>
      <c r="O54" s="604">
        <f t="shared" si="5"/>
        <v>0</v>
      </c>
      <c r="P54" s="604">
        <f t="shared" si="6"/>
        <v>0</v>
      </c>
      <c r="Q54" s="604">
        <f t="shared" si="7"/>
        <v>0</v>
      </c>
      <c r="R54" s="604">
        <f t="shared" si="16"/>
        <v>0</v>
      </c>
      <c r="S54" s="604">
        <f t="shared" si="8"/>
        <v>0</v>
      </c>
      <c r="T54" s="604">
        <f t="shared" si="9"/>
        <v>0</v>
      </c>
      <c r="U54" s="604">
        <f t="shared" si="10"/>
        <v>0</v>
      </c>
      <c r="V54" s="604">
        <f t="shared" si="11"/>
        <v>0</v>
      </c>
      <c r="W54" s="604">
        <f t="shared" si="12"/>
        <v>0</v>
      </c>
      <c r="X54" s="746">
        <v>0</v>
      </c>
      <c r="Y54" s="746">
        <f t="shared" si="13"/>
        <v>0</v>
      </c>
    </row>
    <row r="55" spans="2:27">
      <c r="B55" s="598" t="s">
        <v>2595</v>
      </c>
      <c r="C55" s="604" t="s">
        <v>906</v>
      </c>
      <c r="D55" s="745">
        <v>2017</v>
      </c>
      <c r="E55" s="604" t="s">
        <v>1134</v>
      </c>
      <c r="F55" s="738">
        <v>0.2</v>
      </c>
      <c r="G55" s="739">
        <v>694</v>
      </c>
      <c r="H55" s="741">
        <v>624.6</v>
      </c>
      <c r="I55" s="742">
        <f t="shared" si="18"/>
        <v>69.399999999999977</v>
      </c>
      <c r="J55" s="740">
        <f t="shared" si="22"/>
        <v>69.400000000000006</v>
      </c>
      <c r="K55" s="739">
        <f t="shared" si="20"/>
        <v>694</v>
      </c>
      <c r="L55" s="847">
        <f t="shared" si="21"/>
        <v>0</v>
      </c>
      <c r="M55" s="740">
        <f t="shared" si="17"/>
        <v>0</v>
      </c>
      <c r="N55" s="604">
        <f t="shared" si="15"/>
        <v>0</v>
      </c>
      <c r="O55" s="604">
        <f t="shared" si="5"/>
        <v>0</v>
      </c>
      <c r="P55" s="604">
        <f t="shared" si="6"/>
        <v>0</v>
      </c>
      <c r="Q55" s="604">
        <f t="shared" si="7"/>
        <v>0</v>
      </c>
      <c r="R55" s="604">
        <f t="shared" si="16"/>
        <v>0</v>
      </c>
      <c r="S55" s="604">
        <f t="shared" si="8"/>
        <v>0</v>
      </c>
      <c r="T55" s="604">
        <f t="shared" si="9"/>
        <v>0</v>
      </c>
      <c r="U55" s="604">
        <f t="shared" si="10"/>
        <v>0</v>
      </c>
      <c r="V55" s="604">
        <f t="shared" si="11"/>
        <v>0</v>
      </c>
      <c r="W55" s="604">
        <f t="shared" si="12"/>
        <v>0</v>
      </c>
      <c r="X55" s="746">
        <v>0</v>
      </c>
      <c r="Y55" s="746">
        <f t="shared" si="13"/>
        <v>0</v>
      </c>
    </row>
    <row r="56" spans="2:27">
      <c r="B56" s="598" t="s">
        <v>2595</v>
      </c>
      <c r="C56" s="604" t="s">
        <v>906</v>
      </c>
      <c r="D56" s="745">
        <v>2017</v>
      </c>
      <c r="E56" s="604" t="s">
        <v>1135</v>
      </c>
      <c r="F56" s="738">
        <v>0.2</v>
      </c>
      <c r="G56" s="739">
        <v>600</v>
      </c>
      <c r="H56" s="741">
        <v>540</v>
      </c>
      <c r="I56" s="742">
        <f t="shared" si="18"/>
        <v>60</v>
      </c>
      <c r="J56" s="740">
        <f t="shared" si="22"/>
        <v>60</v>
      </c>
      <c r="K56" s="739">
        <f t="shared" si="20"/>
        <v>600</v>
      </c>
      <c r="L56" s="847">
        <f t="shared" si="21"/>
        <v>0</v>
      </c>
      <c r="M56" s="740">
        <f t="shared" si="17"/>
        <v>0</v>
      </c>
      <c r="N56" s="604">
        <f t="shared" si="15"/>
        <v>0</v>
      </c>
      <c r="O56" s="604">
        <f t="shared" si="5"/>
        <v>0</v>
      </c>
      <c r="P56" s="604">
        <f t="shared" si="6"/>
        <v>0</v>
      </c>
      <c r="Q56" s="604">
        <f t="shared" si="7"/>
        <v>0</v>
      </c>
      <c r="R56" s="604">
        <f t="shared" si="16"/>
        <v>0</v>
      </c>
      <c r="S56" s="604">
        <f t="shared" si="8"/>
        <v>0</v>
      </c>
      <c r="T56" s="604">
        <f t="shared" si="9"/>
        <v>0</v>
      </c>
      <c r="U56" s="604">
        <f t="shared" si="10"/>
        <v>0</v>
      </c>
      <c r="V56" s="604">
        <f t="shared" si="11"/>
        <v>0</v>
      </c>
      <c r="W56" s="604">
        <f t="shared" si="12"/>
        <v>0</v>
      </c>
      <c r="X56" s="746">
        <v>0</v>
      </c>
      <c r="Y56" s="746">
        <f t="shared" si="13"/>
        <v>0</v>
      </c>
    </row>
    <row r="57" spans="2:27">
      <c r="B57" s="598" t="s">
        <v>2595</v>
      </c>
      <c r="C57" s="604" t="s">
        <v>906</v>
      </c>
      <c r="D57" s="745">
        <v>2017</v>
      </c>
      <c r="E57" s="604" t="s">
        <v>1135</v>
      </c>
      <c r="F57" s="738">
        <v>0.2</v>
      </c>
      <c r="G57" s="739">
        <v>600</v>
      </c>
      <c r="H57" s="741">
        <v>540</v>
      </c>
      <c r="I57" s="742">
        <f t="shared" si="18"/>
        <v>60</v>
      </c>
      <c r="J57" s="740">
        <f t="shared" si="22"/>
        <v>60</v>
      </c>
      <c r="K57" s="739">
        <f t="shared" si="20"/>
        <v>600</v>
      </c>
      <c r="L57" s="847">
        <f t="shared" si="21"/>
        <v>0</v>
      </c>
      <c r="M57" s="740">
        <f t="shared" si="17"/>
        <v>0</v>
      </c>
      <c r="N57" s="604">
        <f t="shared" si="15"/>
        <v>0</v>
      </c>
      <c r="O57" s="604">
        <f t="shared" si="5"/>
        <v>0</v>
      </c>
      <c r="P57" s="604">
        <f t="shared" si="6"/>
        <v>0</v>
      </c>
      <c r="Q57" s="604">
        <f t="shared" si="7"/>
        <v>0</v>
      </c>
      <c r="R57" s="604">
        <f t="shared" si="16"/>
        <v>0</v>
      </c>
      <c r="S57" s="604">
        <f t="shared" si="8"/>
        <v>0</v>
      </c>
      <c r="T57" s="604">
        <f t="shared" si="9"/>
        <v>0</v>
      </c>
      <c r="U57" s="604">
        <f t="shared" si="10"/>
        <v>0</v>
      </c>
      <c r="V57" s="604">
        <f t="shared" si="11"/>
        <v>0</v>
      </c>
      <c r="W57" s="604">
        <f t="shared" si="12"/>
        <v>0</v>
      </c>
      <c r="X57" s="746">
        <v>0</v>
      </c>
      <c r="Y57" s="746">
        <f t="shared" si="13"/>
        <v>0</v>
      </c>
    </row>
    <row r="58" spans="2:27">
      <c r="B58" s="598" t="s">
        <v>2595</v>
      </c>
      <c r="C58" s="604" t="s">
        <v>906</v>
      </c>
      <c r="D58" s="745">
        <v>2017</v>
      </c>
      <c r="E58" s="604" t="s">
        <v>1136</v>
      </c>
      <c r="F58" s="738">
        <v>0.2</v>
      </c>
      <c r="G58" s="739">
        <v>1995</v>
      </c>
      <c r="H58" s="741">
        <v>1795.5</v>
      </c>
      <c r="I58" s="742">
        <f t="shared" si="18"/>
        <v>199.5</v>
      </c>
      <c r="J58" s="740">
        <f t="shared" si="22"/>
        <v>199.5</v>
      </c>
      <c r="K58" s="739">
        <f t="shared" si="20"/>
        <v>1995</v>
      </c>
      <c r="L58" s="847">
        <f t="shared" si="21"/>
        <v>0</v>
      </c>
      <c r="M58" s="740">
        <f t="shared" si="17"/>
        <v>0</v>
      </c>
      <c r="N58" s="604">
        <f t="shared" si="15"/>
        <v>0</v>
      </c>
      <c r="O58" s="604">
        <f t="shared" si="5"/>
        <v>0</v>
      </c>
      <c r="P58" s="604">
        <f t="shared" si="6"/>
        <v>0</v>
      </c>
      <c r="Q58" s="604">
        <f t="shared" si="7"/>
        <v>0</v>
      </c>
      <c r="R58" s="604">
        <f t="shared" si="16"/>
        <v>0</v>
      </c>
      <c r="S58" s="604">
        <f t="shared" si="8"/>
        <v>0</v>
      </c>
      <c r="T58" s="604">
        <f t="shared" si="9"/>
        <v>0</v>
      </c>
      <c r="U58" s="604">
        <f t="shared" si="10"/>
        <v>0</v>
      </c>
      <c r="V58" s="604">
        <f t="shared" si="11"/>
        <v>0</v>
      </c>
      <c r="W58" s="604">
        <f t="shared" si="12"/>
        <v>0</v>
      </c>
      <c r="X58" s="746">
        <v>0</v>
      </c>
      <c r="Y58" s="746">
        <f t="shared" si="13"/>
        <v>0</v>
      </c>
    </row>
    <row r="59" spans="2:27">
      <c r="B59" s="598" t="s">
        <v>2595</v>
      </c>
      <c r="C59" s="604" t="s">
        <v>906</v>
      </c>
      <c r="D59" s="745">
        <v>2017</v>
      </c>
      <c r="E59" s="604" t="s">
        <v>1137</v>
      </c>
      <c r="F59" s="738">
        <v>0.2</v>
      </c>
      <c r="G59" s="739">
        <v>3416</v>
      </c>
      <c r="H59" s="741">
        <v>3074.4</v>
      </c>
      <c r="I59" s="742">
        <f t="shared" si="18"/>
        <v>341.59999999999991</v>
      </c>
      <c r="J59" s="740">
        <f t="shared" si="22"/>
        <v>341.6</v>
      </c>
      <c r="K59" s="739">
        <f t="shared" si="20"/>
        <v>3416</v>
      </c>
      <c r="L59" s="847">
        <f t="shared" si="21"/>
        <v>0</v>
      </c>
      <c r="M59" s="740">
        <f t="shared" si="17"/>
        <v>0</v>
      </c>
      <c r="N59" s="604">
        <f t="shared" si="15"/>
        <v>0</v>
      </c>
      <c r="O59" s="604">
        <f t="shared" si="5"/>
        <v>0</v>
      </c>
      <c r="P59" s="604">
        <f t="shared" si="6"/>
        <v>0</v>
      </c>
      <c r="Q59" s="604">
        <f t="shared" si="7"/>
        <v>0</v>
      </c>
      <c r="R59" s="604">
        <f t="shared" si="16"/>
        <v>0</v>
      </c>
      <c r="S59" s="604">
        <f t="shared" si="8"/>
        <v>0</v>
      </c>
      <c r="T59" s="604">
        <f t="shared" si="9"/>
        <v>0</v>
      </c>
      <c r="U59" s="604">
        <f t="shared" si="10"/>
        <v>0</v>
      </c>
      <c r="V59" s="604">
        <f t="shared" si="11"/>
        <v>0</v>
      </c>
      <c r="W59" s="604">
        <f t="shared" si="12"/>
        <v>0</v>
      </c>
      <c r="X59" s="746">
        <v>0</v>
      </c>
      <c r="Y59" s="746">
        <f t="shared" si="13"/>
        <v>0</v>
      </c>
    </row>
    <row r="60" spans="2:27">
      <c r="B60" s="598" t="s">
        <v>2595</v>
      </c>
      <c r="C60" s="604" t="s">
        <v>906</v>
      </c>
      <c r="D60" s="745">
        <v>2018</v>
      </c>
      <c r="E60" s="604" t="s">
        <v>1138</v>
      </c>
      <c r="F60" s="738">
        <v>0.2</v>
      </c>
      <c r="G60" s="739">
        <v>531.97</v>
      </c>
      <c r="H60" s="741">
        <v>372.37</v>
      </c>
      <c r="I60" s="742">
        <f t="shared" si="18"/>
        <v>159.60000000000002</v>
      </c>
      <c r="J60" s="740">
        <f t="shared" ref="J60:J83" si="23">IF(I60=0,0,G60*F60)</f>
        <v>106.39400000000001</v>
      </c>
      <c r="K60" s="739">
        <f t="shared" si="20"/>
        <v>478.76400000000001</v>
      </c>
      <c r="L60" s="847">
        <f t="shared" si="21"/>
        <v>53.206000000000017</v>
      </c>
      <c r="M60" s="740">
        <f t="shared" ref="M60:M69" si="24">+IF(L60=0,0,G60*F60)-X60</f>
        <v>53.206000000000017</v>
      </c>
      <c r="N60" s="604">
        <f t="shared" si="15"/>
        <v>0</v>
      </c>
      <c r="O60" s="604">
        <f t="shared" si="5"/>
        <v>0</v>
      </c>
      <c r="P60" s="604">
        <f t="shared" si="6"/>
        <v>0</v>
      </c>
      <c r="Q60" s="604">
        <f t="shared" si="7"/>
        <v>0</v>
      </c>
      <c r="R60" s="604">
        <f t="shared" si="16"/>
        <v>0</v>
      </c>
      <c r="S60" s="604">
        <f t="shared" si="8"/>
        <v>0</v>
      </c>
      <c r="T60" s="604">
        <f t="shared" si="9"/>
        <v>0</v>
      </c>
      <c r="U60" s="604">
        <f t="shared" si="10"/>
        <v>0</v>
      </c>
      <c r="V60" s="604">
        <f t="shared" si="11"/>
        <v>0</v>
      </c>
      <c r="W60" s="604">
        <f t="shared" si="12"/>
        <v>0</v>
      </c>
      <c r="X60" s="746">
        <v>53.187999999999988</v>
      </c>
      <c r="Y60" s="746">
        <f t="shared" si="13"/>
        <v>0</v>
      </c>
    </row>
    <row r="61" spans="2:27">
      <c r="B61" s="598" t="s">
        <v>2595</v>
      </c>
      <c r="C61" s="604" t="s">
        <v>906</v>
      </c>
      <c r="D61" s="745">
        <v>2018</v>
      </c>
      <c r="E61" s="604" t="s">
        <v>1139</v>
      </c>
      <c r="F61" s="738">
        <v>0.2</v>
      </c>
      <c r="G61" s="739">
        <v>384.43</v>
      </c>
      <c r="H61" s="741">
        <v>269.11</v>
      </c>
      <c r="I61" s="742">
        <f t="shared" si="18"/>
        <v>115.32</v>
      </c>
      <c r="J61" s="740">
        <f t="shared" si="23"/>
        <v>76.88600000000001</v>
      </c>
      <c r="K61" s="739">
        <f t="shared" si="20"/>
        <v>345.99600000000004</v>
      </c>
      <c r="L61" s="847">
        <f t="shared" si="21"/>
        <v>38.433999999999969</v>
      </c>
      <c r="M61" s="740">
        <f t="shared" si="24"/>
        <v>38.433999999999969</v>
      </c>
      <c r="N61" s="604">
        <f t="shared" si="15"/>
        <v>0</v>
      </c>
      <c r="O61" s="604">
        <f t="shared" si="5"/>
        <v>0</v>
      </c>
      <c r="P61" s="604">
        <f t="shared" si="6"/>
        <v>0</v>
      </c>
      <c r="Q61" s="604">
        <f t="shared" si="7"/>
        <v>0</v>
      </c>
      <c r="R61" s="604">
        <f t="shared" si="16"/>
        <v>0</v>
      </c>
      <c r="S61" s="604">
        <f t="shared" si="8"/>
        <v>0</v>
      </c>
      <c r="T61" s="604">
        <f t="shared" si="9"/>
        <v>0</v>
      </c>
      <c r="U61" s="604">
        <f t="shared" si="10"/>
        <v>0</v>
      </c>
      <c r="V61" s="604">
        <f t="shared" si="11"/>
        <v>0</v>
      </c>
      <c r="W61" s="604">
        <f t="shared" si="12"/>
        <v>0</v>
      </c>
      <c r="X61" s="746">
        <v>38.452000000000041</v>
      </c>
      <c r="Y61" s="746">
        <f t="shared" si="13"/>
        <v>0</v>
      </c>
    </row>
    <row r="62" spans="2:27">
      <c r="B62" s="598" t="s">
        <v>2595</v>
      </c>
      <c r="C62" s="604" t="s">
        <v>906</v>
      </c>
      <c r="D62" s="745">
        <v>2018</v>
      </c>
      <c r="E62" s="604" t="s">
        <v>1140</v>
      </c>
      <c r="F62" s="738">
        <v>0.2</v>
      </c>
      <c r="G62" s="739">
        <v>955</v>
      </c>
      <c r="H62" s="741">
        <v>668.5</v>
      </c>
      <c r="I62" s="742">
        <f t="shared" si="18"/>
        <v>286.5</v>
      </c>
      <c r="J62" s="740">
        <f t="shared" si="23"/>
        <v>191</v>
      </c>
      <c r="K62" s="739">
        <f t="shared" si="20"/>
        <v>859.5</v>
      </c>
      <c r="L62" s="847">
        <f t="shared" si="21"/>
        <v>95.5</v>
      </c>
      <c r="M62" s="740">
        <f t="shared" si="24"/>
        <v>95.5</v>
      </c>
      <c r="N62" s="604">
        <f t="shared" si="15"/>
        <v>0</v>
      </c>
      <c r="O62" s="604">
        <f t="shared" si="5"/>
        <v>0</v>
      </c>
      <c r="P62" s="604">
        <f t="shared" si="6"/>
        <v>0</v>
      </c>
      <c r="Q62" s="604">
        <f t="shared" si="7"/>
        <v>0</v>
      </c>
      <c r="R62" s="604">
        <f t="shared" si="16"/>
        <v>0</v>
      </c>
      <c r="S62" s="604">
        <f t="shared" si="8"/>
        <v>0</v>
      </c>
      <c r="T62" s="604">
        <f t="shared" si="9"/>
        <v>0</v>
      </c>
      <c r="U62" s="604">
        <f t="shared" si="10"/>
        <v>0</v>
      </c>
      <c r="V62" s="604">
        <f t="shared" si="11"/>
        <v>0</v>
      </c>
      <c r="W62" s="604">
        <f t="shared" si="12"/>
        <v>0</v>
      </c>
      <c r="X62" s="746">
        <v>95.5</v>
      </c>
      <c r="Y62" s="746">
        <f t="shared" si="13"/>
        <v>0</v>
      </c>
    </row>
    <row r="63" spans="2:27">
      <c r="B63" s="598" t="s">
        <v>2595</v>
      </c>
      <c r="C63" s="604" t="s">
        <v>906</v>
      </c>
      <c r="D63" s="745">
        <v>2018</v>
      </c>
      <c r="E63" s="604" t="s">
        <v>1141</v>
      </c>
      <c r="F63" s="738">
        <v>0.2</v>
      </c>
      <c r="G63" s="739">
        <v>935</v>
      </c>
      <c r="H63" s="741">
        <v>654.5</v>
      </c>
      <c r="I63" s="742">
        <f t="shared" si="18"/>
        <v>280.5</v>
      </c>
      <c r="J63" s="740">
        <f t="shared" si="23"/>
        <v>187</v>
      </c>
      <c r="K63" s="739">
        <f t="shared" si="20"/>
        <v>841.5</v>
      </c>
      <c r="L63" s="847">
        <f t="shared" si="21"/>
        <v>93.5</v>
      </c>
      <c r="M63" s="740">
        <f t="shared" si="24"/>
        <v>93.5</v>
      </c>
      <c r="N63" s="604">
        <f t="shared" si="15"/>
        <v>0</v>
      </c>
      <c r="O63" s="604">
        <f t="shared" si="5"/>
        <v>0</v>
      </c>
      <c r="P63" s="604">
        <f t="shared" si="6"/>
        <v>0</v>
      </c>
      <c r="Q63" s="604">
        <f t="shared" si="7"/>
        <v>0</v>
      </c>
      <c r="R63" s="604">
        <f t="shared" si="16"/>
        <v>0</v>
      </c>
      <c r="S63" s="604">
        <f t="shared" si="8"/>
        <v>0</v>
      </c>
      <c r="T63" s="604">
        <f t="shared" si="9"/>
        <v>0</v>
      </c>
      <c r="U63" s="604">
        <f t="shared" si="10"/>
        <v>0</v>
      </c>
      <c r="V63" s="604">
        <f t="shared" si="11"/>
        <v>0</v>
      </c>
      <c r="W63" s="604">
        <f t="shared" si="12"/>
        <v>0</v>
      </c>
      <c r="X63" s="746">
        <v>93.5</v>
      </c>
      <c r="Y63" s="746">
        <f t="shared" si="13"/>
        <v>0</v>
      </c>
    </row>
    <row r="64" spans="2:27">
      <c r="B64" s="598" t="s">
        <v>2595</v>
      </c>
      <c r="C64" s="604" t="s">
        <v>906</v>
      </c>
      <c r="D64" s="745">
        <v>2018</v>
      </c>
      <c r="E64" s="604" t="s">
        <v>1142</v>
      </c>
      <c r="F64" s="738">
        <v>0.2</v>
      </c>
      <c r="G64" s="739">
        <v>757.37</v>
      </c>
      <c r="H64" s="741">
        <v>530.15</v>
      </c>
      <c r="I64" s="742">
        <f t="shared" si="18"/>
        <v>227.22000000000003</v>
      </c>
      <c r="J64" s="740">
        <f t="shared" si="23"/>
        <v>151.47400000000002</v>
      </c>
      <c r="K64" s="739">
        <f t="shared" si="20"/>
        <v>681.62400000000002</v>
      </c>
      <c r="L64" s="847">
        <f t="shared" si="21"/>
        <v>75.745999999999981</v>
      </c>
      <c r="M64" s="740">
        <f t="shared" si="24"/>
        <v>75.745999999999981</v>
      </c>
      <c r="N64" s="604">
        <f t="shared" si="15"/>
        <v>0</v>
      </c>
      <c r="O64" s="604">
        <f t="shared" si="5"/>
        <v>0</v>
      </c>
      <c r="P64" s="604">
        <f t="shared" si="6"/>
        <v>0</v>
      </c>
      <c r="Q64" s="604">
        <f t="shared" si="7"/>
        <v>0</v>
      </c>
      <c r="R64" s="604">
        <f t="shared" si="16"/>
        <v>0</v>
      </c>
      <c r="S64" s="604">
        <f t="shared" si="8"/>
        <v>0</v>
      </c>
      <c r="T64" s="604">
        <f t="shared" si="9"/>
        <v>0</v>
      </c>
      <c r="U64" s="604">
        <f t="shared" si="10"/>
        <v>0</v>
      </c>
      <c r="V64" s="604">
        <f t="shared" si="11"/>
        <v>0</v>
      </c>
      <c r="W64" s="604">
        <f t="shared" si="12"/>
        <v>0</v>
      </c>
      <c r="X64" s="746">
        <v>75.728000000000037</v>
      </c>
      <c r="Y64" s="746">
        <f t="shared" si="13"/>
        <v>0</v>
      </c>
    </row>
    <row r="65" spans="2:25">
      <c r="B65" s="598" t="s">
        <v>2595</v>
      </c>
      <c r="C65" s="604" t="s">
        <v>906</v>
      </c>
      <c r="D65" s="745">
        <v>2018</v>
      </c>
      <c r="E65" s="604" t="s">
        <v>1143</v>
      </c>
      <c r="F65" s="738">
        <v>0.2</v>
      </c>
      <c r="G65" s="739">
        <v>290</v>
      </c>
      <c r="H65" s="741">
        <v>203</v>
      </c>
      <c r="I65" s="742">
        <f t="shared" si="18"/>
        <v>87</v>
      </c>
      <c r="J65" s="740">
        <f t="shared" si="23"/>
        <v>58</v>
      </c>
      <c r="K65" s="739">
        <f t="shared" si="20"/>
        <v>261</v>
      </c>
      <c r="L65" s="847">
        <f t="shared" si="21"/>
        <v>29</v>
      </c>
      <c r="M65" s="740">
        <f t="shared" si="24"/>
        <v>29</v>
      </c>
      <c r="N65" s="604">
        <f t="shared" si="15"/>
        <v>0</v>
      </c>
      <c r="O65" s="604">
        <f t="shared" si="5"/>
        <v>0</v>
      </c>
      <c r="P65" s="604">
        <f t="shared" si="6"/>
        <v>0</v>
      </c>
      <c r="Q65" s="604">
        <f t="shared" si="7"/>
        <v>0</v>
      </c>
      <c r="R65" s="604">
        <f t="shared" si="16"/>
        <v>0</v>
      </c>
      <c r="S65" s="604">
        <f t="shared" si="8"/>
        <v>0</v>
      </c>
      <c r="T65" s="604">
        <f t="shared" si="9"/>
        <v>0</v>
      </c>
      <c r="U65" s="604">
        <f t="shared" si="10"/>
        <v>0</v>
      </c>
      <c r="V65" s="604">
        <f t="shared" si="11"/>
        <v>0</v>
      </c>
      <c r="W65" s="604">
        <f t="shared" si="12"/>
        <v>0</v>
      </c>
      <c r="X65" s="746">
        <v>29</v>
      </c>
      <c r="Y65" s="746">
        <f t="shared" si="13"/>
        <v>0</v>
      </c>
    </row>
    <row r="66" spans="2:25">
      <c r="B66" s="598" t="s">
        <v>2595</v>
      </c>
      <c r="C66" s="604" t="s">
        <v>906</v>
      </c>
      <c r="D66" s="745">
        <v>2018</v>
      </c>
      <c r="E66" s="604" t="s">
        <v>1144</v>
      </c>
      <c r="F66" s="738">
        <v>0.2</v>
      </c>
      <c r="G66" s="739">
        <v>550</v>
      </c>
      <c r="H66" s="741">
        <v>385</v>
      </c>
      <c r="I66" s="742">
        <f t="shared" si="18"/>
        <v>165</v>
      </c>
      <c r="J66" s="740">
        <f t="shared" si="23"/>
        <v>110</v>
      </c>
      <c r="K66" s="739">
        <f t="shared" si="20"/>
        <v>495</v>
      </c>
      <c r="L66" s="847">
        <f t="shared" si="21"/>
        <v>55</v>
      </c>
      <c r="M66" s="740">
        <f t="shared" si="24"/>
        <v>55</v>
      </c>
      <c r="N66" s="604">
        <f t="shared" si="15"/>
        <v>0</v>
      </c>
      <c r="O66" s="604">
        <f t="shared" si="5"/>
        <v>0</v>
      </c>
      <c r="P66" s="604">
        <f t="shared" si="6"/>
        <v>0</v>
      </c>
      <c r="Q66" s="604">
        <f t="shared" si="7"/>
        <v>0</v>
      </c>
      <c r="R66" s="604">
        <f t="shared" si="16"/>
        <v>0</v>
      </c>
      <c r="S66" s="604">
        <f t="shared" si="8"/>
        <v>0</v>
      </c>
      <c r="T66" s="604">
        <f t="shared" si="9"/>
        <v>0</v>
      </c>
      <c r="U66" s="604">
        <f t="shared" si="10"/>
        <v>0</v>
      </c>
      <c r="V66" s="604">
        <f t="shared" si="11"/>
        <v>0</v>
      </c>
      <c r="W66" s="604">
        <f t="shared" si="12"/>
        <v>0</v>
      </c>
      <c r="X66" s="746">
        <v>55</v>
      </c>
      <c r="Y66" s="746">
        <f t="shared" si="13"/>
        <v>0</v>
      </c>
    </row>
    <row r="67" spans="2:25">
      <c r="B67" s="598" t="s">
        <v>2595</v>
      </c>
      <c r="C67" s="604" t="s">
        <v>906</v>
      </c>
      <c r="D67" s="745">
        <v>2018</v>
      </c>
      <c r="E67" s="604" t="s">
        <v>1145</v>
      </c>
      <c r="F67" s="738">
        <v>0.2</v>
      </c>
      <c r="G67" s="739">
        <v>515.55999999999995</v>
      </c>
      <c r="H67" s="741">
        <v>360.89</v>
      </c>
      <c r="I67" s="742">
        <f t="shared" si="18"/>
        <v>154.66999999999996</v>
      </c>
      <c r="J67" s="740">
        <f t="shared" si="23"/>
        <v>103.11199999999999</v>
      </c>
      <c r="K67" s="739">
        <f t="shared" si="20"/>
        <v>464.00199999999995</v>
      </c>
      <c r="L67" s="847">
        <f t="shared" si="21"/>
        <v>51.557999999999993</v>
      </c>
      <c r="M67" s="740">
        <f t="shared" si="24"/>
        <v>51.557999999999993</v>
      </c>
      <c r="N67" s="604">
        <f t="shared" si="15"/>
        <v>0</v>
      </c>
      <c r="O67" s="604">
        <f t="shared" si="5"/>
        <v>0</v>
      </c>
      <c r="P67" s="604">
        <f t="shared" si="6"/>
        <v>0</v>
      </c>
      <c r="Q67" s="604">
        <f t="shared" si="7"/>
        <v>0</v>
      </c>
      <c r="R67" s="604">
        <f t="shared" si="16"/>
        <v>0</v>
      </c>
      <c r="S67" s="604">
        <f t="shared" si="8"/>
        <v>0</v>
      </c>
      <c r="T67" s="604">
        <f t="shared" si="9"/>
        <v>0</v>
      </c>
      <c r="U67" s="604">
        <f t="shared" si="10"/>
        <v>0</v>
      </c>
      <c r="V67" s="604">
        <f t="shared" si="11"/>
        <v>0</v>
      </c>
      <c r="W67" s="604">
        <f t="shared" si="12"/>
        <v>0</v>
      </c>
      <c r="X67" s="746">
        <v>51.554000000000002</v>
      </c>
      <c r="Y67" s="746">
        <f t="shared" si="13"/>
        <v>0</v>
      </c>
    </row>
    <row r="68" spans="2:25">
      <c r="B68" s="598" t="s">
        <v>2595</v>
      </c>
      <c r="C68" s="604" t="s">
        <v>906</v>
      </c>
      <c r="D68" s="745">
        <v>2018</v>
      </c>
      <c r="E68" s="604" t="s">
        <v>1146</v>
      </c>
      <c r="F68" s="738">
        <v>0.2</v>
      </c>
      <c r="G68" s="739">
        <v>370</v>
      </c>
      <c r="H68" s="741">
        <v>259</v>
      </c>
      <c r="I68" s="742">
        <f t="shared" si="18"/>
        <v>111</v>
      </c>
      <c r="J68" s="740">
        <f t="shared" si="23"/>
        <v>74</v>
      </c>
      <c r="K68" s="739">
        <f t="shared" si="20"/>
        <v>333</v>
      </c>
      <c r="L68" s="847">
        <f t="shared" si="21"/>
        <v>37</v>
      </c>
      <c r="M68" s="740">
        <f t="shared" si="24"/>
        <v>37</v>
      </c>
      <c r="N68" s="604">
        <f t="shared" si="15"/>
        <v>0</v>
      </c>
      <c r="O68" s="604">
        <f t="shared" si="5"/>
        <v>0</v>
      </c>
      <c r="P68" s="604">
        <f t="shared" si="6"/>
        <v>0</v>
      </c>
      <c r="Q68" s="604">
        <f t="shared" si="7"/>
        <v>0</v>
      </c>
      <c r="R68" s="604">
        <f t="shared" si="16"/>
        <v>0</v>
      </c>
      <c r="S68" s="604">
        <f t="shared" si="8"/>
        <v>0</v>
      </c>
      <c r="T68" s="604">
        <f t="shared" si="9"/>
        <v>0</v>
      </c>
      <c r="U68" s="604">
        <f t="shared" si="10"/>
        <v>0</v>
      </c>
      <c r="V68" s="604">
        <f t="shared" si="11"/>
        <v>0</v>
      </c>
      <c r="W68" s="604">
        <f t="shared" si="12"/>
        <v>0</v>
      </c>
      <c r="X68" s="746">
        <v>37</v>
      </c>
      <c r="Y68" s="746">
        <f t="shared" si="13"/>
        <v>0</v>
      </c>
    </row>
    <row r="69" spans="2:25">
      <c r="B69" s="598" t="s">
        <v>2595</v>
      </c>
      <c r="C69" s="604" t="s">
        <v>906</v>
      </c>
      <c r="D69" s="745">
        <v>2018</v>
      </c>
      <c r="E69" s="604" t="s">
        <v>1147</v>
      </c>
      <c r="F69" s="738">
        <v>0.2</v>
      </c>
      <c r="G69" s="739">
        <v>1829</v>
      </c>
      <c r="H69" s="741">
        <v>1280.3</v>
      </c>
      <c r="I69" s="742">
        <f t="shared" si="18"/>
        <v>548.70000000000005</v>
      </c>
      <c r="J69" s="740">
        <f t="shared" si="23"/>
        <v>365.8</v>
      </c>
      <c r="K69" s="739">
        <f t="shared" si="20"/>
        <v>1646.1</v>
      </c>
      <c r="L69" s="847">
        <f t="shared" si="21"/>
        <v>182.90000000000009</v>
      </c>
      <c r="M69" s="740">
        <f t="shared" si="24"/>
        <v>182.90000000000009</v>
      </c>
      <c r="N69" s="604">
        <f t="shared" ref="N69:N132" si="25">+IF(L69-M69&gt;0,G69*F69,0)</f>
        <v>0</v>
      </c>
      <c r="O69" s="604">
        <f t="shared" ref="O69:O132" si="26">+IF(L69-SUM(M69:N69)&gt;0,G69*F69,0)</f>
        <v>0</v>
      </c>
      <c r="P69" s="604">
        <f t="shared" ref="P69:P132" si="27">+IF(L69-SUM(M69:O69)&gt;0,G69*F69,0)</f>
        <v>0</v>
      </c>
      <c r="Q69" s="604">
        <f t="shared" ref="Q69:Q132" si="28">+IF(L69-SUM(M69:P69)&gt;0,G69*F69,0)</f>
        <v>0</v>
      </c>
      <c r="R69" s="604">
        <f t="shared" ref="R69:R132" si="29">+IF(L69-SUM(M69:Q69)&gt;0,G69*F69,0)</f>
        <v>0</v>
      </c>
      <c r="S69" s="604">
        <f t="shared" ref="S69:S132" si="30">+IF(L69-SUM(M69:R69)&gt;0,G69*F69,0)</f>
        <v>0</v>
      </c>
      <c r="T69" s="604">
        <f t="shared" ref="T69:T132" si="31">+IF(L69-SUM(M69:S69)&gt;0,G69*F69,0)</f>
        <v>0</v>
      </c>
      <c r="U69" s="604">
        <f t="shared" ref="U69:U132" si="32">+IF(L69-SUM(M69:T69)&gt;0,G69*F69,0)</f>
        <v>0</v>
      </c>
      <c r="V69" s="604">
        <f t="shared" ref="V69:V132" si="33">+IF(L69-SUM(M69:U69)&gt;0,G69*F69,0)</f>
        <v>0</v>
      </c>
      <c r="W69" s="604">
        <f t="shared" ref="W69:W132" si="34">+IF(L69-SUM(M69:V69)&gt;0,G69*F69,0)</f>
        <v>0</v>
      </c>
      <c r="X69" s="746">
        <v>182.89999999999992</v>
      </c>
      <c r="Y69" s="746">
        <f t="shared" ref="Y69:Y132" si="35">+SUM(M69:W69)-L69</f>
        <v>0</v>
      </c>
    </row>
    <row r="70" spans="2:25">
      <c r="B70" s="598" t="s">
        <v>2595</v>
      </c>
      <c r="C70" s="604" t="s">
        <v>906</v>
      </c>
      <c r="D70" s="745">
        <v>2019</v>
      </c>
      <c r="E70" s="604" t="s">
        <v>1148</v>
      </c>
      <c r="F70" s="738">
        <v>0.2</v>
      </c>
      <c r="G70" s="739">
        <v>850</v>
      </c>
      <c r="H70" s="741">
        <v>425</v>
      </c>
      <c r="I70" s="742">
        <f t="shared" si="18"/>
        <v>425</v>
      </c>
      <c r="J70" s="740">
        <f t="shared" si="23"/>
        <v>170</v>
      </c>
      <c r="K70" s="739">
        <f t="shared" si="20"/>
        <v>595</v>
      </c>
      <c r="L70" s="847">
        <f t="shared" si="21"/>
        <v>255</v>
      </c>
      <c r="M70" s="740">
        <f t="shared" si="17"/>
        <v>170</v>
      </c>
      <c r="N70" s="604">
        <f>+IF(L70-M70&gt;0,G70*F70,0)-X70</f>
        <v>85</v>
      </c>
      <c r="O70" s="604">
        <f t="shared" si="26"/>
        <v>0</v>
      </c>
      <c r="P70" s="604">
        <f t="shared" si="27"/>
        <v>0</v>
      </c>
      <c r="Q70" s="604">
        <f t="shared" si="28"/>
        <v>0</v>
      </c>
      <c r="R70" s="604">
        <f t="shared" si="29"/>
        <v>0</v>
      </c>
      <c r="S70" s="604">
        <f t="shared" si="30"/>
        <v>0</v>
      </c>
      <c r="T70" s="604">
        <f t="shared" si="31"/>
        <v>0</v>
      </c>
      <c r="U70" s="604">
        <f t="shared" si="32"/>
        <v>0</v>
      </c>
      <c r="V70" s="604">
        <f t="shared" si="33"/>
        <v>0</v>
      </c>
      <c r="W70" s="604">
        <f t="shared" si="34"/>
        <v>0</v>
      </c>
      <c r="X70" s="746">
        <v>85</v>
      </c>
      <c r="Y70" s="746">
        <f t="shared" si="35"/>
        <v>0</v>
      </c>
    </row>
    <row r="71" spans="2:25">
      <c r="B71" s="598" t="s">
        <v>2595</v>
      </c>
      <c r="C71" s="604" t="s">
        <v>906</v>
      </c>
      <c r="D71" s="745">
        <v>2019</v>
      </c>
      <c r="E71" s="604" t="s">
        <v>1149</v>
      </c>
      <c r="F71" s="738">
        <v>0.2</v>
      </c>
      <c r="G71" s="739">
        <v>989.05</v>
      </c>
      <c r="H71" s="741">
        <v>494.53</v>
      </c>
      <c r="I71" s="742">
        <f t="shared" si="18"/>
        <v>494.52</v>
      </c>
      <c r="J71" s="740">
        <f t="shared" si="23"/>
        <v>197.81</v>
      </c>
      <c r="K71" s="739">
        <f t="shared" si="20"/>
        <v>692.33999999999992</v>
      </c>
      <c r="L71" s="847">
        <f t="shared" si="21"/>
        <v>296.71000000000004</v>
      </c>
      <c r="M71" s="740">
        <f t="shared" si="17"/>
        <v>197.81</v>
      </c>
      <c r="N71" s="604">
        <f>+IF(L71-M71&gt;0,G71*F71,0)-X71</f>
        <v>98.900000000000034</v>
      </c>
      <c r="O71" s="604">
        <f t="shared" si="26"/>
        <v>0</v>
      </c>
      <c r="P71" s="604">
        <f t="shared" si="27"/>
        <v>0</v>
      </c>
      <c r="Q71" s="604">
        <f t="shared" si="28"/>
        <v>0</v>
      </c>
      <c r="R71" s="604">
        <f t="shared" si="29"/>
        <v>0</v>
      </c>
      <c r="S71" s="604">
        <f t="shared" si="30"/>
        <v>0</v>
      </c>
      <c r="T71" s="604">
        <f t="shared" si="31"/>
        <v>0</v>
      </c>
      <c r="U71" s="604">
        <f t="shared" si="32"/>
        <v>0</v>
      </c>
      <c r="V71" s="604">
        <f t="shared" si="33"/>
        <v>0</v>
      </c>
      <c r="W71" s="604">
        <f t="shared" si="34"/>
        <v>0</v>
      </c>
      <c r="X71" s="746">
        <v>98.909999999999968</v>
      </c>
      <c r="Y71" s="746">
        <f t="shared" si="35"/>
        <v>0</v>
      </c>
    </row>
    <row r="72" spans="2:25">
      <c r="B72" s="598" t="s">
        <v>2595</v>
      </c>
      <c r="C72" s="604" t="s">
        <v>906</v>
      </c>
      <c r="D72" s="745">
        <v>2019</v>
      </c>
      <c r="E72" s="604" t="s">
        <v>1150</v>
      </c>
      <c r="F72" s="738">
        <v>0.2</v>
      </c>
      <c r="G72" s="739">
        <v>1215.05</v>
      </c>
      <c r="H72" s="741">
        <v>607.53</v>
      </c>
      <c r="I72" s="742">
        <f t="shared" si="18"/>
        <v>607.52</v>
      </c>
      <c r="J72" s="740">
        <f t="shared" si="23"/>
        <v>243.01</v>
      </c>
      <c r="K72" s="739">
        <f t="shared" si="20"/>
        <v>850.54</v>
      </c>
      <c r="L72" s="847">
        <f t="shared" si="21"/>
        <v>364.51</v>
      </c>
      <c r="M72" s="740">
        <f t="shared" ref="M72:M135" si="36">+IF(L72=0,0,G72*F72)</f>
        <v>243.01</v>
      </c>
      <c r="N72" s="604">
        <f>+IF(L72-M72&gt;0,G72*F72,0)-X72</f>
        <v>121.5</v>
      </c>
      <c r="O72" s="604">
        <f t="shared" si="26"/>
        <v>0</v>
      </c>
      <c r="P72" s="604">
        <f t="shared" si="27"/>
        <v>0</v>
      </c>
      <c r="Q72" s="604">
        <f t="shared" si="28"/>
        <v>0</v>
      </c>
      <c r="R72" s="604">
        <f t="shared" si="29"/>
        <v>0</v>
      </c>
      <c r="S72" s="604">
        <f t="shared" si="30"/>
        <v>0</v>
      </c>
      <c r="T72" s="604">
        <f t="shared" si="31"/>
        <v>0</v>
      </c>
      <c r="U72" s="604">
        <f t="shared" si="32"/>
        <v>0</v>
      </c>
      <c r="V72" s="604">
        <f t="shared" si="33"/>
        <v>0</v>
      </c>
      <c r="W72" s="604">
        <f t="shared" si="34"/>
        <v>0</v>
      </c>
      <c r="X72" s="746">
        <v>121.50999999999999</v>
      </c>
      <c r="Y72" s="746">
        <f t="shared" si="35"/>
        <v>0</v>
      </c>
    </row>
    <row r="73" spans="2:25">
      <c r="B73" s="598" t="s">
        <v>2595</v>
      </c>
      <c r="C73" s="604" t="s">
        <v>906</v>
      </c>
      <c r="D73" s="745">
        <v>2020</v>
      </c>
      <c r="E73" s="604" t="s">
        <v>1151</v>
      </c>
      <c r="F73" s="738">
        <v>0.2</v>
      </c>
      <c r="G73" s="739">
        <v>5200</v>
      </c>
      <c r="H73" s="741">
        <v>1560</v>
      </c>
      <c r="I73" s="742">
        <f t="shared" si="18"/>
        <v>3640</v>
      </c>
      <c r="J73" s="740">
        <f t="shared" si="23"/>
        <v>1040</v>
      </c>
      <c r="K73" s="739">
        <f t="shared" si="20"/>
        <v>2600</v>
      </c>
      <c r="L73" s="847">
        <f t="shared" si="21"/>
        <v>2600</v>
      </c>
      <c r="M73" s="740">
        <f t="shared" si="36"/>
        <v>1040</v>
      </c>
      <c r="N73" s="604">
        <f t="shared" si="25"/>
        <v>1040</v>
      </c>
      <c r="O73" s="604">
        <f>+IF(L73-SUM(M73:N73)&gt;0,G73*F73,0)-X73</f>
        <v>520</v>
      </c>
      <c r="P73" s="604">
        <f t="shared" si="27"/>
        <v>0</v>
      </c>
      <c r="Q73" s="604">
        <f t="shared" si="28"/>
        <v>0</v>
      </c>
      <c r="R73" s="604">
        <f t="shared" si="29"/>
        <v>0</v>
      </c>
      <c r="S73" s="604">
        <f t="shared" si="30"/>
        <v>0</v>
      </c>
      <c r="T73" s="604">
        <f t="shared" si="31"/>
        <v>0</v>
      </c>
      <c r="U73" s="604">
        <f t="shared" si="32"/>
        <v>0</v>
      </c>
      <c r="V73" s="604">
        <f t="shared" si="33"/>
        <v>0</v>
      </c>
      <c r="W73" s="604">
        <f t="shared" si="34"/>
        <v>0</v>
      </c>
      <c r="X73" s="746">
        <v>520</v>
      </c>
      <c r="Y73" s="746">
        <f t="shared" si="35"/>
        <v>0</v>
      </c>
    </row>
    <row r="74" spans="2:25">
      <c r="B74" s="598" t="s">
        <v>2595</v>
      </c>
      <c r="C74" s="604" t="s">
        <v>906</v>
      </c>
      <c r="D74" s="745">
        <v>2020</v>
      </c>
      <c r="E74" s="604" t="s">
        <v>1152</v>
      </c>
      <c r="F74" s="738">
        <v>0.2</v>
      </c>
      <c r="G74" s="739">
        <v>1720</v>
      </c>
      <c r="H74" s="741">
        <v>516</v>
      </c>
      <c r="I74" s="742">
        <f t="shared" si="18"/>
        <v>1204</v>
      </c>
      <c r="J74" s="740">
        <f t="shared" si="23"/>
        <v>344</v>
      </c>
      <c r="K74" s="739">
        <f t="shared" si="20"/>
        <v>860</v>
      </c>
      <c r="L74" s="847">
        <f t="shared" si="21"/>
        <v>860</v>
      </c>
      <c r="M74" s="740">
        <f t="shared" si="36"/>
        <v>344</v>
      </c>
      <c r="N74" s="604">
        <f t="shared" si="25"/>
        <v>344</v>
      </c>
      <c r="O74" s="604">
        <f>+IF(L74-SUM(M74:N74)&gt;0,G74*F74,0)-X74</f>
        <v>172</v>
      </c>
      <c r="P74" s="604">
        <f t="shared" si="27"/>
        <v>0</v>
      </c>
      <c r="Q74" s="604">
        <f t="shared" si="28"/>
        <v>0</v>
      </c>
      <c r="R74" s="604">
        <f t="shared" si="29"/>
        <v>0</v>
      </c>
      <c r="S74" s="604">
        <f t="shared" si="30"/>
        <v>0</v>
      </c>
      <c r="T74" s="604">
        <f t="shared" si="31"/>
        <v>0</v>
      </c>
      <c r="U74" s="604">
        <f t="shared" si="32"/>
        <v>0</v>
      </c>
      <c r="V74" s="604">
        <f t="shared" si="33"/>
        <v>0</v>
      </c>
      <c r="W74" s="604">
        <f t="shared" si="34"/>
        <v>0</v>
      </c>
      <c r="X74" s="746">
        <v>172</v>
      </c>
      <c r="Y74" s="746">
        <f t="shared" si="35"/>
        <v>0</v>
      </c>
    </row>
    <row r="75" spans="2:25">
      <c r="B75" s="598" t="s">
        <v>2595</v>
      </c>
      <c r="C75" s="604" t="s">
        <v>906</v>
      </c>
      <c r="D75" s="745">
        <v>2020</v>
      </c>
      <c r="E75" s="604" t="s">
        <v>1153</v>
      </c>
      <c r="F75" s="738">
        <v>0.2</v>
      </c>
      <c r="G75" s="739">
        <v>860</v>
      </c>
      <c r="H75" s="741">
        <v>258</v>
      </c>
      <c r="I75" s="742">
        <f t="shared" si="18"/>
        <v>602</v>
      </c>
      <c r="J75" s="740">
        <f t="shared" si="23"/>
        <v>172</v>
      </c>
      <c r="K75" s="739">
        <f t="shared" si="20"/>
        <v>430</v>
      </c>
      <c r="L75" s="847">
        <f t="shared" si="21"/>
        <v>430</v>
      </c>
      <c r="M75" s="740">
        <f t="shared" si="36"/>
        <v>172</v>
      </c>
      <c r="N75" s="604">
        <f t="shared" si="25"/>
        <v>172</v>
      </c>
      <c r="O75" s="604">
        <f>+IF(L75-SUM(M75:N75)&gt;0,G75*F75,0)-X75</f>
        <v>86</v>
      </c>
      <c r="P75" s="604">
        <f t="shared" si="27"/>
        <v>0</v>
      </c>
      <c r="Q75" s="604">
        <f t="shared" si="28"/>
        <v>0</v>
      </c>
      <c r="R75" s="604">
        <f t="shared" si="29"/>
        <v>0</v>
      </c>
      <c r="S75" s="604">
        <f t="shared" si="30"/>
        <v>0</v>
      </c>
      <c r="T75" s="604">
        <f t="shared" si="31"/>
        <v>0</v>
      </c>
      <c r="U75" s="604">
        <f t="shared" si="32"/>
        <v>0</v>
      </c>
      <c r="V75" s="604">
        <f t="shared" si="33"/>
        <v>0</v>
      </c>
      <c r="W75" s="604">
        <f t="shared" si="34"/>
        <v>0</v>
      </c>
      <c r="X75" s="746">
        <v>86</v>
      </c>
      <c r="Y75" s="746">
        <f t="shared" si="35"/>
        <v>0</v>
      </c>
    </row>
    <row r="76" spans="2:25">
      <c r="B76" s="598" t="s">
        <v>2595</v>
      </c>
      <c r="C76" s="604" t="s">
        <v>906</v>
      </c>
      <c r="D76" s="745">
        <v>2020</v>
      </c>
      <c r="E76" s="604" t="s">
        <v>1154</v>
      </c>
      <c r="F76" s="738">
        <v>0.2</v>
      </c>
      <c r="G76" s="739">
        <v>411.47</v>
      </c>
      <c r="H76" s="741">
        <v>41.15</v>
      </c>
      <c r="I76" s="742">
        <f t="shared" si="18"/>
        <v>370.32000000000005</v>
      </c>
      <c r="J76" s="740">
        <f t="shared" si="23"/>
        <v>82.294000000000011</v>
      </c>
      <c r="K76" s="739">
        <f t="shared" si="20"/>
        <v>123.44400000000002</v>
      </c>
      <c r="L76" s="847">
        <f t="shared" si="21"/>
        <v>288.02600000000001</v>
      </c>
      <c r="M76" s="740">
        <f t="shared" si="36"/>
        <v>82.294000000000011</v>
      </c>
      <c r="N76" s="604">
        <f t="shared" si="25"/>
        <v>82.294000000000011</v>
      </c>
      <c r="O76" s="604">
        <f t="shared" si="26"/>
        <v>82.294000000000011</v>
      </c>
      <c r="P76" s="604">
        <f t="shared" ref="P76:P83" si="37">+IF(L76-SUM(M76:O76)&gt;0,G76*F76,0)-X76</f>
        <v>41.143999999999977</v>
      </c>
      <c r="Q76" s="604">
        <f t="shared" si="28"/>
        <v>0</v>
      </c>
      <c r="R76" s="604">
        <f t="shared" si="29"/>
        <v>0</v>
      </c>
      <c r="S76" s="604">
        <f t="shared" si="30"/>
        <v>0</v>
      </c>
      <c r="T76" s="604">
        <f t="shared" si="31"/>
        <v>0</v>
      </c>
      <c r="U76" s="604">
        <f t="shared" si="32"/>
        <v>0</v>
      </c>
      <c r="V76" s="604">
        <f t="shared" si="33"/>
        <v>0</v>
      </c>
      <c r="W76" s="604">
        <f t="shared" si="34"/>
        <v>0</v>
      </c>
      <c r="X76" s="746">
        <v>41.150000000000034</v>
      </c>
      <c r="Y76" s="746">
        <f t="shared" si="35"/>
        <v>0</v>
      </c>
    </row>
    <row r="77" spans="2:25">
      <c r="B77" s="598" t="s">
        <v>2595</v>
      </c>
      <c r="C77" s="604" t="s">
        <v>906</v>
      </c>
      <c r="D77" s="745">
        <v>2020</v>
      </c>
      <c r="E77" s="604" t="s">
        <v>1155</v>
      </c>
      <c r="F77" s="738">
        <v>0.2</v>
      </c>
      <c r="G77" s="739">
        <v>4975</v>
      </c>
      <c r="H77" s="741">
        <v>497.5</v>
      </c>
      <c r="I77" s="742">
        <f t="shared" si="18"/>
        <v>4477.5</v>
      </c>
      <c r="J77" s="740">
        <f t="shared" si="23"/>
        <v>995</v>
      </c>
      <c r="K77" s="739">
        <f t="shared" si="20"/>
        <v>1492.5</v>
      </c>
      <c r="L77" s="847">
        <f t="shared" si="21"/>
        <v>3482.5</v>
      </c>
      <c r="M77" s="740">
        <f t="shared" si="36"/>
        <v>995</v>
      </c>
      <c r="N77" s="604">
        <f t="shared" si="25"/>
        <v>995</v>
      </c>
      <c r="O77" s="604">
        <f t="shared" si="26"/>
        <v>995</v>
      </c>
      <c r="P77" s="604">
        <f t="shared" si="37"/>
        <v>497.5</v>
      </c>
      <c r="Q77" s="604">
        <f t="shared" si="28"/>
        <v>0</v>
      </c>
      <c r="R77" s="604">
        <f t="shared" si="29"/>
        <v>0</v>
      </c>
      <c r="S77" s="604">
        <f t="shared" si="30"/>
        <v>0</v>
      </c>
      <c r="T77" s="604">
        <f t="shared" si="31"/>
        <v>0</v>
      </c>
      <c r="U77" s="604">
        <f t="shared" si="32"/>
        <v>0</v>
      </c>
      <c r="V77" s="604">
        <f t="shared" si="33"/>
        <v>0</v>
      </c>
      <c r="W77" s="604">
        <f t="shared" si="34"/>
        <v>0</v>
      </c>
      <c r="X77" s="746">
        <v>497.5</v>
      </c>
      <c r="Y77" s="746">
        <f t="shared" si="35"/>
        <v>0</v>
      </c>
    </row>
    <row r="78" spans="2:25">
      <c r="B78" s="598" t="s">
        <v>2595</v>
      </c>
      <c r="C78" s="604" t="s">
        <v>906</v>
      </c>
      <c r="D78" s="745">
        <v>2020</v>
      </c>
      <c r="E78" s="604" t="s">
        <v>1156</v>
      </c>
      <c r="F78" s="738">
        <v>0.2</v>
      </c>
      <c r="G78" s="739">
        <v>818.85</v>
      </c>
      <c r="H78" s="741">
        <v>81.89</v>
      </c>
      <c r="I78" s="742">
        <f t="shared" si="18"/>
        <v>736.96</v>
      </c>
      <c r="J78" s="740">
        <f t="shared" si="23"/>
        <v>163.77000000000001</v>
      </c>
      <c r="K78" s="739">
        <f t="shared" si="20"/>
        <v>245.66000000000003</v>
      </c>
      <c r="L78" s="847">
        <f t="shared" si="21"/>
        <v>573.19000000000005</v>
      </c>
      <c r="M78" s="740">
        <f t="shared" si="36"/>
        <v>163.77000000000001</v>
      </c>
      <c r="N78" s="604">
        <f t="shared" si="25"/>
        <v>163.77000000000001</v>
      </c>
      <c r="O78" s="604">
        <f t="shared" si="26"/>
        <v>163.77000000000001</v>
      </c>
      <c r="P78" s="604">
        <f t="shared" si="37"/>
        <v>81.880000000000024</v>
      </c>
      <c r="Q78" s="604">
        <f t="shared" si="28"/>
        <v>0</v>
      </c>
      <c r="R78" s="604">
        <f t="shared" si="29"/>
        <v>0</v>
      </c>
      <c r="S78" s="604">
        <f t="shared" si="30"/>
        <v>0</v>
      </c>
      <c r="T78" s="604">
        <f t="shared" si="31"/>
        <v>0</v>
      </c>
      <c r="U78" s="604">
        <f t="shared" si="32"/>
        <v>0</v>
      </c>
      <c r="V78" s="604">
        <f t="shared" si="33"/>
        <v>0</v>
      </c>
      <c r="W78" s="604">
        <f t="shared" si="34"/>
        <v>0</v>
      </c>
      <c r="X78" s="746">
        <v>81.889999999999986</v>
      </c>
      <c r="Y78" s="746">
        <f t="shared" si="35"/>
        <v>0</v>
      </c>
    </row>
    <row r="79" spans="2:25">
      <c r="B79" s="598" t="s">
        <v>2595</v>
      </c>
      <c r="C79" s="604" t="s">
        <v>906</v>
      </c>
      <c r="D79" s="745">
        <v>2021</v>
      </c>
      <c r="E79" s="604" t="s">
        <v>1157</v>
      </c>
      <c r="F79" s="738">
        <v>0.2</v>
      </c>
      <c r="G79" s="739">
        <v>766.5</v>
      </c>
      <c r="H79" s="741">
        <v>76.650000000000006</v>
      </c>
      <c r="I79" s="742">
        <f t="shared" si="18"/>
        <v>689.85</v>
      </c>
      <c r="J79" s="740">
        <f t="shared" si="23"/>
        <v>153.30000000000001</v>
      </c>
      <c r="K79" s="739">
        <f t="shared" si="20"/>
        <v>229.95000000000002</v>
      </c>
      <c r="L79" s="847">
        <f t="shared" si="21"/>
        <v>536.54999999999995</v>
      </c>
      <c r="M79" s="740">
        <f t="shared" si="36"/>
        <v>153.30000000000001</v>
      </c>
      <c r="N79" s="604">
        <f t="shared" si="25"/>
        <v>153.30000000000001</v>
      </c>
      <c r="O79" s="604">
        <f t="shared" si="26"/>
        <v>153.30000000000001</v>
      </c>
      <c r="P79" s="604">
        <f t="shared" si="37"/>
        <v>76.64999999999992</v>
      </c>
      <c r="Q79" s="604">
        <f t="shared" si="28"/>
        <v>0</v>
      </c>
      <c r="R79" s="604">
        <f t="shared" si="29"/>
        <v>0</v>
      </c>
      <c r="S79" s="604">
        <f t="shared" si="30"/>
        <v>0</v>
      </c>
      <c r="T79" s="604">
        <f t="shared" si="31"/>
        <v>0</v>
      </c>
      <c r="U79" s="604">
        <f t="shared" si="32"/>
        <v>0</v>
      </c>
      <c r="V79" s="604">
        <f t="shared" si="33"/>
        <v>0</v>
      </c>
      <c r="W79" s="604">
        <f t="shared" si="34"/>
        <v>0</v>
      </c>
      <c r="X79" s="746">
        <v>76.650000000000091</v>
      </c>
      <c r="Y79" s="746">
        <f t="shared" si="35"/>
        <v>0</v>
      </c>
    </row>
    <row r="80" spans="2:25">
      <c r="B80" s="598" t="s">
        <v>2595</v>
      </c>
      <c r="C80" s="604" t="s">
        <v>906</v>
      </c>
      <c r="D80" s="745">
        <v>2021</v>
      </c>
      <c r="E80" s="604" t="s">
        <v>1158</v>
      </c>
      <c r="F80" s="738">
        <v>0.2</v>
      </c>
      <c r="G80" s="739">
        <v>233</v>
      </c>
      <c r="H80" s="741">
        <v>23.3</v>
      </c>
      <c r="I80" s="742">
        <f t="shared" si="18"/>
        <v>209.7</v>
      </c>
      <c r="J80" s="740">
        <f t="shared" si="23"/>
        <v>46.6</v>
      </c>
      <c r="K80" s="739">
        <f t="shared" si="20"/>
        <v>69.900000000000006</v>
      </c>
      <c r="L80" s="847">
        <f t="shared" si="21"/>
        <v>163.1</v>
      </c>
      <c r="M80" s="740">
        <f t="shared" si="36"/>
        <v>46.6</v>
      </c>
      <c r="N80" s="604">
        <f t="shared" si="25"/>
        <v>46.6</v>
      </c>
      <c r="O80" s="604">
        <f t="shared" si="26"/>
        <v>46.6</v>
      </c>
      <c r="P80" s="604">
        <f t="shared" si="37"/>
        <v>23.29999999999999</v>
      </c>
      <c r="Q80" s="604">
        <f t="shared" si="28"/>
        <v>0</v>
      </c>
      <c r="R80" s="604">
        <f t="shared" si="29"/>
        <v>0</v>
      </c>
      <c r="S80" s="604">
        <f t="shared" si="30"/>
        <v>0</v>
      </c>
      <c r="T80" s="604">
        <f t="shared" si="31"/>
        <v>0</v>
      </c>
      <c r="U80" s="604">
        <f t="shared" si="32"/>
        <v>0</v>
      </c>
      <c r="V80" s="604">
        <f t="shared" si="33"/>
        <v>0</v>
      </c>
      <c r="W80" s="604">
        <f t="shared" si="34"/>
        <v>0</v>
      </c>
      <c r="X80" s="746">
        <v>23.300000000000011</v>
      </c>
      <c r="Y80" s="746">
        <f t="shared" si="35"/>
        <v>0</v>
      </c>
    </row>
    <row r="81" spans="2:27">
      <c r="B81" s="598" t="s">
        <v>2595</v>
      </c>
      <c r="C81" s="604" t="s">
        <v>906</v>
      </c>
      <c r="D81" s="745">
        <v>2021</v>
      </c>
      <c r="E81" s="604" t="s">
        <v>1159</v>
      </c>
      <c r="F81" s="738">
        <v>0.2</v>
      </c>
      <c r="G81" s="739">
        <v>1455</v>
      </c>
      <c r="H81" s="741">
        <v>145.5</v>
      </c>
      <c r="I81" s="742">
        <f t="shared" si="18"/>
        <v>1309.5</v>
      </c>
      <c r="J81" s="740">
        <f t="shared" si="23"/>
        <v>291</v>
      </c>
      <c r="K81" s="739">
        <f t="shared" si="20"/>
        <v>436.5</v>
      </c>
      <c r="L81" s="847">
        <f t="shared" si="21"/>
        <v>1018.5</v>
      </c>
      <c r="M81" s="740">
        <f t="shared" si="36"/>
        <v>291</v>
      </c>
      <c r="N81" s="604">
        <f t="shared" si="25"/>
        <v>291</v>
      </c>
      <c r="O81" s="604">
        <f t="shared" si="26"/>
        <v>291</v>
      </c>
      <c r="P81" s="604">
        <f t="shared" si="37"/>
        <v>145.5</v>
      </c>
      <c r="Q81" s="604">
        <f t="shared" si="28"/>
        <v>0</v>
      </c>
      <c r="R81" s="604">
        <f t="shared" si="29"/>
        <v>0</v>
      </c>
      <c r="S81" s="604">
        <f t="shared" si="30"/>
        <v>0</v>
      </c>
      <c r="T81" s="604">
        <f t="shared" si="31"/>
        <v>0</v>
      </c>
      <c r="U81" s="604">
        <f t="shared" si="32"/>
        <v>0</v>
      </c>
      <c r="V81" s="604">
        <f t="shared" si="33"/>
        <v>0</v>
      </c>
      <c r="W81" s="604">
        <f t="shared" si="34"/>
        <v>0</v>
      </c>
      <c r="X81" s="746">
        <v>145.5</v>
      </c>
      <c r="Y81" s="746">
        <f t="shared" si="35"/>
        <v>0</v>
      </c>
    </row>
    <row r="82" spans="2:27">
      <c r="B82" s="598" t="s">
        <v>2595</v>
      </c>
      <c r="C82" s="604" t="s">
        <v>906</v>
      </c>
      <c r="D82" s="745">
        <v>2021</v>
      </c>
      <c r="E82" s="604" t="s">
        <v>1160</v>
      </c>
      <c r="F82" s="738">
        <v>0.2</v>
      </c>
      <c r="G82" s="739">
        <v>1475</v>
      </c>
      <c r="H82" s="741">
        <v>147.5</v>
      </c>
      <c r="I82" s="742">
        <f t="shared" si="18"/>
        <v>1327.5</v>
      </c>
      <c r="J82" s="740">
        <f t="shared" si="23"/>
        <v>295</v>
      </c>
      <c r="K82" s="739">
        <f t="shared" si="20"/>
        <v>442.5</v>
      </c>
      <c r="L82" s="847">
        <f t="shared" si="21"/>
        <v>1032.5</v>
      </c>
      <c r="M82" s="740">
        <f t="shared" si="36"/>
        <v>295</v>
      </c>
      <c r="N82" s="604">
        <f t="shared" si="25"/>
        <v>295</v>
      </c>
      <c r="O82" s="604">
        <f t="shared" si="26"/>
        <v>295</v>
      </c>
      <c r="P82" s="604">
        <f t="shared" si="37"/>
        <v>147.5</v>
      </c>
      <c r="Q82" s="604">
        <f t="shared" si="28"/>
        <v>0</v>
      </c>
      <c r="R82" s="604">
        <f t="shared" si="29"/>
        <v>0</v>
      </c>
      <c r="S82" s="604">
        <f t="shared" si="30"/>
        <v>0</v>
      </c>
      <c r="T82" s="604">
        <f t="shared" si="31"/>
        <v>0</v>
      </c>
      <c r="U82" s="604">
        <f t="shared" si="32"/>
        <v>0</v>
      </c>
      <c r="V82" s="604">
        <f t="shared" si="33"/>
        <v>0</v>
      </c>
      <c r="W82" s="604">
        <f t="shared" si="34"/>
        <v>0</v>
      </c>
      <c r="X82" s="746">
        <v>147.5</v>
      </c>
      <c r="Y82" s="746">
        <f t="shared" si="35"/>
        <v>0</v>
      </c>
    </row>
    <row r="83" spans="2:27">
      <c r="B83" s="598" t="s">
        <v>2595</v>
      </c>
      <c r="C83" s="604" t="s">
        <v>906</v>
      </c>
      <c r="D83" s="745">
        <v>2021</v>
      </c>
      <c r="E83" s="604" t="s">
        <v>1161</v>
      </c>
      <c r="F83" s="738">
        <v>0.2</v>
      </c>
      <c r="G83" s="739">
        <v>890</v>
      </c>
      <c r="H83" s="741">
        <v>89</v>
      </c>
      <c r="I83" s="742">
        <f t="shared" si="18"/>
        <v>801</v>
      </c>
      <c r="J83" s="740">
        <f t="shared" si="23"/>
        <v>178</v>
      </c>
      <c r="K83" s="739">
        <f t="shared" si="20"/>
        <v>267</v>
      </c>
      <c r="L83" s="847">
        <f t="shared" si="21"/>
        <v>623</v>
      </c>
      <c r="M83" s="740">
        <f t="shared" si="36"/>
        <v>178</v>
      </c>
      <c r="N83" s="604">
        <f t="shared" si="25"/>
        <v>178</v>
      </c>
      <c r="O83" s="604">
        <f t="shared" si="26"/>
        <v>178</v>
      </c>
      <c r="P83" s="604">
        <f t="shared" si="37"/>
        <v>89</v>
      </c>
      <c r="Q83" s="604">
        <f t="shared" si="28"/>
        <v>0</v>
      </c>
      <c r="R83" s="604">
        <f t="shared" si="29"/>
        <v>0</v>
      </c>
      <c r="S83" s="604">
        <f t="shared" si="30"/>
        <v>0</v>
      </c>
      <c r="T83" s="604">
        <f t="shared" si="31"/>
        <v>0</v>
      </c>
      <c r="U83" s="604">
        <f t="shared" si="32"/>
        <v>0</v>
      </c>
      <c r="V83" s="604">
        <f t="shared" si="33"/>
        <v>0</v>
      </c>
      <c r="W83" s="604">
        <f t="shared" si="34"/>
        <v>0</v>
      </c>
      <c r="X83" s="746">
        <v>89</v>
      </c>
      <c r="Y83" s="746">
        <f t="shared" si="35"/>
        <v>0</v>
      </c>
    </row>
    <row r="84" spans="2:27">
      <c r="B84" s="598" t="s">
        <v>2595</v>
      </c>
      <c r="C84" s="604" t="s">
        <v>906</v>
      </c>
      <c r="D84" s="745">
        <v>2022</v>
      </c>
      <c r="E84" s="604" t="s">
        <v>2537</v>
      </c>
      <c r="F84" s="738">
        <v>0.2</v>
      </c>
      <c r="G84" s="739">
        <v>1016</v>
      </c>
      <c r="H84" s="741">
        <v>0</v>
      </c>
      <c r="I84" s="742">
        <f t="shared" si="18"/>
        <v>1016</v>
      </c>
      <c r="J84" s="740">
        <f t="shared" ref="J84:J89" si="38">IF(I84=0,0,G84*F84/2)</f>
        <v>101.60000000000001</v>
      </c>
      <c r="K84" s="739">
        <f t="shared" si="20"/>
        <v>101.60000000000001</v>
      </c>
      <c r="L84" s="847">
        <f t="shared" si="21"/>
        <v>914.4</v>
      </c>
      <c r="M84" s="740">
        <f t="shared" si="36"/>
        <v>203.20000000000002</v>
      </c>
      <c r="N84" s="604">
        <f t="shared" si="25"/>
        <v>203.20000000000002</v>
      </c>
      <c r="O84" s="604">
        <f t="shared" si="26"/>
        <v>203.20000000000002</v>
      </c>
      <c r="P84" s="604">
        <f t="shared" si="27"/>
        <v>203.20000000000002</v>
      </c>
      <c r="Q84" s="604">
        <f t="shared" ref="Q84:Q89" si="39">+IF(L84-SUM(M84:P84)&gt;0,G84*F84,0)-X84</f>
        <v>101.59999999999988</v>
      </c>
      <c r="R84" s="604">
        <f t="shared" si="29"/>
        <v>0</v>
      </c>
      <c r="S84" s="604">
        <f t="shared" si="30"/>
        <v>0</v>
      </c>
      <c r="T84" s="604">
        <f t="shared" si="31"/>
        <v>0</v>
      </c>
      <c r="U84" s="604">
        <f t="shared" si="32"/>
        <v>0</v>
      </c>
      <c r="V84" s="604">
        <f t="shared" si="33"/>
        <v>0</v>
      </c>
      <c r="W84" s="604">
        <f t="shared" si="34"/>
        <v>0</v>
      </c>
      <c r="X84" s="746">
        <v>101.60000000000014</v>
      </c>
      <c r="Y84" s="746">
        <f t="shared" si="35"/>
        <v>0</v>
      </c>
    </row>
    <row r="85" spans="2:27">
      <c r="B85" s="598" t="s">
        <v>2595</v>
      </c>
      <c r="C85" s="604" t="s">
        <v>906</v>
      </c>
      <c r="D85" s="745">
        <v>2022</v>
      </c>
      <c r="E85" s="604" t="s">
        <v>2538</v>
      </c>
      <c r="F85" s="738">
        <v>0.2</v>
      </c>
      <c r="G85" s="739">
        <v>2340</v>
      </c>
      <c r="H85" s="741">
        <v>0</v>
      </c>
      <c r="I85" s="742">
        <f t="shared" si="18"/>
        <v>2340</v>
      </c>
      <c r="J85" s="740">
        <f t="shared" si="38"/>
        <v>234</v>
      </c>
      <c r="K85" s="739">
        <f t="shared" si="20"/>
        <v>234</v>
      </c>
      <c r="L85" s="847">
        <f t="shared" si="21"/>
        <v>2106</v>
      </c>
      <c r="M85" s="740">
        <f t="shared" si="36"/>
        <v>468</v>
      </c>
      <c r="N85" s="604">
        <f t="shared" si="25"/>
        <v>468</v>
      </c>
      <c r="O85" s="604">
        <f t="shared" si="26"/>
        <v>468</v>
      </c>
      <c r="P85" s="604">
        <f t="shared" si="27"/>
        <v>468</v>
      </c>
      <c r="Q85" s="604">
        <f t="shared" si="39"/>
        <v>234</v>
      </c>
      <c r="R85" s="604">
        <f t="shared" si="29"/>
        <v>0</v>
      </c>
      <c r="S85" s="604">
        <f t="shared" si="30"/>
        <v>0</v>
      </c>
      <c r="T85" s="604">
        <f t="shared" si="31"/>
        <v>0</v>
      </c>
      <c r="U85" s="604">
        <f t="shared" si="32"/>
        <v>0</v>
      </c>
      <c r="V85" s="604">
        <f t="shared" si="33"/>
        <v>0</v>
      </c>
      <c r="W85" s="604">
        <f t="shared" si="34"/>
        <v>0</v>
      </c>
      <c r="X85" s="746">
        <v>234</v>
      </c>
      <c r="Y85" s="746">
        <f t="shared" si="35"/>
        <v>0</v>
      </c>
    </row>
    <row r="86" spans="2:27">
      <c r="B86" s="598" t="s">
        <v>2595</v>
      </c>
      <c r="C86" s="604" t="s">
        <v>906</v>
      </c>
      <c r="D86" s="745">
        <v>2022</v>
      </c>
      <c r="E86" s="604" t="s">
        <v>2539</v>
      </c>
      <c r="F86" s="738">
        <v>0.2</v>
      </c>
      <c r="G86" s="739">
        <v>1470</v>
      </c>
      <c r="H86" s="741">
        <v>0</v>
      </c>
      <c r="I86" s="742">
        <f t="shared" si="18"/>
        <v>1470</v>
      </c>
      <c r="J86" s="740">
        <f t="shared" si="38"/>
        <v>147</v>
      </c>
      <c r="K86" s="739">
        <f t="shared" si="20"/>
        <v>147</v>
      </c>
      <c r="L86" s="847">
        <f t="shared" si="21"/>
        <v>1323</v>
      </c>
      <c r="M86" s="740">
        <f t="shared" si="36"/>
        <v>294</v>
      </c>
      <c r="N86" s="604">
        <f t="shared" si="25"/>
        <v>294</v>
      </c>
      <c r="O86" s="604">
        <f t="shared" si="26"/>
        <v>294</v>
      </c>
      <c r="P86" s="604">
        <f t="shared" si="27"/>
        <v>294</v>
      </c>
      <c r="Q86" s="604">
        <f t="shared" si="39"/>
        <v>147</v>
      </c>
      <c r="R86" s="604">
        <f t="shared" si="29"/>
        <v>0</v>
      </c>
      <c r="S86" s="604">
        <f t="shared" si="30"/>
        <v>0</v>
      </c>
      <c r="T86" s="604">
        <f t="shared" si="31"/>
        <v>0</v>
      </c>
      <c r="U86" s="604">
        <f t="shared" si="32"/>
        <v>0</v>
      </c>
      <c r="V86" s="604">
        <f t="shared" si="33"/>
        <v>0</v>
      </c>
      <c r="W86" s="604">
        <f t="shared" si="34"/>
        <v>0</v>
      </c>
      <c r="X86" s="746">
        <v>147</v>
      </c>
      <c r="Y86" s="746">
        <f t="shared" si="35"/>
        <v>0</v>
      </c>
    </row>
    <row r="87" spans="2:27">
      <c r="B87" s="598" t="s">
        <v>2595</v>
      </c>
      <c r="C87" s="604" t="s">
        <v>906</v>
      </c>
      <c r="D87" s="745">
        <v>2022</v>
      </c>
      <c r="E87" s="604" t="s">
        <v>2540</v>
      </c>
      <c r="F87" s="738">
        <v>0.2</v>
      </c>
      <c r="G87" s="739">
        <v>11700</v>
      </c>
      <c r="H87" s="741">
        <v>0</v>
      </c>
      <c r="I87" s="742">
        <f t="shared" si="18"/>
        <v>11700</v>
      </c>
      <c r="J87" s="740">
        <f t="shared" si="38"/>
        <v>1170</v>
      </c>
      <c r="K87" s="739">
        <f t="shared" si="20"/>
        <v>1170</v>
      </c>
      <c r="L87" s="847">
        <f t="shared" si="21"/>
        <v>10530</v>
      </c>
      <c r="M87" s="740">
        <f t="shared" si="36"/>
        <v>2340</v>
      </c>
      <c r="N87" s="604">
        <f t="shared" si="25"/>
        <v>2340</v>
      </c>
      <c r="O87" s="604">
        <f t="shared" si="26"/>
        <v>2340</v>
      </c>
      <c r="P87" s="604">
        <f t="shared" si="27"/>
        <v>2340</v>
      </c>
      <c r="Q87" s="604">
        <f t="shared" si="39"/>
        <v>1170</v>
      </c>
      <c r="R87" s="604">
        <f t="shared" si="29"/>
        <v>0</v>
      </c>
      <c r="S87" s="604">
        <f t="shared" si="30"/>
        <v>0</v>
      </c>
      <c r="T87" s="604">
        <f t="shared" si="31"/>
        <v>0</v>
      </c>
      <c r="U87" s="604">
        <f t="shared" si="32"/>
        <v>0</v>
      </c>
      <c r="V87" s="604">
        <f t="shared" si="33"/>
        <v>0</v>
      </c>
      <c r="W87" s="604">
        <f t="shared" si="34"/>
        <v>0</v>
      </c>
      <c r="X87" s="746">
        <v>1170</v>
      </c>
      <c r="Y87" s="746">
        <f t="shared" si="35"/>
        <v>0</v>
      </c>
    </row>
    <row r="88" spans="2:27">
      <c r="B88" s="598" t="s">
        <v>2595</v>
      </c>
      <c r="C88" s="604" t="s">
        <v>906</v>
      </c>
      <c r="D88" s="745">
        <v>2022</v>
      </c>
      <c r="E88" s="604" t="s">
        <v>2541</v>
      </c>
      <c r="F88" s="738">
        <v>0.2</v>
      </c>
      <c r="G88" s="739">
        <v>2140</v>
      </c>
      <c r="H88" s="741">
        <v>0</v>
      </c>
      <c r="I88" s="742">
        <f t="shared" si="18"/>
        <v>2140</v>
      </c>
      <c r="J88" s="740">
        <f t="shared" si="38"/>
        <v>214</v>
      </c>
      <c r="K88" s="739">
        <f t="shared" si="20"/>
        <v>214</v>
      </c>
      <c r="L88" s="847">
        <f t="shared" si="21"/>
        <v>1926</v>
      </c>
      <c r="M88" s="740">
        <f t="shared" si="36"/>
        <v>428</v>
      </c>
      <c r="N88" s="604">
        <f t="shared" si="25"/>
        <v>428</v>
      </c>
      <c r="O88" s="604">
        <f t="shared" si="26"/>
        <v>428</v>
      </c>
      <c r="P88" s="604">
        <f t="shared" si="27"/>
        <v>428</v>
      </c>
      <c r="Q88" s="604">
        <f t="shared" si="39"/>
        <v>214</v>
      </c>
      <c r="R88" s="604">
        <f t="shared" si="29"/>
        <v>0</v>
      </c>
      <c r="S88" s="604">
        <f t="shared" si="30"/>
        <v>0</v>
      </c>
      <c r="T88" s="604">
        <f t="shared" si="31"/>
        <v>0</v>
      </c>
      <c r="U88" s="604">
        <f t="shared" si="32"/>
        <v>0</v>
      </c>
      <c r="V88" s="604">
        <f t="shared" si="33"/>
        <v>0</v>
      </c>
      <c r="W88" s="604">
        <f t="shared" si="34"/>
        <v>0</v>
      </c>
      <c r="X88" s="746">
        <v>214</v>
      </c>
      <c r="Y88" s="746">
        <f t="shared" si="35"/>
        <v>0</v>
      </c>
    </row>
    <row r="89" spans="2:27" ht="12.75" thickBot="1">
      <c r="B89" s="598" t="s">
        <v>2595</v>
      </c>
      <c r="C89" s="604" t="s">
        <v>906</v>
      </c>
      <c r="D89" s="745">
        <v>2022</v>
      </c>
      <c r="E89" s="604" t="s">
        <v>2542</v>
      </c>
      <c r="F89" s="738">
        <v>0.2</v>
      </c>
      <c r="G89" s="739">
        <v>1500</v>
      </c>
      <c r="H89" s="741">
        <v>0</v>
      </c>
      <c r="I89" s="742">
        <f t="shared" si="18"/>
        <v>1500</v>
      </c>
      <c r="J89" s="740">
        <f t="shared" si="38"/>
        <v>150</v>
      </c>
      <c r="K89" s="739">
        <f t="shared" si="20"/>
        <v>150</v>
      </c>
      <c r="L89" s="848">
        <f t="shared" si="21"/>
        <v>1350</v>
      </c>
      <c r="M89" s="740">
        <f t="shared" si="36"/>
        <v>300</v>
      </c>
      <c r="N89" s="604">
        <f t="shared" si="25"/>
        <v>300</v>
      </c>
      <c r="O89" s="604">
        <f t="shared" si="26"/>
        <v>300</v>
      </c>
      <c r="P89" s="604">
        <f t="shared" si="27"/>
        <v>300</v>
      </c>
      <c r="Q89" s="604">
        <f t="shared" si="39"/>
        <v>150</v>
      </c>
      <c r="R89" s="604">
        <f t="shared" si="29"/>
        <v>0</v>
      </c>
      <c r="S89" s="604">
        <f t="shared" si="30"/>
        <v>0</v>
      </c>
      <c r="T89" s="604">
        <f t="shared" si="31"/>
        <v>0</v>
      </c>
      <c r="U89" s="604">
        <f t="shared" si="32"/>
        <v>0</v>
      </c>
      <c r="V89" s="604">
        <f t="shared" si="33"/>
        <v>0</v>
      </c>
      <c r="W89" s="604">
        <f t="shared" si="34"/>
        <v>0</v>
      </c>
      <c r="X89" s="746">
        <v>150</v>
      </c>
      <c r="Y89" s="746">
        <f t="shared" si="35"/>
        <v>0</v>
      </c>
    </row>
    <row r="90" spans="2:27">
      <c r="B90" s="598" t="s">
        <v>2595</v>
      </c>
      <c r="C90" s="604" t="s">
        <v>907</v>
      </c>
      <c r="D90" s="745">
        <v>2014</v>
      </c>
      <c r="E90" s="604" t="s">
        <v>1162</v>
      </c>
      <c r="F90" s="738">
        <v>0.2</v>
      </c>
      <c r="G90" s="739">
        <v>1252.8</v>
      </c>
      <c r="H90" s="741">
        <v>1252.8</v>
      </c>
      <c r="I90" s="742">
        <f>+G90-H90</f>
        <v>0</v>
      </c>
      <c r="J90" s="740">
        <f>IF(I90=0,0,G90*F90)</f>
        <v>0</v>
      </c>
      <c r="K90" s="739">
        <f>+H90+J90</f>
        <v>1252.8</v>
      </c>
      <c r="L90" s="834">
        <f>+G90-K90</f>
        <v>0</v>
      </c>
      <c r="M90" s="740">
        <f t="shared" si="36"/>
        <v>0</v>
      </c>
      <c r="N90" s="604">
        <f t="shared" si="25"/>
        <v>0</v>
      </c>
      <c r="O90" s="604">
        <f t="shared" si="26"/>
        <v>0</v>
      </c>
      <c r="P90" s="604">
        <f t="shared" si="27"/>
        <v>0</v>
      </c>
      <c r="Q90" s="604">
        <f t="shared" si="28"/>
        <v>0</v>
      </c>
      <c r="R90" s="604">
        <f t="shared" si="29"/>
        <v>0</v>
      </c>
      <c r="S90" s="604">
        <f t="shared" si="30"/>
        <v>0</v>
      </c>
      <c r="T90" s="604">
        <f t="shared" si="31"/>
        <v>0</v>
      </c>
      <c r="U90" s="604">
        <f t="shared" si="32"/>
        <v>0</v>
      </c>
      <c r="V90" s="604">
        <f t="shared" si="33"/>
        <v>0</v>
      </c>
      <c r="W90" s="604">
        <f t="shared" si="34"/>
        <v>0</v>
      </c>
      <c r="X90" s="746">
        <v>0</v>
      </c>
      <c r="Y90" s="746">
        <f t="shared" si="35"/>
        <v>0</v>
      </c>
      <c r="Z90" s="746">
        <f>+SUM(L90:L101)</f>
        <v>1526.529</v>
      </c>
    </row>
    <row r="91" spans="2:27">
      <c r="B91" s="598" t="s">
        <v>2595</v>
      </c>
      <c r="C91" s="604" t="s">
        <v>907</v>
      </c>
      <c r="D91" s="745">
        <v>2015</v>
      </c>
      <c r="E91" s="604" t="s">
        <v>901</v>
      </c>
      <c r="F91" s="738">
        <v>0.2</v>
      </c>
      <c r="G91" s="739">
        <v>349</v>
      </c>
      <c r="H91" s="741">
        <v>349</v>
      </c>
      <c r="I91" s="742">
        <f t="shared" ref="I91:I101" si="40">+G91-H91</f>
        <v>0</v>
      </c>
      <c r="J91" s="740">
        <f t="shared" ref="J91:J95" si="41">IF(I91=0,0,G91*F91)</f>
        <v>0</v>
      </c>
      <c r="K91" s="739">
        <f t="shared" ref="K91:K101" si="42">+H91+J91</f>
        <v>349</v>
      </c>
      <c r="L91" s="835">
        <f t="shared" ref="L91:L100" si="43">+G91-K91</f>
        <v>0</v>
      </c>
      <c r="M91" s="740">
        <f t="shared" si="36"/>
        <v>0</v>
      </c>
      <c r="N91" s="604">
        <f t="shared" si="25"/>
        <v>0</v>
      </c>
      <c r="O91" s="604">
        <f t="shared" si="26"/>
        <v>0</v>
      </c>
      <c r="P91" s="604">
        <f t="shared" si="27"/>
        <v>0</v>
      </c>
      <c r="Q91" s="604">
        <f t="shared" si="28"/>
        <v>0</v>
      </c>
      <c r="R91" s="604">
        <f t="shared" si="29"/>
        <v>0</v>
      </c>
      <c r="S91" s="604">
        <f t="shared" si="30"/>
        <v>0</v>
      </c>
      <c r="T91" s="604">
        <f t="shared" si="31"/>
        <v>0</v>
      </c>
      <c r="U91" s="604">
        <f t="shared" si="32"/>
        <v>0</v>
      </c>
      <c r="V91" s="604">
        <f t="shared" si="33"/>
        <v>0</v>
      </c>
      <c r="W91" s="604">
        <f t="shared" si="34"/>
        <v>0</v>
      </c>
      <c r="X91" s="746">
        <v>0</v>
      </c>
      <c r="Y91" s="746">
        <f t="shared" si="35"/>
        <v>0</v>
      </c>
      <c r="Z91" s="746">
        <f>+Z90-BdV!I45-BdV!I51</f>
        <v>-1.1000000000422006E-2</v>
      </c>
      <c r="AA91" s="840" t="s">
        <v>363</v>
      </c>
    </row>
    <row r="92" spans="2:27">
      <c r="B92" s="598" t="s">
        <v>2595</v>
      </c>
      <c r="C92" s="604" t="s">
        <v>907</v>
      </c>
      <c r="D92" s="745">
        <v>2015</v>
      </c>
      <c r="E92" s="604" t="s">
        <v>902</v>
      </c>
      <c r="F92" s="738">
        <v>0.2</v>
      </c>
      <c r="G92" s="739">
        <v>626.4</v>
      </c>
      <c r="H92" s="741">
        <v>626.4</v>
      </c>
      <c r="I92" s="742">
        <f t="shared" si="40"/>
        <v>0</v>
      </c>
      <c r="J92" s="740">
        <f t="shared" si="41"/>
        <v>0</v>
      </c>
      <c r="K92" s="739">
        <f t="shared" si="42"/>
        <v>626.4</v>
      </c>
      <c r="L92" s="835">
        <f t="shared" si="43"/>
        <v>0</v>
      </c>
      <c r="M92" s="740">
        <f t="shared" si="36"/>
        <v>0</v>
      </c>
      <c r="N92" s="604">
        <f t="shared" si="25"/>
        <v>0</v>
      </c>
      <c r="O92" s="604">
        <f t="shared" si="26"/>
        <v>0</v>
      </c>
      <c r="P92" s="604">
        <f t="shared" si="27"/>
        <v>0</v>
      </c>
      <c r="Q92" s="604">
        <f t="shared" si="28"/>
        <v>0</v>
      </c>
      <c r="R92" s="604">
        <f t="shared" si="29"/>
        <v>0</v>
      </c>
      <c r="S92" s="604">
        <f t="shared" si="30"/>
        <v>0</v>
      </c>
      <c r="T92" s="604">
        <f t="shared" si="31"/>
        <v>0</v>
      </c>
      <c r="U92" s="604">
        <f t="shared" si="32"/>
        <v>0</v>
      </c>
      <c r="V92" s="604">
        <f t="shared" si="33"/>
        <v>0</v>
      </c>
      <c r="W92" s="604">
        <f t="shared" si="34"/>
        <v>0</v>
      </c>
      <c r="X92" s="746">
        <v>0</v>
      </c>
      <c r="Y92" s="746">
        <f t="shared" si="35"/>
        <v>0</v>
      </c>
    </row>
    <row r="93" spans="2:27">
      <c r="B93" s="598" t="s">
        <v>2595</v>
      </c>
      <c r="C93" s="604" t="s">
        <v>907</v>
      </c>
      <c r="D93" s="745">
        <v>2015</v>
      </c>
      <c r="E93" s="604" t="s">
        <v>903</v>
      </c>
      <c r="F93" s="738">
        <v>0.2</v>
      </c>
      <c r="G93" s="739">
        <v>400.9</v>
      </c>
      <c r="H93" s="741">
        <v>400.9</v>
      </c>
      <c r="I93" s="742">
        <f t="shared" si="40"/>
        <v>0</v>
      </c>
      <c r="J93" s="740">
        <f t="shared" si="41"/>
        <v>0</v>
      </c>
      <c r="K93" s="739">
        <f t="shared" si="42"/>
        <v>400.9</v>
      </c>
      <c r="L93" s="835">
        <f t="shared" si="43"/>
        <v>0</v>
      </c>
      <c r="M93" s="740">
        <f t="shared" si="36"/>
        <v>0</v>
      </c>
      <c r="N93" s="604">
        <f t="shared" si="25"/>
        <v>0</v>
      </c>
      <c r="O93" s="604">
        <f t="shared" si="26"/>
        <v>0</v>
      </c>
      <c r="P93" s="604">
        <f t="shared" si="27"/>
        <v>0</v>
      </c>
      <c r="Q93" s="604">
        <f t="shared" si="28"/>
        <v>0</v>
      </c>
      <c r="R93" s="604">
        <f t="shared" si="29"/>
        <v>0</v>
      </c>
      <c r="S93" s="604">
        <f t="shared" si="30"/>
        <v>0</v>
      </c>
      <c r="T93" s="604">
        <f t="shared" si="31"/>
        <v>0</v>
      </c>
      <c r="U93" s="604">
        <f t="shared" si="32"/>
        <v>0</v>
      </c>
      <c r="V93" s="604">
        <f t="shared" si="33"/>
        <v>0</v>
      </c>
      <c r="W93" s="604">
        <f t="shared" si="34"/>
        <v>0</v>
      </c>
      <c r="X93" s="746">
        <v>0</v>
      </c>
      <c r="Y93" s="746">
        <f t="shared" si="35"/>
        <v>0</v>
      </c>
    </row>
    <row r="94" spans="2:27">
      <c r="B94" s="598" t="s">
        <v>2595</v>
      </c>
      <c r="C94" s="604" t="s">
        <v>907</v>
      </c>
      <c r="D94" s="745">
        <v>2016</v>
      </c>
      <c r="E94" s="604" t="s">
        <v>1163</v>
      </c>
      <c r="F94" s="738">
        <v>0.2</v>
      </c>
      <c r="G94" s="739">
        <v>431.39</v>
      </c>
      <c r="H94" s="741">
        <v>431.39</v>
      </c>
      <c r="I94" s="742">
        <f t="shared" si="40"/>
        <v>0</v>
      </c>
      <c r="J94" s="740">
        <f t="shared" si="41"/>
        <v>0</v>
      </c>
      <c r="K94" s="739">
        <f t="shared" si="42"/>
        <v>431.39</v>
      </c>
      <c r="L94" s="835">
        <f t="shared" si="43"/>
        <v>0</v>
      </c>
      <c r="M94" s="740">
        <f t="shared" si="36"/>
        <v>0</v>
      </c>
      <c r="N94" s="604">
        <f t="shared" si="25"/>
        <v>0</v>
      </c>
      <c r="O94" s="604">
        <f t="shared" si="26"/>
        <v>0</v>
      </c>
      <c r="P94" s="604">
        <f t="shared" si="27"/>
        <v>0</v>
      </c>
      <c r="Q94" s="604">
        <f t="shared" si="28"/>
        <v>0</v>
      </c>
      <c r="R94" s="604">
        <f t="shared" si="29"/>
        <v>0</v>
      </c>
      <c r="S94" s="604">
        <f t="shared" si="30"/>
        <v>0</v>
      </c>
      <c r="T94" s="604">
        <f t="shared" si="31"/>
        <v>0</v>
      </c>
      <c r="U94" s="604">
        <f t="shared" si="32"/>
        <v>0</v>
      </c>
      <c r="V94" s="604">
        <f t="shared" si="33"/>
        <v>0</v>
      </c>
      <c r="W94" s="604">
        <f t="shared" si="34"/>
        <v>0</v>
      </c>
      <c r="X94" s="746">
        <v>0</v>
      </c>
      <c r="Y94" s="746">
        <f t="shared" si="35"/>
        <v>0</v>
      </c>
    </row>
    <row r="95" spans="2:27">
      <c r="B95" s="598" t="s">
        <v>2595</v>
      </c>
      <c r="C95" s="604" t="s">
        <v>907</v>
      </c>
      <c r="D95" s="745">
        <v>2016</v>
      </c>
      <c r="E95" s="604" t="s">
        <v>1164</v>
      </c>
      <c r="F95" s="738">
        <v>0.2</v>
      </c>
      <c r="G95" s="739">
        <v>1879.2</v>
      </c>
      <c r="H95" s="741">
        <v>1879.2</v>
      </c>
      <c r="I95" s="742">
        <f t="shared" si="40"/>
        <v>0</v>
      </c>
      <c r="J95" s="740">
        <f t="shared" si="41"/>
        <v>0</v>
      </c>
      <c r="K95" s="739">
        <f t="shared" si="42"/>
        <v>1879.2</v>
      </c>
      <c r="L95" s="835">
        <f t="shared" si="43"/>
        <v>0</v>
      </c>
      <c r="M95" s="740">
        <f t="shared" si="36"/>
        <v>0</v>
      </c>
      <c r="N95" s="604">
        <f t="shared" si="25"/>
        <v>0</v>
      </c>
      <c r="O95" s="604">
        <f t="shared" si="26"/>
        <v>0</v>
      </c>
      <c r="P95" s="604">
        <f t="shared" si="27"/>
        <v>0</v>
      </c>
      <c r="Q95" s="604">
        <f t="shared" si="28"/>
        <v>0</v>
      </c>
      <c r="R95" s="604">
        <f t="shared" si="29"/>
        <v>0</v>
      </c>
      <c r="S95" s="604">
        <f t="shared" si="30"/>
        <v>0</v>
      </c>
      <c r="T95" s="604">
        <f t="shared" si="31"/>
        <v>0</v>
      </c>
      <c r="U95" s="604">
        <f t="shared" si="32"/>
        <v>0</v>
      </c>
      <c r="V95" s="604">
        <f t="shared" si="33"/>
        <v>0</v>
      </c>
      <c r="W95" s="604">
        <f t="shared" si="34"/>
        <v>0</v>
      </c>
      <c r="X95" s="746">
        <v>0</v>
      </c>
      <c r="Y95" s="746">
        <f t="shared" si="35"/>
        <v>0</v>
      </c>
    </row>
    <row r="96" spans="2:27">
      <c r="B96" s="598" t="s">
        <v>2595</v>
      </c>
      <c r="C96" s="604" t="s">
        <v>907</v>
      </c>
      <c r="D96" s="745">
        <v>2017</v>
      </c>
      <c r="E96" s="604" t="s">
        <v>904</v>
      </c>
      <c r="F96" s="738">
        <v>0.2</v>
      </c>
      <c r="G96" s="739">
        <v>581.89</v>
      </c>
      <c r="H96" s="741">
        <v>523.71</v>
      </c>
      <c r="I96" s="742">
        <f t="shared" si="40"/>
        <v>58.17999999999995</v>
      </c>
      <c r="J96" s="740">
        <f>IF(I96=0,0,G96*F96/2)</f>
        <v>58.189</v>
      </c>
      <c r="K96" s="739">
        <f t="shared" si="42"/>
        <v>581.899</v>
      </c>
      <c r="L96" s="835">
        <f t="shared" si="43"/>
        <v>-9.0000000000145519E-3</v>
      </c>
      <c r="M96" s="740">
        <f>+IF(L96=0,0,G96*F96)-X96</f>
        <v>-9.0000000000145519E-3</v>
      </c>
      <c r="N96" s="604">
        <f t="shared" si="25"/>
        <v>0</v>
      </c>
      <c r="O96" s="604">
        <f t="shared" si="26"/>
        <v>0</v>
      </c>
      <c r="P96" s="604">
        <f t="shared" si="27"/>
        <v>0</v>
      </c>
      <c r="Q96" s="604">
        <f t="shared" si="28"/>
        <v>0</v>
      </c>
      <c r="R96" s="604">
        <f t="shared" si="29"/>
        <v>0</v>
      </c>
      <c r="S96" s="604">
        <f t="shared" si="30"/>
        <v>0</v>
      </c>
      <c r="T96" s="604">
        <f t="shared" si="31"/>
        <v>0</v>
      </c>
      <c r="U96" s="604">
        <f t="shared" si="32"/>
        <v>0</v>
      </c>
      <c r="V96" s="604">
        <f t="shared" si="33"/>
        <v>0</v>
      </c>
      <c r="W96" s="604">
        <f t="shared" si="34"/>
        <v>0</v>
      </c>
      <c r="X96" s="746">
        <v>116.38700000000001</v>
      </c>
      <c r="Y96" s="746">
        <f t="shared" si="35"/>
        <v>0</v>
      </c>
    </row>
    <row r="97" spans="2:27">
      <c r="B97" s="598" t="s">
        <v>2595</v>
      </c>
      <c r="C97" s="604" t="s">
        <v>907</v>
      </c>
      <c r="D97" s="745">
        <v>2017</v>
      </c>
      <c r="E97" s="604" t="s">
        <v>905</v>
      </c>
      <c r="F97" s="738">
        <v>0.2</v>
      </c>
      <c r="G97" s="739">
        <v>407.16</v>
      </c>
      <c r="H97" s="741">
        <v>366.44</v>
      </c>
      <c r="I97" s="742">
        <f t="shared" si="40"/>
        <v>40.720000000000027</v>
      </c>
      <c r="J97" s="740">
        <f>IF(I97=0,0,G97*F97/2)</f>
        <v>40.716000000000008</v>
      </c>
      <c r="K97" s="739">
        <f t="shared" si="42"/>
        <v>407.15600000000001</v>
      </c>
      <c r="L97" s="835">
        <f t="shared" si="43"/>
        <v>4.0000000000190994E-3</v>
      </c>
      <c r="M97" s="740">
        <f>+IF(L97=0,0,G97*F97)-X97</f>
        <v>4.0000000000190994E-3</v>
      </c>
      <c r="N97" s="604">
        <f t="shared" si="25"/>
        <v>0</v>
      </c>
      <c r="O97" s="604">
        <f t="shared" si="26"/>
        <v>0</v>
      </c>
      <c r="P97" s="604">
        <f t="shared" si="27"/>
        <v>0</v>
      </c>
      <c r="Q97" s="604">
        <f t="shared" si="28"/>
        <v>0</v>
      </c>
      <c r="R97" s="604">
        <f t="shared" si="29"/>
        <v>0</v>
      </c>
      <c r="S97" s="604">
        <f t="shared" si="30"/>
        <v>0</v>
      </c>
      <c r="T97" s="604">
        <f t="shared" si="31"/>
        <v>0</v>
      </c>
      <c r="U97" s="604">
        <f t="shared" si="32"/>
        <v>0</v>
      </c>
      <c r="V97" s="604">
        <f t="shared" si="33"/>
        <v>0</v>
      </c>
      <c r="W97" s="604">
        <f t="shared" si="34"/>
        <v>0</v>
      </c>
      <c r="X97" s="746">
        <v>81.427999999999997</v>
      </c>
      <c r="Y97" s="746">
        <f t="shared" si="35"/>
        <v>0</v>
      </c>
    </row>
    <row r="98" spans="2:27">
      <c r="B98" s="598" t="s">
        <v>2595</v>
      </c>
      <c r="C98" s="604" t="s">
        <v>907</v>
      </c>
      <c r="D98" s="745">
        <v>2018</v>
      </c>
      <c r="E98" s="604" t="s">
        <v>1165</v>
      </c>
      <c r="F98" s="738">
        <v>0.2</v>
      </c>
      <c r="G98" s="739">
        <v>362.1</v>
      </c>
      <c r="H98" s="741">
        <v>253.47</v>
      </c>
      <c r="I98" s="742">
        <f t="shared" si="40"/>
        <v>108.63000000000002</v>
      </c>
      <c r="J98" s="740">
        <f>IF(I98=0,0,G98*F98)</f>
        <v>72.42</v>
      </c>
      <c r="K98" s="739">
        <f t="shared" si="42"/>
        <v>325.89</v>
      </c>
      <c r="L98" s="835">
        <f t="shared" si="43"/>
        <v>36.210000000000036</v>
      </c>
      <c r="M98" s="740">
        <f>+IF(L98=0,0,G98*F98)-X98</f>
        <v>36.210000000000036</v>
      </c>
      <c r="N98" s="604">
        <f t="shared" si="25"/>
        <v>0</v>
      </c>
      <c r="O98" s="604">
        <f t="shared" si="26"/>
        <v>0</v>
      </c>
      <c r="P98" s="604">
        <f t="shared" si="27"/>
        <v>0</v>
      </c>
      <c r="Q98" s="604">
        <f t="shared" si="28"/>
        <v>0</v>
      </c>
      <c r="R98" s="604">
        <f t="shared" si="29"/>
        <v>0</v>
      </c>
      <c r="S98" s="604">
        <f t="shared" si="30"/>
        <v>0</v>
      </c>
      <c r="T98" s="604">
        <f t="shared" si="31"/>
        <v>0</v>
      </c>
      <c r="U98" s="604">
        <f t="shared" si="32"/>
        <v>0</v>
      </c>
      <c r="V98" s="604">
        <f t="shared" si="33"/>
        <v>0</v>
      </c>
      <c r="W98" s="604">
        <f t="shared" si="34"/>
        <v>0</v>
      </c>
      <c r="X98" s="746">
        <v>36.209999999999965</v>
      </c>
      <c r="Y98" s="746">
        <f t="shared" si="35"/>
        <v>0</v>
      </c>
    </row>
    <row r="99" spans="2:27">
      <c r="B99" s="598" t="s">
        <v>2595</v>
      </c>
      <c r="C99" s="604" t="s">
        <v>907</v>
      </c>
      <c r="D99" s="745">
        <v>2021</v>
      </c>
      <c r="E99" s="604" t="s">
        <v>1166</v>
      </c>
      <c r="F99" s="738">
        <v>0.2</v>
      </c>
      <c r="G99" s="739">
        <v>880.51</v>
      </c>
      <c r="H99" s="741">
        <v>88.05</v>
      </c>
      <c r="I99" s="742">
        <f t="shared" si="40"/>
        <v>792.46</v>
      </c>
      <c r="J99" s="740">
        <f>IF(I99=0,0,G99*F99)</f>
        <v>176.102</v>
      </c>
      <c r="K99" s="739">
        <f t="shared" si="42"/>
        <v>264.15199999999999</v>
      </c>
      <c r="L99" s="835">
        <f t="shared" si="43"/>
        <v>616.35799999999995</v>
      </c>
      <c r="M99" s="740">
        <f t="shared" si="36"/>
        <v>176.102</v>
      </c>
      <c r="N99" s="604">
        <f t="shared" si="25"/>
        <v>176.102</v>
      </c>
      <c r="O99" s="604">
        <f t="shared" si="26"/>
        <v>176.102</v>
      </c>
      <c r="P99" s="604">
        <f>+IF(L99-SUM(M99:O99)&gt;0,G99*F99,0)-X99</f>
        <v>88.051999999999936</v>
      </c>
      <c r="Q99" s="604">
        <f t="shared" si="28"/>
        <v>0</v>
      </c>
      <c r="R99" s="604">
        <f t="shared" si="29"/>
        <v>0</v>
      </c>
      <c r="S99" s="604">
        <f t="shared" si="30"/>
        <v>0</v>
      </c>
      <c r="T99" s="604">
        <f t="shared" si="31"/>
        <v>0</v>
      </c>
      <c r="U99" s="604">
        <f t="shared" si="32"/>
        <v>0</v>
      </c>
      <c r="V99" s="604">
        <f t="shared" si="33"/>
        <v>0</v>
      </c>
      <c r="W99" s="604">
        <f t="shared" si="34"/>
        <v>0</v>
      </c>
      <c r="X99" s="746">
        <v>88.050000000000068</v>
      </c>
      <c r="Y99" s="746">
        <f t="shared" si="35"/>
        <v>0</v>
      </c>
    </row>
    <row r="100" spans="2:27">
      <c r="B100" s="598" t="s">
        <v>2595</v>
      </c>
      <c r="C100" s="604" t="s">
        <v>907</v>
      </c>
      <c r="D100" s="745">
        <v>2021</v>
      </c>
      <c r="E100" s="604" t="s">
        <v>1167</v>
      </c>
      <c r="F100" s="738">
        <v>0.2</v>
      </c>
      <c r="G100" s="739">
        <v>1248.52</v>
      </c>
      <c r="H100" s="741">
        <v>124.85</v>
      </c>
      <c r="I100" s="742">
        <f t="shared" si="40"/>
        <v>1123.67</v>
      </c>
      <c r="J100" s="740">
        <f>IF(I100=0,0,G100*F100)</f>
        <v>249.70400000000001</v>
      </c>
      <c r="K100" s="739">
        <f t="shared" si="42"/>
        <v>374.55399999999997</v>
      </c>
      <c r="L100" s="835">
        <f t="shared" si="43"/>
        <v>873.96600000000001</v>
      </c>
      <c r="M100" s="740">
        <f t="shared" si="36"/>
        <v>249.70400000000001</v>
      </c>
      <c r="N100" s="604">
        <f t="shared" si="25"/>
        <v>249.70400000000001</v>
      </c>
      <c r="O100" s="604">
        <f t="shared" si="26"/>
        <v>249.70400000000001</v>
      </c>
      <c r="P100" s="604">
        <f>+IF(L100-SUM(M100:O100)&gt;0,G100*F100,0)-X100</f>
        <v>124.85399999999998</v>
      </c>
      <c r="Q100" s="604">
        <f t="shared" si="28"/>
        <v>0</v>
      </c>
      <c r="R100" s="604">
        <f t="shared" si="29"/>
        <v>0</v>
      </c>
      <c r="S100" s="604">
        <f t="shared" si="30"/>
        <v>0</v>
      </c>
      <c r="T100" s="604">
        <f t="shared" si="31"/>
        <v>0</v>
      </c>
      <c r="U100" s="604">
        <f t="shared" si="32"/>
        <v>0</v>
      </c>
      <c r="V100" s="604">
        <f t="shared" si="33"/>
        <v>0</v>
      </c>
      <c r="W100" s="604">
        <f t="shared" si="34"/>
        <v>0</v>
      </c>
      <c r="X100" s="746">
        <v>124.85000000000002</v>
      </c>
      <c r="Y100" s="746">
        <f t="shared" si="35"/>
        <v>0</v>
      </c>
    </row>
    <row r="101" spans="2:27" ht="12.75" thickBot="1">
      <c r="B101" s="598" t="s">
        <v>2595</v>
      </c>
      <c r="C101" s="604" t="s">
        <v>907</v>
      </c>
      <c r="D101" s="745">
        <v>2018</v>
      </c>
      <c r="E101" s="604" t="s">
        <v>1168</v>
      </c>
      <c r="F101" s="738">
        <v>0.2</v>
      </c>
      <c r="G101" s="739">
        <v>3276.01</v>
      </c>
      <c r="H101" s="741">
        <v>2293.1999999999998</v>
      </c>
      <c r="I101" s="742">
        <f t="shared" si="40"/>
        <v>982.8100000000004</v>
      </c>
      <c r="J101" s="740">
        <f>IF(I101=0,0,G101*F101)</f>
        <v>655.20200000000011</v>
      </c>
      <c r="K101" s="739">
        <f t="shared" si="42"/>
        <v>2948.402</v>
      </c>
      <c r="L101" s="836">
        <f>+(G101-K101)*0</f>
        <v>0</v>
      </c>
      <c r="M101" s="740">
        <f>+IF(L101=0,0,G101*F101)</f>
        <v>0</v>
      </c>
      <c r="N101" s="604">
        <f t="shared" si="25"/>
        <v>0</v>
      </c>
      <c r="O101" s="604">
        <f t="shared" si="26"/>
        <v>0</v>
      </c>
      <c r="P101" s="604">
        <f t="shared" si="27"/>
        <v>0</v>
      </c>
      <c r="Q101" s="604">
        <f t="shared" si="28"/>
        <v>0</v>
      </c>
      <c r="R101" s="604">
        <f t="shared" si="29"/>
        <v>0</v>
      </c>
      <c r="S101" s="604">
        <f t="shared" si="30"/>
        <v>0</v>
      </c>
      <c r="T101" s="604">
        <f t="shared" si="31"/>
        <v>0</v>
      </c>
      <c r="U101" s="604">
        <f t="shared" si="32"/>
        <v>0</v>
      </c>
      <c r="V101" s="604">
        <f t="shared" si="33"/>
        <v>0</v>
      </c>
      <c r="W101" s="604">
        <f t="shared" si="34"/>
        <v>0</v>
      </c>
      <c r="X101" s="746">
        <v>327.59399999999994</v>
      </c>
      <c r="Y101" s="746">
        <f t="shared" si="35"/>
        <v>0</v>
      </c>
    </row>
    <row r="102" spans="2:27">
      <c r="B102" s="598" t="s">
        <v>2595</v>
      </c>
      <c r="C102" s="749" t="s">
        <v>2590</v>
      </c>
      <c r="D102" s="750">
        <v>2007</v>
      </c>
      <c r="E102" s="749" t="s">
        <v>1169</v>
      </c>
      <c r="F102" s="751"/>
      <c r="G102" s="752">
        <v>9500</v>
      </c>
      <c r="H102" s="753">
        <v>0</v>
      </c>
      <c r="I102" s="754">
        <f t="shared" ref="I102:I114" si="44">+G102-H102</f>
        <v>9500</v>
      </c>
      <c r="J102" s="755">
        <f t="shared" ref="J102:J114" si="45">IF(I102=0,0,G102*F102)</f>
        <v>0</v>
      </c>
      <c r="K102" s="752">
        <f t="shared" ref="K102:K114" si="46">+H102+J102</f>
        <v>0</v>
      </c>
      <c r="L102" s="837">
        <f t="shared" ref="L102:L114" si="47">+G102-K102</f>
        <v>9500</v>
      </c>
      <c r="M102" s="755">
        <f>+IF(L102=0,0,G102*F102)</f>
        <v>0</v>
      </c>
      <c r="N102" s="749">
        <f t="shared" si="25"/>
        <v>0</v>
      </c>
      <c r="O102" s="749">
        <f t="shared" si="26"/>
        <v>0</v>
      </c>
      <c r="P102" s="749">
        <f t="shared" si="27"/>
        <v>0</v>
      </c>
      <c r="Q102" s="749">
        <f t="shared" si="28"/>
        <v>0</v>
      </c>
      <c r="R102" s="749">
        <f t="shared" si="29"/>
        <v>0</v>
      </c>
      <c r="S102" s="749">
        <f t="shared" si="30"/>
        <v>0</v>
      </c>
      <c r="T102" s="749">
        <f t="shared" si="31"/>
        <v>0</v>
      </c>
      <c r="U102" s="749">
        <f t="shared" si="32"/>
        <v>0</v>
      </c>
      <c r="V102" s="749">
        <f t="shared" si="33"/>
        <v>0</v>
      </c>
      <c r="W102" s="749">
        <f t="shared" si="34"/>
        <v>0</v>
      </c>
      <c r="X102" s="746">
        <v>-9500</v>
      </c>
      <c r="Y102" s="831">
        <f>+SUM(M102:W102)-L102</f>
        <v>-9500</v>
      </c>
      <c r="Z102" s="598" t="s">
        <v>3473</v>
      </c>
    </row>
    <row r="103" spans="2:27">
      <c r="B103" s="598" t="s">
        <v>2595</v>
      </c>
      <c r="C103" s="749" t="s">
        <v>2590</v>
      </c>
      <c r="D103" s="750">
        <v>2007</v>
      </c>
      <c r="E103" s="749" t="s">
        <v>1169</v>
      </c>
      <c r="F103" s="751"/>
      <c r="G103" s="752">
        <v>10000</v>
      </c>
      <c r="H103" s="753">
        <v>0</v>
      </c>
      <c r="I103" s="754">
        <f t="shared" si="44"/>
        <v>10000</v>
      </c>
      <c r="J103" s="755">
        <f t="shared" si="45"/>
        <v>0</v>
      </c>
      <c r="K103" s="752">
        <f t="shared" si="46"/>
        <v>0</v>
      </c>
      <c r="L103" s="838">
        <f t="shared" si="47"/>
        <v>10000</v>
      </c>
      <c r="M103" s="755">
        <f t="shared" si="36"/>
        <v>0</v>
      </c>
      <c r="N103" s="749">
        <f t="shared" si="25"/>
        <v>0</v>
      </c>
      <c r="O103" s="749">
        <f t="shared" si="26"/>
        <v>0</v>
      </c>
      <c r="P103" s="749">
        <f t="shared" si="27"/>
        <v>0</v>
      </c>
      <c r="Q103" s="749">
        <f t="shared" si="28"/>
        <v>0</v>
      </c>
      <c r="R103" s="749">
        <f t="shared" si="29"/>
        <v>0</v>
      </c>
      <c r="S103" s="749">
        <f t="shared" si="30"/>
        <v>0</v>
      </c>
      <c r="T103" s="749">
        <f t="shared" si="31"/>
        <v>0</v>
      </c>
      <c r="U103" s="749">
        <f t="shared" si="32"/>
        <v>0</v>
      </c>
      <c r="V103" s="749">
        <f t="shared" si="33"/>
        <v>0</v>
      </c>
      <c r="W103" s="749">
        <f t="shared" si="34"/>
        <v>0</v>
      </c>
      <c r="X103" s="746">
        <v>-10000</v>
      </c>
      <c r="Y103" s="832">
        <f t="shared" si="35"/>
        <v>-10000</v>
      </c>
      <c r="Z103" s="746">
        <f>+SUM(L102:L114)</f>
        <v>80199.350000000006</v>
      </c>
    </row>
    <row r="104" spans="2:27">
      <c r="B104" s="598" t="s">
        <v>2595</v>
      </c>
      <c r="C104" s="749" t="s">
        <v>2590</v>
      </c>
      <c r="D104" s="750">
        <v>2007</v>
      </c>
      <c r="E104" s="749" t="s">
        <v>1169</v>
      </c>
      <c r="F104" s="751"/>
      <c r="G104" s="752">
        <v>6000</v>
      </c>
      <c r="H104" s="753">
        <v>0</v>
      </c>
      <c r="I104" s="754">
        <f t="shared" si="44"/>
        <v>6000</v>
      </c>
      <c r="J104" s="755">
        <f t="shared" si="45"/>
        <v>0</v>
      </c>
      <c r="K104" s="752">
        <f t="shared" si="46"/>
        <v>0</v>
      </c>
      <c r="L104" s="838">
        <f t="shared" si="47"/>
        <v>6000</v>
      </c>
      <c r="M104" s="755">
        <f t="shared" si="36"/>
        <v>0</v>
      </c>
      <c r="N104" s="749">
        <f t="shared" si="25"/>
        <v>0</v>
      </c>
      <c r="O104" s="749">
        <f t="shared" si="26"/>
        <v>0</v>
      </c>
      <c r="P104" s="749">
        <f t="shared" si="27"/>
        <v>0</v>
      </c>
      <c r="Q104" s="749">
        <f t="shared" si="28"/>
        <v>0</v>
      </c>
      <c r="R104" s="749">
        <f t="shared" si="29"/>
        <v>0</v>
      </c>
      <c r="S104" s="749">
        <f t="shared" si="30"/>
        <v>0</v>
      </c>
      <c r="T104" s="749">
        <f t="shared" si="31"/>
        <v>0</v>
      </c>
      <c r="U104" s="749">
        <f t="shared" si="32"/>
        <v>0</v>
      </c>
      <c r="V104" s="749">
        <f t="shared" si="33"/>
        <v>0</v>
      </c>
      <c r="W104" s="749">
        <f t="shared" si="34"/>
        <v>0</v>
      </c>
      <c r="X104" s="746">
        <v>-6000</v>
      </c>
      <c r="Y104" s="832">
        <f t="shared" si="35"/>
        <v>-6000</v>
      </c>
      <c r="Z104" s="746">
        <f>+Z103-BdV!I22</f>
        <v>0</v>
      </c>
      <c r="AA104" s="840" t="s">
        <v>363</v>
      </c>
    </row>
    <row r="105" spans="2:27">
      <c r="B105" s="598" t="s">
        <v>2595</v>
      </c>
      <c r="C105" s="749" t="s">
        <v>2590</v>
      </c>
      <c r="D105" s="750">
        <v>2007</v>
      </c>
      <c r="E105" s="749" t="s">
        <v>1169</v>
      </c>
      <c r="F105" s="751"/>
      <c r="G105" s="752">
        <v>2000</v>
      </c>
      <c r="H105" s="753">
        <v>0</v>
      </c>
      <c r="I105" s="754">
        <f t="shared" si="44"/>
        <v>2000</v>
      </c>
      <c r="J105" s="755">
        <f t="shared" si="45"/>
        <v>0</v>
      </c>
      <c r="K105" s="752">
        <f t="shared" si="46"/>
        <v>0</v>
      </c>
      <c r="L105" s="838">
        <f t="shared" si="47"/>
        <v>2000</v>
      </c>
      <c r="M105" s="755">
        <f t="shared" si="36"/>
        <v>0</v>
      </c>
      <c r="N105" s="749">
        <f t="shared" si="25"/>
        <v>0</v>
      </c>
      <c r="O105" s="749">
        <f t="shared" si="26"/>
        <v>0</v>
      </c>
      <c r="P105" s="749">
        <f t="shared" si="27"/>
        <v>0</v>
      </c>
      <c r="Q105" s="749">
        <f t="shared" si="28"/>
        <v>0</v>
      </c>
      <c r="R105" s="749">
        <f t="shared" si="29"/>
        <v>0</v>
      </c>
      <c r="S105" s="749">
        <f t="shared" si="30"/>
        <v>0</v>
      </c>
      <c r="T105" s="749">
        <f t="shared" si="31"/>
        <v>0</v>
      </c>
      <c r="U105" s="749">
        <f t="shared" si="32"/>
        <v>0</v>
      </c>
      <c r="V105" s="749">
        <f t="shared" si="33"/>
        <v>0</v>
      </c>
      <c r="W105" s="749">
        <f t="shared" si="34"/>
        <v>0</v>
      </c>
      <c r="X105" s="746">
        <v>-2000</v>
      </c>
      <c r="Y105" s="832">
        <f t="shared" si="35"/>
        <v>-2000</v>
      </c>
    </row>
    <row r="106" spans="2:27">
      <c r="B106" s="598" t="s">
        <v>2595</v>
      </c>
      <c r="C106" s="749" t="s">
        <v>2590</v>
      </c>
      <c r="D106" s="750">
        <v>2011</v>
      </c>
      <c r="E106" s="749" t="s">
        <v>1170</v>
      </c>
      <c r="F106" s="751"/>
      <c r="G106" s="752">
        <v>1020</v>
      </c>
      <c r="H106" s="753">
        <v>0</v>
      </c>
      <c r="I106" s="754">
        <f t="shared" si="44"/>
        <v>1020</v>
      </c>
      <c r="J106" s="755">
        <f t="shared" si="45"/>
        <v>0</v>
      </c>
      <c r="K106" s="752">
        <f t="shared" si="46"/>
        <v>0</v>
      </c>
      <c r="L106" s="838">
        <f t="shared" si="47"/>
        <v>1020</v>
      </c>
      <c r="M106" s="755">
        <f t="shared" si="36"/>
        <v>0</v>
      </c>
      <c r="N106" s="749">
        <f t="shared" si="25"/>
        <v>0</v>
      </c>
      <c r="O106" s="749">
        <f t="shared" si="26"/>
        <v>0</v>
      </c>
      <c r="P106" s="749">
        <f t="shared" si="27"/>
        <v>0</v>
      </c>
      <c r="Q106" s="749">
        <f t="shared" si="28"/>
        <v>0</v>
      </c>
      <c r="R106" s="749">
        <f t="shared" si="29"/>
        <v>0</v>
      </c>
      <c r="S106" s="749">
        <f t="shared" si="30"/>
        <v>0</v>
      </c>
      <c r="T106" s="749">
        <f t="shared" si="31"/>
        <v>0</v>
      </c>
      <c r="U106" s="749">
        <f t="shared" si="32"/>
        <v>0</v>
      </c>
      <c r="V106" s="749">
        <f t="shared" si="33"/>
        <v>0</v>
      </c>
      <c r="W106" s="749">
        <f t="shared" si="34"/>
        <v>0</v>
      </c>
      <c r="X106" s="746">
        <v>-1020</v>
      </c>
      <c r="Y106" s="832">
        <f t="shared" si="35"/>
        <v>-1020</v>
      </c>
    </row>
    <row r="107" spans="2:27">
      <c r="B107" s="598" t="s">
        <v>2595</v>
      </c>
      <c r="C107" s="749" t="s">
        <v>2590</v>
      </c>
      <c r="D107" s="750">
        <v>2014</v>
      </c>
      <c r="E107" s="749" t="s">
        <v>1171</v>
      </c>
      <c r="F107" s="751"/>
      <c r="G107" s="752">
        <v>3120</v>
      </c>
      <c r="H107" s="753">
        <v>0</v>
      </c>
      <c r="I107" s="754">
        <f t="shared" si="44"/>
        <v>3120</v>
      </c>
      <c r="J107" s="755">
        <f t="shared" si="45"/>
        <v>0</v>
      </c>
      <c r="K107" s="752">
        <f t="shared" si="46"/>
        <v>0</v>
      </c>
      <c r="L107" s="838">
        <f t="shared" si="47"/>
        <v>3120</v>
      </c>
      <c r="M107" s="755">
        <f t="shared" si="36"/>
        <v>0</v>
      </c>
      <c r="N107" s="749">
        <f t="shared" si="25"/>
        <v>0</v>
      </c>
      <c r="O107" s="749">
        <f t="shared" si="26"/>
        <v>0</v>
      </c>
      <c r="P107" s="749">
        <f t="shared" si="27"/>
        <v>0</v>
      </c>
      <c r="Q107" s="749">
        <f t="shared" si="28"/>
        <v>0</v>
      </c>
      <c r="R107" s="749">
        <f t="shared" si="29"/>
        <v>0</v>
      </c>
      <c r="S107" s="749">
        <f t="shared" si="30"/>
        <v>0</v>
      </c>
      <c r="T107" s="749">
        <f t="shared" si="31"/>
        <v>0</v>
      </c>
      <c r="U107" s="749">
        <f t="shared" si="32"/>
        <v>0</v>
      </c>
      <c r="V107" s="749">
        <f t="shared" si="33"/>
        <v>0</v>
      </c>
      <c r="W107" s="749">
        <f t="shared" si="34"/>
        <v>0</v>
      </c>
      <c r="X107" s="746">
        <v>-3120</v>
      </c>
      <c r="Y107" s="832">
        <f t="shared" si="35"/>
        <v>-3120</v>
      </c>
    </row>
    <row r="108" spans="2:27">
      <c r="B108" s="598" t="s">
        <v>2595</v>
      </c>
      <c r="C108" s="749" t="s">
        <v>2590</v>
      </c>
      <c r="D108" s="750">
        <v>2014</v>
      </c>
      <c r="E108" s="749"/>
      <c r="F108" s="751"/>
      <c r="G108" s="752">
        <v>3120</v>
      </c>
      <c r="H108" s="753">
        <v>0</v>
      </c>
      <c r="I108" s="754">
        <f t="shared" si="44"/>
        <v>3120</v>
      </c>
      <c r="J108" s="755">
        <f t="shared" si="45"/>
        <v>0</v>
      </c>
      <c r="K108" s="752">
        <f t="shared" si="46"/>
        <v>0</v>
      </c>
      <c r="L108" s="838">
        <f t="shared" si="47"/>
        <v>3120</v>
      </c>
      <c r="M108" s="755">
        <f t="shared" si="36"/>
        <v>0</v>
      </c>
      <c r="N108" s="749">
        <f t="shared" si="25"/>
        <v>0</v>
      </c>
      <c r="O108" s="749">
        <f t="shared" si="26"/>
        <v>0</v>
      </c>
      <c r="P108" s="749">
        <f t="shared" si="27"/>
        <v>0</v>
      </c>
      <c r="Q108" s="749">
        <f t="shared" si="28"/>
        <v>0</v>
      </c>
      <c r="R108" s="749">
        <f t="shared" si="29"/>
        <v>0</v>
      </c>
      <c r="S108" s="749">
        <f t="shared" si="30"/>
        <v>0</v>
      </c>
      <c r="T108" s="749">
        <f t="shared" si="31"/>
        <v>0</v>
      </c>
      <c r="U108" s="749">
        <f t="shared" si="32"/>
        <v>0</v>
      </c>
      <c r="V108" s="749">
        <f t="shared" si="33"/>
        <v>0</v>
      </c>
      <c r="W108" s="749">
        <f t="shared" si="34"/>
        <v>0</v>
      </c>
      <c r="X108" s="746">
        <v>-3120</v>
      </c>
      <c r="Y108" s="832">
        <f t="shared" si="35"/>
        <v>-3120</v>
      </c>
    </row>
    <row r="109" spans="2:27">
      <c r="B109" s="598" t="s">
        <v>2595</v>
      </c>
      <c r="C109" s="749" t="s">
        <v>2590</v>
      </c>
      <c r="D109" s="750">
        <v>2014</v>
      </c>
      <c r="E109" s="749" t="s">
        <v>1172</v>
      </c>
      <c r="F109" s="751"/>
      <c r="G109" s="752">
        <v>12000</v>
      </c>
      <c r="H109" s="753">
        <v>0</v>
      </c>
      <c r="I109" s="754">
        <f t="shared" si="44"/>
        <v>12000</v>
      </c>
      <c r="J109" s="755">
        <f t="shared" si="45"/>
        <v>0</v>
      </c>
      <c r="K109" s="752">
        <f t="shared" si="46"/>
        <v>0</v>
      </c>
      <c r="L109" s="838">
        <f t="shared" si="47"/>
        <v>12000</v>
      </c>
      <c r="M109" s="755">
        <f t="shared" si="36"/>
        <v>0</v>
      </c>
      <c r="N109" s="749">
        <f t="shared" si="25"/>
        <v>0</v>
      </c>
      <c r="O109" s="749">
        <f t="shared" si="26"/>
        <v>0</v>
      </c>
      <c r="P109" s="749">
        <f t="shared" si="27"/>
        <v>0</v>
      </c>
      <c r="Q109" s="749">
        <f t="shared" si="28"/>
        <v>0</v>
      </c>
      <c r="R109" s="749">
        <f t="shared" si="29"/>
        <v>0</v>
      </c>
      <c r="S109" s="749">
        <f t="shared" si="30"/>
        <v>0</v>
      </c>
      <c r="T109" s="749">
        <f t="shared" si="31"/>
        <v>0</v>
      </c>
      <c r="U109" s="749">
        <f t="shared" si="32"/>
        <v>0</v>
      </c>
      <c r="V109" s="749">
        <f t="shared" si="33"/>
        <v>0</v>
      </c>
      <c r="W109" s="749">
        <f t="shared" si="34"/>
        <v>0</v>
      </c>
      <c r="X109" s="746">
        <v>-12000</v>
      </c>
      <c r="Y109" s="832">
        <f t="shared" si="35"/>
        <v>-12000</v>
      </c>
    </row>
    <row r="110" spans="2:27">
      <c r="B110" s="598" t="s">
        <v>2595</v>
      </c>
      <c r="C110" s="749" t="s">
        <v>2590</v>
      </c>
      <c r="D110" s="750">
        <v>2014</v>
      </c>
      <c r="E110" s="749"/>
      <c r="F110" s="751"/>
      <c r="G110" s="752">
        <v>9000</v>
      </c>
      <c r="H110" s="753">
        <v>0</v>
      </c>
      <c r="I110" s="754">
        <f t="shared" si="44"/>
        <v>9000</v>
      </c>
      <c r="J110" s="755">
        <f t="shared" si="45"/>
        <v>0</v>
      </c>
      <c r="K110" s="752">
        <f t="shared" si="46"/>
        <v>0</v>
      </c>
      <c r="L110" s="838">
        <f t="shared" si="47"/>
        <v>9000</v>
      </c>
      <c r="M110" s="755">
        <f t="shared" si="36"/>
        <v>0</v>
      </c>
      <c r="N110" s="749">
        <f t="shared" si="25"/>
        <v>0</v>
      </c>
      <c r="O110" s="749">
        <f t="shared" si="26"/>
        <v>0</v>
      </c>
      <c r="P110" s="749">
        <f t="shared" si="27"/>
        <v>0</v>
      </c>
      <c r="Q110" s="749">
        <f t="shared" si="28"/>
        <v>0</v>
      </c>
      <c r="R110" s="749">
        <f t="shared" si="29"/>
        <v>0</v>
      </c>
      <c r="S110" s="749">
        <f t="shared" si="30"/>
        <v>0</v>
      </c>
      <c r="T110" s="749">
        <f t="shared" si="31"/>
        <v>0</v>
      </c>
      <c r="U110" s="749">
        <f t="shared" si="32"/>
        <v>0</v>
      </c>
      <c r="V110" s="749">
        <f t="shared" si="33"/>
        <v>0</v>
      </c>
      <c r="W110" s="749">
        <f t="shared" si="34"/>
        <v>0</v>
      </c>
      <c r="X110" s="746">
        <v>-9000</v>
      </c>
      <c r="Y110" s="832">
        <f t="shared" si="35"/>
        <v>-9000</v>
      </c>
    </row>
    <row r="111" spans="2:27">
      <c r="B111" s="598" t="s">
        <v>2595</v>
      </c>
      <c r="C111" s="749" t="s">
        <v>2590</v>
      </c>
      <c r="D111" s="750">
        <v>2014</v>
      </c>
      <c r="E111" s="749"/>
      <c r="F111" s="751"/>
      <c r="G111" s="752">
        <v>1639.35</v>
      </c>
      <c r="H111" s="753">
        <v>0</v>
      </c>
      <c r="I111" s="754">
        <f t="shared" si="44"/>
        <v>1639.35</v>
      </c>
      <c r="J111" s="755">
        <f t="shared" si="45"/>
        <v>0</v>
      </c>
      <c r="K111" s="752">
        <f t="shared" si="46"/>
        <v>0</v>
      </c>
      <c r="L111" s="838">
        <f t="shared" si="47"/>
        <v>1639.35</v>
      </c>
      <c r="M111" s="755">
        <f t="shared" si="36"/>
        <v>0</v>
      </c>
      <c r="N111" s="749">
        <f t="shared" si="25"/>
        <v>0</v>
      </c>
      <c r="O111" s="749">
        <f t="shared" si="26"/>
        <v>0</v>
      </c>
      <c r="P111" s="749">
        <f t="shared" si="27"/>
        <v>0</v>
      </c>
      <c r="Q111" s="749">
        <f t="shared" si="28"/>
        <v>0</v>
      </c>
      <c r="R111" s="749">
        <f t="shared" si="29"/>
        <v>0</v>
      </c>
      <c r="S111" s="749">
        <f t="shared" si="30"/>
        <v>0</v>
      </c>
      <c r="T111" s="749">
        <f t="shared" si="31"/>
        <v>0</v>
      </c>
      <c r="U111" s="749">
        <f t="shared" si="32"/>
        <v>0</v>
      </c>
      <c r="V111" s="749">
        <f t="shared" si="33"/>
        <v>0</v>
      </c>
      <c r="W111" s="749">
        <f t="shared" si="34"/>
        <v>0</v>
      </c>
      <c r="X111" s="746">
        <v>-1639.35</v>
      </c>
      <c r="Y111" s="832">
        <f t="shared" si="35"/>
        <v>-1639.35</v>
      </c>
    </row>
    <row r="112" spans="2:27">
      <c r="B112" s="598" t="s">
        <v>2595</v>
      </c>
      <c r="C112" s="749" t="s">
        <v>2590</v>
      </c>
      <c r="D112" s="750">
        <v>2015</v>
      </c>
      <c r="E112" s="749" t="s">
        <v>1173</v>
      </c>
      <c r="F112" s="751"/>
      <c r="G112" s="752">
        <v>10000</v>
      </c>
      <c r="H112" s="753">
        <v>0</v>
      </c>
      <c r="I112" s="754">
        <f t="shared" si="44"/>
        <v>10000</v>
      </c>
      <c r="J112" s="755">
        <f t="shared" si="45"/>
        <v>0</v>
      </c>
      <c r="K112" s="752">
        <f t="shared" si="46"/>
        <v>0</v>
      </c>
      <c r="L112" s="838">
        <f t="shared" si="47"/>
        <v>10000</v>
      </c>
      <c r="M112" s="755">
        <f t="shared" si="36"/>
        <v>0</v>
      </c>
      <c r="N112" s="749">
        <f t="shared" si="25"/>
        <v>0</v>
      </c>
      <c r="O112" s="749">
        <f t="shared" si="26"/>
        <v>0</v>
      </c>
      <c r="P112" s="749">
        <f t="shared" si="27"/>
        <v>0</v>
      </c>
      <c r="Q112" s="749">
        <f t="shared" si="28"/>
        <v>0</v>
      </c>
      <c r="R112" s="749">
        <f t="shared" si="29"/>
        <v>0</v>
      </c>
      <c r="S112" s="749">
        <f t="shared" si="30"/>
        <v>0</v>
      </c>
      <c r="T112" s="749">
        <f t="shared" si="31"/>
        <v>0</v>
      </c>
      <c r="U112" s="749">
        <f t="shared" si="32"/>
        <v>0</v>
      </c>
      <c r="V112" s="749">
        <f t="shared" si="33"/>
        <v>0</v>
      </c>
      <c r="W112" s="749">
        <f t="shared" si="34"/>
        <v>0</v>
      </c>
      <c r="X112" s="746">
        <v>-10000</v>
      </c>
      <c r="Y112" s="832">
        <f t="shared" si="35"/>
        <v>-10000</v>
      </c>
    </row>
    <row r="113" spans="2:27">
      <c r="B113" s="598" t="s">
        <v>2595</v>
      </c>
      <c r="C113" s="749" t="s">
        <v>2590</v>
      </c>
      <c r="D113" s="750">
        <v>2015</v>
      </c>
      <c r="E113" s="749"/>
      <c r="F113" s="751"/>
      <c r="G113" s="752">
        <v>10800</v>
      </c>
      <c r="H113" s="753">
        <v>0</v>
      </c>
      <c r="I113" s="754">
        <f t="shared" si="44"/>
        <v>10800</v>
      </c>
      <c r="J113" s="755">
        <f t="shared" si="45"/>
        <v>0</v>
      </c>
      <c r="K113" s="752">
        <f t="shared" si="46"/>
        <v>0</v>
      </c>
      <c r="L113" s="838">
        <f t="shared" si="47"/>
        <v>10800</v>
      </c>
      <c r="M113" s="755">
        <f t="shared" si="36"/>
        <v>0</v>
      </c>
      <c r="N113" s="749">
        <f t="shared" si="25"/>
        <v>0</v>
      </c>
      <c r="O113" s="749">
        <f t="shared" si="26"/>
        <v>0</v>
      </c>
      <c r="P113" s="749">
        <f t="shared" si="27"/>
        <v>0</v>
      </c>
      <c r="Q113" s="749">
        <f t="shared" si="28"/>
        <v>0</v>
      </c>
      <c r="R113" s="749">
        <f t="shared" si="29"/>
        <v>0</v>
      </c>
      <c r="S113" s="749">
        <f t="shared" si="30"/>
        <v>0</v>
      </c>
      <c r="T113" s="749">
        <f t="shared" si="31"/>
        <v>0</v>
      </c>
      <c r="U113" s="749">
        <f t="shared" si="32"/>
        <v>0</v>
      </c>
      <c r="V113" s="749">
        <f t="shared" si="33"/>
        <v>0</v>
      </c>
      <c r="W113" s="749">
        <f t="shared" si="34"/>
        <v>0</v>
      </c>
      <c r="X113" s="746">
        <v>-10800</v>
      </c>
      <c r="Y113" s="832">
        <f t="shared" si="35"/>
        <v>-10800</v>
      </c>
    </row>
    <row r="114" spans="2:27" ht="12.75" thickBot="1">
      <c r="B114" s="598" t="s">
        <v>2595</v>
      </c>
      <c r="C114" s="749" t="s">
        <v>2590</v>
      </c>
      <c r="D114" s="750">
        <v>2015</v>
      </c>
      <c r="E114" s="749" t="s">
        <v>1174</v>
      </c>
      <c r="F114" s="751"/>
      <c r="G114" s="752">
        <v>2000</v>
      </c>
      <c r="H114" s="753">
        <v>0</v>
      </c>
      <c r="I114" s="754">
        <f t="shared" si="44"/>
        <v>2000</v>
      </c>
      <c r="J114" s="755">
        <f t="shared" si="45"/>
        <v>0</v>
      </c>
      <c r="K114" s="752">
        <f t="shared" si="46"/>
        <v>0</v>
      </c>
      <c r="L114" s="839">
        <f t="shared" si="47"/>
        <v>2000</v>
      </c>
      <c r="M114" s="755">
        <f t="shared" si="36"/>
        <v>0</v>
      </c>
      <c r="N114" s="749">
        <f t="shared" si="25"/>
        <v>0</v>
      </c>
      <c r="O114" s="749">
        <f t="shared" si="26"/>
        <v>0</v>
      </c>
      <c r="P114" s="749">
        <f t="shared" si="27"/>
        <v>0</v>
      </c>
      <c r="Q114" s="749">
        <f t="shared" si="28"/>
        <v>0</v>
      </c>
      <c r="R114" s="749">
        <f t="shared" si="29"/>
        <v>0</v>
      </c>
      <c r="S114" s="749">
        <f t="shared" si="30"/>
        <v>0</v>
      </c>
      <c r="T114" s="749">
        <f t="shared" si="31"/>
        <v>0</v>
      </c>
      <c r="U114" s="749">
        <f t="shared" si="32"/>
        <v>0</v>
      </c>
      <c r="V114" s="749">
        <f t="shared" si="33"/>
        <v>0</v>
      </c>
      <c r="W114" s="749">
        <f t="shared" si="34"/>
        <v>0</v>
      </c>
      <c r="X114" s="746">
        <v>-2000</v>
      </c>
      <c r="Y114" s="833">
        <f t="shared" si="35"/>
        <v>-2000</v>
      </c>
    </row>
    <row r="115" spans="2:27">
      <c r="B115" s="598" t="s">
        <v>2595</v>
      </c>
      <c r="C115" s="604" t="s">
        <v>2591</v>
      </c>
      <c r="D115" s="745">
        <v>2013</v>
      </c>
      <c r="E115" s="604" t="s">
        <v>1175</v>
      </c>
      <c r="F115" s="738"/>
      <c r="G115" s="739">
        <v>2770.78</v>
      </c>
      <c r="H115" s="741"/>
      <c r="I115" s="742">
        <f t="shared" ref="I115:I124" si="48">+G115-H115</f>
        <v>2770.78</v>
      </c>
      <c r="J115" s="740">
        <f t="shared" ref="J115:J126" si="49">IF(I115=0,0,G115*F115)</f>
        <v>0</v>
      </c>
      <c r="K115" s="739">
        <f t="shared" ref="K115:K125" si="50">+H115+J115</f>
        <v>0</v>
      </c>
      <c r="L115" s="841">
        <f t="shared" ref="L115:L125" si="51">+G115-K115</f>
        <v>2770.78</v>
      </c>
      <c r="M115" s="740">
        <f t="shared" si="36"/>
        <v>0</v>
      </c>
      <c r="N115" s="604">
        <f t="shared" si="25"/>
        <v>0</v>
      </c>
      <c r="O115" s="604">
        <f t="shared" si="26"/>
        <v>0</v>
      </c>
      <c r="P115" s="604">
        <f t="shared" si="27"/>
        <v>0</v>
      </c>
      <c r="Q115" s="604">
        <f t="shared" si="28"/>
        <v>0</v>
      </c>
      <c r="R115" s="604">
        <f t="shared" si="29"/>
        <v>0</v>
      </c>
      <c r="S115" s="604">
        <f t="shared" si="30"/>
        <v>0</v>
      </c>
      <c r="T115" s="604">
        <f t="shared" si="31"/>
        <v>0</v>
      </c>
      <c r="U115" s="604">
        <f t="shared" si="32"/>
        <v>0</v>
      </c>
      <c r="V115" s="604">
        <f t="shared" si="33"/>
        <v>0</v>
      </c>
      <c r="W115" s="604">
        <f t="shared" si="34"/>
        <v>0</v>
      </c>
      <c r="X115" s="746">
        <v>-2770.78</v>
      </c>
      <c r="Y115" s="831">
        <f t="shared" si="35"/>
        <v>-2770.78</v>
      </c>
      <c r="Z115" s="746">
        <f>+SUM(L115:L116)</f>
        <v>19835.849999999999</v>
      </c>
    </row>
    <row r="116" spans="2:27" ht="12.75" thickBot="1">
      <c r="B116" s="598" t="s">
        <v>2595</v>
      </c>
      <c r="C116" s="604" t="s">
        <v>2591</v>
      </c>
      <c r="D116" s="745">
        <v>2013</v>
      </c>
      <c r="E116" s="604"/>
      <c r="F116" s="738"/>
      <c r="G116" s="739">
        <v>17065.07</v>
      </c>
      <c r="H116" s="741"/>
      <c r="I116" s="742">
        <f t="shared" si="48"/>
        <v>17065.07</v>
      </c>
      <c r="J116" s="740">
        <f t="shared" si="49"/>
        <v>0</v>
      </c>
      <c r="K116" s="739">
        <f t="shared" si="50"/>
        <v>0</v>
      </c>
      <c r="L116" s="842">
        <f t="shared" si="51"/>
        <v>17065.07</v>
      </c>
      <c r="M116" s="740">
        <f t="shared" si="36"/>
        <v>0</v>
      </c>
      <c r="N116" s="604">
        <f t="shared" si="25"/>
        <v>0</v>
      </c>
      <c r="O116" s="604">
        <f t="shared" si="26"/>
        <v>0</v>
      </c>
      <c r="P116" s="604">
        <f t="shared" si="27"/>
        <v>0</v>
      </c>
      <c r="Q116" s="604">
        <f t="shared" si="28"/>
        <v>0</v>
      </c>
      <c r="R116" s="604">
        <f t="shared" si="29"/>
        <v>0</v>
      </c>
      <c r="S116" s="604">
        <f t="shared" si="30"/>
        <v>0</v>
      </c>
      <c r="T116" s="604">
        <f t="shared" si="31"/>
        <v>0</v>
      </c>
      <c r="U116" s="604">
        <f t="shared" si="32"/>
        <v>0</v>
      </c>
      <c r="V116" s="604">
        <f t="shared" si="33"/>
        <v>0</v>
      </c>
      <c r="W116" s="604">
        <f t="shared" si="34"/>
        <v>0</v>
      </c>
      <c r="X116" s="746">
        <v>-17065.07</v>
      </c>
      <c r="Y116" s="833">
        <f t="shared" si="35"/>
        <v>-17065.07</v>
      </c>
      <c r="Z116" s="746">
        <f>+Z115-BdV!I20</f>
        <v>0</v>
      </c>
      <c r="AA116" s="598" t="s">
        <v>363</v>
      </c>
    </row>
    <row r="117" spans="2:27">
      <c r="B117" s="598" t="s">
        <v>2595</v>
      </c>
      <c r="C117" s="604" t="s">
        <v>2591</v>
      </c>
      <c r="D117" s="745">
        <v>2015</v>
      </c>
      <c r="E117" s="604" t="s">
        <v>1176</v>
      </c>
      <c r="F117" s="738"/>
      <c r="G117" s="739">
        <v>33000</v>
      </c>
      <c r="H117" s="741"/>
      <c r="I117" s="742">
        <f t="shared" si="48"/>
        <v>33000</v>
      </c>
      <c r="J117" s="740">
        <f t="shared" si="49"/>
        <v>0</v>
      </c>
      <c r="K117" s="739">
        <f t="shared" si="50"/>
        <v>0</v>
      </c>
      <c r="L117" s="834">
        <f t="shared" si="51"/>
        <v>33000</v>
      </c>
      <c r="M117" s="740">
        <f t="shared" si="36"/>
        <v>0</v>
      </c>
      <c r="N117" s="604">
        <f t="shared" si="25"/>
        <v>0</v>
      </c>
      <c r="O117" s="604">
        <f t="shared" si="26"/>
        <v>0</v>
      </c>
      <c r="P117" s="604">
        <f t="shared" si="27"/>
        <v>0</v>
      </c>
      <c r="Q117" s="604">
        <f t="shared" si="28"/>
        <v>0</v>
      </c>
      <c r="R117" s="604">
        <f t="shared" si="29"/>
        <v>0</v>
      </c>
      <c r="S117" s="604">
        <f t="shared" si="30"/>
        <v>0</v>
      </c>
      <c r="T117" s="604">
        <f t="shared" si="31"/>
        <v>0</v>
      </c>
      <c r="U117" s="604">
        <f t="shared" si="32"/>
        <v>0</v>
      </c>
      <c r="V117" s="604">
        <f t="shared" si="33"/>
        <v>0</v>
      </c>
      <c r="W117" s="604">
        <f t="shared" si="34"/>
        <v>0</v>
      </c>
      <c r="X117" s="746">
        <v>-33000</v>
      </c>
      <c r="Y117" s="831">
        <f t="shared" si="35"/>
        <v>-33000</v>
      </c>
      <c r="Z117" s="598" t="s">
        <v>3472</v>
      </c>
    </row>
    <row r="118" spans="2:27">
      <c r="B118" s="598" t="s">
        <v>2595</v>
      </c>
      <c r="C118" s="604" t="s">
        <v>2591</v>
      </c>
      <c r="D118" s="745">
        <v>2016</v>
      </c>
      <c r="E118" s="604"/>
      <c r="F118" s="738"/>
      <c r="G118" s="739">
        <v>33421.300000000003</v>
      </c>
      <c r="H118" s="741"/>
      <c r="I118" s="742">
        <f t="shared" si="48"/>
        <v>33421.300000000003</v>
      </c>
      <c r="J118" s="740">
        <f t="shared" si="49"/>
        <v>0</v>
      </c>
      <c r="K118" s="739">
        <f t="shared" si="50"/>
        <v>0</v>
      </c>
      <c r="L118" s="835">
        <f t="shared" si="51"/>
        <v>33421.300000000003</v>
      </c>
      <c r="M118" s="740">
        <f t="shared" si="36"/>
        <v>0</v>
      </c>
      <c r="N118" s="604">
        <f t="shared" si="25"/>
        <v>0</v>
      </c>
      <c r="O118" s="604">
        <f t="shared" si="26"/>
        <v>0</v>
      </c>
      <c r="P118" s="604">
        <f t="shared" si="27"/>
        <v>0</v>
      </c>
      <c r="Q118" s="604">
        <f t="shared" si="28"/>
        <v>0</v>
      </c>
      <c r="R118" s="604">
        <f t="shared" si="29"/>
        <v>0</v>
      </c>
      <c r="S118" s="604">
        <f t="shared" si="30"/>
        <v>0</v>
      </c>
      <c r="T118" s="604">
        <f t="shared" si="31"/>
        <v>0</v>
      </c>
      <c r="U118" s="604">
        <f t="shared" si="32"/>
        <v>0</v>
      </c>
      <c r="V118" s="604">
        <f t="shared" si="33"/>
        <v>0</v>
      </c>
      <c r="W118" s="604">
        <f t="shared" si="34"/>
        <v>0</v>
      </c>
      <c r="X118" s="746">
        <v>-33421.300000000003</v>
      </c>
      <c r="Y118" s="832">
        <f t="shared" si="35"/>
        <v>-33421.300000000003</v>
      </c>
      <c r="Z118" s="746">
        <f>+SUM(L117:L125)</f>
        <v>0</v>
      </c>
      <c r="AA118" s="598" t="s">
        <v>363</v>
      </c>
    </row>
    <row r="119" spans="2:27">
      <c r="B119" s="598" t="s">
        <v>2595</v>
      </c>
      <c r="C119" s="604" t="s">
        <v>2591</v>
      </c>
      <c r="D119" s="745">
        <v>2016</v>
      </c>
      <c r="E119" s="604"/>
      <c r="F119" s="738"/>
      <c r="G119" s="739">
        <v>19497.099999999999</v>
      </c>
      <c r="H119" s="741"/>
      <c r="I119" s="742">
        <f t="shared" si="48"/>
        <v>19497.099999999999</v>
      </c>
      <c r="J119" s="740">
        <f t="shared" si="49"/>
        <v>0</v>
      </c>
      <c r="K119" s="739">
        <f t="shared" si="50"/>
        <v>0</v>
      </c>
      <c r="L119" s="835">
        <f t="shared" si="51"/>
        <v>19497.099999999999</v>
      </c>
      <c r="M119" s="740">
        <f t="shared" si="36"/>
        <v>0</v>
      </c>
      <c r="N119" s="604">
        <f t="shared" si="25"/>
        <v>0</v>
      </c>
      <c r="O119" s="604">
        <f t="shared" si="26"/>
        <v>0</v>
      </c>
      <c r="P119" s="604">
        <f t="shared" si="27"/>
        <v>0</v>
      </c>
      <c r="Q119" s="604">
        <f t="shared" si="28"/>
        <v>0</v>
      </c>
      <c r="R119" s="604">
        <f t="shared" si="29"/>
        <v>0</v>
      </c>
      <c r="S119" s="604">
        <f t="shared" si="30"/>
        <v>0</v>
      </c>
      <c r="T119" s="604">
        <f t="shared" si="31"/>
        <v>0</v>
      </c>
      <c r="U119" s="604">
        <f t="shared" si="32"/>
        <v>0</v>
      </c>
      <c r="V119" s="604">
        <f t="shared" si="33"/>
        <v>0</v>
      </c>
      <c r="W119" s="604">
        <f t="shared" si="34"/>
        <v>0</v>
      </c>
      <c r="X119" s="746">
        <v>-19497.099999999999</v>
      </c>
      <c r="Y119" s="832">
        <f t="shared" si="35"/>
        <v>-19497.099999999999</v>
      </c>
    </row>
    <row r="120" spans="2:27">
      <c r="B120" s="598" t="s">
        <v>2595</v>
      </c>
      <c r="C120" s="604" t="s">
        <v>2591</v>
      </c>
      <c r="D120" s="745">
        <v>2016</v>
      </c>
      <c r="E120" s="604"/>
      <c r="F120" s="738"/>
      <c r="G120" s="739">
        <v>32190.02</v>
      </c>
      <c r="H120" s="741"/>
      <c r="I120" s="742">
        <f t="shared" si="48"/>
        <v>32190.02</v>
      </c>
      <c r="J120" s="740">
        <f t="shared" si="49"/>
        <v>0</v>
      </c>
      <c r="K120" s="739">
        <f t="shared" si="50"/>
        <v>0</v>
      </c>
      <c r="L120" s="835">
        <f t="shared" si="51"/>
        <v>32190.02</v>
      </c>
      <c r="M120" s="740">
        <f t="shared" si="36"/>
        <v>0</v>
      </c>
      <c r="N120" s="604">
        <f t="shared" si="25"/>
        <v>0</v>
      </c>
      <c r="O120" s="604">
        <f t="shared" si="26"/>
        <v>0</v>
      </c>
      <c r="P120" s="604">
        <f t="shared" si="27"/>
        <v>0</v>
      </c>
      <c r="Q120" s="604">
        <f t="shared" si="28"/>
        <v>0</v>
      </c>
      <c r="R120" s="604">
        <f t="shared" si="29"/>
        <v>0</v>
      </c>
      <c r="S120" s="604">
        <f t="shared" si="30"/>
        <v>0</v>
      </c>
      <c r="T120" s="604">
        <f t="shared" si="31"/>
        <v>0</v>
      </c>
      <c r="U120" s="604">
        <f t="shared" si="32"/>
        <v>0</v>
      </c>
      <c r="V120" s="604">
        <f t="shared" si="33"/>
        <v>0</v>
      </c>
      <c r="W120" s="604">
        <f t="shared" si="34"/>
        <v>0</v>
      </c>
      <c r="X120" s="746">
        <v>-32190.02</v>
      </c>
      <c r="Y120" s="832">
        <f t="shared" si="35"/>
        <v>-32190.02</v>
      </c>
    </row>
    <row r="121" spans="2:27">
      <c r="B121" s="598" t="s">
        <v>2595</v>
      </c>
      <c r="C121" s="604" t="s">
        <v>2591</v>
      </c>
      <c r="D121" s="745">
        <v>2016</v>
      </c>
      <c r="E121" s="604"/>
      <c r="F121" s="738"/>
      <c r="G121" s="739">
        <v>46910.47</v>
      </c>
      <c r="H121" s="741"/>
      <c r="I121" s="742">
        <f t="shared" si="48"/>
        <v>46910.47</v>
      </c>
      <c r="J121" s="740">
        <f t="shared" si="49"/>
        <v>0</v>
      </c>
      <c r="K121" s="739">
        <f t="shared" si="50"/>
        <v>0</v>
      </c>
      <c r="L121" s="835">
        <f t="shared" si="51"/>
        <v>46910.47</v>
      </c>
      <c r="M121" s="740">
        <f t="shared" si="36"/>
        <v>0</v>
      </c>
      <c r="N121" s="604">
        <f t="shared" si="25"/>
        <v>0</v>
      </c>
      <c r="O121" s="604">
        <f t="shared" si="26"/>
        <v>0</v>
      </c>
      <c r="P121" s="604">
        <f t="shared" si="27"/>
        <v>0</v>
      </c>
      <c r="Q121" s="604">
        <f t="shared" si="28"/>
        <v>0</v>
      </c>
      <c r="R121" s="604">
        <f t="shared" si="29"/>
        <v>0</v>
      </c>
      <c r="S121" s="604">
        <f t="shared" si="30"/>
        <v>0</v>
      </c>
      <c r="T121" s="604">
        <f t="shared" si="31"/>
        <v>0</v>
      </c>
      <c r="U121" s="604">
        <f t="shared" si="32"/>
        <v>0</v>
      </c>
      <c r="V121" s="604">
        <f t="shared" si="33"/>
        <v>0</v>
      </c>
      <c r="W121" s="604">
        <f t="shared" si="34"/>
        <v>0</v>
      </c>
      <c r="X121" s="746">
        <v>-46910.47</v>
      </c>
      <c r="Y121" s="832">
        <f t="shared" si="35"/>
        <v>-46910.47</v>
      </c>
    </row>
    <row r="122" spans="2:27">
      <c r="B122" s="598" t="s">
        <v>2595</v>
      </c>
      <c r="C122" s="604" t="s">
        <v>2591</v>
      </c>
      <c r="D122" s="745">
        <v>2016</v>
      </c>
      <c r="E122" s="604"/>
      <c r="F122" s="738"/>
      <c r="G122" s="739">
        <v>82652.52</v>
      </c>
      <c r="H122" s="741"/>
      <c r="I122" s="742">
        <f t="shared" si="48"/>
        <v>82652.52</v>
      </c>
      <c r="J122" s="740">
        <f t="shared" si="49"/>
        <v>0</v>
      </c>
      <c r="K122" s="739">
        <f t="shared" si="50"/>
        <v>0</v>
      </c>
      <c r="L122" s="835">
        <f t="shared" si="51"/>
        <v>82652.52</v>
      </c>
      <c r="M122" s="740">
        <f t="shared" si="36"/>
        <v>0</v>
      </c>
      <c r="N122" s="604">
        <f t="shared" si="25"/>
        <v>0</v>
      </c>
      <c r="O122" s="604">
        <f t="shared" si="26"/>
        <v>0</v>
      </c>
      <c r="P122" s="604">
        <f t="shared" si="27"/>
        <v>0</v>
      </c>
      <c r="Q122" s="604">
        <f t="shared" si="28"/>
        <v>0</v>
      </c>
      <c r="R122" s="604">
        <f t="shared" si="29"/>
        <v>0</v>
      </c>
      <c r="S122" s="604">
        <f t="shared" si="30"/>
        <v>0</v>
      </c>
      <c r="T122" s="604">
        <f t="shared" si="31"/>
        <v>0</v>
      </c>
      <c r="U122" s="604">
        <f t="shared" si="32"/>
        <v>0</v>
      </c>
      <c r="V122" s="604">
        <f t="shared" si="33"/>
        <v>0</v>
      </c>
      <c r="W122" s="604">
        <f t="shared" si="34"/>
        <v>0</v>
      </c>
      <c r="X122" s="746">
        <v>-82652.52</v>
      </c>
      <c r="Y122" s="832">
        <f t="shared" si="35"/>
        <v>-82652.52</v>
      </c>
    </row>
    <row r="123" spans="2:27">
      <c r="B123" s="598" t="s">
        <v>2595</v>
      </c>
      <c r="C123" s="604" t="s">
        <v>2591</v>
      </c>
      <c r="D123" s="745">
        <v>2016</v>
      </c>
      <c r="E123" s="604"/>
      <c r="F123" s="738"/>
      <c r="G123" s="739">
        <v>53690.63</v>
      </c>
      <c r="H123" s="741"/>
      <c r="I123" s="742">
        <f t="shared" si="48"/>
        <v>53690.63</v>
      </c>
      <c r="J123" s="740">
        <f t="shared" si="49"/>
        <v>0</v>
      </c>
      <c r="K123" s="739">
        <f t="shared" si="50"/>
        <v>0</v>
      </c>
      <c r="L123" s="835">
        <f t="shared" si="51"/>
        <v>53690.63</v>
      </c>
      <c r="M123" s="740">
        <f t="shared" si="36"/>
        <v>0</v>
      </c>
      <c r="N123" s="604">
        <f t="shared" si="25"/>
        <v>0</v>
      </c>
      <c r="O123" s="604">
        <f t="shared" si="26"/>
        <v>0</v>
      </c>
      <c r="P123" s="604">
        <f t="shared" si="27"/>
        <v>0</v>
      </c>
      <c r="Q123" s="604">
        <f t="shared" si="28"/>
        <v>0</v>
      </c>
      <c r="R123" s="604">
        <f t="shared" si="29"/>
        <v>0</v>
      </c>
      <c r="S123" s="604">
        <f t="shared" si="30"/>
        <v>0</v>
      </c>
      <c r="T123" s="604">
        <f t="shared" si="31"/>
        <v>0</v>
      </c>
      <c r="U123" s="604">
        <f t="shared" si="32"/>
        <v>0</v>
      </c>
      <c r="V123" s="604">
        <f t="shared" si="33"/>
        <v>0</v>
      </c>
      <c r="W123" s="604">
        <f t="shared" si="34"/>
        <v>0</v>
      </c>
      <c r="X123" s="746">
        <v>-53690.63</v>
      </c>
      <c r="Y123" s="832">
        <f t="shared" si="35"/>
        <v>-53690.63</v>
      </c>
    </row>
    <row r="124" spans="2:27">
      <c r="B124" s="598" t="s">
        <v>2595</v>
      </c>
      <c r="C124" s="604" t="s">
        <v>2591</v>
      </c>
      <c r="D124" s="745">
        <v>2018</v>
      </c>
      <c r="E124" s="604"/>
      <c r="F124" s="738"/>
      <c r="G124" s="739">
        <v>6637.97</v>
      </c>
      <c r="H124" s="741"/>
      <c r="I124" s="742">
        <f t="shared" si="48"/>
        <v>6637.97</v>
      </c>
      <c r="J124" s="740">
        <f t="shared" si="49"/>
        <v>0</v>
      </c>
      <c r="K124" s="739">
        <f t="shared" si="50"/>
        <v>0</v>
      </c>
      <c r="L124" s="835">
        <f t="shared" si="51"/>
        <v>6637.97</v>
      </c>
      <c r="M124" s="740">
        <f t="shared" si="36"/>
        <v>0</v>
      </c>
      <c r="N124" s="604">
        <f t="shared" si="25"/>
        <v>0</v>
      </c>
      <c r="O124" s="604">
        <f t="shared" si="26"/>
        <v>0</v>
      </c>
      <c r="P124" s="604">
        <f t="shared" si="27"/>
        <v>0</v>
      </c>
      <c r="Q124" s="604">
        <f t="shared" si="28"/>
        <v>0</v>
      </c>
      <c r="R124" s="604">
        <f t="shared" si="29"/>
        <v>0</v>
      </c>
      <c r="S124" s="604">
        <f t="shared" si="30"/>
        <v>0</v>
      </c>
      <c r="T124" s="604">
        <f t="shared" si="31"/>
        <v>0</v>
      </c>
      <c r="U124" s="604">
        <f t="shared" si="32"/>
        <v>0</v>
      </c>
      <c r="V124" s="604">
        <f t="shared" si="33"/>
        <v>0</v>
      </c>
      <c r="W124" s="604">
        <f t="shared" si="34"/>
        <v>0</v>
      </c>
      <c r="X124" s="746">
        <v>-6637.97</v>
      </c>
      <c r="Y124" s="832">
        <f t="shared" si="35"/>
        <v>-6637.97</v>
      </c>
    </row>
    <row r="125" spans="2:27" ht="12.75" thickBot="1">
      <c r="B125" s="598" t="s">
        <v>2595</v>
      </c>
      <c r="C125" s="604" t="s">
        <v>2591</v>
      </c>
      <c r="D125" s="745">
        <v>2021</v>
      </c>
      <c r="E125" s="604"/>
      <c r="F125" s="738"/>
      <c r="G125" s="739">
        <v>-308000.01</v>
      </c>
      <c r="H125" s="741"/>
      <c r="I125" s="742">
        <v>-308000.01</v>
      </c>
      <c r="J125" s="740">
        <f t="shared" si="49"/>
        <v>0</v>
      </c>
      <c r="K125" s="739">
        <f t="shared" si="50"/>
        <v>0</v>
      </c>
      <c r="L125" s="836">
        <f t="shared" si="51"/>
        <v>-308000.01</v>
      </c>
      <c r="M125" s="740">
        <f t="shared" si="36"/>
        <v>0</v>
      </c>
      <c r="N125" s="604">
        <f t="shared" si="25"/>
        <v>0</v>
      </c>
      <c r="O125" s="604">
        <f t="shared" si="26"/>
        <v>0</v>
      </c>
      <c r="P125" s="604">
        <f t="shared" si="27"/>
        <v>0</v>
      </c>
      <c r="Q125" s="604">
        <f t="shared" si="28"/>
        <v>0</v>
      </c>
      <c r="R125" s="604">
        <f t="shared" si="29"/>
        <v>0</v>
      </c>
      <c r="S125" s="604">
        <f t="shared" si="30"/>
        <v>0</v>
      </c>
      <c r="T125" s="604">
        <f t="shared" si="31"/>
        <v>0</v>
      </c>
      <c r="U125" s="604">
        <f t="shared" si="32"/>
        <v>0</v>
      </c>
      <c r="V125" s="604">
        <f t="shared" si="33"/>
        <v>0</v>
      </c>
      <c r="W125" s="604">
        <f t="shared" si="34"/>
        <v>0</v>
      </c>
      <c r="X125" s="746">
        <v>308000.01</v>
      </c>
      <c r="Y125" s="833">
        <f t="shared" si="35"/>
        <v>308000.01</v>
      </c>
    </row>
    <row r="126" spans="2:27" ht="12.75" thickBot="1">
      <c r="B126" s="598" t="s">
        <v>2595</v>
      </c>
      <c r="C126" s="604" t="s">
        <v>2591</v>
      </c>
      <c r="D126" s="745">
        <v>2021</v>
      </c>
      <c r="E126" s="604"/>
      <c r="F126" s="738"/>
      <c r="G126" s="739">
        <v>118000.01</v>
      </c>
      <c r="H126" s="741">
        <v>0</v>
      </c>
      <c r="I126" s="742">
        <v>0</v>
      </c>
      <c r="J126" s="740">
        <f t="shared" si="49"/>
        <v>0</v>
      </c>
      <c r="K126" s="604">
        <v>0</v>
      </c>
      <c r="L126" s="852">
        <v>0</v>
      </c>
      <c r="M126" s="604">
        <f t="shared" si="36"/>
        <v>0</v>
      </c>
      <c r="N126" s="604">
        <f t="shared" si="25"/>
        <v>0</v>
      </c>
      <c r="O126" s="604">
        <f t="shared" si="26"/>
        <v>0</v>
      </c>
      <c r="P126" s="604">
        <f t="shared" si="27"/>
        <v>0</v>
      </c>
      <c r="Q126" s="604">
        <f t="shared" si="28"/>
        <v>0</v>
      </c>
      <c r="R126" s="604">
        <f t="shared" si="29"/>
        <v>0</v>
      </c>
      <c r="S126" s="604">
        <f t="shared" si="30"/>
        <v>0</v>
      </c>
      <c r="T126" s="604">
        <f t="shared" si="31"/>
        <v>0</v>
      </c>
      <c r="U126" s="604">
        <f t="shared" si="32"/>
        <v>0</v>
      </c>
      <c r="V126" s="604">
        <f t="shared" si="33"/>
        <v>0</v>
      </c>
      <c r="W126" s="604">
        <f t="shared" si="34"/>
        <v>0</v>
      </c>
      <c r="X126" s="746">
        <v>0</v>
      </c>
      <c r="Y126" s="746">
        <f t="shared" si="35"/>
        <v>0</v>
      </c>
    </row>
    <row r="127" spans="2:27">
      <c r="B127" s="598" t="s">
        <v>2596</v>
      </c>
      <c r="C127" s="604" t="s">
        <v>2592</v>
      </c>
      <c r="D127" s="745">
        <v>2003</v>
      </c>
      <c r="E127" s="604" t="s">
        <v>1177</v>
      </c>
      <c r="F127" s="738">
        <v>0.2</v>
      </c>
      <c r="G127" s="739">
        <v>9456</v>
      </c>
      <c r="H127" s="741">
        <v>9456</v>
      </c>
      <c r="I127" s="742">
        <f t="shared" ref="I127:I190" si="52">+G127-H127</f>
        <v>0</v>
      </c>
      <c r="J127" s="740">
        <f t="shared" ref="J127:J190" si="53">IF(I127=0,0,G127*F127)</f>
        <v>0</v>
      </c>
      <c r="K127" s="739">
        <f t="shared" ref="K127:K190" si="54">+H127+J127</f>
        <v>9456</v>
      </c>
      <c r="L127" s="853">
        <f t="shared" ref="L127:L190" si="55">+G127-K127</f>
        <v>0</v>
      </c>
      <c r="M127" s="740">
        <f t="shared" si="36"/>
        <v>0</v>
      </c>
      <c r="N127" s="604">
        <f t="shared" si="25"/>
        <v>0</v>
      </c>
      <c r="O127" s="604">
        <f t="shared" si="26"/>
        <v>0</v>
      </c>
      <c r="P127" s="604">
        <f t="shared" si="27"/>
        <v>0</v>
      </c>
      <c r="Q127" s="604">
        <f t="shared" si="28"/>
        <v>0</v>
      </c>
      <c r="R127" s="604">
        <f t="shared" si="29"/>
        <v>0</v>
      </c>
      <c r="S127" s="604">
        <f t="shared" si="30"/>
        <v>0</v>
      </c>
      <c r="T127" s="604">
        <f t="shared" si="31"/>
        <v>0</v>
      </c>
      <c r="U127" s="604">
        <f t="shared" si="32"/>
        <v>0</v>
      </c>
      <c r="V127" s="604">
        <f t="shared" si="33"/>
        <v>0</v>
      </c>
      <c r="W127" s="604">
        <f t="shared" si="34"/>
        <v>0</v>
      </c>
      <c r="X127" s="746">
        <v>0</v>
      </c>
      <c r="Y127" s="746">
        <f t="shared" si="35"/>
        <v>0</v>
      </c>
      <c r="Z127" s="746">
        <f>+SUM(L127:L206)</f>
        <v>796958.1</v>
      </c>
    </row>
    <row r="128" spans="2:27">
      <c r="B128" s="598" t="s">
        <v>2596</v>
      </c>
      <c r="C128" s="604" t="s">
        <v>2592</v>
      </c>
      <c r="D128" s="745">
        <v>2003</v>
      </c>
      <c r="E128" s="604" t="s">
        <v>1178</v>
      </c>
      <c r="F128" s="738">
        <v>0.2</v>
      </c>
      <c r="G128" s="739">
        <v>6791.11</v>
      </c>
      <c r="H128" s="741">
        <v>6791.11</v>
      </c>
      <c r="I128" s="742">
        <f t="shared" si="52"/>
        <v>0</v>
      </c>
      <c r="J128" s="740">
        <f t="shared" si="53"/>
        <v>0</v>
      </c>
      <c r="K128" s="739">
        <f t="shared" si="54"/>
        <v>6791.11</v>
      </c>
      <c r="L128" s="854">
        <f t="shared" si="55"/>
        <v>0</v>
      </c>
      <c r="M128" s="740">
        <f t="shared" si="36"/>
        <v>0</v>
      </c>
      <c r="N128" s="604">
        <f t="shared" si="25"/>
        <v>0</v>
      </c>
      <c r="O128" s="604">
        <f t="shared" si="26"/>
        <v>0</v>
      </c>
      <c r="P128" s="604">
        <f t="shared" si="27"/>
        <v>0</v>
      </c>
      <c r="Q128" s="604">
        <f t="shared" si="28"/>
        <v>0</v>
      </c>
      <c r="R128" s="604">
        <f t="shared" si="29"/>
        <v>0</v>
      </c>
      <c r="S128" s="604">
        <f t="shared" si="30"/>
        <v>0</v>
      </c>
      <c r="T128" s="604">
        <f t="shared" si="31"/>
        <v>0</v>
      </c>
      <c r="U128" s="604">
        <f t="shared" si="32"/>
        <v>0</v>
      </c>
      <c r="V128" s="604">
        <f t="shared" si="33"/>
        <v>0</v>
      </c>
      <c r="W128" s="604">
        <f t="shared" si="34"/>
        <v>0</v>
      </c>
      <c r="X128" s="746">
        <v>0</v>
      </c>
      <c r="Y128" s="746">
        <f t="shared" si="35"/>
        <v>0</v>
      </c>
      <c r="Z128" s="746">
        <f>+Z127-BdV!I15-BdV!I16</f>
        <v>0</v>
      </c>
      <c r="AA128" s="598" t="s">
        <v>363</v>
      </c>
    </row>
    <row r="129" spans="2:25">
      <c r="B129" s="598" t="s">
        <v>2596</v>
      </c>
      <c r="C129" s="604" t="s">
        <v>2592</v>
      </c>
      <c r="D129" s="745">
        <v>2003</v>
      </c>
      <c r="E129" s="604" t="s">
        <v>1179</v>
      </c>
      <c r="F129" s="738">
        <v>0.2</v>
      </c>
      <c r="G129" s="739">
        <v>2600</v>
      </c>
      <c r="H129" s="741">
        <v>2600</v>
      </c>
      <c r="I129" s="742">
        <f t="shared" si="52"/>
        <v>0</v>
      </c>
      <c r="J129" s="740">
        <f t="shared" si="53"/>
        <v>0</v>
      </c>
      <c r="K129" s="739">
        <f t="shared" si="54"/>
        <v>2600</v>
      </c>
      <c r="L129" s="854">
        <f t="shared" si="55"/>
        <v>0</v>
      </c>
      <c r="M129" s="740">
        <f t="shared" si="36"/>
        <v>0</v>
      </c>
      <c r="N129" s="604">
        <f t="shared" si="25"/>
        <v>0</v>
      </c>
      <c r="O129" s="604">
        <f t="shared" si="26"/>
        <v>0</v>
      </c>
      <c r="P129" s="604">
        <f t="shared" si="27"/>
        <v>0</v>
      </c>
      <c r="Q129" s="604">
        <f t="shared" si="28"/>
        <v>0</v>
      </c>
      <c r="R129" s="604">
        <f t="shared" si="29"/>
        <v>0</v>
      </c>
      <c r="S129" s="604">
        <f t="shared" si="30"/>
        <v>0</v>
      </c>
      <c r="T129" s="604">
        <f t="shared" si="31"/>
        <v>0</v>
      </c>
      <c r="U129" s="604">
        <f t="shared" si="32"/>
        <v>0</v>
      </c>
      <c r="V129" s="604">
        <f t="shared" si="33"/>
        <v>0</v>
      </c>
      <c r="W129" s="604">
        <f t="shared" si="34"/>
        <v>0</v>
      </c>
      <c r="X129" s="746">
        <v>0</v>
      </c>
      <c r="Y129" s="746">
        <f t="shared" si="35"/>
        <v>0</v>
      </c>
    </row>
    <row r="130" spans="2:25">
      <c r="B130" s="598" t="s">
        <v>2596</v>
      </c>
      <c r="C130" s="604" t="s">
        <v>2592</v>
      </c>
      <c r="D130" s="745">
        <v>2004</v>
      </c>
      <c r="E130" s="604" t="s">
        <v>1180</v>
      </c>
      <c r="F130" s="738">
        <v>0.2</v>
      </c>
      <c r="G130" s="739">
        <v>1800</v>
      </c>
      <c r="H130" s="741">
        <v>1800</v>
      </c>
      <c r="I130" s="742">
        <f t="shared" si="52"/>
        <v>0</v>
      </c>
      <c r="J130" s="740">
        <f t="shared" si="53"/>
        <v>0</v>
      </c>
      <c r="K130" s="739">
        <f t="shared" si="54"/>
        <v>1800</v>
      </c>
      <c r="L130" s="854">
        <f t="shared" si="55"/>
        <v>0</v>
      </c>
      <c r="M130" s="740">
        <f t="shared" si="36"/>
        <v>0</v>
      </c>
      <c r="N130" s="604">
        <f t="shared" si="25"/>
        <v>0</v>
      </c>
      <c r="O130" s="604">
        <f t="shared" si="26"/>
        <v>0</v>
      </c>
      <c r="P130" s="604">
        <f t="shared" si="27"/>
        <v>0</v>
      </c>
      <c r="Q130" s="604">
        <f t="shared" si="28"/>
        <v>0</v>
      </c>
      <c r="R130" s="604">
        <f t="shared" si="29"/>
        <v>0</v>
      </c>
      <c r="S130" s="604">
        <f t="shared" si="30"/>
        <v>0</v>
      </c>
      <c r="T130" s="604">
        <f t="shared" si="31"/>
        <v>0</v>
      </c>
      <c r="U130" s="604">
        <f t="shared" si="32"/>
        <v>0</v>
      </c>
      <c r="V130" s="604">
        <f t="shared" si="33"/>
        <v>0</v>
      </c>
      <c r="W130" s="604">
        <f t="shared" si="34"/>
        <v>0</v>
      </c>
      <c r="X130" s="746">
        <v>0</v>
      </c>
      <c r="Y130" s="746">
        <f t="shared" si="35"/>
        <v>0</v>
      </c>
    </row>
    <row r="131" spans="2:25">
      <c r="B131" s="598" t="s">
        <v>2596</v>
      </c>
      <c r="C131" s="604" t="s">
        <v>2592</v>
      </c>
      <c r="D131" s="745">
        <v>2004</v>
      </c>
      <c r="E131" s="604" t="s">
        <v>1181</v>
      </c>
      <c r="F131" s="738">
        <v>0.2</v>
      </c>
      <c r="G131" s="739">
        <v>6666.67</v>
      </c>
      <c r="H131" s="741">
        <v>6666.67</v>
      </c>
      <c r="I131" s="742">
        <f t="shared" si="52"/>
        <v>0</v>
      </c>
      <c r="J131" s="740">
        <f t="shared" si="53"/>
        <v>0</v>
      </c>
      <c r="K131" s="739">
        <f t="shared" si="54"/>
        <v>6666.67</v>
      </c>
      <c r="L131" s="854">
        <f t="shared" si="55"/>
        <v>0</v>
      </c>
      <c r="M131" s="740">
        <f t="shared" si="36"/>
        <v>0</v>
      </c>
      <c r="N131" s="604">
        <f t="shared" si="25"/>
        <v>0</v>
      </c>
      <c r="O131" s="604">
        <f t="shared" si="26"/>
        <v>0</v>
      </c>
      <c r="P131" s="604">
        <f t="shared" si="27"/>
        <v>0</v>
      </c>
      <c r="Q131" s="604">
        <f t="shared" si="28"/>
        <v>0</v>
      </c>
      <c r="R131" s="604">
        <f t="shared" si="29"/>
        <v>0</v>
      </c>
      <c r="S131" s="604">
        <f t="shared" si="30"/>
        <v>0</v>
      </c>
      <c r="T131" s="604">
        <f t="shared" si="31"/>
        <v>0</v>
      </c>
      <c r="U131" s="604">
        <f t="shared" si="32"/>
        <v>0</v>
      </c>
      <c r="V131" s="604">
        <f t="shared" si="33"/>
        <v>0</v>
      </c>
      <c r="W131" s="604">
        <f t="shared" si="34"/>
        <v>0</v>
      </c>
      <c r="X131" s="746">
        <v>0</v>
      </c>
      <c r="Y131" s="746">
        <f t="shared" si="35"/>
        <v>0</v>
      </c>
    </row>
    <row r="132" spans="2:25">
      <c r="B132" s="598" t="s">
        <v>2596</v>
      </c>
      <c r="C132" s="604" t="s">
        <v>2592</v>
      </c>
      <c r="D132" s="745">
        <v>2005</v>
      </c>
      <c r="E132" s="604" t="s">
        <v>1182</v>
      </c>
      <c r="F132" s="738">
        <v>0.2</v>
      </c>
      <c r="G132" s="739">
        <v>25000</v>
      </c>
      <c r="H132" s="741">
        <v>25000</v>
      </c>
      <c r="I132" s="742">
        <f t="shared" si="52"/>
        <v>0</v>
      </c>
      <c r="J132" s="740">
        <f t="shared" si="53"/>
        <v>0</v>
      </c>
      <c r="K132" s="739">
        <f t="shared" si="54"/>
        <v>25000</v>
      </c>
      <c r="L132" s="854">
        <f t="shared" si="55"/>
        <v>0</v>
      </c>
      <c r="M132" s="740">
        <f t="shared" si="36"/>
        <v>0</v>
      </c>
      <c r="N132" s="604">
        <f t="shared" si="25"/>
        <v>0</v>
      </c>
      <c r="O132" s="604">
        <f t="shared" si="26"/>
        <v>0</v>
      </c>
      <c r="P132" s="604">
        <f t="shared" si="27"/>
        <v>0</v>
      </c>
      <c r="Q132" s="604">
        <f t="shared" si="28"/>
        <v>0</v>
      </c>
      <c r="R132" s="604">
        <f t="shared" si="29"/>
        <v>0</v>
      </c>
      <c r="S132" s="604">
        <f t="shared" si="30"/>
        <v>0</v>
      </c>
      <c r="T132" s="604">
        <f t="shared" si="31"/>
        <v>0</v>
      </c>
      <c r="U132" s="604">
        <f t="shared" si="32"/>
        <v>0</v>
      </c>
      <c r="V132" s="604">
        <f t="shared" si="33"/>
        <v>0</v>
      </c>
      <c r="W132" s="604">
        <f t="shared" si="34"/>
        <v>0</v>
      </c>
      <c r="X132" s="746">
        <v>0</v>
      </c>
      <c r="Y132" s="746">
        <f t="shared" si="35"/>
        <v>0</v>
      </c>
    </row>
    <row r="133" spans="2:25">
      <c r="B133" s="598" t="s">
        <v>2596</v>
      </c>
      <c r="C133" s="604" t="s">
        <v>2592</v>
      </c>
      <c r="D133" s="745">
        <v>2018</v>
      </c>
      <c r="E133" s="604" t="s">
        <v>1183</v>
      </c>
      <c r="F133" s="738">
        <v>0.2</v>
      </c>
      <c r="G133" s="739">
        <v>1286</v>
      </c>
      <c r="H133" s="741">
        <v>1028.8</v>
      </c>
      <c r="I133" s="742">
        <f t="shared" si="52"/>
        <v>257.20000000000005</v>
      </c>
      <c r="J133" s="740">
        <f t="shared" si="53"/>
        <v>257.2</v>
      </c>
      <c r="K133" s="739">
        <f t="shared" si="54"/>
        <v>1286</v>
      </c>
      <c r="L133" s="854">
        <f t="shared" si="55"/>
        <v>0</v>
      </c>
      <c r="M133" s="740">
        <f t="shared" si="36"/>
        <v>0</v>
      </c>
      <c r="N133" s="604">
        <f t="shared" ref="N133:N196" si="56">+IF(L133-M133&gt;0,G133*F133,0)</f>
        <v>0</v>
      </c>
      <c r="O133" s="604">
        <f t="shared" ref="O133:O196" si="57">+IF(L133-SUM(M133:N133)&gt;0,G133*F133,0)</f>
        <v>0</v>
      </c>
      <c r="P133" s="604">
        <f t="shared" ref="P133:P196" si="58">+IF(L133-SUM(M133:O133)&gt;0,G133*F133,0)</f>
        <v>0</v>
      </c>
      <c r="Q133" s="604">
        <f t="shared" ref="Q133:Q196" si="59">+IF(L133-SUM(M133:P133)&gt;0,G133*F133,0)</f>
        <v>0</v>
      </c>
      <c r="R133" s="604">
        <f t="shared" ref="R133:R196" si="60">+IF(L133-SUM(M133:Q133)&gt;0,G133*F133,0)</f>
        <v>0</v>
      </c>
      <c r="S133" s="604">
        <f t="shared" ref="S133:S196" si="61">+IF(L133-SUM(M133:R133)&gt;0,G133*F133,0)</f>
        <v>0</v>
      </c>
      <c r="T133" s="604">
        <f t="shared" ref="T133:T196" si="62">+IF(L133-SUM(M133:S133)&gt;0,G133*F133,0)</f>
        <v>0</v>
      </c>
      <c r="U133" s="604">
        <f t="shared" ref="U133:U196" si="63">+IF(L133-SUM(M133:T133)&gt;0,G133*F133,0)</f>
        <v>0</v>
      </c>
      <c r="V133" s="604">
        <f t="shared" ref="V133:V196" si="64">+IF(L133-SUM(M133:U133)&gt;0,G133*F133,0)</f>
        <v>0</v>
      </c>
      <c r="W133" s="604">
        <f t="shared" ref="W133:W196" si="65">+IF(L133-SUM(M133:V133)&gt;0,G133*F133,0)</f>
        <v>0</v>
      </c>
      <c r="X133" s="746">
        <v>0</v>
      </c>
      <c r="Y133" s="746">
        <f t="shared" ref="Y133:Y196" si="66">+SUM(M133:W133)-L133</f>
        <v>0</v>
      </c>
    </row>
    <row r="134" spans="2:25">
      <c r="B134" s="598" t="s">
        <v>2596</v>
      </c>
      <c r="C134" s="604" t="s">
        <v>2592</v>
      </c>
      <c r="D134" s="745">
        <v>2020</v>
      </c>
      <c r="E134" s="604" t="s">
        <v>1184</v>
      </c>
      <c r="F134" s="738">
        <v>0.2</v>
      </c>
      <c r="G134" s="739">
        <v>2550</v>
      </c>
      <c r="H134" s="741">
        <v>1020</v>
      </c>
      <c r="I134" s="742">
        <f t="shared" si="52"/>
        <v>1530</v>
      </c>
      <c r="J134" s="740">
        <f t="shared" si="53"/>
        <v>510</v>
      </c>
      <c r="K134" s="739">
        <f t="shared" si="54"/>
        <v>1530</v>
      </c>
      <c r="L134" s="854">
        <f t="shared" si="55"/>
        <v>1020</v>
      </c>
      <c r="M134" s="740">
        <f t="shared" si="36"/>
        <v>510</v>
      </c>
      <c r="N134" s="604">
        <f t="shared" si="56"/>
        <v>510</v>
      </c>
      <c r="O134" s="604">
        <f t="shared" si="57"/>
        <v>0</v>
      </c>
      <c r="P134" s="604">
        <f t="shared" si="58"/>
        <v>0</v>
      </c>
      <c r="Q134" s="604">
        <f t="shared" si="59"/>
        <v>0</v>
      </c>
      <c r="R134" s="604">
        <f t="shared" si="60"/>
        <v>0</v>
      </c>
      <c r="S134" s="604">
        <f t="shared" si="61"/>
        <v>0</v>
      </c>
      <c r="T134" s="604">
        <f t="shared" si="62"/>
        <v>0</v>
      </c>
      <c r="U134" s="604">
        <f t="shared" si="63"/>
        <v>0</v>
      </c>
      <c r="V134" s="604">
        <f t="shared" si="64"/>
        <v>0</v>
      </c>
      <c r="W134" s="604">
        <f t="shared" si="65"/>
        <v>0</v>
      </c>
      <c r="X134" s="746">
        <v>0</v>
      </c>
      <c r="Y134" s="746">
        <f t="shared" si="66"/>
        <v>0</v>
      </c>
    </row>
    <row r="135" spans="2:25">
      <c r="B135" s="598" t="s">
        <v>2596</v>
      </c>
      <c r="C135" s="604" t="s">
        <v>2592</v>
      </c>
      <c r="D135" s="745">
        <v>2021</v>
      </c>
      <c r="E135" s="604" t="s">
        <v>1185</v>
      </c>
      <c r="F135" s="738">
        <v>0.2</v>
      </c>
      <c r="G135" s="739">
        <v>31000</v>
      </c>
      <c r="H135" s="741">
        <v>6200</v>
      </c>
      <c r="I135" s="742">
        <f t="shared" si="52"/>
        <v>24800</v>
      </c>
      <c r="J135" s="740">
        <f t="shared" si="53"/>
        <v>6200</v>
      </c>
      <c r="K135" s="739">
        <f t="shared" si="54"/>
        <v>12400</v>
      </c>
      <c r="L135" s="854">
        <f t="shared" si="55"/>
        <v>18600</v>
      </c>
      <c r="M135" s="740">
        <f t="shared" si="36"/>
        <v>6200</v>
      </c>
      <c r="N135" s="604">
        <f t="shared" si="56"/>
        <v>6200</v>
      </c>
      <c r="O135" s="604">
        <f t="shared" si="57"/>
        <v>6200</v>
      </c>
      <c r="P135" s="604">
        <f t="shared" si="58"/>
        <v>0</v>
      </c>
      <c r="Q135" s="604">
        <f t="shared" si="59"/>
        <v>0</v>
      </c>
      <c r="R135" s="604">
        <f t="shared" si="60"/>
        <v>0</v>
      </c>
      <c r="S135" s="604">
        <f t="shared" si="61"/>
        <v>0</v>
      </c>
      <c r="T135" s="604">
        <f t="shared" si="62"/>
        <v>0</v>
      </c>
      <c r="U135" s="604">
        <f t="shared" si="63"/>
        <v>0</v>
      </c>
      <c r="V135" s="604">
        <f t="shared" si="64"/>
        <v>0</v>
      </c>
      <c r="W135" s="604">
        <f t="shared" si="65"/>
        <v>0</v>
      </c>
      <c r="X135" s="746">
        <v>0</v>
      </c>
      <c r="Y135" s="746">
        <f t="shared" si="66"/>
        <v>0</v>
      </c>
    </row>
    <row r="136" spans="2:25">
      <c r="B136" s="598" t="s">
        <v>2596</v>
      </c>
      <c r="C136" s="604" t="s">
        <v>2592</v>
      </c>
      <c r="D136" s="745">
        <v>2021</v>
      </c>
      <c r="E136" s="604" t="s">
        <v>1186</v>
      </c>
      <c r="F136" s="738">
        <v>0</v>
      </c>
      <c r="G136" s="739">
        <v>17392</v>
      </c>
      <c r="H136" s="741">
        <v>0</v>
      </c>
      <c r="I136" s="742">
        <f t="shared" si="52"/>
        <v>17392</v>
      </c>
      <c r="J136" s="740">
        <f t="shared" si="53"/>
        <v>0</v>
      </c>
      <c r="K136" s="739">
        <f t="shared" si="54"/>
        <v>0</v>
      </c>
      <c r="L136" s="854">
        <f t="shared" si="55"/>
        <v>17392</v>
      </c>
      <c r="M136" s="740">
        <f t="shared" ref="M136:M199" si="67">+IF(L136=0,0,G136*F136)</f>
        <v>0</v>
      </c>
      <c r="N136" s="604">
        <f t="shared" si="56"/>
        <v>0</v>
      </c>
      <c r="O136" s="604">
        <f t="shared" si="57"/>
        <v>0</v>
      </c>
      <c r="P136" s="604">
        <f t="shared" si="58"/>
        <v>0</v>
      </c>
      <c r="Q136" s="604">
        <f t="shared" si="59"/>
        <v>0</v>
      </c>
      <c r="R136" s="604">
        <f t="shared" si="60"/>
        <v>0</v>
      </c>
      <c r="S136" s="604">
        <f t="shared" si="61"/>
        <v>0</v>
      </c>
      <c r="T136" s="604">
        <f t="shared" si="62"/>
        <v>0</v>
      </c>
      <c r="U136" s="604">
        <f t="shared" si="63"/>
        <v>0</v>
      </c>
      <c r="V136" s="604">
        <f t="shared" si="64"/>
        <v>0</v>
      </c>
      <c r="W136" s="604">
        <f t="shared" si="65"/>
        <v>0</v>
      </c>
      <c r="X136" s="746">
        <v>-17392</v>
      </c>
      <c r="Y136" s="746">
        <f t="shared" si="66"/>
        <v>-17392</v>
      </c>
    </row>
    <row r="137" spans="2:25">
      <c r="B137" s="598" t="s">
        <v>2596</v>
      </c>
      <c r="C137" s="604" t="s">
        <v>2592</v>
      </c>
      <c r="D137" s="745">
        <v>2021</v>
      </c>
      <c r="E137" s="604" t="s">
        <v>1187</v>
      </c>
      <c r="F137" s="738">
        <v>0</v>
      </c>
      <c r="G137" s="739">
        <v>13000</v>
      </c>
      <c r="H137" s="741">
        <v>0</v>
      </c>
      <c r="I137" s="742">
        <f t="shared" si="52"/>
        <v>13000</v>
      </c>
      <c r="J137" s="740">
        <f t="shared" si="53"/>
        <v>0</v>
      </c>
      <c r="K137" s="739">
        <f t="shared" si="54"/>
        <v>0</v>
      </c>
      <c r="L137" s="854">
        <f t="shared" si="55"/>
        <v>13000</v>
      </c>
      <c r="M137" s="740">
        <f t="shared" si="67"/>
        <v>0</v>
      </c>
      <c r="N137" s="604">
        <f t="shared" si="56"/>
        <v>0</v>
      </c>
      <c r="O137" s="604">
        <f t="shared" si="57"/>
        <v>0</v>
      </c>
      <c r="P137" s="604">
        <f t="shared" si="58"/>
        <v>0</v>
      </c>
      <c r="Q137" s="604">
        <f t="shared" si="59"/>
        <v>0</v>
      </c>
      <c r="R137" s="604">
        <f t="shared" si="60"/>
        <v>0</v>
      </c>
      <c r="S137" s="604">
        <f t="shared" si="61"/>
        <v>0</v>
      </c>
      <c r="T137" s="604">
        <f t="shared" si="62"/>
        <v>0</v>
      </c>
      <c r="U137" s="604">
        <f t="shared" si="63"/>
        <v>0</v>
      </c>
      <c r="V137" s="604">
        <f t="shared" si="64"/>
        <v>0</v>
      </c>
      <c r="W137" s="604">
        <f t="shared" si="65"/>
        <v>0</v>
      </c>
      <c r="X137" s="746">
        <v>-13000</v>
      </c>
      <c r="Y137" s="746">
        <f t="shared" si="66"/>
        <v>-13000</v>
      </c>
    </row>
    <row r="138" spans="2:25">
      <c r="B138" s="598" t="s">
        <v>2596</v>
      </c>
      <c r="C138" s="604" t="s">
        <v>2592</v>
      </c>
      <c r="D138" s="745">
        <v>2021</v>
      </c>
      <c r="E138" s="604"/>
      <c r="F138" s="738">
        <v>0</v>
      </c>
      <c r="G138" s="739">
        <v>11525</v>
      </c>
      <c r="H138" s="741">
        <v>0</v>
      </c>
      <c r="I138" s="742">
        <f t="shared" si="52"/>
        <v>11525</v>
      </c>
      <c r="J138" s="740">
        <f t="shared" si="53"/>
        <v>0</v>
      </c>
      <c r="K138" s="739">
        <f t="shared" si="54"/>
        <v>0</v>
      </c>
      <c r="L138" s="854">
        <f t="shared" si="55"/>
        <v>11525</v>
      </c>
      <c r="M138" s="740">
        <f t="shared" si="67"/>
        <v>0</v>
      </c>
      <c r="N138" s="604">
        <f t="shared" si="56"/>
        <v>0</v>
      </c>
      <c r="O138" s="604">
        <f t="shared" si="57"/>
        <v>0</v>
      </c>
      <c r="P138" s="604">
        <f t="shared" si="58"/>
        <v>0</v>
      </c>
      <c r="Q138" s="604">
        <f t="shared" si="59"/>
        <v>0</v>
      </c>
      <c r="R138" s="604">
        <f t="shared" si="60"/>
        <v>0</v>
      </c>
      <c r="S138" s="604">
        <f t="shared" si="61"/>
        <v>0</v>
      </c>
      <c r="T138" s="604">
        <f t="shared" si="62"/>
        <v>0</v>
      </c>
      <c r="U138" s="604">
        <f t="shared" si="63"/>
        <v>0</v>
      </c>
      <c r="V138" s="604">
        <f t="shared" si="64"/>
        <v>0</v>
      </c>
      <c r="W138" s="604">
        <f t="shared" si="65"/>
        <v>0</v>
      </c>
      <c r="X138" s="746">
        <v>-11525</v>
      </c>
      <c r="Y138" s="746">
        <f t="shared" si="66"/>
        <v>-11525</v>
      </c>
    </row>
    <row r="139" spans="2:25">
      <c r="B139" s="598" t="s">
        <v>2596</v>
      </c>
      <c r="C139" s="604" t="s">
        <v>2592</v>
      </c>
      <c r="D139" s="745">
        <v>2021</v>
      </c>
      <c r="E139" s="604"/>
      <c r="F139" s="738">
        <v>0</v>
      </c>
      <c r="G139" s="739">
        <v>17700</v>
      </c>
      <c r="H139" s="741">
        <v>0</v>
      </c>
      <c r="I139" s="742">
        <f t="shared" si="52"/>
        <v>17700</v>
      </c>
      <c r="J139" s="740">
        <f t="shared" si="53"/>
        <v>0</v>
      </c>
      <c r="K139" s="739">
        <f t="shared" si="54"/>
        <v>0</v>
      </c>
      <c r="L139" s="854">
        <f t="shared" si="55"/>
        <v>17700</v>
      </c>
      <c r="M139" s="740">
        <f t="shared" si="67"/>
        <v>0</v>
      </c>
      <c r="N139" s="604">
        <f t="shared" si="56"/>
        <v>0</v>
      </c>
      <c r="O139" s="604">
        <f t="shared" si="57"/>
        <v>0</v>
      </c>
      <c r="P139" s="604">
        <f t="shared" si="58"/>
        <v>0</v>
      </c>
      <c r="Q139" s="604">
        <f t="shared" si="59"/>
        <v>0</v>
      </c>
      <c r="R139" s="604">
        <f t="shared" si="60"/>
        <v>0</v>
      </c>
      <c r="S139" s="604">
        <f t="shared" si="61"/>
        <v>0</v>
      </c>
      <c r="T139" s="604">
        <f t="shared" si="62"/>
        <v>0</v>
      </c>
      <c r="U139" s="604">
        <f t="shared" si="63"/>
        <v>0</v>
      </c>
      <c r="V139" s="604">
        <f t="shared" si="64"/>
        <v>0</v>
      </c>
      <c r="W139" s="604">
        <f t="shared" si="65"/>
        <v>0</v>
      </c>
      <c r="X139" s="746">
        <v>-17700</v>
      </c>
      <c r="Y139" s="746">
        <f t="shared" si="66"/>
        <v>-17700</v>
      </c>
    </row>
    <row r="140" spans="2:25">
      <c r="B140" s="598" t="s">
        <v>2596</v>
      </c>
      <c r="C140" s="604" t="s">
        <v>2592</v>
      </c>
      <c r="D140" s="745">
        <v>2022</v>
      </c>
      <c r="E140" s="604"/>
      <c r="F140" s="738">
        <v>0</v>
      </c>
      <c r="G140" s="739">
        <v>5375</v>
      </c>
      <c r="H140" s="741">
        <v>0</v>
      </c>
      <c r="I140" s="742">
        <f t="shared" si="52"/>
        <v>5375</v>
      </c>
      <c r="J140" s="740">
        <f t="shared" si="53"/>
        <v>0</v>
      </c>
      <c r="K140" s="739">
        <f t="shared" si="54"/>
        <v>0</v>
      </c>
      <c r="L140" s="854">
        <f t="shared" si="55"/>
        <v>5375</v>
      </c>
      <c r="M140" s="740">
        <f t="shared" si="67"/>
        <v>0</v>
      </c>
      <c r="N140" s="604">
        <f t="shared" si="56"/>
        <v>0</v>
      </c>
      <c r="O140" s="604">
        <f t="shared" si="57"/>
        <v>0</v>
      </c>
      <c r="P140" s="604">
        <f t="shared" si="58"/>
        <v>0</v>
      </c>
      <c r="Q140" s="604">
        <f t="shared" si="59"/>
        <v>0</v>
      </c>
      <c r="R140" s="604">
        <f t="shared" si="60"/>
        <v>0</v>
      </c>
      <c r="S140" s="604">
        <f t="shared" si="61"/>
        <v>0</v>
      </c>
      <c r="T140" s="604">
        <f t="shared" si="62"/>
        <v>0</v>
      </c>
      <c r="U140" s="604">
        <f t="shared" si="63"/>
        <v>0</v>
      </c>
      <c r="V140" s="604">
        <f t="shared" si="64"/>
        <v>0</v>
      </c>
      <c r="W140" s="604">
        <f t="shared" si="65"/>
        <v>0</v>
      </c>
      <c r="X140" s="746">
        <v>-5375</v>
      </c>
      <c r="Y140" s="746">
        <f t="shared" si="66"/>
        <v>-5375</v>
      </c>
    </row>
    <row r="141" spans="2:25">
      <c r="B141" s="598" t="s">
        <v>2596</v>
      </c>
      <c r="C141" s="604" t="s">
        <v>2592</v>
      </c>
      <c r="D141" s="745">
        <v>2022</v>
      </c>
      <c r="E141" s="604"/>
      <c r="F141" s="738">
        <v>0</v>
      </c>
      <c r="G141" s="739">
        <v>4175</v>
      </c>
      <c r="H141" s="741">
        <v>0</v>
      </c>
      <c r="I141" s="742">
        <f t="shared" si="52"/>
        <v>4175</v>
      </c>
      <c r="J141" s="740">
        <f t="shared" si="53"/>
        <v>0</v>
      </c>
      <c r="K141" s="739">
        <f t="shared" si="54"/>
        <v>0</v>
      </c>
      <c r="L141" s="854">
        <f t="shared" si="55"/>
        <v>4175</v>
      </c>
      <c r="M141" s="740">
        <f t="shared" si="67"/>
        <v>0</v>
      </c>
      <c r="N141" s="604">
        <f t="shared" si="56"/>
        <v>0</v>
      </c>
      <c r="O141" s="604">
        <f t="shared" si="57"/>
        <v>0</v>
      </c>
      <c r="P141" s="604">
        <f t="shared" si="58"/>
        <v>0</v>
      </c>
      <c r="Q141" s="604">
        <f t="shared" si="59"/>
        <v>0</v>
      </c>
      <c r="R141" s="604">
        <f t="shared" si="60"/>
        <v>0</v>
      </c>
      <c r="S141" s="604">
        <f t="shared" si="61"/>
        <v>0</v>
      </c>
      <c r="T141" s="604">
        <f t="shared" si="62"/>
        <v>0</v>
      </c>
      <c r="U141" s="604">
        <f t="shared" si="63"/>
        <v>0</v>
      </c>
      <c r="V141" s="604">
        <f t="shared" si="64"/>
        <v>0</v>
      </c>
      <c r="W141" s="604">
        <f t="shared" si="65"/>
        <v>0</v>
      </c>
      <c r="X141" s="746">
        <v>-4175</v>
      </c>
      <c r="Y141" s="746">
        <f t="shared" si="66"/>
        <v>-4175</v>
      </c>
    </row>
    <row r="142" spans="2:25">
      <c r="B142" s="598" t="s">
        <v>2596</v>
      </c>
      <c r="C142" s="604" t="s">
        <v>2592</v>
      </c>
      <c r="D142" s="745">
        <v>2022</v>
      </c>
      <c r="E142" s="604"/>
      <c r="F142" s="738">
        <v>0</v>
      </c>
      <c r="G142" s="739">
        <v>800</v>
      </c>
      <c r="H142" s="741">
        <v>0</v>
      </c>
      <c r="I142" s="742">
        <f t="shared" si="52"/>
        <v>800</v>
      </c>
      <c r="J142" s="740">
        <f t="shared" si="53"/>
        <v>0</v>
      </c>
      <c r="K142" s="739">
        <f t="shared" si="54"/>
        <v>0</v>
      </c>
      <c r="L142" s="854">
        <f t="shared" si="55"/>
        <v>800</v>
      </c>
      <c r="M142" s="740">
        <f t="shared" si="67"/>
        <v>0</v>
      </c>
      <c r="N142" s="604">
        <f t="shared" si="56"/>
        <v>0</v>
      </c>
      <c r="O142" s="604">
        <f t="shared" si="57"/>
        <v>0</v>
      </c>
      <c r="P142" s="604">
        <f t="shared" si="58"/>
        <v>0</v>
      </c>
      <c r="Q142" s="604">
        <f t="shared" si="59"/>
        <v>0</v>
      </c>
      <c r="R142" s="604">
        <f t="shared" si="60"/>
        <v>0</v>
      </c>
      <c r="S142" s="604">
        <f t="shared" si="61"/>
        <v>0</v>
      </c>
      <c r="T142" s="604">
        <f t="shared" si="62"/>
        <v>0</v>
      </c>
      <c r="U142" s="604">
        <f t="shared" si="63"/>
        <v>0</v>
      </c>
      <c r="V142" s="604">
        <f t="shared" si="64"/>
        <v>0</v>
      </c>
      <c r="W142" s="604">
        <f t="shared" si="65"/>
        <v>0</v>
      </c>
      <c r="X142" s="746">
        <v>-800</v>
      </c>
      <c r="Y142" s="746">
        <f t="shared" si="66"/>
        <v>-800</v>
      </c>
    </row>
    <row r="143" spans="2:25">
      <c r="B143" s="598" t="s">
        <v>2596</v>
      </c>
      <c r="C143" s="604" t="s">
        <v>2592</v>
      </c>
      <c r="D143" s="745">
        <v>2021</v>
      </c>
      <c r="E143" s="604" t="s">
        <v>1188</v>
      </c>
      <c r="F143" s="738">
        <v>0</v>
      </c>
      <c r="G143" s="739">
        <v>23000</v>
      </c>
      <c r="H143" s="741">
        <v>0</v>
      </c>
      <c r="I143" s="742">
        <f t="shared" si="52"/>
        <v>23000</v>
      </c>
      <c r="J143" s="740">
        <f t="shared" si="53"/>
        <v>0</v>
      </c>
      <c r="K143" s="739">
        <f t="shared" si="54"/>
        <v>0</v>
      </c>
      <c r="L143" s="854">
        <f t="shared" si="55"/>
        <v>23000</v>
      </c>
      <c r="M143" s="740">
        <f t="shared" si="67"/>
        <v>0</v>
      </c>
      <c r="N143" s="604">
        <f t="shared" si="56"/>
        <v>0</v>
      </c>
      <c r="O143" s="604">
        <f t="shared" si="57"/>
        <v>0</v>
      </c>
      <c r="P143" s="604">
        <f t="shared" si="58"/>
        <v>0</v>
      </c>
      <c r="Q143" s="604">
        <f t="shared" si="59"/>
        <v>0</v>
      </c>
      <c r="R143" s="604">
        <f t="shared" si="60"/>
        <v>0</v>
      </c>
      <c r="S143" s="604">
        <f t="shared" si="61"/>
        <v>0</v>
      </c>
      <c r="T143" s="604">
        <f t="shared" si="62"/>
        <v>0</v>
      </c>
      <c r="U143" s="604">
        <f t="shared" si="63"/>
        <v>0</v>
      </c>
      <c r="V143" s="604">
        <f t="shared" si="64"/>
        <v>0</v>
      </c>
      <c r="W143" s="604">
        <f t="shared" si="65"/>
        <v>0</v>
      </c>
      <c r="X143" s="746">
        <v>-23000</v>
      </c>
      <c r="Y143" s="746">
        <f t="shared" si="66"/>
        <v>-23000</v>
      </c>
    </row>
    <row r="144" spans="2:25">
      <c r="B144" s="598" t="s">
        <v>2596</v>
      </c>
      <c r="C144" s="604" t="s">
        <v>2592</v>
      </c>
      <c r="D144" s="745">
        <v>2021</v>
      </c>
      <c r="E144" s="604" t="s">
        <v>1189</v>
      </c>
      <c r="F144" s="738">
        <v>0</v>
      </c>
      <c r="G144" s="739">
        <v>57660.78</v>
      </c>
      <c r="H144" s="741">
        <v>0</v>
      </c>
      <c r="I144" s="742">
        <f t="shared" si="52"/>
        <v>57660.78</v>
      </c>
      <c r="J144" s="740">
        <f t="shared" si="53"/>
        <v>0</v>
      </c>
      <c r="K144" s="739">
        <f t="shared" si="54"/>
        <v>0</v>
      </c>
      <c r="L144" s="854">
        <f t="shared" si="55"/>
        <v>57660.78</v>
      </c>
      <c r="M144" s="740">
        <f t="shared" si="67"/>
        <v>0</v>
      </c>
      <c r="N144" s="604">
        <f t="shared" si="56"/>
        <v>0</v>
      </c>
      <c r="O144" s="604">
        <f t="shared" si="57"/>
        <v>0</v>
      </c>
      <c r="P144" s="604">
        <f t="shared" si="58"/>
        <v>0</v>
      </c>
      <c r="Q144" s="604">
        <f t="shared" si="59"/>
        <v>0</v>
      </c>
      <c r="R144" s="604">
        <f t="shared" si="60"/>
        <v>0</v>
      </c>
      <c r="S144" s="604">
        <f t="shared" si="61"/>
        <v>0</v>
      </c>
      <c r="T144" s="604">
        <f t="shared" si="62"/>
        <v>0</v>
      </c>
      <c r="U144" s="604">
        <f t="shared" si="63"/>
        <v>0</v>
      </c>
      <c r="V144" s="604">
        <f t="shared" si="64"/>
        <v>0</v>
      </c>
      <c r="W144" s="604">
        <f t="shared" si="65"/>
        <v>0</v>
      </c>
      <c r="X144" s="746">
        <v>-57660.78</v>
      </c>
      <c r="Y144" s="746">
        <f t="shared" si="66"/>
        <v>-57660.78</v>
      </c>
    </row>
    <row r="145" spans="2:25">
      <c r="B145" s="598" t="s">
        <v>2596</v>
      </c>
      <c r="C145" s="604" t="s">
        <v>2592</v>
      </c>
      <c r="D145" s="745">
        <v>2021</v>
      </c>
      <c r="E145" s="604"/>
      <c r="F145" s="738">
        <v>0</v>
      </c>
      <c r="G145" s="739">
        <v>11400</v>
      </c>
      <c r="H145" s="741">
        <v>0</v>
      </c>
      <c r="I145" s="742">
        <f t="shared" si="52"/>
        <v>11400</v>
      </c>
      <c r="J145" s="740">
        <f t="shared" si="53"/>
        <v>0</v>
      </c>
      <c r="K145" s="739">
        <f t="shared" si="54"/>
        <v>0</v>
      </c>
      <c r="L145" s="854">
        <f t="shared" si="55"/>
        <v>11400</v>
      </c>
      <c r="M145" s="740">
        <f t="shared" si="67"/>
        <v>0</v>
      </c>
      <c r="N145" s="604">
        <f t="shared" si="56"/>
        <v>0</v>
      </c>
      <c r="O145" s="604">
        <f t="shared" si="57"/>
        <v>0</v>
      </c>
      <c r="P145" s="604">
        <f t="shared" si="58"/>
        <v>0</v>
      </c>
      <c r="Q145" s="604">
        <f t="shared" si="59"/>
        <v>0</v>
      </c>
      <c r="R145" s="604">
        <f t="shared" si="60"/>
        <v>0</v>
      </c>
      <c r="S145" s="604">
        <f t="shared" si="61"/>
        <v>0</v>
      </c>
      <c r="T145" s="604">
        <f t="shared" si="62"/>
        <v>0</v>
      </c>
      <c r="U145" s="604">
        <f t="shared" si="63"/>
        <v>0</v>
      </c>
      <c r="V145" s="604">
        <f t="shared" si="64"/>
        <v>0</v>
      </c>
      <c r="W145" s="604">
        <f t="shared" si="65"/>
        <v>0</v>
      </c>
      <c r="X145" s="746">
        <v>-11400</v>
      </c>
      <c r="Y145" s="746">
        <f t="shared" si="66"/>
        <v>-11400</v>
      </c>
    </row>
    <row r="146" spans="2:25">
      <c r="B146" s="598" t="s">
        <v>2596</v>
      </c>
      <c r="C146" s="604" t="s">
        <v>2592</v>
      </c>
      <c r="D146" s="745">
        <v>2021</v>
      </c>
      <c r="E146" s="604"/>
      <c r="F146" s="738">
        <v>0</v>
      </c>
      <c r="G146" s="739">
        <v>6194</v>
      </c>
      <c r="H146" s="741">
        <v>0</v>
      </c>
      <c r="I146" s="742">
        <f t="shared" si="52"/>
        <v>6194</v>
      </c>
      <c r="J146" s="740">
        <f t="shared" si="53"/>
        <v>0</v>
      </c>
      <c r="K146" s="739">
        <f t="shared" si="54"/>
        <v>0</v>
      </c>
      <c r="L146" s="854">
        <f t="shared" si="55"/>
        <v>6194</v>
      </c>
      <c r="M146" s="740">
        <f t="shared" si="67"/>
        <v>0</v>
      </c>
      <c r="N146" s="604">
        <f t="shared" si="56"/>
        <v>0</v>
      </c>
      <c r="O146" s="604">
        <f t="shared" si="57"/>
        <v>0</v>
      </c>
      <c r="P146" s="604">
        <f t="shared" si="58"/>
        <v>0</v>
      </c>
      <c r="Q146" s="604">
        <f t="shared" si="59"/>
        <v>0</v>
      </c>
      <c r="R146" s="604">
        <f t="shared" si="60"/>
        <v>0</v>
      </c>
      <c r="S146" s="604">
        <f t="shared" si="61"/>
        <v>0</v>
      </c>
      <c r="T146" s="604">
        <f t="shared" si="62"/>
        <v>0</v>
      </c>
      <c r="U146" s="604">
        <f t="shared" si="63"/>
        <v>0</v>
      </c>
      <c r="V146" s="604">
        <f t="shared" si="64"/>
        <v>0</v>
      </c>
      <c r="W146" s="604">
        <f t="shared" si="65"/>
        <v>0</v>
      </c>
      <c r="X146" s="746">
        <v>-6194</v>
      </c>
      <c r="Y146" s="746">
        <f t="shared" si="66"/>
        <v>-6194</v>
      </c>
    </row>
    <row r="147" spans="2:25">
      <c r="B147" s="598" t="s">
        <v>2596</v>
      </c>
      <c r="C147" s="604" t="s">
        <v>2592</v>
      </c>
      <c r="D147" s="745">
        <v>2021</v>
      </c>
      <c r="E147" s="604"/>
      <c r="F147" s="738">
        <v>0</v>
      </c>
      <c r="G147" s="739">
        <v>6706.43</v>
      </c>
      <c r="H147" s="741">
        <v>0</v>
      </c>
      <c r="I147" s="742">
        <f t="shared" si="52"/>
        <v>6706.43</v>
      </c>
      <c r="J147" s="740">
        <f t="shared" si="53"/>
        <v>0</v>
      </c>
      <c r="K147" s="739">
        <f t="shared" si="54"/>
        <v>0</v>
      </c>
      <c r="L147" s="854">
        <f t="shared" si="55"/>
        <v>6706.43</v>
      </c>
      <c r="M147" s="740">
        <f t="shared" si="67"/>
        <v>0</v>
      </c>
      <c r="N147" s="604">
        <f t="shared" si="56"/>
        <v>0</v>
      </c>
      <c r="O147" s="604">
        <f t="shared" si="57"/>
        <v>0</v>
      </c>
      <c r="P147" s="604">
        <f t="shared" si="58"/>
        <v>0</v>
      </c>
      <c r="Q147" s="604">
        <f t="shared" si="59"/>
        <v>0</v>
      </c>
      <c r="R147" s="604">
        <f t="shared" si="60"/>
        <v>0</v>
      </c>
      <c r="S147" s="604">
        <f t="shared" si="61"/>
        <v>0</v>
      </c>
      <c r="T147" s="604">
        <f t="shared" si="62"/>
        <v>0</v>
      </c>
      <c r="U147" s="604">
        <f t="shared" si="63"/>
        <v>0</v>
      </c>
      <c r="V147" s="604">
        <f t="shared" si="64"/>
        <v>0</v>
      </c>
      <c r="W147" s="604">
        <f t="shared" si="65"/>
        <v>0</v>
      </c>
      <c r="X147" s="746">
        <v>-6706.43</v>
      </c>
      <c r="Y147" s="746">
        <f t="shared" si="66"/>
        <v>-6706.43</v>
      </c>
    </row>
    <row r="148" spans="2:25">
      <c r="B148" s="598" t="s">
        <v>2596</v>
      </c>
      <c r="C148" s="604" t="s">
        <v>2592</v>
      </c>
      <c r="D148" s="745">
        <v>2021</v>
      </c>
      <c r="E148" s="604"/>
      <c r="F148" s="738">
        <v>0</v>
      </c>
      <c r="G148" s="739">
        <v>125137.37</v>
      </c>
      <c r="H148" s="741">
        <v>0</v>
      </c>
      <c r="I148" s="742">
        <f t="shared" si="52"/>
        <v>125137.37</v>
      </c>
      <c r="J148" s="740">
        <f t="shared" si="53"/>
        <v>0</v>
      </c>
      <c r="K148" s="739">
        <f t="shared" si="54"/>
        <v>0</v>
      </c>
      <c r="L148" s="854">
        <f t="shared" si="55"/>
        <v>125137.37</v>
      </c>
      <c r="M148" s="740">
        <f t="shared" si="67"/>
        <v>0</v>
      </c>
      <c r="N148" s="604">
        <f t="shared" si="56"/>
        <v>0</v>
      </c>
      <c r="O148" s="604">
        <f t="shared" si="57"/>
        <v>0</v>
      </c>
      <c r="P148" s="604">
        <f t="shared" si="58"/>
        <v>0</v>
      </c>
      <c r="Q148" s="604">
        <f t="shared" si="59"/>
        <v>0</v>
      </c>
      <c r="R148" s="604">
        <f t="shared" si="60"/>
        <v>0</v>
      </c>
      <c r="S148" s="604">
        <f t="shared" si="61"/>
        <v>0</v>
      </c>
      <c r="T148" s="604">
        <f t="shared" si="62"/>
        <v>0</v>
      </c>
      <c r="U148" s="604">
        <f t="shared" si="63"/>
        <v>0</v>
      </c>
      <c r="V148" s="604">
        <f t="shared" si="64"/>
        <v>0</v>
      </c>
      <c r="W148" s="604">
        <f t="shared" si="65"/>
        <v>0</v>
      </c>
      <c r="X148" s="746">
        <v>-125137.37</v>
      </c>
      <c r="Y148" s="746">
        <f t="shared" si="66"/>
        <v>-125137.37</v>
      </c>
    </row>
    <row r="149" spans="2:25">
      <c r="B149" s="598" t="s">
        <v>2596</v>
      </c>
      <c r="C149" s="604" t="s">
        <v>2592</v>
      </c>
      <c r="D149" s="745">
        <v>2021</v>
      </c>
      <c r="E149" s="604"/>
      <c r="F149" s="738">
        <v>0</v>
      </c>
      <c r="G149" s="739">
        <v>5810.6</v>
      </c>
      <c r="H149" s="741">
        <v>0</v>
      </c>
      <c r="I149" s="742">
        <f t="shared" si="52"/>
        <v>5810.6</v>
      </c>
      <c r="J149" s="740">
        <f t="shared" si="53"/>
        <v>0</v>
      </c>
      <c r="K149" s="739">
        <f t="shared" si="54"/>
        <v>0</v>
      </c>
      <c r="L149" s="854">
        <f t="shared" si="55"/>
        <v>5810.6</v>
      </c>
      <c r="M149" s="740">
        <f t="shared" si="67"/>
        <v>0</v>
      </c>
      <c r="N149" s="604">
        <f t="shared" si="56"/>
        <v>0</v>
      </c>
      <c r="O149" s="604">
        <f t="shared" si="57"/>
        <v>0</v>
      </c>
      <c r="P149" s="604">
        <f t="shared" si="58"/>
        <v>0</v>
      </c>
      <c r="Q149" s="604">
        <f t="shared" si="59"/>
        <v>0</v>
      </c>
      <c r="R149" s="604">
        <f t="shared" si="60"/>
        <v>0</v>
      </c>
      <c r="S149" s="604">
        <f t="shared" si="61"/>
        <v>0</v>
      </c>
      <c r="T149" s="604">
        <f t="shared" si="62"/>
        <v>0</v>
      </c>
      <c r="U149" s="604">
        <f t="shared" si="63"/>
        <v>0</v>
      </c>
      <c r="V149" s="604">
        <f t="shared" si="64"/>
        <v>0</v>
      </c>
      <c r="W149" s="604">
        <f t="shared" si="65"/>
        <v>0</v>
      </c>
      <c r="X149" s="746">
        <v>-5810.6</v>
      </c>
      <c r="Y149" s="746">
        <f t="shared" si="66"/>
        <v>-5810.6</v>
      </c>
    </row>
    <row r="150" spans="2:25">
      <c r="B150" s="598" t="s">
        <v>2596</v>
      </c>
      <c r="C150" s="604" t="s">
        <v>2592</v>
      </c>
      <c r="D150" s="745">
        <v>2022</v>
      </c>
      <c r="E150" s="604"/>
      <c r="F150" s="738"/>
      <c r="G150" s="739">
        <v>1500</v>
      </c>
      <c r="H150" s="741">
        <v>0</v>
      </c>
      <c r="I150" s="742">
        <f t="shared" si="52"/>
        <v>1500</v>
      </c>
      <c r="J150" s="740">
        <f t="shared" si="53"/>
        <v>0</v>
      </c>
      <c r="K150" s="739">
        <f t="shared" si="54"/>
        <v>0</v>
      </c>
      <c r="L150" s="854">
        <f t="shared" si="55"/>
        <v>1500</v>
      </c>
      <c r="M150" s="740">
        <f t="shared" si="67"/>
        <v>0</v>
      </c>
      <c r="N150" s="604">
        <f t="shared" si="56"/>
        <v>0</v>
      </c>
      <c r="O150" s="604">
        <f t="shared" si="57"/>
        <v>0</v>
      </c>
      <c r="P150" s="604">
        <f t="shared" si="58"/>
        <v>0</v>
      </c>
      <c r="Q150" s="604">
        <f t="shared" si="59"/>
        <v>0</v>
      </c>
      <c r="R150" s="604">
        <f t="shared" si="60"/>
        <v>0</v>
      </c>
      <c r="S150" s="604">
        <f t="shared" si="61"/>
        <v>0</v>
      </c>
      <c r="T150" s="604">
        <f t="shared" si="62"/>
        <v>0</v>
      </c>
      <c r="U150" s="604">
        <f t="shared" si="63"/>
        <v>0</v>
      </c>
      <c r="V150" s="604">
        <f t="shared" si="64"/>
        <v>0</v>
      </c>
      <c r="W150" s="604">
        <f t="shared" si="65"/>
        <v>0</v>
      </c>
      <c r="X150" s="746">
        <v>-1500</v>
      </c>
      <c r="Y150" s="746">
        <f t="shared" si="66"/>
        <v>-1500</v>
      </c>
    </row>
    <row r="151" spans="2:25">
      <c r="B151" s="598" t="s">
        <v>2596</v>
      </c>
      <c r="C151" s="604" t="s">
        <v>2592</v>
      </c>
      <c r="D151" s="745">
        <v>2022</v>
      </c>
      <c r="E151" s="604"/>
      <c r="F151" s="738"/>
      <c r="G151" s="739">
        <v>46250</v>
      </c>
      <c r="H151" s="741">
        <v>0</v>
      </c>
      <c r="I151" s="742">
        <f t="shared" si="52"/>
        <v>46250</v>
      </c>
      <c r="J151" s="740">
        <f t="shared" si="53"/>
        <v>0</v>
      </c>
      <c r="K151" s="739">
        <f t="shared" si="54"/>
        <v>0</v>
      </c>
      <c r="L151" s="854">
        <f t="shared" si="55"/>
        <v>46250</v>
      </c>
      <c r="M151" s="740">
        <f t="shared" si="67"/>
        <v>0</v>
      </c>
      <c r="N151" s="604">
        <f t="shared" si="56"/>
        <v>0</v>
      </c>
      <c r="O151" s="604">
        <f t="shared" si="57"/>
        <v>0</v>
      </c>
      <c r="P151" s="604">
        <f t="shared" si="58"/>
        <v>0</v>
      </c>
      <c r="Q151" s="604">
        <f t="shared" si="59"/>
        <v>0</v>
      </c>
      <c r="R151" s="604">
        <f t="shared" si="60"/>
        <v>0</v>
      </c>
      <c r="S151" s="604">
        <f t="shared" si="61"/>
        <v>0</v>
      </c>
      <c r="T151" s="604">
        <f t="shared" si="62"/>
        <v>0</v>
      </c>
      <c r="U151" s="604">
        <f t="shared" si="63"/>
        <v>0</v>
      </c>
      <c r="V151" s="604">
        <f t="shared" si="64"/>
        <v>0</v>
      </c>
      <c r="W151" s="604">
        <f t="shared" si="65"/>
        <v>0</v>
      </c>
      <c r="X151" s="746">
        <v>-46250</v>
      </c>
      <c r="Y151" s="746">
        <f t="shared" si="66"/>
        <v>-46250</v>
      </c>
    </row>
    <row r="152" spans="2:25">
      <c r="B152" s="598" t="s">
        <v>2596</v>
      </c>
      <c r="C152" s="604" t="s">
        <v>2592</v>
      </c>
      <c r="D152" s="745">
        <v>2022</v>
      </c>
      <c r="E152" s="604"/>
      <c r="F152" s="738"/>
      <c r="G152" s="739">
        <v>24000</v>
      </c>
      <c r="H152" s="741">
        <v>0</v>
      </c>
      <c r="I152" s="742">
        <f t="shared" si="52"/>
        <v>24000</v>
      </c>
      <c r="J152" s="740">
        <f t="shared" si="53"/>
        <v>0</v>
      </c>
      <c r="K152" s="739">
        <f t="shared" si="54"/>
        <v>0</v>
      </c>
      <c r="L152" s="854">
        <f t="shared" si="55"/>
        <v>24000</v>
      </c>
      <c r="M152" s="740">
        <f t="shared" si="67"/>
        <v>0</v>
      </c>
      <c r="N152" s="604">
        <f t="shared" si="56"/>
        <v>0</v>
      </c>
      <c r="O152" s="604">
        <f t="shared" si="57"/>
        <v>0</v>
      </c>
      <c r="P152" s="604">
        <f t="shared" si="58"/>
        <v>0</v>
      </c>
      <c r="Q152" s="604">
        <f t="shared" si="59"/>
        <v>0</v>
      </c>
      <c r="R152" s="604">
        <f t="shared" si="60"/>
        <v>0</v>
      </c>
      <c r="S152" s="604">
        <f t="shared" si="61"/>
        <v>0</v>
      </c>
      <c r="T152" s="604">
        <f t="shared" si="62"/>
        <v>0</v>
      </c>
      <c r="U152" s="604">
        <f t="shared" si="63"/>
        <v>0</v>
      </c>
      <c r="V152" s="604">
        <f t="shared" si="64"/>
        <v>0</v>
      </c>
      <c r="W152" s="604">
        <f t="shared" si="65"/>
        <v>0</v>
      </c>
      <c r="X152" s="746">
        <v>-24000</v>
      </c>
      <c r="Y152" s="746">
        <f t="shared" si="66"/>
        <v>-24000</v>
      </c>
    </row>
    <row r="153" spans="2:25">
      <c r="B153" s="598" t="s">
        <v>2596</v>
      </c>
      <c r="C153" s="604" t="s">
        <v>2592</v>
      </c>
      <c r="D153" s="745">
        <v>2022</v>
      </c>
      <c r="E153" s="604"/>
      <c r="F153" s="738"/>
      <c r="G153" s="739">
        <v>108021.25</v>
      </c>
      <c r="H153" s="741">
        <v>0</v>
      </c>
      <c r="I153" s="742">
        <f t="shared" si="52"/>
        <v>108021.25</v>
      </c>
      <c r="J153" s="740">
        <f t="shared" si="53"/>
        <v>0</v>
      </c>
      <c r="K153" s="739">
        <f t="shared" si="54"/>
        <v>0</v>
      </c>
      <c r="L153" s="854">
        <f t="shared" si="55"/>
        <v>108021.25</v>
      </c>
      <c r="M153" s="740">
        <f t="shared" si="67"/>
        <v>0</v>
      </c>
      <c r="N153" s="604">
        <f t="shared" si="56"/>
        <v>0</v>
      </c>
      <c r="O153" s="604">
        <f t="shared" si="57"/>
        <v>0</v>
      </c>
      <c r="P153" s="604">
        <f t="shared" si="58"/>
        <v>0</v>
      </c>
      <c r="Q153" s="604">
        <f t="shared" si="59"/>
        <v>0</v>
      </c>
      <c r="R153" s="604">
        <f t="shared" si="60"/>
        <v>0</v>
      </c>
      <c r="S153" s="604">
        <f t="shared" si="61"/>
        <v>0</v>
      </c>
      <c r="T153" s="604">
        <f t="shared" si="62"/>
        <v>0</v>
      </c>
      <c r="U153" s="604">
        <f t="shared" si="63"/>
        <v>0</v>
      </c>
      <c r="V153" s="604">
        <f t="shared" si="64"/>
        <v>0</v>
      </c>
      <c r="W153" s="604">
        <f t="shared" si="65"/>
        <v>0</v>
      </c>
      <c r="X153" s="746">
        <v>-108021.25</v>
      </c>
      <c r="Y153" s="746">
        <f t="shared" si="66"/>
        <v>-108021.25</v>
      </c>
    </row>
    <row r="154" spans="2:25">
      <c r="B154" s="598" t="s">
        <v>2596</v>
      </c>
      <c r="C154" s="604" t="s">
        <v>2592</v>
      </c>
      <c r="D154" s="745">
        <v>2022</v>
      </c>
      <c r="E154" s="604"/>
      <c r="F154" s="738"/>
      <c r="G154" s="739">
        <v>4000</v>
      </c>
      <c r="H154" s="741">
        <v>0</v>
      </c>
      <c r="I154" s="742">
        <f t="shared" si="52"/>
        <v>4000</v>
      </c>
      <c r="J154" s="740">
        <f t="shared" si="53"/>
        <v>0</v>
      </c>
      <c r="K154" s="739">
        <f t="shared" si="54"/>
        <v>0</v>
      </c>
      <c r="L154" s="854">
        <f t="shared" si="55"/>
        <v>4000</v>
      </c>
      <c r="M154" s="740">
        <f t="shared" si="67"/>
        <v>0</v>
      </c>
      <c r="N154" s="604">
        <f t="shared" si="56"/>
        <v>0</v>
      </c>
      <c r="O154" s="604">
        <f t="shared" si="57"/>
        <v>0</v>
      </c>
      <c r="P154" s="604">
        <f t="shared" si="58"/>
        <v>0</v>
      </c>
      <c r="Q154" s="604">
        <f t="shared" si="59"/>
        <v>0</v>
      </c>
      <c r="R154" s="604">
        <f t="shared" si="60"/>
        <v>0</v>
      </c>
      <c r="S154" s="604">
        <f t="shared" si="61"/>
        <v>0</v>
      </c>
      <c r="T154" s="604">
        <f t="shared" si="62"/>
        <v>0</v>
      </c>
      <c r="U154" s="604">
        <f t="shared" si="63"/>
        <v>0</v>
      </c>
      <c r="V154" s="604">
        <f t="shared" si="64"/>
        <v>0</v>
      </c>
      <c r="W154" s="604">
        <f t="shared" si="65"/>
        <v>0</v>
      </c>
      <c r="X154" s="746">
        <v>-4000</v>
      </c>
      <c r="Y154" s="746">
        <f t="shared" si="66"/>
        <v>-4000</v>
      </c>
    </row>
    <row r="155" spans="2:25">
      <c r="B155" s="598" t="s">
        <v>2596</v>
      </c>
      <c r="C155" s="604" t="s">
        <v>2592</v>
      </c>
      <c r="D155" s="745">
        <v>2022</v>
      </c>
      <c r="E155" s="604"/>
      <c r="F155" s="738"/>
      <c r="G155" s="739">
        <v>84789.32</v>
      </c>
      <c r="H155" s="741">
        <v>0</v>
      </c>
      <c r="I155" s="742">
        <f t="shared" si="52"/>
        <v>84789.32</v>
      </c>
      <c r="J155" s="740">
        <f t="shared" si="53"/>
        <v>0</v>
      </c>
      <c r="K155" s="739">
        <f t="shared" si="54"/>
        <v>0</v>
      </c>
      <c r="L155" s="854">
        <f t="shared" si="55"/>
        <v>84789.32</v>
      </c>
      <c r="M155" s="740">
        <f t="shared" si="67"/>
        <v>0</v>
      </c>
      <c r="N155" s="604">
        <f t="shared" si="56"/>
        <v>0</v>
      </c>
      <c r="O155" s="604">
        <f t="shared" si="57"/>
        <v>0</v>
      </c>
      <c r="P155" s="604">
        <f t="shared" si="58"/>
        <v>0</v>
      </c>
      <c r="Q155" s="604">
        <f t="shared" si="59"/>
        <v>0</v>
      </c>
      <c r="R155" s="604">
        <f t="shared" si="60"/>
        <v>0</v>
      </c>
      <c r="S155" s="604">
        <f t="shared" si="61"/>
        <v>0</v>
      </c>
      <c r="T155" s="604">
        <f t="shared" si="62"/>
        <v>0</v>
      </c>
      <c r="U155" s="604">
        <f t="shared" si="63"/>
        <v>0</v>
      </c>
      <c r="V155" s="604">
        <f t="shared" si="64"/>
        <v>0</v>
      </c>
      <c r="W155" s="604">
        <f t="shared" si="65"/>
        <v>0</v>
      </c>
      <c r="X155" s="746">
        <v>-84789.32</v>
      </c>
      <c r="Y155" s="746">
        <f t="shared" si="66"/>
        <v>-84789.32</v>
      </c>
    </row>
    <row r="156" spans="2:25">
      <c r="B156" s="598" t="s">
        <v>2596</v>
      </c>
      <c r="C156" s="604" t="s">
        <v>2592</v>
      </c>
      <c r="D156" s="745">
        <v>2022</v>
      </c>
      <c r="E156" s="604"/>
      <c r="F156" s="738"/>
      <c r="G156" s="739">
        <v>16498.25</v>
      </c>
      <c r="H156" s="741">
        <v>0</v>
      </c>
      <c r="I156" s="742">
        <f t="shared" si="52"/>
        <v>16498.25</v>
      </c>
      <c r="J156" s="740">
        <f t="shared" si="53"/>
        <v>0</v>
      </c>
      <c r="K156" s="739">
        <f t="shared" si="54"/>
        <v>0</v>
      </c>
      <c r="L156" s="854">
        <f t="shared" si="55"/>
        <v>16498.25</v>
      </c>
      <c r="M156" s="740">
        <f t="shared" si="67"/>
        <v>0</v>
      </c>
      <c r="N156" s="604">
        <f t="shared" si="56"/>
        <v>0</v>
      </c>
      <c r="O156" s="604">
        <f t="shared" si="57"/>
        <v>0</v>
      </c>
      <c r="P156" s="604">
        <f t="shared" si="58"/>
        <v>0</v>
      </c>
      <c r="Q156" s="604">
        <f t="shared" si="59"/>
        <v>0</v>
      </c>
      <c r="R156" s="604">
        <f t="shared" si="60"/>
        <v>0</v>
      </c>
      <c r="S156" s="604">
        <f t="shared" si="61"/>
        <v>0</v>
      </c>
      <c r="T156" s="604">
        <f t="shared" si="62"/>
        <v>0</v>
      </c>
      <c r="U156" s="604">
        <f t="shared" si="63"/>
        <v>0</v>
      </c>
      <c r="V156" s="604">
        <f t="shared" si="64"/>
        <v>0</v>
      </c>
      <c r="W156" s="604">
        <f t="shared" si="65"/>
        <v>0</v>
      </c>
      <c r="X156" s="746">
        <v>-16498.25</v>
      </c>
      <c r="Y156" s="746">
        <f t="shared" si="66"/>
        <v>-16498.25</v>
      </c>
    </row>
    <row r="157" spans="2:25">
      <c r="B157" s="598" t="s">
        <v>2596</v>
      </c>
      <c r="C157" s="604" t="s">
        <v>2592</v>
      </c>
      <c r="D157" s="745">
        <v>2022</v>
      </c>
      <c r="E157" s="604"/>
      <c r="F157" s="738"/>
      <c r="G157" s="739">
        <v>5200</v>
      </c>
      <c r="H157" s="741">
        <v>0</v>
      </c>
      <c r="I157" s="742">
        <f t="shared" si="52"/>
        <v>5200</v>
      </c>
      <c r="J157" s="740">
        <f t="shared" si="53"/>
        <v>0</v>
      </c>
      <c r="K157" s="739">
        <f t="shared" si="54"/>
        <v>0</v>
      </c>
      <c r="L157" s="854">
        <f t="shared" si="55"/>
        <v>5200</v>
      </c>
      <c r="M157" s="740">
        <f t="shared" si="67"/>
        <v>0</v>
      </c>
      <c r="N157" s="604">
        <f t="shared" si="56"/>
        <v>0</v>
      </c>
      <c r="O157" s="604">
        <f t="shared" si="57"/>
        <v>0</v>
      </c>
      <c r="P157" s="604">
        <f t="shared" si="58"/>
        <v>0</v>
      </c>
      <c r="Q157" s="604">
        <f t="shared" si="59"/>
        <v>0</v>
      </c>
      <c r="R157" s="604">
        <f t="shared" si="60"/>
        <v>0</v>
      </c>
      <c r="S157" s="604">
        <f t="shared" si="61"/>
        <v>0</v>
      </c>
      <c r="T157" s="604">
        <f t="shared" si="62"/>
        <v>0</v>
      </c>
      <c r="U157" s="604">
        <f t="shared" si="63"/>
        <v>0</v>
      </c>
      <c r="V157" s="604">
        <f t="shared" si="64"/>
        <v>0</v>
      </c>
      <c r="W157" s="604">
        <f t="shared" si="65"/>
        <v>0</v>
      </c>
      <c r="X157" s="746">
        <v>-5200</v>
      </c>
      <c r="Y157" s="746">
        <f t="shared" si="66"/>
        <v>-5200</v>
      </c>
    </row>
    <row r="158" spans="2:25">
      <c r="B158" s="598" t="s">
        <v>2596</v>
      </c>
      <c r="C158" s="604" t="s">
        <v>2592</v>
      </c>
      <c r="D158" s="745">
        <v>2022</v>
      </c>
      <c r="E158" s="604"/>
      <c r="F158" s="738"/>
      <c r="G158" s="739">
        <v>35300</v>
      </c>
      <c r="H158" s="741">
        <v>0</v>
      </c>
      <c r="I158" s="742">
        <f t="shared" si="52"/>
        <v>35300</v>
      </c>
      <c r="J158" s="740">
        <f t="shared" si="53"/>
        <v>0</v>
      </c>
      <c r="K158" s="739">
        <f t="shared" si="54"/>
        <v>0</v>
      </c>
      <c r="L158" s="854">
        <f t="shared" si="55"/>
        <v>35300</v>
      </c>
      <c r="M158" s="740">
        <f t="shared" si="67"/>
        <v>0</v>
      </c>
      <c r="N158" s="604">
        <f t="shared" si="56"/>
        <v>0</v>
      </c>
      <c r="O158" s="604">
        <f t="shared" si="57"/>
        <v>0</v>
      </c>
      <c r="P158" s="604">
        <f t="shared" si="58"/>
        <v>0</v>
      </c>
      <c r="Q158" s="604">
        <f t="shared" si="59"/>
        <v>0</v>
      </c>
      <c r="R158" s="604">
        <f t="shared" si="60"/>
        <v>0</v>
      </c>
      <c r="S158" s="604">
        <f t="shared" si="61"/>
        <v>0</v>
      </c>
      <c r="T158" s="604">
        <f t="shared" si="62"/>
        <v>0</v>
      </c>
      <c r="U158" s="604">
        <f t="shared" si="63"/>
        <v>0</v>
      </c>
      <c r="V158" s="604">
        <f t="shared" si="64"/>
        <v>0</v>
      </c>
      <c r="W158" s="604">
        <f t="shared" si="65"/>
        <v>0</v>
      </c>
      <c r="X158" s="746">
        <v>-35300</v>
      </c>
      <c r="Y158" s="746">
        <f t="shared" si="66"/>
        <v>-35300</v>
      </c>
    </row>
    <row r="159" spans="2:25">
      <c r="B159" s="598" t="s">
        <v>2596</v>
      </c>
      <c r="C159" s="604" t="s">
        <v>2592</v>
      </c>
      <c r="D159" s="745">
        <v>2022</v>
      </c>
      <c r="E159" s="604"/>
      <c r="F159" s="738"/>
      <c r="G159" s="739">
        <v>67800.100000000006</v>
      </c>
      <c r="H159" s="741">
        <v>0</v>
      </c>
      <c r="I159" s="742">
        <f t="shared" si="52"/>
        <v>67800.100000000006</v>
      </c>
      <c r="J159" s="740">
        <f t="shared" si="53"/>
        <v>0</v>
      </c>
      <c r="K159" s="739">
        <f t="shared" si="54"/>
        <v>0</v>
      </c>
      <c r="L159" s="854">
        <f t="shared" si="55"/>
        <v>67800.100000000006</v>
      </c>
      <c r="M159" s="740">
        <f t="shared" si="67"/>
        <v>0</v>
      </c>
      <c r="N159" s="604">
        <f t="shared" si="56"/>
        <v>0</v>
      </c>
      <c r="O159" s="604">
        <f t="shared" si="57"/>
        <v>0</v>
      </c>
      <c r="P159" s="604">
        <f t="shared" si="58"/>
        <v>0</v>
      </c>
      <c r="Q159" s="604">
        <f t="shared" si="59"/>
        <v>0</v>
      </c>
      <c r="R159" s="604">
        <f t="shared" si="60"/>
        <v>0</v>
      </c>
      <c r="S159" s="604">
        <f t="shared" si="61"/>
        <v>0</v>
      </c>
      <c r="T159" s="604">
        <f t="shared" si="62"/>
        <v>0</v>
      </c>
      <c r="U159" s="604">
        <f t="shared" si="63"/>
        <v>0</v>
      </c>
      <c r="V159" s="604">
        <f t="shared" si="64"/>
        <v>0</v>
      </c>
      <c r="W159" s="604">
        <f t="shared" si="65"/>
        <v>0</v>
      </c>
      <c r="X159" s="746">
        <v>-67800.100000000006</v>
      </c>
      <c r="Y159" s="746">
        <f t="shared" si="66"/>
        <v>-67800.100000000006</v>
      </c>
    </row>
    <row r="160" spans="2:25">
      <c r="B160" s="598" t="s">
        <v>2596</v>
      </c>
      <c r="C160" s="604" t="s">
        <v>2592</v>
      </c>
      <c r="D160" s="745">
        <v>2022</v>
      </c>
      <c r="E160" s="604"/>
      <c r="F160" s="738"/>
      <c r="G160" s="739">
        <v>7504</v>
      </c>
      <c r="H160" s="741">
        <v>0</v>
      </c>
      <c r="I160" s="742">
        <f t="shared" si="52"/>
        <v>7504</v>
      </c>
      <c r="J160" s="740">
        <f t="shared" si="53"/>
        <v>0</v>
      </c>
      <c r="K160" s="739">
        <f t="shared" si="54"/>
        <v>0</v>
      </c>
      <c r="L160" s="854">
        <f t="shared" si="55"/>
        <v>7504</v>
      </c>
      <c r="M160" s="740">
        <f t="shared" si="67"/>
        <v>0</v>
      </c>
      <c r="N160" s="604">
        <f t="shared" si="56"/>
        <v>0</v>
      </c>
      <c r="O160" s="604">
        <f t="shared" si="57"/>
        <v>0</v>
      </c>
      <c r="P160" s="604">
        <f t="shared" si="58"/>
        <v>0</v>
      </c>
      <c r="Q160" s="604">
        <f t="shared" si="59"/>
        <v>0</v>
      </c>
      <c r="R160" s="604">
        <f t="shared" si="60"/>
        <v>0</v>
      </c>
      <c r="S160" s="604">
        <f t="shared" si="61"/>
        <v>0</v>
      </c>
      <c r="T160" s="604">
        <f t="shared" si="62"/>
        <v>0</v>
      </c>
      <c r="U160" s="604">
        <f t="shared" si="63"/>
        <v>0</v>
      </c>
      <c r="V160" s="604">
        <f t="shared" si="64"/>
        <v>0</v>
      </c>
      <c r="W160" s="604">
        <f t="shared" si="65"/>
        <v>0</v>
      </c>
      <c r="X160" s="746">
        <v>-7504</v>
      </c>
      <c r="Y160" s="746">
        <f t="shared" si="66"/>
        <v>-7504</v>
      </c>
    </row>
    <row r="161" spans="2:25">
      <c r="B161" s="598" t="s">
        <v>2596</v>
      </c>
      <c r="C161" s="604" t="s">
        <v>2592</v>
      </c>
      <c r="D161" s="745">
        <v>2022</v>
      </c>
      <c r="E161" s="604"/>
      <c r="F161" s="738"/>
      <c r="G161" s="739">
        <v>5800</v>
      </c>
      <c r="H161" s="741">
        <v>0</v>
      </c>
      <c r="I161" s="742">
        <f t="shared" si="52"/>
        <v>5800</v>
      </c>
      <c r="J161" s="740">
        <f t="shared" si="53"/>
        <v>0</v>
      </c>
      <c r="K161" s="739">
        <f t="shared" si="54"/>
        <v>0</v>
      </c>
      <c r="L161" s="854">
        <f t="shared" si="55"/>
        <v>5800</v>
      </c>
      <c r="M161" s="740">
        <f t="shared" si="67"/>
        <v>0</v>
      </c>
      <c r="N161" s="604">
        <f t="shared" si="56"/>
        <v>0</v>
      </c>
      <c r="O161" s="604">
        <f t="shared" si="57"/>
        <v>0</v>
      </c>
      <c r="P161" s="604">
        <f t="shared" si="58"/>
        <v>0</v>
      </c>
      <c r="Q161" s="604">
        <f t="shared" si="59"/>
        <v>0</v>
      </c>
      <c r="R161" s="604">
        <f t="shared" si="60"/>
        <v>0</v>
      </c>
      <c r="S161" s="604">
        <f t="shared" si="61"/>
        <v>0</v>
      </c>
      <c r="T161" s="604">
        <f t="shared" si="62"/>
        <v>0</v>
      </c>
      <c r="U161" s="604">
        <f t="shared" si="63"/>
        <v>0</v>
      </c>
      <c r="V161" s="604">
        <f t="shared" si="64"/>
        <v>0</v>
      </c>
      <c r="W161" s="604">
        <f t="shared" si="65"/>
        <v>0</v>
      </c>
      <c r="X161" s="746">
        <v>-5800</v>
      </c>
      <c r="Y161" s="746">
        <f t="shared" si="66"/>
        <v>-5800</v>
      </c>
    </row>
    <row r="162" spans="2:25">
      <c r="B162" s="598" t="s">
        <v>2596</v>
      </c>
      <c r="C162" s="604" t="s">
        <v>2592</v>
      </c>
      <c r="D162" s="745">
        <v>2022</v>
      </c>
      <c r="E162" s="604"/>
      <c r="F162" s="738"/>
      <c r="G162" s="739">
        <v>24532</v>
      </c>
      <c r="H162" s="741">
        <v>0</v>
      </c>
      <c r="I162" s="742">
        <f t="shared" si="52"/>
        <v>24532</v>
      </c>
      <c r="J162" s="740">
        <f t="shared" si="53"/>
        <v>0</v>
      </c>
      <c r="K162" s="739">
        <f t="shared" si="54"/>
        <v>0</v>
      </c>
      <c r="L162" s="854">
        <f t="shared" si="55"/>
        <v>24532</v>
      </c>
      <c r="M162" s="740">
        <f t="shared" si="67"/>
        <v>0</v>
      </c>
      <c r="N162" s="604">
        <f t="shared" si="56"/>
        <v>0</v>
      </c>
      <c r="O162" s="604">
        <f t="shared" si="57"/>
        <v>0</v>
      </c>
      <c r="P162" s="604">
        <f t="shared" si="58"/>
        <v>0</v>
      </c>
      <c r="Q162" s="604">
        <f t="shared" si="59"/>
        <v>0</v>
      </c>
      <c r="R162" s="604">
        <f t="shared" si="60"/>
        <v>0</v>
      </c>
      <c r="S162" s="604">
        <f t="shared" si="61"/>
        <v>0</v>
      </c>
      <c r="T162" s="604">
        <f t="shared" si="62"/>
        <v>0</v>
      </c>
      <c r="U162" s="604">
        <f t="shared" si="63"/>
        <v>0</v>
      </c>
      <c r="V162" s="604">
        <f t="shared" si="64"/>
        <v>0</v>
      </c>
      <c r="W162" s="604">
        <f t="shared" si="65"/>
        <v>0</v>
      </c>
      <c r="X162" s="746">
        <v>-24532</v>
      </c>
      <c r="Y162" s="746">
        <f t="shared" si="66"/>
        <v>-24532</v>
      </c>
    </row>
    <row r="163" spans="2:25">
      <c r="B163" s="598" t="s">
        <v>2596</v>
      </c>
      <c r="C163" s="604" t="s">
        <v>2592</v>
      </c>
      <c r="D163" s="745">
        <v>2022</v>
      </c>
      <c r="E163" s="604"/>
      <c r="F163" s="738"/>
      <c r="G163" s="739">
        <v>14500</v>
      </c>
      <c r="H163" s="741">
        <v>0</v>
      </c>
      <c r="I163" s="742">
        <f t="shared" si="52"/>
        <v>14500</v>
      </c>
      <c r="J163" s="740">
        <f t="shared" si="53"/>
        <v>0</v>
      </c>
      <c r="K163" s="739">
        <f t="shared" si="54"/>
        <v>0</v>
      </c>
      <c r="L163" s="854">
        <f t="shared" si="55"/>
        <v>14500</v>
      </c>
      <c r="M163" s="740">
        <f t="shared" si="67"/>
        <v>0</v>
      </c>
      <c r="N163" s="604">
        <f t="shared" si="56"/>
        <v>0</v>
      </c>
      <c r="O163" s="604">
        <f t="shared" si="57"/>
        <v>0</v>
      </c>
      <c r="P163" s="604">
        <f t="shared" si="58"/>
        <v>0</v>
      </c>
      <c r="Q163" s="604">
        <f t="shared" si="59"/>
        <v>0</v>
      </c>
      <c r="R163" s="604">
        <f t="shared" si="60"/>
        <v>0</v>
      </c>
      <c r="S163" s="604">
        <f t="shared" si="61"/>
        <v>0</v>
      </c>
      <c r="T163" s="604">
        <f t="shared" si="62"/>
        <v>0</v>
      </c>
      <c r="U163" s="604">
        <f t="shared" si="63"/>
        <v>0</v>
      </c>
      <c r="V163" s="604">
        <f t="shared" si="64"/>
        <v>0</v>
      </c>
      <c r="W163" s="604">
        <f t="shared" si="65"/>
        <v>0</v>
      </c>
      <c r="X163" s="746">
        <v>-14500</v>
      </c>
      <c r="Y163" s="746">
        <f t="shared" si="66"/>
        <v>-14500</v>
      </c>
    </row>
    <row r="164" spans="2:25">
      <c r="B164" s="598" t="s">
        <v>2596</v>
      </c>
      <c r="C164" s="604" t="s">
        <v>2592</v>
      </c>
      <c r="D164" s="745">
        <v>2022</v>
      </c>
      <c r="E164" s="604"/>
      <c r="F164" s="738"/>
      <c r="G164" s="739">
        <v>475</v>
      </c>
      <c r="H164" s="741">
        <v>0</v>
      </c>
      <c r="I164" s="742">
        <f t="shared" si="52"/>
        <v>475</v>
      </c>
      <c r="J164" s="740">
        <f t="shared" si="53"/>
        <v>0</v>
      </c>
      <c r="K164" s="739">
        <f t="shared" si="54"/>
        <v>0</v>
      </c>
      <c r="L164" s="854">
        <f t="shared" si="55"/>
        <v>475</v>
      </c>
      <c r="M164" s="740">
        <f t="shared" si="67"/>
        <v>0</v>
      </c>
      <c r="N164" s="604">
        <f t="shared" si="56"/>
        <v>0</v>
      </c>
      <c r="O164" s="604">
        <f t="shared" si="57"/>
        <v>0</v>
      </c>
      <c r="P164" s="604">
        <f t="shared" si="58"/>
        <v>0</v>
      </c>
      <c r="Q164" s="604">
        <f t="shared" si="59"/>
        <v>0</v>
      </c>
      <c r="R164" s="604">
        <f t="shared" si="60"/>
        <v>0</v>
      </c>
      <c r="S164" s="604">
        <f t="shared" si="61"/>
        <v>0</v>
      </c>
      <c r="T164" s="604">
        <f t="shared" si="62"/>
        <v>0</v>
      </c>
      <c r="U164" s="604">
        <f t="shared" si="63"/>
        <v>0</v>
      </c>
      <c r="V164" s="604">
        <f t="shared" si="64"/>
        <v>0</v>
      </c>
      <c r="W164" s="604">
        <f t="shared" si="65"/>
        <v>0</v>
      </c>
      <c r="X164" s="746">
        <v>-475</v>
      </c>
      <c r="Y164" s="746">
        <f t="shared" si="66"/>
        <v>-475</v>
      </c>
    </row>
    <row r="165" spans="2:25">
      <c r="B165" s="598" t="s">
        <v>2596</v>
      </c>
      <c r="C165" s="604" t="s">
        <v>2592</v>
      </c>
      <c r="D165" s="745">
        <v>2022</v>
      </c>
      <c r="E165" s="604" t="s">
        <v>2543</v>
      </c>
      <c r="F165" s="738">
        <v>0.2</v>
      </c>
      <c r="G165" s="739">
        <v>23000</v>
      </c>
      <c r="H165" s="741">
        <v>0</v>
      </c>
      <c r="I165" s="742">
        <f t="shared" si="52"/>
        <v>23000</v>
      </c>
      <c r="J165" s="740">
        <f t="shared" si="53"/>
        <v>4600</v>
      </c>
      <c r="K165" s="739">
        <f t="shared" si="54"/>
        <v>4600</v>
      </c>
      <c r="L165" s="854">
        <f t="shared" si="55"/>
        <v>18400</v>
      </c>
      <c r="M165" s="740">
        <f t="shared" si="67"/>
        <v>4600</v>
      </c>
      <c r="N165" s="604">
        <f t="shared" si="56"/>
        <v>4600</v>
      </c>
      <c r="O165" s="604">
        <f t="shared" si="57"/>
        <v>4600</v>
      </c>
      <c r="P165" s="604">
        <f t="shared" si="58"/>
        <v>4600</v>
      </c>
      <c r="Q165" s="604">
        <f t="shared" si="59"/>
        <v>0</v>
      </c>
      <c r="R165" s="604">
        <f t="shared" si="60"/>
        <v>0</v>
      </c>
      <c r="S165" s="604">
        <f t="shared" si="61"/>
        <v>0</v>
      </c>
      <c r="T165" s="604">
        <f t="shared" si="62"/>
        <v>0</v>
      </c>
      <c r="U165" s="604">
        <f t="shared" si="63"/>
        <v>0</v>
      </c>
      <c r="V165" s="604">
        <f t="shared" si="64"/>
        <v>0</v>
      </c>
      <c r="W165" s="604">
        <f t="shared" si="65"/>
        <v>0</v>
      </c>
      <c r="X165" s="746">
        <v>0</v>
      </c>
      <c r="Y165" s="746">
        <f t="shared" si="66"/>
        <v>0</v>
      </c>
    </row>
    <row r="166" spans="2:25">
      <c r="B166" s="598" t="s">
        <v>2596</v>
      </c>
      <c r="C166" s="604" t="s">
        <v>2592</v>
      </c>
      <c r="D166" s="745">
        <v>2000</v>
      </c>
      <c r="E166" s="604" t="s">
        <v>1190</v>
      </c>
      <c r="F166" s="738">
        <v>0.2</v>
      </c>
      <c r="G166" s="739">
        <v>1229.99</v>
      </c>
      <c r="H166" s="741">
        <v>1229.99</v>
      </c>
      <c r="I166" s="742">
        <f t="shared" si="52"/>
        <v>0</v>
      </c>
      <c r="J166" s="740">
        <f t="shared" si="53"/>
        <v>0</v>
      </c>
      <c r="K166" s="739">
        <f t="shared" si="54"/>
        <v>1229.99</v>
      </c>
      <c r="L166" s="854">
        <f t="shared" si="55"/>
        <v>0</v>
      </c>
      <c r="M166" s="740">
        <f t="shared" si="67"/>
        <v>0</v>
      </c>
      <c r="N166" s="604">
        <f t="shared" si="56"/>
        <v>0</v>
      </c>
      <c r="O166" s="604">
        <f t="shared" si="57"/>
        <v>0</v>
      </c>
      <c r="P166" s="604">
        <f t="shared" si="58"/>
        <v>0</v>
      </c>
      <c r="Q166" s="604">
        <f t="shared" si="59"/>
        <v>0</v>
      </c>
      <c r="R166" s="604">
        <f t="shared" si="60"/>
        <v>0</v>
      </c>
      <c r="S166" s="604">
        <f t="shared" si="61"/>
        <v>0</v>
      </c>
      <c r="T166" s="604">
        <f t="shared" si="62"/>
        <v>0</v>
      </c>
      <c r="U166" s="604">
        <f t="shared" si="63"/>
        <v>0</v>
      </c>
      <c r="V166" s="604">
        <f t="shared" si="64"/>
        <v>0</v>
      </c>
      <c r="W166" s="604">
        <f t="shared" si="65"/>
        <v>0</v>
      </c>
      <c r="X166" s="746">
        <v>0</v>
      </c>
      <c r="Y166" s="746">
        <f t="shared" si="66"/>
        <v>0</v>
      </c>
    </row>
    <row r="167" spans="2:25">
      <c r="B167" s="598" t="s">
        <v>2596</v>
      </c>
      <c r="C167" s="604" t="s">
        <v>2592</v>
      </c>
      <c r="D167" s="745">
        <v>2000</v>
      </c>
      <c r="E167" s="604" t="s">
        <v>1191</v>
      </c>
      <c r="F167" s="738">
        <v>0.2</v>
      </c>
      <c r="G167" s="739">
        <v>13532.72</v>
      </c>
      <c r="H167" s="741">
        <v>13532.72</v>
      </c>
      <c r="I167" s="742">
        <f t="shared" si="52"/>
        <v>0</v>
      </c>
      <c r="J167" s="740">
        <f t="shared" si="53"/>
        <v>0</v>
      </c>
      <c r="K167" s="739">
        <f t="shared" si="54"/>
        <v>13532.72</v>
      </c>
      <c r="L167" s="854">
        <f t="shared" si="55"/>
        <v>0</v>
      </c>
      <c r="M167" s="740">
        <f t="shared" si="67"/>
        <v>0</v>
      </c>
      <c r="N167" s="604">
        <f t="shared" si="56"/>
        <v>0</v>
      </c>
      <c r="O167" s="604">
        <f t="shared" si="57"/>
        <v>0</v>
      </c>
      <c r="P167" s="604">
        <f t="shared" si="58"/>
        <v>0</v>
      </c>
      <c r="Q167" s="604">
        <f t="shared" si="59"/>
        <v>0</v>
      </c>
      <c r="R167" s="604">
        <f t="shared" si="60"/>
        <v>0</v>
      </c>
      <c r="S167" s="604">
        <f t="shared" si="61"/>
        <v>0</v>
      </c>
      <c r="T167" s="604">
        <f t="shared" si="62"/>
        <v>0</v>
      </c>
      <c r="U167" s="604">
        <f t="shared" si="63"/>
        <v>0</v>
      </c>
      <c r="V167" s="604">
        <f t="shared" si="64"/>
        <v>0</v>
      </c>
      <c r="W167" s="604">
        <f t="shared" si="65"/>
        <v>0</v>
      </c>
      <c r="X167" s="746">
        <v>0</v>
      </c>
      <c r="Y167" s="746">
        <f t="shared" si="66"/>
        <v>0</v>
      </c>
    </row>
    <row r="168" spans="2:25">
      <c r="B168" s="598" t="s">
        <v>2596</v>
      </c>
      <c r="C168" s="604" t="s">
        <v>2592</v>
      </c>
      <c r="D168" s="745">
        <v>2001</v>
      </c>
      <c r="E168" s="604" t="s">
        <v>1192</v>
      </c>
      <c r="F168" s="738">
        <v>0.2</v>
      </c>
      <c r="G168" s="739">
        <v>5422.8</v>
      </c>
      <c r="H168" s="741">
        <v>5422.8</v>
      </c>
      <c r="I168" s="742">
        <f t="shared" si="52"/>
        <v>0</v>
      </c>
      <c r="J168" s="740">
        <f t="shared" si="53"/>
        <v>0</v>
      </c>
      <c r="K168" s="739">
        <f t="shared" si="54"/>
        <v>5422.8</v>
      </c>
      <c r="L168" s="854">
        <f t="shared" si="55"/>
        <v>0</v>
      </c>
      <c r="M168" s="740">
        <f t="shared" si="67"/>
        <v>0</v>
      </c>
      <c r="N168" s="604">
        <f t="shared" si="56"/>
        <v>0</v>
      </c>
      <c r="O168" s="604">
        <f t="shared" si="57"/>
        <v>0</v>
      </c>
      <c r="P168" s="604">
        <f t="shared" si="58"/>
        <v>0</v>
      </c>
      <c r="Q168" s="604">
        <f t="shared" si="59"/>
        <v>0</v>
      </c>
      <c r="R168" s="604">
        <f t="shared" si="60"/>
        <v>0</v>
      </c>
      <c r="S168" s="604">
        <f t="shared" si="61"/>
        <v>0</v>
      </c>
      <c r="T168" s="604">
        <f t="shared" si="62"/>
        <v>0</v>
      </c>
      <c r="U168" s="604">
        <f t="shared" si="63"/>
        <v>0</v>
      </c>
      <c r="V168" s="604">
        <f t="shared" si="64"/>
        <v>0</v>
      </c>
      <c r="W168" s="604">
        <f t="shared" si="65"/>
        <v>0</v>
      </c>
      <c r="X168" s="746">
        <v>0</v>
      </c>
      <c r="Y168" s="746">
        <f t="shared" si="66"/>
        <v>0</v>
      </c>
    </row>
    <row r="169" spans="2:25">
      <c r="B169" s="598" t="s">
        <v>2596</v>
      </c>
      <c r="C169" s="604" t="s">
        <v>2592</v>
      </c>
      <c r="D169" s="745">
        <v>2001</v>
      </c>
      <c r="E169" s="604" t="s">
        <v>1193</v>
      </c>
      <c r="F169" s="738">
        <v>0.2</v>
      </c>
      <c r="G169" s="739">
        <v>3780.46</v>
      </c>
      <c r="H169" s="741">
        <v>3780.46</v>
      </c>
      <c r="I169" s="742">
        <f t="shared" si="52"/>
        <v>0</v>
      </c>
      <c r="J169" s="740">
        <f t="shared" si="53"/>
        <v>0</v>
      </c>
      <c r="K169" s="739">
        <f t="shared" si="54"/>
        <v>3780.46</v>
      </c>
      <c r="L169" s="854">
        <f t="shared" si="55"/>
        <v>0</v>
      </c>
      <c r="M169" s="740">
        <f t="shared" si="67"/>
        <v>0</v>
      </c>
      <c r="N169" s="604">
        <f t="shared" si="56"/>
        <v>0</v>
      </c>
      <c r="O169" s="604">
        <f t="shared" si="57"/>
        <v>0</v>
      </c>
      <c r="P169" s="604">
        <f t="shared" si="58"/>
        <v>0</v>
      </c>
      <c r="Q169" s="604">
        <f t="shared" si="59"/>
        <v>0</v>
      </c>
      <c r="R169" s="604">
        <f t="shared" si="60"/>
        <v>0</v>
      </c>
      <c r="S169" s="604">
        <f t="shared" si="61"/>
        <v>0</v>
      </c>
      <c r="T169" s="604">
        <f t="shared" si="62"/>
        <v>0</v>
      </c>
      <c r="U169" s="604">
        <f t="shared" si="63"/>
        <v>0</v>
      </c>
      <c r="V169" s="604">
        <f t="shared" si="64"/>
        <v>0</v>
      </c>
      <c r="W169" s="604">
        <f t="shared" si="65"/>
        <v>0</v>
      </c>
      <c r="X169" s="746">
        <v>0</v>
      </c>
      <c r="Y169" s="746">
        <f t="shared" si="66"/>
        <v>0</v>
      </c>
    </row>
    <row r="170" spans="2:25">
      <c r="B170" s="598" t="s">
        <v>2596</v>
      </c>
      <c r="C170" s="604" t="s">
        <v>2592</v>
      </c>
      <c r="D170" s="745">
        <v>2001</v>
      </c>
      <c r="E170" s="604" t="s">
        <v>1194</v>
      </c>
      <c r="F170" s="738">
        <v>0.2</v>
      </c>
      <c r="G170" s="739">
        <v>3682.08</v>
      </c>
      <c r="H170" s="741">
        <v>3682.08</v>
      </c>
      <c r="I170" s="742">
        <f t="shared" si="52"/>
        <v>0</v>
      </c>
      <c r="J170" s="740">
        <f t="shared" si="53"/>
        <v>0</v>
      </c>
      <c r="K170" s="739">
        <f t="shared" si="54"/>
        <v>3682.08</v>
      </c>
      <c r="L170" s="854">
        <f t="shared" si="55"/>
        <v>0</v>
      </c>
      <c r="M170" s="740">
        <f t="shared" si="67"/>
        <v>0</v>
      </c>
      <c r="N170" s="604">
        <f t="shared" si="56"/>
        <v>0</v>
      </c>
      <c r="O170" s="604">
        <f t="shared" si="57"/>
        <v>0</v>
      </c>
      <c r="P170" s="604">
        <f t="shared" si="58"/>
        <v>0</v>
      </c>
      <c r="Q170" s="604">
        <f t="shared" si="59"/>
        <v>0</v>
      </c>
      <c r="R170" s="604">
        <f t="shared" si="60"/>
        <v>0</v>
      </c>
      <c r="S170" s="604">
        <f t="shared" si="61"/>
        <v>0</v>
      </c>
      <c r="T170" s="604">
        <f t="shared" si="62"/>
        <v>0</v>
      </c>
      <c r="U170" s="604">
        <f t="shared" si="63"/>
        <v>0</v>
      </c>
      <c r="V170" s="604">
        <f t="shared" si="64"/>
        <v>0</v>
      </c>
      <c r="W170" s="604">
        <f t="shared" si="65"/>
        <v>0</v>
      </c>
      <c r="X170" s="746">
        <v>0</v>
      </c>
      <c r="Y170" s="746">
        <f t="shared" si="66"/>
        <v>0</v>
      </c>
    </row>
    <row r="171" spans="2:25">
      <c r="B171" s="598" t="s">
        <v>2596</v>
      </c>
      <c r="C171" s="604" t="s">
        <v>2592</v>
      </c>
      <c r="D171" s="745">
        <v>2002</v>
      </c>
      <c r="E171" s="604" t="s">
        <v>1195</v>
      </c>
      <c r="F171" s="738">
        <v>0.2</v>
      </c>
      <c r="G171" s="739">
        <v>1000</v>
      </c>
      <c r="H171" s="741">
        <v>1000</v>
      </c>
      <c r="I171" s="742">
        <f t="shared" si="52"/>
        <v>0</v>
      </c>
      <c r="J171" s="740">
        <f t="shared" si="53"/>
        <v>0</v>
      </c>
      <c r="K171" s="739">
        <f t="shared" si="54"/>
        <v>1000</v>
      </c>
      <c r="L171" s="854">
        <f t="shared" si="55"/>
        <v>0</v>
      </c>
      <c r="M171" s="740">
        <f t="shared" si="67"/>
        <v>0</v>
      </c>
      <c r="N171" s="604">
        <f t="shared" si="56"/>
        <v>0</v>
      </c>
      <c r="O171" s="604">
        <f t="shared" si="57"/>
        <v>0</v>
      </c>
      <c r="P171" s="604">
        <f t="shared" si="58"/>
        <v>0</v>
      </c>
      <c r="Q171" s="604">
        <f t="shared" si="59"/>
        <v>0</v>
      </c>
      <c r="R171" s="604">
        <f t="shared" si="60"/>
        <v>0</v>
      </c>
      <c r="S171" s="604">
        <f t="shared" si="61"/>
        <v>0</v>
      </c>
      <c r="T171" s="604">
        <f t="shared" si="62"/>
        <v>0</v>
      </c>
      <c r="U171" s="604">
        <f t="shared" si="63"/>
        <v>0</v>
      </c>
      <c r="V171" s="604">
        <f t="shared" si="64"/>
        <v>0</v>
      </c>
      <c r="W171" s="604">
        <f t="shared" si="65"/>
        <v>0</v>
      </c>
      <c r="X171" s="746">
        <v>0</v>
      </c>
      <c r="Y171" s="746">
        <f t="shared" si="66"/>
        <v>0</v>
      </c>
    </row>
    <row r="172" spans="2:25">
      <c r="B172" s="598" t="s">
        <v>2596</v>
      </c>
      <c r="C172" s="604" t="s">
        <v>2592</v>
      </c>
      <c r="D172" s="745">
        <v>2002</v>
      </c>
      <c r="E172" s="604" t="s">
        <v>1196</v>
      </c>
      <c r="F172" s="738">
        <v>0.2</v>
      </c>
      <c r="G172" s="739">
        <v>1990</v>
      </c>
      <c r="H172" s="741">
        <v>1990</v>
      </c>
      <c r="I172" s="742">
        <f t="shared" si="52"/>
        <v>0</v>
      </c>
      <c r="J172" s="740">
        <f t="shared" si="53"/>
        <v>0</v>
      </c>
      <c r="K172" s="739">
        <f t="shared" si="54"/>
        <v>1990</v>
      </c>
      <c r="L172" s="854">
        <f t="shared" si="55"/>
        <v>0</v>
      </c>
      <c r="M172" s="740">
        <f t="shared" si="67"/>
        <v>0</v>
      </c>
      <c r="N172" s="604">
        <f t="shared" si="56"/>
        <v>0</v>
      </c>
      <c r="O172" s="604">
        <f t="shared" si="57"/>
        <v>0</v>
      </c>
      <c r="P172" s="604">
        <f t="shared" si="58"/>
        <v>0</v>
      </c>
      <c r="Q172" s="604">
        <f t="shared" si="59"/>
        <v>0</v>
      </c>
      <c r="R172" s="604">
        <f t="shared" si="60"/>
        <v>0</v>
      </c>
      <c r="S172" s="604">
        <f t="shared" si="61"/>
        <v>0</v>
      </c>
      <c r="T172" s="604">
        <f t="shared" si="62"/>
        <v>0</v>
      </c>
      <c r="U172" s="604">
        <f t="shared" si="63"/>
        <v>0</v>
      </c>
      <c r="V172" s="604">
        <f t="shared" si="64"/>
        <v>0</v>
      </c>
      <c r="W172" s="604">
        <f t="shared" si="65"/>
        <v>0</v>
      </c>
      <c r="X172" s="746">
        <v>0</v>
      </c>
      <c r="Y172" s="746">
        <f t="shared" si="66"/>
        <v>0</v>
      </c>
    </row>
    <row r="173" spans="2:25">
      <c r="B173" s="598" t="s">
        <v>2596</v>
      </c>
      <c r="C173" s="604" t="s">
        <v>2592</v>
      </c>
      <c r="D173" s="745">
        <v>2002</v>
      </c>
      <c r="E173" s="604" t="s">
        <v>1197</v>
      </c>
      <c r="F173" s="738">
        <v>0.2</v>
      </c>
      <c r="G173" s="739">
        <v>4050</v>
      </c>
      <c r="H173" s="741">
        <v>4050</v>
      </c>
      <c r="I173" s="742">
        <f t="shared" si="52"/>
        <v>0</v>
      </c>
      <c r="J173" s="740">
        <f t="shared" si="53"/>
        <v>0</v>
      </c>
      <c r="K173" s="739">
        <f t="shared" si="54"/>
        <v>4050</v>
      </c>
      <c r="L173" s="854">
        <f t="shared" si="55"/>
        <v>0</v>
      </c>
      <c r="M173" s="740">
        <f t="shared" si="67"/>
        <v>0</v>
      </c>
      <c r="N173" s="604">
        <f t="shared" si="56"/>
        <v>0</v>
      </c>
      <c r="O173" s="604">
        <f t="shared" si="57"/>
        <v>0</v>
      </c>
      <c r="P173" s="604">
        <f t="shared" si="58"/>
        <v>0</v>
      </c>
      <c r="Q173" s="604">
        <f t="shared" si="59"/>
        <v>0</v>
      </c>
      <c r="R173" s="604">
        <f t="shared" si="60"/>
        <v>0</v>
      </c>
      <c r="S173" s="604">
        <f t="shared" si="61"/>
        <v>0</v>
      </c>
      <c r="T173" s="604">
        <f t="shared" si="62"/>
        <v>0</v>
      </c>
      <c r="U173" s="604">
        <f t="shared" si="63"/>
        <v>0</v>
      </c>
      <c r="V173" s="604">
        <f t="shared" si="64"/>
        <v>0</v>
      </c>
      <c r="W173" s="604">
        <f t="shared" si="65"/>
        <v>0</v>
      </c>
      <c r="X173" s="746">
        <v>0</v>
      </c>
      <c r="Y173" s="746">
        <f t="shared" si="66"/>
        <v>0</v>
      </c>
    </row>
    <row r="174" spans="2:25">
      <c r="B174" s="598" t="s">
        <v>2596</v>
      </c>
      <c r="C174" s="604" t="s">
        <v>2592</v>
      </c>
      <c r="D174" s="745">
        <v>2003</v>
      </c>
      <c r="E174" s="604" t="s">
        <v>1198</v>
      </c>
      <c r="F174" s="738">
        <v>0.2</v>
      </c>
      <c r="G174" s="739">
        <v>2862.25</v>
      </c>
      <c r="H174" s="741">
        <v>2862.25</v>
      </c>
      <c r="I174" s="742">
        <f t="shared" si="52"/>
        <v>0</v>
      </c>
      <c r="J174" s="740">
        <f t="shared" si="53"/>
        <v>0</v>
      </c>
      <c r="K174" s="739">
        <f t="shared" si="54"/>
        <v>2862.25</v>
      </c>
      <c r="L174" s="854">
        <f t="shared" si="55"/>
        <v>0</v>
      </c>
      <c r="M174" s="740">
        <f t="shared" si="67"/>
        <v>0</v>
      </c>
      <c r="N174" s="604">
        <f t="shared" si="56"/>
        <v>0</v>
      </c>
      <c r="O174" s="604">
        <f t="shared" si="57"/>
        <v>0</v>
      </c>
      <c r="P174" s="604">
        <f t="shared" si="58"/>
        <v>0</v>
      </c>
      <c r="Q174" s="604">
        <f t="shared" si="59"/>
        <v>0</v>
      </c>
      <c r="R174" s="604">
        <f t="shared" si="60"/>
        <v>0</v>
      </c>
      <c r="S174" s="604">
        <f t="shared" si="61"/>
        <v>0</v>
      </c>
      <c r="T174" s="604">
        <f t="shared" si="62"/>
        <v>0</v>
      </c>
      <c r="U174" s="604">
        <f t="shared" si="63"/>
        <v>0</v>
      </c>
      <c r="V174" s="604">
        <f t="shared" si="64"/>
        <v>0</v>
      </c>
      <c r="W174" s="604">
        <f t="shared" si="65"/>
        <v>0</v>
      </c>
      <c r="X174" s="746">
        <v>0</v>
      </c>
      <c r="Y174" s="746">
        <f t="shared" si="66"/>
        <v>0</v>
      </c>
    </row>
    <row r="175" spans="2:25">
      <c r="B175" s="598" t="s">
        <v>2596</v>
      </c>
      <c r="C175" s="604" t="s">
        <v>2592</v>
      </c>
      <c r="D175" s="745">
        <v>2004</v>
      </c>
      <c r="E175" s="604" t="s">
        <v>1199</v>
      </c>
      <c r="F175" s="738">
        <v>0.2</v>
      </c>
      <c r="G175" s="739">
        <v>1700.82</v>
      </c>
      <c r="H175" s="741">
        <v>1700.82</v>
      </c>
      <c r="I175" s="742">
        <f t="shared" si="52"/>
        <v>0</v>
      </c>
      <c r="J175" s="740">
        <f t="shared" si="53"/>
        <v>0</v>
      </c>
      <c r="K175" s="739">
        <f t="shared" si="54"/>
        <v>1700.82</v>
      </c>
      <c r="L175" s="854">
        <f t="shared" si="55"/>
        <v>0</v>
      </c>
      <c r="M175" s="740">
        <f t="shared" si="67"/>
        <v>0</v>
      </c>
      <c r="N175" s="604">
        <f t="shared" si="56"/>
        <v>0</v>
      </c>
      <c r="O175" s="604">
        <f t="shared" si="57"/>
        <v>0</v>
      </c>
      <c r="P175" s="604">
        <f t="shared" si="58"/>
        <v>0</v>
      </c>
      <c r="Q175" s="604">
        <f t="shared" si="59"/>
        <v>0</v>
      </c>
      <c r="R175" s="604">
        <f t="shared" si="60"/>
        <v>0</v>
      </c>
      <c r="S175" s="604">
        <f t="shared" si="61"/>
        <v>0</v>
      </c>
      <c r="T175" s="604">
        <f t="shared" si="62"/>
        <v>0</v>
      </c>
      <c r="U175" s="604">
        <f t="shared" si="63"/>
        <v>0</v>
      </c>
      <c r="V175" s="604">
        <f t="shared" si="64"/>
        <v>0</v>
      </c>
      <c r="W175" s="604">
        <f t="shared" si="65"/>
        <v>0</v>
      </c>
      <c r="X175" s="746">
        <v>0</v>
      </c>
      <c r="Y175" s="746">
        <f t="shared" si="66"/>
        <v>0</v>
      </c>
    </row>
    <row r="176" spans="2:25">
      <c r="B176" s="598" t="s">
        <v>2596</v>
      </c>
      <c r="C176" s="604" t="s">
        <v>2592</v>
      </c>
      <c r="D176" s="745">
        <v>2004</v>
      </c>
      <c r="E176" s="604" t="s">
        <v>1200</v>
      </c>
      <c r="F176" s="738">
        <v>0.2</v>
      </c>
      <c r="G176" s="739">
        <v>1989.86</v>
      </c>
      <c r="H176" s="741">
        <v>1989.86</v>
      </c>
      <c r="I176" s="742">
        <f t="shared" si="52"/>
        <v>0</v>
      </c>
      <c r="J176" s="740">
        <f t="shared" si="53"/>
        <v>0</v>
      </c>
      <c r="K176" s="739">
        <f t="shared" si="54"/>
        <v>1989.86</v>
      </c>
      <c r="L176" s="854">
        <f t="shared" si="55"/>
        <v>0</v>
      </c>
      <c r="M176" s="740">
        <f t="shared" si="67"/>
        <v>0</v>
      </c>
      <c r="N176" s="604">
        <f t="shared" si="56"/>
        <v>0</v>
      </c>
      <c r="O176" s="604">
        <f t="shared" si="57"/>
        <v>0</v>
      </c>
      <c r="P176" s="604">
        <f t="shared" si="58"/>
        <v>0</v>
      </c>
      <c r="Q176" s="604">
        <f t="shared" si="59"/>
        <v>0</v>
      </c>
      <c r="R176" s="604">
        <f t="shared" si="60"/>
        <v>0</v>
      </c>
      <c r="S176" s="604">
        <f t="shared" si="61"/>
        <v>0</v>
      </c>
      <c r="T176" s="604">
        <f t="shared" si="62"/>
        <v>0</v>
      </c>
      <c r="U176" s="604">
        <f t="shared" si="63"/>
        <v>0</v>
      </c>
      <c r="V176" s="604">
        <f t="shared" si="64"/>
        <v>0</v>
      </c>
      <c r="W176" s="604">
        <f t="shared" si="65"/>
        <v>0</v>
      </c>
      <c r="X176" s="746">
        <v>0</v>
      </c>
      <c r="Y176" s="746">
        <f t="shared" si="66"/>
        <v>0</v>
      </c>
    </row>
    <row r="177" spans="2:25">
      <c r="B177" s="598" t="s">
        <v>2596</v>
      </c>
      <c r="C177" s="604" t="s">
        <v>2592</v>
      </c>
      <c r="D177" s="745">
        <v>2004</v>
      </c>
      <c r="E177" s="604" t="s">
        <v>1201</v>
      </c>
      <c r="F177" s="738">
        <v>0.2</v>
      </c>
      <c r="G177" s="739">
        <v>4921</v>
      </c>
      <c r="H177" s="741">
        <v>4921</v>
      </c>
      <c r="I177" s="742">
        <f t="shared" si="52"/>
        <v>0</v>
      </c>
      <c r="J177" s="740">
        <f t="shared" si="53"/>
        <v>0</v>
      </c>
      <c r="K177" s="739">
        <f t="shared" si="54"/>
        <v>4921</v>
      </c>
      <c r="L177" s="854">
        <f t="shared" si="55"/>
        <v>0</v>
      </c>
      <c r="M177" s="740">
        <f t="shared" si="67"/>
        <v>0</v>
      </c>
      <c r="N177" s="604">
        <f t="shared" si="56"/>
        <v>0</v>
      </c>
      <c r="O177" s="604">
        <f t="shared" si="57"/>
        <v>0</v>
      </c>
      <c r="P177" s="604">
        <f t="shared" si="58"/>
        <v>0</v>
      </c>
      <c r="Q177" s="604">
        <f t="shared" si="59"/>
        <v>0</v>
      </c>
      <c r="R177" s="604">
        <f t="shared" si="60"/>
        <v>0</v>
      </c>
      <c r="S177" s="604">
        <f t="shared" si="61"/>
        <v>0</v>
      </c>
      <c r="T177" s="604">
        <f t="shared" si="62"/>
        <v>0</v>
      </c>
      <c r="U177" s="604">
        <f t="shared" si="63"/>
        <v>0</v>
      </c>
      <c r="V177" s="604">
        <f t="shared" si="64"/>
        <v>0</v>
      </c>
      <c r="W177" s="604">
        <f t="shared" si="65"/>
        <v>0</v>
      </c>
      <c r="X177" s="746">
        <v>0</v>
      </c>
      <c r="Y177" s="746">
        <f t="shared" si="66"/>
        <v>0</v>
      </c>
    </row>
    <row r="178" spans="2:25">
      <c r="B178" s="598" t="s">
        <v>2596</v>
      </c>
      <c r="C178" s="604" t="s">
        <v>2592</v>
      </c>
      <c r="D178" s="745">
        <v>2004</v>
      </c>
      <c r="E178" s="604" t="s">
        <v>1202</v>
      </c>
      <c r="F178" s="738">
        <v>0.2</v>
      </c>
      <c r="G178" s="739">
        <v>3500</v>
      </c>
      <c r="H178" s="741">
        <v>3500</v>
      </c>
      <c r="I178" s="742">
        <f t="shared" si="52"/>
        <v>0</v>
      </c>
      <c r="J178" s="740">
        <f t="shared" si="53"/>
        <v>0</v>
      </c>
      <c r="K178" s="739">
        <f t="shared" si="54"/>
        <v>3500</v>
      </c>
      <c r="L178" s="854">
        <f t="shared" si="55"/>
        <v>0</v>
      </c>
      <c r="M178" s="740">
        <f t="shared" si="67"/>
        <v>0</v>
      </c>
      <c r="N178" s="604">
        <f t="shared" si="56"/>
        <v>0</v>
      </c>
      <c r="O178" s="604">
        <f t="shared" si="57"/>
        <v>0</v>
      </c>
      <c r="P178" s="604">
        <f t="shared" si="58"/>
        <v>0</v>
      </c>
      <c r="Q178" s="604">
        <f t="shared" si="59"/>
        <v>0</v>
      </c>
      <c r="R178" s="604">
        <f t="shared" si="60"/>
        <v>0</v>
      </c>
      <c r="S178" s="604">
        <f t="shared" si="61"/>
        <v>0</v>
      </c>
      <c r="T178" s="604">
        <f t="shared" si="62"/>
        <v>0</v>
      </c>
      <c r="U178" s="604">
        <f t="shared" si="63"/>
        <v>0</v>
      </c>
      <c r="V178" s="604">
        <f t="shared" si="64"/>
        <v>0</v>
      </c>
      <c r="W178" s="604">
        <f t="shared" si="65"/>
        <v>0</v>
      </c>
      <c r="X178" s="746">
        <v>0</v>
      </c>
      <c r="Y178" s="746">
        <f t="shared" si="66"/>
        <v>0</v>
      </c>
    </row>
    <row r="179" spans="2:25">
      <c r="B179" s="598" t="s">
        <v>2596</v>
      </c>
      <c r="C179" s="604" t="s">
        <v>2592</v>
      </c>
      <c r="D179" s="745">
        <v>2004</v>
      </c>
      <c r="E179" s="604" t="s">
        <v>1203</v>
      </c>
      <c r="F179" s="738">
        <v>0.2</v>
      </c>
      <c r="G179" s="739">
        <v>5220</v>
      </c>
      <c r="H179" s="741">
        <v>5220</v>
      </c>
      <c r="I179" s="742">
        <f t="shared" si="52"/>
        <v>0</v>
      </c>
      <c r="J179" s="740">
        <f t="shared" si="53"/>
        <v>0</v>
      </c>
      <c r="K179" s="739">
        <f t="shared" si="54"/>
        <v>5220</v>
      </c>
      <c r="L179" s="854">
        <f t="shared" si="55"/>
        <v>0</v>
      </c>
      <c r="M179" s="740">
        <f t="shared" si="67"/>
        <v>0</v>
      </c>
      <c r="N179" s="604">
        <f t="shared" si="56"/>
        <v>0</v>
      </c>
      <c r="O179" s="604">
        <f t="shared" si="57"/>
        <v>0</v>
      </c>
      <c r="P179" s="604">
        <f t="shared" si="58"/>
        <v>0</v>
      </c>
      <c r="Q179" s="604">
        <f t="shared" si="59"/>
        <v>0</v>
      </c>
      <c r="R179" s="604">
        <f t="shared" si="60"/>
        <v>0</v>
      </c>
      <c r="S179" s="604">
        <f t="shared" si="61"/>
        <v>0</v>
      </c>
      <c r="T179" s="604">
        <f t="shared" si="62"/>
        <v>0</v>
      </c>
      <c r="U179" s="604">
        <f t="shared" si="63"/>
        <v>0</v>
      </c>
      <c r="V179" s="604">
        <f t="shared" si="64"/>
        <v>0</v>
      </c>
      <c r="W179" s="604">
        <f t="shared" si="65"/>
        <v>0</v>
      </c>
      <c r="X179" s="746">
        <v>0</v>
      </c>
      <c r="Y179" s="746">
        <f t="shared" si="66"/>
        <v>0</v>
      </c>
    </row>
    <row r="180" spans="2:25">
      <c r="B180" s="598" t="s">
        <v>2596</v>
      </c>
      <c r="C180" s="604" t="s">
        <v>2592</v>
      </c>
      <c r="D180" s="745">
        <v>2004</v>
      </c>
      <c r="E180" s="604" t="s">
        <v>1204</v>
      </c>
      <c r="F180" s="738">
        <v>0.2</v>
      </c>
      <c r="G180" s="739">
        <v>4593.96</v>
      </c>
      <c r="H180" s="741">
        <v>4593.96</v>
      </c>
      <c r="I180" s="742">
        <f t="shared" si="52"/>
        <v>0</v>
      </c>
      <c r="J180" s="740">
        <f t="shared" si="53"/>
        <v>0</v>
      </c>
      <c r="K180" s="739">
        <f t="shared" si="54"/>
        <v>4593.96</v>
      </c>
      <c r="L180" s="854">
        <f t="shared" si="55"/>
        <v>0</v>
      </c>
      <c r="M180" s="740">
        <f t="shared" si="67"/>
        <v>0</v>
      </c>
      <c r="N180" s="604">
        <f t="shared" si="56"/>
        <v>0</v>
      </c>
      <c r="O180" s="604">
        <f t="shared" si="57"/>
        <v>0</v>
      </c>
      <c r="P180" s="604">
        <f t="shared" si="58"/>
        <v>0</v>
      </c>
      <c r="Q180" s="604">
        <f t="shared" si="59"/>
        <v>0</v>
      </c>
      <c r="R180" s="604">
        <f t="shared" si="60"/>
        <v>0</v>
      </c>
      <c r="S180" s="604">
        <f t="shared" si="61"/>
        <v>0</v>
      </c>
      <c r="T180" s="604">
        <f t="shared" si="62"/>
        <v>0</v>
      </c>
      <c r="U180" s="604">
        <f t="shared" si="63"/>
        <v>0</v>
      </c>
      <c r="V180" s="604">
        <f t="shared" si="64"/>
        <v>0</v>
      </c>
      <c r="W180" s="604">
        <f t="shared" si="65"/>
        <v>0</v>
      </c>
      <c r="X180" s="746">
        <v>0</v>
      </c>
      <c r="Y180" s="746">
        <f t="shared" si="66"/>
        <v>0</v>
      </c>
    </row>
    <row r="181" spans="2:25">
      <c r="B181" s="598" t="s">
        <v>2596</v>
      </c>
      <c r="C181" s="604" t="s">
        <v>2592</v>
      </c>
      <c r="D181" s="745">
        <v>2005</v>
      </c>
      <c r="E181" s="604" t="s">
        <v>1205</v>
      </c>
      <c r="F181" s="738">
        <v>0.2</v>
      </c>
      <c r="G181" s="739">
        <v>22000</v>
      </c>
      <c r="H181" s="741">
        <v>22000</v>
      </c>
      <c r="I181" s="742">
        <f t="shared" si="52"/>
        <v>0</v>
      </c>
      <c r="J181" s="740">
        <f t="shared" si="53"/>
        <v>0</v>
      </c>
      <c r="K181" s="739">
        <f t="shared" si="54"/>
        <v>22000</v>
      </c>
      <c r="L181" s="854">
        <f t="shared" si="55"/>
        <v>0</v>
      </c>
      <c r="M181" s="740">
        <f t="shared" si="67"/>
        <v>0</v>
      </c>
      <c r="N181" s="604">
        <f t="shared" si="56"/>
        <v>0</v>
      </c>
      <c r="O181" s="604">
        <f t="shared" si="57"/>
        <v>0</v>
      </c>
      <c r="P181" s="604">
        <f t="shared" si="58"/>
        <v>0</v>
      </c>
      <c r="Q181" s="604">
        <f t="shared" si="59"/>
        <v>0</v>
      </c>
      <c r="R181" s="604">
        <f t="shared" si="60"/>
        <v>0</v>
      </c>
      <c r="S181" s="604">
        <f t="shared" si="61"/>
        <v>0</v>
      </c>
      <c r="T181" s="604">
        <f t="shared" si="62"/>
        <v>0</v>
      </c>
      <c r="U181" s="604">
        <f t="shared" si="63"/>
        <v>0</v>
      </c>
      <c r="V181" s="604">
        <f t="shared" si="64"/>
        <v>0</v>
      </c>
      <c r="W181" s="604">
        <f t="shared" si="65"/>
        <v>0</v>
      </c>
      <c r="X181" s="746">
        <v>0</v>
      </c>
      <c r="Y181" s="746">
        <f t="shared" si="66"/>
        <v>0</v>
      </c>
    </row>
    <row r="182" spans="2:25">
      <c r="B182" s="598" t="s">
        <v>2596</v>
      </c>
      <c r="C182" s="604" t="s">
        <v>2592</v>
      </c>
      <c r="D182" s="745">
        <v>2005</v>
      </c>
      <c r="E182" s="604" t="s">
        <v>1206</v>
      </c>
      <c r="F182" s="738">
        <v>0.2</v>
      </c>
      <c r="G182" s="739">
        <v>5400</v>
      </c>
      <c r="H182" s="741">
        <v>5400</v>
      </c>
      <c r="I182" s="742">
        <f t="shared" si="52"/>
        <v>0</v>
      </c>
      <c r="J182" s="740">
        <f t="shared" si="53"/>
        <v>0</v>
      </c>
      <c r="K182" s="739">
        <f t="shared" si="54"/>
        <v>5400</v>
      </c>
      <c r="L182" s="854">
        <f t="shared" si="55"/>
        <v>0</v>
      </c>
      <c r="M182" s="740">
        <f t="shared" si="67"/>
        <v>0</v>
      </c>
      <c r="N182" s="604">
        <f t="shared" si="56"/>
        <v>0</v>
      </c>
      <c r="O182" s="604">
        <f t="shared" si="57"/>
        <v>0</v>
      </c>
      <c r="P182" s="604">
        <f t="shared" si="58"/>
        <v>0</v>
      </c>
      <c r="Q182" s="604">
        <f t="shared" si="59"/>
        <v>0</v>
      </c>
      <c r="R182" s="604">
        <f t="shared" si="60"/>
        <v>0</v>
      </c>
      <c r="S182" s="604">
        <f t="shared" si="61"/>
        <v>0</v>
      </c>
      <c r="T182" s="604">
        <f t="shared" si="62"/>
        <v>0</v>
      </c>
      <c r="U182" s="604">
        <f t="shared" si="63"/>
        <v>0</v>
      </c>
      <c r="V182" s="604">
        <f t="shared" si="64"/>
        <v>0</v>
      </c>
      <c r="W182" s="604">
        <f t="shared" si="65"/>
        <v>0</v>
      </c>
      <c r="X182" s="746">
        <v>0</v>
      </c>
      <c r="Y182" s="746">
        <f t="shared" si="66"/>
        <v>0</v>
      </c>
    </row>
    <row r="183" spans="2:25">
      <c r="B183" s="598" t="s">
        <v>2596</v>
      </c>
      <c r="C183" s="604" t="s">
        <v>2592</v>
      </c>
      <c r="D183" s="745">
        <v>2006</v>
      </c>
      <c r="E183" s="604" t="s">
        <v>1207</v>
      </c>
      <c r="F183" s="738">
        <v>0.2</v>
      </c>
      <c r="G183" s="739">
        <v>1399</v>
      </c>
      <c r="H183" s="741">
        <v>1399</v>
      </c>
      <c r="I183" s="742">
        <f t="shared" si="52"/>
        <v>0</v>
      </c>
      <c r="J183" s="740">
        <f t="shared" si="53"/>
        <v>0</v>
      </c>
      <c r="K183" s="739">
        <f t="shared" si="54"/>
        <v>1399</v>
      </c>
      <c r="L183" s="854">
        <f t="shared" si="55"/>
        <v>0</v>
      </c>
      <c r="M183" s="740">
        <f t="shared" si="67"/>
        <v>0</v>
      </c>
      <c r="N183" s="604">
        <f t="shared" si="56"/>
        <v>0</v>
      </c>
      <c r="O183" s="604">
        <f t="shared" si="57"/>
        <v>0</v>
      </c>
      <c r="P183" s="604">
        <f t="shared" si="58"/>
        <v>0</v>
      </c>
      <c r="Q183" s="604">
        <f t="shared" si="59"/>
        <v>0</v>
      </c>
      <c r="R183" s="604">
        <f t="shared" si="60"/>
        <v>0</v>
      </c>
      <c r="S183" s="604">
        <f t="shared" si="61"/>
        <v>0</v>
      </c>
      <c r="T183" s="604">
        <f t="shared" si="62"/>
        <v>0</v>
      </c>
      <c r="U183" s="604">
        <f t="shared" si="63"/>
        <v>0</v>
      </c>
      <c r="V183" s="604">
        <f t="shared" si="64"/>
        <v>0</v>
      </c>
      <c r="W183" s="604">
        <f t="shared" si="65"/>
        <v>0</v>
      </c>
      <c r="X183" s="746">
        <v>0</v>
      </c>
      <c r="Y183" s="746">
        <f t="shared" si="66"/>
        <v>0</v>
      </c>
    </row>
    <row r="184" spans="2:25">
      <c r="B184" s="598" t="s">
        <v>2596</v>
      </c>
      <c r="C184" s="604" t="s">
        <v>2592</v>
      </c>
      <c r="D184" s="745">
        <v>2006</v>
      </c>
      <c r="E184" s="604" t="s">
        <v>1208</v>
      </c>
      <c r="F184" s="738">
        <v>0.2</v>
      </c>
      <c r="G184" s="739">
        <v>4507</v>
      </c>
      <c r="H184" s="741">
        <v>4507</v>
      </c>
      <c r="I184" s="742">
        <f t="shared" si="52"/>
        <v>0</v>
      </c>
      <c r="J184" s="740">
        <f t="shared" si="53"/>
        <v>0</v>
      </c>
      <c r="K184" s="739">
        <f t="shared" si="54"/>
        <v>4507</v>
      </c>
      <c r="L184" s="854">
        <f t="shared" si="55"/>
        <v>0</v>
      </c>
      <c r="M184" s="740">
        <f t="shared" si="67"/>
        <v>0</v>
      </c>
      <c r="N184" s="604">
        <f t="shared" si="56"/>
        <v>0</v>
      </c>
      <c r="O184" s="604">
        <f t="shared" si="57"/>
        <v>0</v>
      </c>
      <c r="P184" s="604">
        <f t="shared" si="58"/>
        <v>0</v>
      </c>
      <c r="Q184" s="604">
        <f t="shared" si="59"/>
        <v>0</v>
      </c>
      <c r="R184" s="604">
        <f t="shared" si="60"/>
        <v>0</v>
      </c>
      <c r="S184" s="604">
        <f t="shared" si="61"/>
        <v>0</v>
      </c>
      <c r="T184" s="604">
        <f t="shared" si="62"/>
        <v>0</v>
      </c>
      <c r="U184" s="604">
        <f t="shared" si="63"/>
        <v>0</v>
      </c>
      <c r="V184" s="604">
        <f t="shared" si="64"/>
        <v>0</v>
      </c>
      <c r="W184" s="604">
        <f t="shared" si="65"/>
        <v>0</v>
      </c>
      <c r="X184" s="746">
        <v>0</v>
      </c>
      <c r="Y184" s="746">
        <f t="shared" si="66"/>
        <v>0</v>
      </c>
    </row>
    <row r="185" spans="2:25">
      <c r="B185" s="598" t="s">
        <v>2596</v>
      </c>
      <c r="C185" s="604" t="s">
        <v>2592</v>
      </c>
      <c r="D185" s="745">
        <v>2007</v>
      </c>
      <c r="E185" s="604" t="s">
        <v>1209</v>
      </c>
      <c r="F185" s="738">
        <v>0.2</v>
      </c>
      <c r="G185" s="739">
        <v>4324</v>
      </c>
      <c r="H185" s="741">
        <v>4324</v>
      </c>
      <c r="I185" s="742">
        <f t="shared" si="52"/>
        <v>0</v>
      </c>
      <c r="J185" s="740">
        <f t="shared" si="53"/>
        <v>0</v>
      </c>
      <c r="K185" s="739">
        <f t="shared" si="54"/>
        <v>4324</v>
      </c>
      <c r="L185" s="854">
        <f t="shared" si="55"/>
        <v>0</v>
      </c>
      <c r="M185" s="740">
        <f t="shared" si="67"/>
        <v>0</v>
      </c>
      <c r="N185" s="604">
        <f t="shared" si="56"/>
        <v>0</v>
      </c>
      <c r="O185" s="604">
        <f t="shared" si="57"/>
        <v>0</v>
      </c>
      <c r="P185" s="604">
        <f t="shared" si="58"/>
        <v>0</v>
      </c>
      <c r="Q185" s="604">
        <f t="shared" si="59"/>
        <v>0</v>
      </c>
      <c r="R185" s="604">
        <f t="shared" si="60"/>
        <v>0</v>
      </c>
      <c r="S185" s="604">
        <f t="shared" si="61"/>
        <v>0</v>
      </c>
      <c r="T185" s="604">
        <f t="shared" si="62"/>
        <v>0</v>
      </c>
      <c r="U185" s="604">
        <f t="shared" si="63"/>
        <v>0</v>
      </c>
      <c r="V185" s="604">
        <f t="shared" si="64"/>
        <v>0</v>
      </c>
      <c r="W185" s="604">
        <f t="shared" si="65"/>
        <v>0</v>
      </c>
      <c r="X185" s="746">
        <v>0</v>
      </c>
      <c r="Y185" s="746">
        <f t="shared" si="66"/>
        <v>0</v>
      </c>
    </row>
    <row r="186" spans="2:25">
      <c r="B186" s="598" t="s">
        <v>2596</v>
      </c>
      <c r="C186" s="604" t="s">
        <v>2592</v>
      </c>
      <c r="D186" s="745">
        <v>2012</v>
      </c>
      <c r="E186" s="604" t="s">
        <v>1210</v>
      </c>
      <c r="F186" s="738">
        <v>0.2</v>
      </c>
      <c r="G186" s="739">
        <v>3340</v>
      </c>
      <c r="H186" s="741">
        <v>3340</v>
      </c>
      <c r="I186" s="742">
        <f t="shared" si="52"/>
        <v>0</v>
      </c>
      <c r="J186" s="740">
        <f t="shared" si="53"/>
        <v>0</v>
      </c>
      <c r="K186" s="739">
        <f t="shared" si="54"/>
        <v>3340</v>
      </c>
      <c r="L186" s="854">
        <f t="shared" si="55"/>
        <v>0</v>
      </c>
      <c r="M186" s="740">
        <f t="shared" si="67"/>
        <v>0</v>
      </c>
      <c r="N186" s="604">
        <f t="shared" si="56"/>
        <v>0</v>
      </c>
      <c r="O186" s="604">
        <f t="shared" si="57"/>
        <v>0</v>
      </c>
      <c r="P186" s="604">
        <f t="shared" si="58"/>
        <v>0</v>
      </c>
      <c r="Q186" s="604">
        <f t="shared" si="59"/>
        <v>0</v>
      </c>
      <c r="R186" s="604">
        <f t="shared" si="60"/>
        <v>0</v>
      </c>
      <c r="S186" s="604">
        <f t="shared" si="61"/>
        <v>0</v>
      </c>
      <c r="T186" s="604">
        <f t="shared" si="62"/>
        <v>0</v>
      </c>
      <c r="U186" s="604">
        <f t="shared" si="63"/>
        <v>0</v>
      </c>
      <c r="V186" s="604">
        <f t="shared" si="64"/>
        <v>0</v>
      </c>
      <c r="W186" s="604">
        <f t="shared" si="65"/>
        <v>0</v>
      </c>
      <c r="X186" s="746">
        <v>0</v>
      </c>
      <c r="Y186" s="746">
        <f t="shared" si="66"/>
        <v>0</v>
      </c>
    </row>
    <row r="187" spans="2:25">
      <c r="B187" s="598" t="s">
        <v>2596</v>
      </c>
      <c r="C187" s="604" t="s">
        <v>2592</v>
      </c>
      <c r="D187" s="745">
        <v>2012</v>
      </c>
      <c r="E187" s="604"/>
      <c r="F187" s="738">
        <v>0.2</v>
      </c>
      <c r="G187" s="739">
        <v>4155</v>
      </c>
      <c r="H187" s="741">
        <v>4155</v>
      </c>
      <c r="I187" s="742">
        <f t="shared" si="52"/>
        <v>0</v>
      </c>
      <c r="J187" s="740">
        <f t="shared" si="53"/>
        <v>0</v>
      </c>
      <c r="K187" s="739">
        <f t="shared" si="54"/>
        <v>4155</v>
      </c>
      <c r="L187" s="854">
        <f t="shared" si="55"/>
        <v>0</v>
      </c>
      <c r="M187" s="740">
        <f t="shared" si="67"/>
        <v>0</v>
      </c>
      <c r="N187" s="604">
        <f t="shared" si="56"/>
        <v>0</v>
      </c>
      <c r="O187" s="604">
        <f t="shared" si="57"/>
        <v>0</v>
      </c>
      <c r="P187" s="604">
        <f t="shared" si="58"/>
        <v>0</v>
      </c>
      <c r="Q187" s="604">
        <f t="shared" si="59"/>
        <v>0</v>
      </c>
      <c r="R187" s="604">
        <f t="shared" si="60"/>
        <v>0</v>
      </c>
      <c r="S187" s="604">
        <f t="shared" si="61"/>
        <v>0</v>
      </c>
      <c r="T187" s="604">
        <f t="shared" si="62"/>
        <v>0</v>
      </c>
      <c r="U187" s="604">
        <f t="shared" si="63"/>
        <v>0</v>
      </c>
      <c r="V187" s="604">
        <f t="shared" si="64"/>
        <v>0</v>
      </c>
      <c r="W187" s="604">
        <f t="shared" si="65"/>
        <v>0</v>
      </c>
      <c r="X187" s="746">
        <v>0</v>
      </c>
      <c r="Y187" s="746">
        <f t="shared" si="66"/>
        <v>0</v>
      </c>
    </row>
    <row r="188" spans="2:25">
      <c r="B188" s="598" t="s">
        <v>2596</v>
      </c>
      <c r="C188" s="604" t="s">
        <v>2592</v>
      </c>
      <c r="D188" s="745">
        <v>2012</v>
      </c>
      <c r="E188" s="604"/>
      <c r="F188" s="738">
        <v>0.2</v>
      </c>
      <c r="G188" s="739">
        <v>1840</v>
      </c>
      <c r="H188" s="741">
        <v>1840</v>
      </c>
      <c r="I188" s="742">
        <f t="shared" si="52"/>
        <v>0</v>
      </c>
      <c r="J188" s="740">
        <f t="shared" si="53"/>
        <v>0</v>
      </c>
      <c r="K188" s="739">
        <f t="shared" si="54"/>
        <v>1840</v>
      </c>
      <c r="L188" s="854">
        <f t="shared" si="55"/>
        <v>0</v>
      </c>
      <c r="M188" s="740">
        <f t="shared" si="67"/>
        <v>0</v>
      </c>
      <c r="N188" s="604">
        <f t="shared" si="56"/>
        <v>0</v>
      </c>
      <c r="O188" s="604">
        <f t="shared" si="57"/>
        <v>0</v>
      </c>
      <c r="P188" s="604">
        <f t="shared" si="58"/>
        <v>0</v>
      </c>
      <c r="Q188" s="604">
        <f t="shared" si="59"/>
        <v>0</v>
      </c>
      <c r="R188" s="604">
        <f t="shared" si="60"/>
        <v>0</v>
      </c>
      <c r="S188" s="604">
        <f t="shared" si="61"/>
        <v>0</v>
      </c>
      <c r="T188" s="604">
        <f t="shared" si="62"/>
        <v>0</v>
      </c>
      <c r="U188" s="604">
        <f t="shared" si="63"/>
        <v>0</v>
      </c>
      <c r="V188" s="604">
        <f t="shared" si="64"/>
        <v>0</v>
      </c>
      <c r="W188" s="604">
        <f t="shared" si="65"/>
        <v>0</v>
      </c>
      <c r="X188" s="746">
        <v>0</v>
      </c>
      <c r="Y188" s="746">
        <f t="shared" si="66"/>
        <v>0</v>
      </c>
    </row>
    <row r="189" spans="2:25">
      <c r="B189" s="598" t="s">
        <v>2596</v>
      </c>
      <c r="C189" s="604" t="s">
        <v>2592</v>
      </c>
      <c r="D189" s="745">
        <v>2012</v>
      </c>
      <c r="E189" s="604"/>
      <c r="F189" s="738">
        <v>0.2</v>
      </c>
      <c r="G189" s="739">
        <v>620</v>
      </c>
      <c r="H189" s="741">
        <v>620</v>
      </c>
      <c r="I189" s="742">
        <f t="shared" si="52"/>
        <v>0</v>
      </c>
      <c r="J189" s="740">
        <f t="shared" si="53"/>
        <v>0</v>
      </c>
      <c r="K189" s="739">
        <f t="shared" si="54"/>
        <v>620</v>
      </c>
      <c r="L189" s="854">
        <f t="shared" si="55"/>
        <v>0</v>
      </c>
      <c r="M189" s="740">
        <f t="shared" si="67"/>
        <v>0</v>
      </c>
      <c r="N189" s="604">
        <f t="shared" si="56"/>
        <v>0</v>
      </c>
      <c r="O189" s="604">
        <f t="shared" si="57"/>
        <v>0</v>
      </c>
      <c r="P189" s="604">
        <f t="shared" si="58"/>
        <v>0</v>
      </c>
      <c r="Q189" s="604">
        <f t="shared" si="59"/>
        <v>0</v>
      </c>
      <c r="R189" s="604">
        <f t="shared" si="60"/>
        <v>0</v>
      </c>
      <c r="S189" s="604">
        <f t="shared" si="61"/>
        <v>0</v>
      </c>
      <c r="T189" s="604">
        <f t="shared" si="62"/>
        <v>0</v>
      </c>
      <c r="U189" s="604">
        <f t="shared" si="63"/>
        <v>0</v>
      </c>
      <c r="V189" s="604">
        <f t="shared" si="64"/>
        <v>0</v>
      </c>
      <c r="W189" s="604">
        <f t="shared" si="65"/>
        <v>0</v>
      </c>
      <c r="X189" s="746">
        <v>0</v>
      </c>
      <c r="Y189" s="746">
        <f t="shared" si="66"/>
        <v>0</v>
      </c>
    </row>
    <row r="190" spans="2:25">
      <c r="B190" s="598" t="s">
        <v>2596</v>
      </c>
      <c r="C190" s="604" t="s">
        <v>2592</v>
      </c>
      <c r="D190" s="745">
        <v>2012</v>
      </c>
      <c r="E190" s="604"/>
      <c r="F190" s="738">
        <v>0.2</v>
      </c>
      <c r="G190" s="739">
        <v>608</v>
      </c>
      <c r="H190" s="741">
        <v>608</v>
      </c>
      <c r="I190" s="742">
        <f t="shared" si="52"/>
        <v>0</v>
      </c>
      <c r="J190" s="740">
        <f t="shared" si="53"/>
        <v>0</v>
      </c>
      <c r="K190" s="739">
        <f t="shared" si="54"/>
        <v>608</v>
      </c>
      <c r="L190" s="854">
        <f t="shared" si="55"/>
        <v>0</v>
      </c>
      <c r="M190" s="740">
        <f t="shared" si="67"/>
        <v>0</v>
      </c>
      <c r="N190" s="604">
        <f t="shared" si="56"/>
        <v>0</v>
      </c>
      <c r="O190" s="604">
        <f t="shared" si="57"/>
        <v>0</v>
      </c>
      <c r="P190" s="604">
        <f t="shared" si="58"/>
        <v>0</v>
      </c>
      <c r="Q190" s="604">
        <f t="shared" si="59"/>
        <v>0</v>
      </c>
      <c r="R190" s="604">
        <f t="shared" si="60"/>
        <v>0</v>
      </c>
      <c r="S190" s="604">
        <f t="shared" si="61"/>
        <v>0</v>
      </c>
      <c r="T190" s="604">
        <f t="shared" si="62"/>
        <v>0</v>
      </c>
      <c r="U190" s="604">
        <f t="shared" si="63"/>
        <v>0</v>
      </c>
      <c r="V190" s="604">
        <f t="shared" si="64"/>
        <v>0</v>
      </c>
      <c r="W190" s="604">
        <f t="shared" si="65"/>
        <v>0</v>
      </c>
      <c r="X190" s="746">
        <v>0</v>
      </c>
      <c r="Y190" s="746">
        <f t="shared" si="66"/>
        <v>0</v>
      </c>
    </row>
    <row r="191" spans="2:25">
      <c r="B191" s="598" t="s">
        <v>2596</v>
      </c>
      <c r="C191" s="604" t="s">
        <v>2592</v>
      </c>
      <c r="D191" s="745">
        <v>2012</v>
      </c>
      <c r="E191" s="604"/>
      <c r="F191" s="738">
        <v>0.2</v>
      </c>
      <c r="G191" s="739">
        <v>685</v>
      </c>
      <c r="H191" s="741">
        <v>685</v>
      </c>
      <c r="I191" s="742">
        <f t="shared" ref="I191:I206" si="68">+G191-H191</f>
        <v>0</v>
      </c>
      <c r="J191" s="740">
        <f t="shared" ref="J191:J205" si="69">IF(I191=0,0,G191*F191)</f>
        <v>0</v>
      </c>
      <c r="K191" s="739">
        <f t="shared" ref="K191:K205" si="70">+H191+J191</f>
        <v>685</v>
      </c>
      <c r="L191" s="854">
        <f t="shared" ref="L191:L205" si="71">+G191-K191</f>
        <v>0</v>
      </c>
      <c r="M191" s="740">
        <f t="shared" si="67"/>
        <v>0</v>
      </c>
      <c r="N191" s="604">
        <f t="shared" si="56"/>
        <v>0</v>
      </c>
      <c r="O191" s="604">
        <f t="shared" si="57"/>
        <v>0</v>
      </c>
      <c r="P191" s="604">
        <f t="shared" si="58"/>
        <v>0</v>
      </c>
      <c r="Q191" s="604">
        <f t="shared" si="59"/>
        <v>0</v>
      </c>
      <c r="R191" s="604">
        <f t="shared" si="60"/>
        <v>0</v>
      </c>
      <c r="S191" s="604">
        <f t="shared" si="61"/>
        <v>0</v>
      </c>
      <c r="T191" s="604">
        <f t="shared" si="62"/>
        <v>0</v>
      </c>
      <c r="U191" s="604">
        <f t="shared" si="63"/>
        <v>0</v>
      </c>
      <c r="V191" s="604">
        <f t="shared" si="64"/>
        <v>0</v>
      </c>
      <c r="W191" s="604">
        <f t="shared" si="65"/>
        <v>0</v>
      </c>
      <c r="X191" s="746">
        <v>0</v>
      </c>
      <c r="Y191" s="746">
        <f t="shared" si="66"/>
        <v>0</v>
      </c>
    </row>
    <row r="192" spans="2:25">
      <c r="B192" s="598" t="s">
        <v>2596</v>
      </c>
      <c r="C192" s="604" t="s">
        <v>2592</v>
      </c>
      <c r="D192" s="745">
        <v>2013</v>
      </c>
      <c r="E192" s="604" t="s">
        <v>1211</v>
      </c>
      <c r="F192" s="738">
        <v>0.2</v>
      </c>
      <c r="G192" s="739">
        <v>5000</v>
      </c>
      <c r="H192" s="741">
        <v>5000</v>
      </c>
      <c r="I192" s="742">
        <f t="shared" si="68"/>
        <v>0</v>
      </c>
      <c r="J192" s="740">
        <f t="shared" si="69"/>
        <v>0</v>
      </c>
      <c r="K192" s="739">
        <f t="shared" si="70"/>
        <v>5000</v>
      </c>
      <c r="L192" s="854">
        <f t="shared" si="71"/>
        <v>0</v>
      </c>
      <c r="M192" s="740">
        <f t="shared" si="67"/>
        <v>0</v>
      </c>
      <c r="N192" s="604">
        <f t="shared" si="56"/>
        <v>0</v>
      </c>
      <c r="O192" s="604">
        <f t="shared" si="57"/>
        <v>0</v>
      </c>
      <c r="P192" s="604">
        <f t="shared" si="58"/>
        <v>0</v>
      </c>
      <c r="Q192" s="604">
        <f t="shared" si="59"/>
        <v>0</v>
      </c>
      <c r="R192" s="604">
        <f t="shared" si="60"/>
        <v>0</v>
      </c>
      <c r="S192" s="604">
        <f t="shared" si="61"/>
        <v>0</v>
      </c>
      <c r="T192" s="604">
        <f t="shared" si="62"/>
        <v>0</v>
      </c>
      <c r="U192" s="604">
        <f t="shared" si="63"/>
        <v>0</v>
      </c>
      <c r="V192" s="604">
        <f t="shared" si="64"/>
        <v>0</v>
      </c>
      <c r="W192" s="604">
        <f t="shared" si="65"/>
        <v>0</v>
      </c>
      <c r="X192" s="746">
        <v>0</v>
      </c>
      <c r="Y192" s="746">
        <f t="shared" si="66"/>
        <v>0</v>
      </c>
    </row>
    <row r="193" spans="2:25">
      <c r="B193" s="598" t="s">
        <v>2596</v>
      </c>
      <c r="C193" s="604" t="s">
        <v>2592</v>
      </c>
      <c r="D193" s="745">
        <v>2013</v>
      </c>
      <c r="E193" s="604" t="s">
        <v>1212</v>
      </c>
      <c r="F193" s="738">
        <v>0.2</v>
      </c>
      <c r="G193" s="739">
        <v>24000</v>
      </c>
      <c r="H193" s="741">
        <v>24000</v>
      </c>
      <c r="I193" s="742">
        <f t="shared" si="68"/>
        <v>0</v>
      </c>
      <c r="J193" s="740">
        <f t="shared" si="69"/>
        <v>0</v>
      </c>
      <c r="K193" s="739">
        <f t="shared" si="70"/>
        <v>24000</v>
      </c>
      <c r="L193" s="854">
        <f t="shared" si="71"/>
        <v>0</v>
      </c>
      <c r="M193" s="740">
        <f t="shared" si="67"/>
        <v>0</v>
      </c>
      <c r="N193" s="604">
        <f t="shared" si="56"/>
        <v>0</v>
      </c>
      <c r="O193" s="604">
        <f t="shared" si="57"/>
        <v>0</v>
      </c>
      <c r="P193" s="604">
        <f t="shared" si="58"/>
        <v>0</v>
      </c>
      <c r="Q193" s="604">
        <f t="shared" si="59"/>
        <v>0</v>
      </c>
      <c r="R193" s="604">
        <f t="shared" si="60"/>
        <v>0</v>
      </c>
      <c r="S193" s="604">
        <f t="shared" si="61"/>
        <v>0</v>
      </c>
      <c r="T193" s="604">
        <f t="shared" si="62"/>
        <v>0</v>
      </c>
      <c r="U193" s="604">
        <f t="shared" si="63"/>
        <v>0</v>
      </c>
      <c r="V193" s="604">
        <f t="shared" si="64"/>
        <v>0</v>
      </c>
      <c r="W193" s="604">
        <f t="shared" si="65"/>
        <v>0</v>
      </c>
      <c r="X193" s="746">
        <v>0</v>
      </c>
      <c r="Y193" s="746">
        <f t="shared" si="66"/>
        <v>0</v>
      </c>
    </row>
    <row r="194" spans="2:25">
      <c r="B194" s="598" t="s">
        <v>2596</v>
      </c>
      <c r="C194" s="604" t="s">
        <v>2592</v>
      </c>
      <c r="D194" s="745">
        <v>2013</v>
      </c>
      <c r="E194" s="604"/>
      <c r="F194" s="738">
        <v>0.2</v>
      </c>
      <c r="G194" s="739">
        <v>150000</v>
      </c>
      <c r="H194" s="741">
        <v>150000</v>
      </c>
      <c r="I194" s="742">
        <f t="shared" si="68"/>
        <v>0</v>
      </c>
      <c r="J194" s="740">
        <f t="shared" si="69"/>
        <v>0</v>
      </c>
      <c r="K194" s="739">
        <f t="shared" si="70"/>
        <v>150000</v>
      </c>
      <c r="L194" s="854">
        <f t="shared" si="71"/>
        <v>0</v>
      </c>
      <c r="M194" s="740">
        <f t="shared" si="67"/>
        <v>0</v>
      </c>
      <c r="N194" s="604">
        <f t="shared" si="56"/>
        <v>0</v>
      </c>
      <c r="O194" s="604">
        <f t="shared" si="57"/>
        <v>0</v>
      </c>
      <c r="P194" s="604">
        <f t="shared" si="58"/>
        <v>0</v>
      </c>
      <c r="Q194" s="604">
        <f t="shared" si="59"/>
        <v>0</v>
      </c>
      <c r="R194" s="604">
        <f t="shared" si="60"/>
        <v>0</v>
      </c>
      <c r="S194" s="604">
        <f t="shared" si="61"/>
        <v>0</v>
      </c>
      <c r="T194" s="604">
        <f t="shared" si="62"/>
        <v>0</v>
      </c>
      <c r="U194" s="604">
        <f t="shared" si="63"/>
        <v>0</v>
      </c>
      <c r="V194" s="604">
        <f t="shared" si="64"/>
        <v>0</v>
      </c>
      <c r="W194" s="604">
        <f t="shared" si="65"/>
        <v>0</v>
      </c>
      <c r="X194" s="746">
        <v>0</v>
      </c>
      <c r="Y194" s="746">
        <f t="shared" si="66"/>
        <v>0</v>
      </c>
    </row>
    <row r="195" spans="2:25">
      <c r="B195" s="598" t="s">
        <v>2596</v>
      </c>
      <c r="C195" s="604" t="s">
        <v>2592</v>
      </c>
      <c r="D195" s="745">
        <v>2013</v>
      </c>
      <c r="E195" s="604"/>
      <c r="F195" s="738">
        <v>0.2</v>
      </c>
      <c r="G195" s="739">
        <v>3699.71</v>
      </c>
      <c r="H195" s="741">
        <v>3699.71</v>
      </c>
      <c r="I195" s="742">
        <f t="shared" si="68"/>
        <v>0</v>
      </c>
      <c r="J195" s="740">
        <f t="shared" si="69"/>
        <v>0</v>
      </c>
      <c r="K195" s="739">
        <f t="shared" si="70"/>
        <v>3699.71</v>
      </c>
      <c r="L195" s="854">
        <f t="shared" si="71"/>
        <v>0</v>
      </c>
      <c r="M195" s="740">
        <f t="shared" si="67"/>
        <v>0</v>
      </c>
      <c r="N195" s="604">
        <f t="shared" si="56"/>
        <v>0</v>
      </c>
      <c r="O195" s="604">
        <f t="shared" si="57"/>
        <v>0</v>
      </c>
      <c r="P195" s="604">
        <f t="shared" si="58"/>
        <v>0</v>
      </c>
      <c r="Q195" s="604">
        <f t="shared" si="59"/>
        <v>0</v>
      </c>
      <c r="R195" s="604">
        <f t="shared" si="60"/>
        <v>0</v>
      </c>
      <c r="S195" s="604">
        <f t="shared" si="61"/>
        <v>0</v>
      </c>
      <c r="T195" s="604">
        <f t="shared" si="62"/>
        <v>0</v>
      </c>
      <c r="U195" s="604">
        <f t="shared" si="63"/>
        <v>0</v>
      </c>
      <c r="V195" s="604">
        <f t="shared" si="64"/>
        <v>0</v>
      </c>
      <c r="W195" s="604">
        <f t="shared" si="65"/>
        <v>0</v>
      </c>
      <c r="X195" s="746">
        <v>0</v>
      </c>
      <c r="Y195" s="746">
        <f t="shared" si="66"/>
        <v>0</v>
      </c>
    </row>
    <row r="196" spans="2:25">
      <c r="B196" s="598" t="s">
        <v>2596</v>
      </c>
      <c r="C196" s="604" t="s">
        <v>2592</v>
      </c>
      <c r="D196" s="745">
        <v>2013</v>
      </c>
      <c r="E196" s="604"/>
      <c r="F196" s="738">
        <v>0.2</v>
      </c>
      <c r="G196" s="739">
        <v>-150000</v>
      </c>
      <c r="H196" s="741">
        <v>-150000</v>
      </c>
      <c r="I196" s="742">
        <f t="shared" si="68"/>
        <v>0</v>
      </c>
      <c r="J196" s="740">
        <f t="shared" si="69"/>
        <v>0</v>
      </c>
      <c r="K196" s="739">
        <f t="shared" si="70"/>
        <v>-150000</v>
      </c>
      <c r="L196" s="854">
        <f t="shared" si="71"/>
        <v>0</v>
      </c>
      <c r="M196" s="740">
        <f t="shared" si="67"/>
        <v>0</v>
      </c>
      <c r="N196" s="604">
        <f t="shared" si="56"/>
        <v>0</v>
      </c>
      <c r="O196" s="604">
        <f t="shared" si="57"/>
        <v>0</v>
      </c>
      <c r="P196" s="604">
        <f t="shared" si="58"/>
        <v>0</v>
      </c>
      <c r="Q196" s="604">
        <f t="shared" si="59"/>
        <v>0</v>
      </c>
      <c r="R196" s="604">
        <f t="shared" si="60"/>
        <v>0</v>
      </c>
      <c r="S196" s="604">
        <f t="shared" si="61"/>
        <v>0</v>
      </c>
      <c r="T196" s="604">
        <f t="shared" si="62"/>
        <v>0</v>
      </c>
      <c r="U196" s="604">
        <f t="shared" si="63"/>
        <v>0</v>
      </c>
      <c r="V196" s="604">
        <f t="shared" si="64"/>
        <v>0</v>
      </c>
      <c r="W196" s="604">
        <f t="shared" si="65"/>
        <v>0</v>
      </c>
      <c r="X196" s="746">
        <v>0</v>
      </c>
      <c r="Y196" s="746">
        <f t="shared" si="66"/>
        <v>0</v>
      </c>
    </row>
    <row r="197" spans="2:25">
      <c r="B197" s="598" t="s">
        <v>2596</v>
      </c>
      <c r="C197" s="604" t="s">
        <v>2592</v>
      </c>
      <c r="D197" s="745">
        <v>2017</v>
      </c>
      <c r="E197" s="604" t="s">
        <v>1213</v>
      </c>
      <c r="F197" s="738">
        <v>0.2</v>
      </c>
      <c r="G197" s="739">
        <v>7974.68</v>
      </c>
      <c r="H197" s="741">
        <v>7974.68</v>
      </c>
      <c r="I197" s="742">
        <f t="shared" si="68"/>
        <v>0</v>
      </c>
      <c r="J197" s="740">
        <f t="shared" si="69"/>
        <v>0</v>
      </c>
      <c r="K197" s="739">
        <f t="shared" si="70"/>
        <v>7974.68</v>
      </c>
      <c r="L197" s="854">
        <f t="shared" si="71"/>
        <v>0</v>
      </c>
      <c r="M197" s="740">
        <f t="shared" si="67"/>
        <v>0</v>
      </c>
      <c r="N197" s="604">
        <f t="shared" ref="N197:N255" si="72">+IF(L197-M197&gt;0,G197*F197,0)</f>
        <v>0</v>
      </c>
      <c r="O197" s="604">
        <f t="shared" ref="O197:O260" si="73">+IF(L197-SUM(M197:N197)&gt;0,G197*F197,0)</f>
        <v>0</v>
      </c>
      <c r="P197" s="604">
        <f t="shared" ref="P197:P260" si="74">+IF(L197-SUM(M197:O197)&gt;0,G197*F197,0)</f>
        <v>0</v>
      </c>
      <c r="Q197" s="604">
        <f t="shared" ref="Q197:Q260" si="75">+IF(L197-SUM(M197:P197)&gt;0,G197*F197,0)</f>
        <v>0</v>
      </c>
      <c r="R197" s="604">
        <f t="shared" ref="R197:R260" si="76">+IF(L197-SUM(M197:Q197)&gt;0,G197*F197,0)</f>
        <v>0</v>
      </c>
      <c r="S197" s="604">
        <f t="shared" ref="S197:S260" si="77">+IF(L197-SUM(M197:R197)&gt;0,G197*F197,0)</f>
        <v>0</v>
      </c>
      <c r="T197" s="604">
        <f t="shared" ref="T197:T260" si="78">+IF(L197-SUM(M197:S197)&gt;0,G197*F197,0)</f>
        <v>0</v>
      </c>
      <c r="U197" s="604">
        <f t="shared" ref="U197:U260" si="79">+IF(L197-SUM(M197:T197)&gt;0,G197*F197,0)</f>
        <v>0</v>
      </c>
      <c r="V197" s="604">
        <f t="shared" ref="V197:V260" si="80">+IF(L197-SUM(M197:U197)&gt;0,G197*F197,0)</f>
        <v>0</v>
      </c>
      <c r="W197" s="604">
        <f t="shared" ref="W197:W260" si="81">+IF(L197-SUM(M197:V197)&gt;0,G197*F197,0)</f>
        <v>0</v>
      </c>
      <c r="X197" s="746">
        <v>0</v>
      </c>
      <c r="Y197" s="746">
        <f t="shared" ref="Y197:Y260" si="82">+SUM(M197:W197)-L197</f>
        <v>0</v>
      </c>
    </row>
    <row r="198" spans="2:25">
      <c r="B198" s="598" t="s">
        <v>2596</v>
      </c>
      <c r="C198" s="604" t="s">
        <v>2592</v>
      </c>
      <c r="D198" s="745">
        <v>2017</v>
      </c>
      <c r="E198" s="604" t="s">
        <v>1214</v>
      </c>
      <c r="F198" s="738">
        <v>0.2</v>
      </c>
      <c r="G198" s="739">
        <v>1600.82</v>
      </c>
      <c r="H198" s="741">
        <v>1600.82</v>
      </c>
      <c r="I198" s="742">
        <f t="shared" si="68"/>
        <v>0</v>
      </c>
      <c r="J198" s="740">
        <f t="shared" si="69"/>
        <v>0</v>
      </c>
      <c r="K198" s="739">
        <f t="shared" si="70"/>
        <v>1600.82</v>
      </c>
      <c r="L198" s="854">
        <f t="shared" si="71"/>
        <v>0</v>
      </c>
      <c r="M198" s="740">
        <f t="shared" si="67"/>
        <v>0</v>
      </c>
      <c r="N198" s="604">
        <f t="shared" si="72"/>
        <v>0</v>
      </c>
      <c r="O198" s="604">
        <f t="shared" si="73"/>
        <v>0</v>
      </c>
      <c r="P198" s="604">
        <f t="shared" si="74"/>
        <v>0</v>
      </c>
      <c r="Q198" s="604">
        <f t="shared" si="75"/>
        <v>0</v>
      </c>
      <c r="R198" s="604">
        <f t="shared" si="76"/>
        <v>0</v>
      </c>
      <c r="S198" s="604">
        <f t="shared" si="77"/>
        <v>0</v>
      </c>
      <c r="T198" s="604">
        <f t="shared" si="78"/>
        <v>0</v>
      </c>
      <c r="U198" s="604">
        <f t="shared" si="79"/>
        <v>0</v>
      </c>
      <c r="V198" s="604">
        <f t="shared" si="80"/>
        <v>0</v>
      </c>
      <c r="W198" s="604">
        <f t="shared" si="81"/>
        <v>0</v>
      </c>
      <c r="X198" s="746">
        <v>0</v>
      </c>
      <c r="Y198" s="746">
        <f t="shared" si="82"/>
        <v>0</v>
      </c>
    </row>
    <row r="199" spans="2:25">
      <c r="B199" s="598" t="s">
        <v>2596</v>
      </c>
      <c r="C199" s="604" t="s">
        <v>2592</v>
      </c>
      <c r="D199" s="745">
        <v>2017</v>
      </c>
      <c r="E199" s="604" t="s">
        <v>1215</v>
      </c>
      <c r="F199" s="738">
        <v>0.2</v>
      </c>
      <c r="G199" s="739">
        <v>10547.45</v>
      </c>
      <c r="H199" s="741">
        <v>10547.45</v>
      </c>
      <c r="I199" s="742">
        <f t="shared" si="68"/>
        <v>0</v>
      </c>
      <c r="J199" s="740">
        <f t="shared" si="69"/>
        <v>0</v>
      </c>
      <c r="K199" s="739">
        <f t="shared" si="70"/>
        <v>10547.45</v>
      </c>
      <c r="L199" s="854">
        <f t="shared" si="71"/>
        <v>0</v>
      </c>
      <c r="M199" s="740">
        <f t="shared" si="67"/>
        <v>0</v>
      </c>
      <c r="N199" s="604">
        <f t="shared" si="72"/>
        <v>0</v>
      </c>
      <c r="O199" s="604">
        <f t="shared" si="73"/>
        <v>0</v>
      </c>
      <c r="P199" s="604">
        <f t="shared" si="74"/>
        <v>0</v>
      </c>
      <c r="Q199" s="604">
        <f t="shared" si="75"/>
        <v>0</v>
      </c>
      <c r="R199" s="604">
        <f t="shared" si="76"/>
        <v>0</v>
      </c>
      <c r="S199" s="604">
        <f t="shared" si="77"/>
        <v>0</v>
      </c>
      <c r="T199" s="604">
        <f t="shared" si="78"/>
        <v>0</v>
      </c>
      <c r="U199" s="604">
        <f t="shared" si="79"/>
        <v>0</v>
      </c>
      <c r="V199" s="604">
        <f t="shared" si="80"/>
        <v>0</v>
      </c>
      <c r="W199" s="604">
        <f t="shared" si="81"/>
        <v>0</v>
      </c>
      <c r="X199" s="746">
        <v>0</v>
      </c>
      <c r="Y199" s="746">
        <f t="shared" si="82"/>
        <v>0</v>
      </c>
    </row>
    <row r="200" spans="2:25">
      <c r="B200" s="598" t="s">
        <v>2596</v>
      </c>
      <c r="C200" s="604" t="s">
        <v>2592</v>
      </c>
      <c r="D200" s="745">
        <v>2017</v>
      </c>
      <c r="E200" s="604" t="s">
        <v>1216</v>
      </c>
      <c r="F200" s="738">
        <v>0.2</v>
      </c>
      <c r="G200" s="739">
        <v>9000</v>
      </c>
      <c r="H200" s="741">
        <v>9000</v>
      </c>
      <c r="I200" s="742">
        <f t="shared" si="68"/>
        <v>0</v>
      </c>
      <c r="J200" s="740">
        <f t="shared" si="69"/>
        <v>0</v>
      </c>
      <c r="K200" s="739">
        <f t="shared" si="70"/>
        <v>9000</v>
      </c>
      <c r="L200" s="854">
        <f t="shared" si="71"/>
        <v>0</v>
      </c>
      <c r="M200" s="740">
        <f t="shared" ref="M200:M263" si="83">+IF(L200=0,0,G200*F200)</f>
        <v>0</v>
      </c>
      <c r="N200" s="604">
        <f t="shared" si="72"/>
        <v>0</v>
      </c>
      <c r="O200" s="604">
        <f t="shared" si="73"/>
        <v>0</v>
      </c>
      <c r="P200" s="604">
        <f t="shared" si="74"/>
        <v>0</v>
      </c>
      <c r="Q200" s="604">
        <f t="shared" si="75"/>
        <v>0</v>
      </c>
      <c r="R200" s="604">
        <f t="shared" si="76"/>
        <v>0</v>
      </c>
      <c r="S200" s="604">
        <f t="shared" si="77"/>
        <v>0</v>
      </c>
      <c r="T200" s="604">
        <f t="shared" si="78"/>
        <v>0</v>
      </c>
      <c r="U200" s="604">
        <f t="shared" si="79"/>
        <v>0</v>
      </c>
      <c r="V200" s="604">
        <f t="shared" si="80"/>
        <v>0</v>
      </c>
      <c r="W200" s="604">
        <f t="shared" si="81"/>
        <v>0</v>
      </c>
      <c r="X200" s="746">
        <v>0</v>
      </c>
      <c r="Y200" s="746">
        <f t="shared" si="82"/>
        <v>0</v>
      </c>
    </row>
    <row r="201" spans="2:25">
      <c r="B201" s="598" t="s">
        <v>2596</v>
      </c>
      <c r="C201" s="604" t="s">
        <v>2592</v>
      </c>
      <c r="D201" s="745">
        <v>2017</v>
      </c>
      <c r="E201" s="604" t="s">
        <v>1217</v>
      </c>
      <c r="F201" s="738">
        <v>0.2</v>
      </c>
      <c r="G201" s="739">
        <v>31000</v>
      </c>
      <c r="H201" s="741">
        <v>31000</v>
      </c>
      <c r="I201" s="742">
        <f t="shared" si="68"/>
        <v>0</v>
      </c>
      <c r="J201" s="740">
        <f t="shared" si="69"/>
        <v>0</v>
      </c>
      <c r="K201" s="739">
        <f t="shared" si="70"/>
        <v>31000</v>
      </c>
      <c r="L201" s="854">
        <f t="shared" si="71"/>
        <v>0</v>
      </c>
      <c r="M201" s="740">
        <f t="shared" si="83"/>
        <v>0</v>
      </c>
      <c r="N201" s="604">
        <f t="shared" si="72"/>
        <v>0</v>
      </c>
      <c r="O201" s="604">
        <f t="shared" si="73"/>
        <v>0</v>
      </c>
      <c r="P201" s="604">
        <f t="shared" si="74"/>
        <v>0</v>
      </c>
      <c r="Q201" s="604">
        <f t="shared" si="75"/>
        <v>0</v>
      </c>
      <c r="R201" s="604">
        <f t="shared" si="76"/>
        <v>0</v>
      </c>
      <c r="S201" s="604">
        <f t="shared" si="77"/>
        <v>0</v>
      </c>
      <c r="T201" s="604">
        <f t="shared" si="78"/>
        <v>0</v>
      </c>
      <c r="U201" s="604">
        <f t="shared" si="79"/>
        <v>0</v>
      </c>
      <c r="V201" s="604">
        <f t="shared" si="80"/>
        <v>0</v>
      </c>
      <c r="W201" s="604">
        <f t="shared" si="81"/>
        <v>0</v>
      </c>
      <c r="X201" s="746">
        <v>0</v>
      </c>
      <c r="Y201" s="746">
        <f t="shared" si="82"/>
        <v>0</v>
      </c>
    </row>
    <row r="202" spans="2:25">
      <c r="B202" s="598" t="s">
        <v>2596</v>
      </c>
      <c r="C202" s="604" t="s">
        <v>2592</v>
      </c>
      <c r="D202" s="745">
        <v>2017</v>
      </c>
      <c r="E202" s="604" t="s">
        <v>1218</v>
      </c>
      <c r="F202" s="738">
        <v>0.2</v>
      </c>
      <c r="G202" s="739">
        <v>18500</v>
      </c>
      <c r="H202" s="741">
        <v>18500</v>
      </c>
      <c r="I202" s="742">
        <f t="shared" si="68"/>
        <v>0</v>
      </c>
      <c r="J202" s="740">
        <f t="shared" si="69"/>
        <v>0</v>
      </c>
      <c r="K202" s="739">
        <f t="shared" si="70"/>
        <v>18500</v>
      </c>
      <c r="L202" s="854">
        <f t="shared" si="71"/>
        <v>0</v>
      </c>
      <c r="M202" s="740">
        <f t="shared" si="83"/>
        <v>0</v>
      </c>
      <c r="N202" s="604">
        <f t="shared" si="72"/>
        <v>0</v>
      </c>
      <c r="O202" s="604">
        <f t="shared" si="73"/>
        <v>0</v>
      </c>
      <c r="P202" s="604">
        <f t="shared" si="74"/>
        <v>0</v>
      </c>
      <c r="Q202" s="604">
        <f t="shared" si="75"/>
        <v>0</v>
      </c>
      <c r="R202" s="604">
        <f t="shared" si="76"/>
        <v>0</v>
      </c>
      <c r="S202" s="604">
        <f t="shared" si="77"/>
        <v>0</v>
      </c>
      <c r="T202" s="604">
        <f t="shared" si="78"/>
        <v>0</v>
      </c>
      <c r="U202" s="604">
        <f t="shared" si="79"/>
        <v>0</v>
      </c>
      <c r="V202" s="604">
        <f t="shared" si="80"/>
        <v>0</v>
      </c>
      <c r="W202" s="604">
        <f t="shared" si="81"/>
        <v>0</v>
      </c>
      <c r="X202" s="746">
        <v>0</v>
      </c>
      <c r="Y202" s="746">
        <f t="shared" si="82"/>
        <v>0</v>
      </c>
    </row>
    <row r="203" spans="2:25">
      <c r="B203" s="598" t="s">
        <v>2596</v>
      </c>
      <c r="C203" s="604" t="s">
        <v>2592</v>
      </c>
      <c r="D203" s="745">
        <v>2018</v>
      </c>
      <c r="E203" s="604" t="s">
        <v>1219</v>
      </c>
      <c r="F203" s="738">
        <v>0.2</v>
      </c>
      <c r="G203" s="739">
        <v>3079</v>
      </c>
      <c r="H203" s="741">
        <v>2463.1999999999998</v>
      </c>
      <c r="I203" s="742">
        <f t="shared" si="68"/>
        <v>615.80000000000018</v>
      </c>
      <c r="J203" s="740">
        <f t="shared" si="69"/>
        <v>615.80000000000007</v>
      </c>
      <c r="K203" s="739">
        <f t="shared" si="70"/>
        <v>3079</v>
      </c>
      <c r="L203" s="854">
        <f t="shared" si="71"/>
        <v>0</v>
      </c>
      <c r="M203" s="740">
        <f t="shared" si="83"/>
        <v>0</v>
      </c>
      <c r="N203" s="604">
        <f t="shared" si="72"/>
        <v>0</v>
      </c>
      <c r="O203" s="604">
        <f t="shared" si="73"/>
        <v>0</v>
      </c>
      <c r="P203" s="604">
        <f t="shared" si="74"/>
        <v>0</v>
      </c>
      <c r="Q203" s="604">
        <f t="shared" si="75"/>
        <v>0</v>
      </c>
      <c r="R203" s="604">
        <f t="shared" si="76"/>
        <v>0</v>
      </c>
      <c r="S203" s="604">
        <f t="shared" si="77"/>
        <v>0</v>
      </c>
      <c r="T203" s="604">
        <f t="shared" si="78"/>
        <v>0</v>
      </c>
      <c r="U203" s="604">
        <f t="shared" si="79"/>
        <v>0</v>
      </c>
      <c r="V203" s="604">
        <f t="shared" si="80"/>
        <v>0</v>
      </c>
      <c r="W203" s="604">
        <f t="shared" si="81"/>
        <v>0</v>
      </c>
      <c r="X203" s="746">
        <v>0</v>
      </c>
      <c r="Y203" s="746">
        <f t="shared" si="82"/>
        <v>0</v>
      </c>
    </row>
    <row r="204" spans="2:25">
      <c r="B204" s="598" t="s">
        <v>2596</v>
      </c>
      <c r="C204" s="604" t="s">
        <v>2592</v>
      </c>
      <c r="D204" s="745">
        <v>2018</v>
      </c>
      <c r="E204" s="604" t="s">
        <v>1220</v>
      </c>
      <c r="F204" s="738">
        <v>0.2</v>
      </c>
      <c r="G204" s="739">
        <v>250000</v>
      </c>
      <c r="H204" s="741">
        <v>200000</v>
      </c>
      <c r="I204" s="742">
        <f t="shared" si="68"/>
        <v>50000</v>
      </c>
      <c r="J204" s="740">
        <f t="shared" si="69"/>
        <v>50000</v>
      </c>
      <c r="K204" s="739">
        <f t="shared" si="70"/>
        <v>250000</v>
      </c>
      <c r="L204" s="854">
        <f t="shared" si="71"/>
        <v>0</v>
      </c>
      <c r="M204" s="740">
        <f t="shared" si="83"/>
        <v>0</v>
      </c>
      <c r="N204" s="604">
        <f t="shared" si="72"/>
        <v>0</v>
      </c>
      <c r="O204" s="604">
        <f t="shared" si="73"/>
        <v>0</v>
      </c>
      <c r="P204" s="604">
        <f t="shared" si="74"/>
        <v>0</v>
      </c>
      <c r="Q204" s="604">
        <f t="shared" si="75"/>
        <v>0</v>
      </c>
      <c r="R204" s="604">
        <f t="shared" si="76"/>
        <v>0</v>
      </c>
      <c r="S204" s="604">
        <f t="shared" si="77"/>
        <v>0</v>
      </c>
      <c r="T204" s="604">
        <f t="shared" si="78"/>
        <v>0</v>
      </c>
      <c r="U204" s="604">
        <f t="shared" si="79"/>
        <v>0</v>
      </c>
      <c r="V204" s="604">
        <f t="shared" si="80"/>
        <v>0</v>
      </c>
      <c r="W204" s="604">
        <f t="shared" si="81"/>
        <v>0</v>
      </c>
      <c r="X204" s="746">
        <v>0</v>
      </c>
      <c r="Y204" s="746">
        <f t="shared" si="82"/>
        <v>0</v>
      </c>
    </row>
    <row r="205" spans="2:25">
      <c r="B205" s="598" t="s">
        <v>2596</v>
      </c>
      <c r="C205" s="604" t="s">
        <v>2592</v>
      </c>
      <c r="D205" s="745">
        <v>2020</v>
      </c>
      <c r="E205" s="604" t="s">
        <v>1221</v>
      </c>
      <c r="F205" s="738">
        <v>0.2</v>
      </c>
      <c r="G205" s="739">
        <v>7110</v>
      </c>
      <c r="H205" s="741">
        <v>2844</v>
      </c>
      <c r="I205" s="742">
        <f t="shared" si="68"/>
        <v>4266</v>
      </c>
      <c r="J205" s="740">
        <f t="shared" si="69"/>
        <v>1422</v>
      </c>
      <c r="K205" s="739">
        <f t="shared" si="70"/>
        <v>4266</v>
      </c>
      <c r="L205" s="854">
        <f t="shared" si="71"/>
        <v>2844</v>
      </c>
      <c r="M205" s="740">
        <f t="shared" si="83"/>
        <v>1422</v>
      </c>
      <c r="N205" s="604">
        <f t="shared" si="72"/>
        <v>1422</v>
      </c>
      <c r="O205" s="604">
        <f t="shared" si="73"/>
        <v>0</v>
      </c>
      <c r="P205" s="604">
        <f t="shared" si="74"/>
        <v>0</v>
      </c>
      <c r="Q205" s="604">
        <f t="shared" si="75"/>
        <v>0</v>
      </c>
      <c r="R205" s="604">
        <f t="shared" si="76"/>
        <v>0</v>
      </c>
      <c r="S205" s="604">
        <f t="shared" si="77"/>
        <v>0</v>
      </c>
      <c r="T205" s="604">
        <f t="shared" si="78"/>
        <v>0</v>
      </c>
      <c r="U205" s="604">
        <f t="shared" si="79"/>
        <v>0</v>
      </c>
      <c r="V205" s="604">
        <f t="shared" si="80"/>
        <v>0</v>
      </c>
      <c r="W205" s="604">
        <f t="shared" si="81"/>
        <v>0</v>
      </c>
      <c r="X205" s="746">
        <v>0</v>
      </c>
      <c r="Y205" s="746">
        <f t="shared" si="82"/>
        <v>0</v>
      </c>
    </row>
    <row r="206" spans="2:25" ht="12.75" thickBot="1">
      <c r="B206" s="598" t="s">
        <v>2596</v>
      </c>
      <c r="C206" s="604" t="s">
        <v>2592</v>
      </c>
      <c r="D206" s="745">
        <v>2019</v>
      </c>
      <c r="E206" s="604" t="s">
        <v>1222</v>
      </c>
      <c r="F206" s="738">
        <v>0.03</v>
      </c>
      <c r="G206" s="739">
        <v>4600</v>
      </c>
      <c r="H206" s="741">
        <v>414</v>
      </c>
      <c r="I206" s="742">
        <f t="shared" si="68"/>
        <v>4186</v>
      </c>
      <c r="J206" s="740">
        <v>138</v>
      </c>
      <c r="K206" s="739">
        <f>+H206+J206</f>
        <v>552</v>
      </c>
      <c r="L206" s="855">
        <f>+G206-K206</f>
        <v>4048</v>
      </c>
      <c r="M206" s="740">
        <f>+IF(L206=0,0,G206*F206)</f>
        <v>138</v>
      </c>
      <c r="N206" s="604">
        <f t="shared" si="72"/>
        <v>138</v>
      </c>
      <c r="O206" s="604">
        <f t="shared" si="73"/>
        <v>138</v>
      </c>
      <c r="P206" s="604">
        <f t="shared" si="74"/>
        <v>138</v>
      </c>
      <c r="Q206" s="604">
        <f t="shared" si="75"/>
        <v>138</v>
      </c>
      <c r="R206" s="604">
        <f t="shared" si="76"/>
        <v>138</v>
      </c>
      <c r="S206" s="604">
        <f t="shared" si="77"/>
        <v>138</v>
      </c>
      <c r="T206" s="604">
        <f t="shared" si="78"/>
        <v>138</v>
      </c>
      <c r="U206" s="604">
        <f t="shared" si="79"/>
        <v>138</v>
      </c>
      <c r="V206" s="604">
        <f t="shared" si="80"/>
        <v>138</v>
      </c>
      <c r="W206" s="604">
        <f t="shared" si="81"/>
        <v>138</v>
      </c>
      <c r="X206" s="746">
        <v>-2668</v>
      </c>
      <c r="Y206" s="746">
        <f>+SUM(M206:W206)-L206</f>
        <v>-2530</v>
      </c>
    </row>
    <row r="207" spans="2:25">
      <c r="B207" s="598" t="s">
        <v>2595</v>
      </c>
      <c r="C207" s="604" t="s">
        <v>1110</v>
      </c>
      <c r="D207" s="745">
        <v>2013</v>
      </c>
      <c r="E207" s="604" t="s">
        <v>1223</v>
      </c>
      <c r="F207" s="738"/>
      <c r="G207" s="739">
        <v>1041.32</v>
      </c>
      <c r="H207" s="741">
        <v>1041.32</v>
      </c>
      <c r="I207" s="742">
        <f t="shared" ref="I207:I208" si="84">+G207-H207</f>
        <v>0</v>
      </c>
      <c r="J207" s="740">
        <f t="shared" ref="J207:J208" si="85">IF(I207=0,0,G207*F207)</f>
        <v>0</v>
      </c>
      <c r="K207" s="604">
        <f t="shared" ref="K207:K208" si="86">+H207+J207</f>
        <v>1041.32</v>
      </c>
      <c r="L207" s="830">
        <f t="shared" ref="L207:L208" si="87">+G207-K207</f>
        <v>0</v>
      </c>
      <c r="M207" s="604">
        <f t="shared" si="83"/>
        <v>0</v>
      </c>
      <c r="N207" s="604">
        <f t="shared" si="72"/>
        <v>0</v>
      </c>
      <c r="O207" s="604">
        <f t="shared" si="73"/>
        <v>0</v>
      </c>
      <c r="P207" s="604">
        <f t="shared" si="74"/>
        <v>0</v>
      </c>
      <c r="Q207" s="604">
        <f t="shared" si="75"/>
        <v>0</v>
      </c>
      <c r="R207" s="604">
        <f t="shared" si="76"/>
        <v>0</v>
      </c>
      <c r="S207" s="604">
        <f t="shared" si="77"/>
        <v>0</v>
      </c>
      <c r="T207" s="604">
        <f t="shared" si="78"/>
        <v>0</v>
      </c>
      <c r="U207" s="604">
        <f t="shared" si="79"/>
        <v>0</v>
      </c>
      <c r="V207" s="604">
        <f t="shared" si="80"/>
        <v>0</v>
      </c>
      <c r="W207" s="604">
        <f t="shared" si="81"/>
        <v>0</v>
      </c>
      <c r="X207" s="746">
        <v>0</v>
      </c>
      <c r="Y207" s="746">
        <f t="shared" si="82"/>
        <v>0</v>
      </c>
    </row>
    <row r="208" spans="2:25" ht="12.75" thickBot="1">
      <c r="B208" s="598" t="s">
        <v>2595</v>
      </c>
      <c r="C208" s="604" t="s">
        <v>1110</v>
      </c>
      <c r="D208" s="745">
        <v>2013</v>
      </c>
      <c r="E208" s="604"/>
      <c r="F208" s="738"/>
      <c r="G208" s="739">
        <v>2246</v>
      </c>
      <c r="H208" s="741">
        <v>2246</v>
      </c>
      <c r="I208" s="742">
        <f t="shared" si="84"/>
        <v>0</v>
      </c>
      <c r="J208" s="740">
        <f t="shared" si="85"/>
        <v>0</v>
      </c>
      <c r="K208" s="604">
        <f t="shared" si="86"/>
        <v>2246</v>
      </c>
      <c r="L208" s="775">
        <f t="shared" si="87"/>
        <v>0</v>
      </c>
      <c r="M208" s="604">
        <f t="shared" si="83"/>
        <v>0</v>
      </c>
      <c r="N208" s="604">
        <f t="shared" si="72"/>
        <v>0</v>
      </c>
      <c r="O208" s="604">
        <f t="shared" si="73"/>
        <v>0</v>
      </c>
      <c r="P208" s="604">
        <f t="shared" si="74"/>
        <v>0</v>
      </c>
      <c r="Q208" s="604">
        <f t="shared" si="75"/>
        <v>0</v>
      </c>
      <c r="R208" s="604">
        <f t="shared" si="76"/>
        <v>0</v>
      </c>
      <c r="S208" s="604">
        <f t="shared" si="77"/>
        <v>0</v>
      </c>
      <c r="T208" s="604">
        <f t="shared" si="78"/>
        <v>0</v>
      </c>
      <c r="U208" s="604">
        <f t="shared" si="79"/>
        <v>0</v>
      </c>
      <c r="V208" s="604">
        <f t="shared" si="80"/>
        <v>0</v>
      </c>
      <c r="W208" s="604">
        <f t="shared" si="81"/>
        <v>0</v>
      </c>
      <c r="X208" s="746">
        <v>0</v>
      </c>
      <c r="Y208" s="746">
        <f t="shared" si="82"/>
        <v>0</v>
      </c>
    </row>
    <row r="209" spans="2:27">
      <c r="B209" s="598" t="s">
        <v>2596</v>
      </c>
      <c r="C209" s="604" t="s">
        <v>1109</v>
      </c>
      <c r="D209" s="745">
        <v>1999</v>
      </c>
      <c r="E209" s="604" t="s">
        <v>1224</v>
      </c>
      <c r="F209" s="738">
        <v>0.2</v>
      </c>
      <c r="G209" s="739">
        <v>2324.06</v>
      </c>
      <c r="H209" s="741">
        <v>2324.06</v>
      </c>
      <c r="I209" s="742">
        <f t="shared" ref="I209:I231" si="88">+G209-H209</f>
        <v>0</v>
      </c>
      <c r="J209" s="740">
        <f t="shared" ref="J209:J231" si="89">IF(I209=0,0,G209*F209)</f>
        <v>0</v>
      </c>
      <c r="K209" s="739">
        <f t="shared" ref="K209:K231" si="90">+H209+J209</f>
        <v>2324.06</v>
      </c>
      <c r="L209" s="856">
        <f t="shared" ref="L209:L231" si="91">+G209-K209</f>
        <v>0</v>
      </c>
      <c r="M209" s="740">
        <f t="shared" si="83"/>
        <v>0</v>
      </c>
      <c r="N209" s="604">
        <f t="shared" si="72"/>
        <v>0</v>
      </c>
      <c r="O209" s="604">
        <f t="shared" si="73"/>
        <v>0</v>
      </c>
      <c r="P209" s="604">
        <f t="shared" si="74"/>
        <v>0</v>
      </c>
      <c r="Q209" s="604">
        <f t="shared" si="75"/>
        <v>0</v>
      </c>
      <c r="R209" s="604">
        <f t="shared" si="76"/>
        <v>0</v>
      </c>
      <c r="S209" s="604">
        <f t="shared" si="77"/>
        <v>0</v>
      </c>
      <c r="T209" s="604">
        <f t="shared" si="78"/>
        <v>0</v>
      </c>
      <c r="U209" s="604">
        <f t="shared" si="79"/>
        <v>0</v>
      </c>
      <c r="V209" s="604">
        <f t="shared" si="80"/>
        <v>0</v>
      </c>
      <c r="W209" s="604">
        <f t="shared" si="81"/>
        <v>0</v>
      </c>
      <c r="X209" s="746">
        <v>0</v>
      </c>
      <c r="Y209" s="746">
        <f t="shared" si="82"/>
        <v>0</v>
      </c>
      <c r="Z209" s="746">
        <f>+SUM(L209:L231)</f>
        <v>0</v>
      </c>
    </row>
    <row r="210" spans="2:27">
      <c r="B210" s="598" t="s">
        <v>2596</v>
      </c>
      <c r="C210" s="604" t="s">
        <v>1109</v>
      </c>
      <c r="D210" s="745">
        <v>2000</v>
      </c>
      <c r="E210" s="604" t="s">
        <v>1225</v>
      </c>
      <c r="F210" s="738">
        <v>0.2</v>
      </c>
      <c r="G210" s="739">
        <v>16557.61</v>
      </c>
      <c r="H210" s="741">
        <v>16557.61</v>
      </c>
      <c r="I210" s="742">
        <f t="shared" si="88"/>
        <v>0</v>
      </c>
      <c r="J210" s="740">
        <f t="shared" si="89"/>
        <v>0</v>
      </c>
      <c r="K210" s="739">
        <f t="shared" si="90"/>
        <v>16557.61</v>
      </c>
      <c r="L210" s="857">
        <f t="shared" si="91"/>
        <v>0</v>
      </c>
      <c r="M210" s="740">
        <f t="shared" si="83"/>
        <v>0</v>
      </c>
      <c r="N210" s="604">
        <f t="shared" si="72"/>
        <v>0</v>
      </c>
      <c r="O210" s="604">
        <f t="shared" si="73"/>
        <v>0</v>
      </c>
      <c r="P210" s="604">
        <f t="shared" si="74"/>
        <v>0</v>
      </c>
      <c r="Q210" s="604">
        <f t="shared" si="75"/>
        <v>0</v>
      </c>
      <c r="R210" s="604">
        <f t="shared" si="76"/>
        <v>0</v>
      </c>
      <c r="S210" s="604">
        <f t="shared" si="77"/>
        <v>0</v>
      </c>
      <c r="T210" s="604">
        <f t="shared" si="78"/>
        <v>0</v>
      </c>
      <c r="U210" s="604">
        <f t="shared" si="79"/>
        <v>0</v>
      </c>
      <c r="V210" s="604">
        <f t="shared" si="80"/>
        <v>0</v>
      </c>
      <c r="W210" s="604">
        <f t="shared" si="81"/>
        <v>0</v>
      </c>
      <c r="X210" s="746">
        <v>0</v>
      </c>
      <c r="Y210" s="746">
        <f t="shared" si="82"/>
        <v>0</v>
      </c>
      <c r="Z210" s="746">
        <f>+Z209-BdV!I10-BdV!I11</f>
        <v>0</v>
      </c>
      <c r="AA210" s="598" t="s">
        <v>363</v>
      </c>
    </row>
    <row r="211" spans="2:27">
      <c r="B211" s="598" t="s">
        <v>2596</v>
      </c>
      <c r="C211" s="604" t="s">
        <v>1109</v>
      </c>
      <c r="D211" s="745">
        <v>2001</v>
      </c>
      <c r="E211" s="604" t="s">
        <v>1225</v>
      </c>
      <c r="F211" s="738">
        <v>0.2</v>
      </c>
      <c r="G211" s="739">
        <v>22465.88</v>
      </c>
      <c r="H211" s="741">
        <v>22465.88</v>
      </c>
      <c r="I211" s="742">
        <f t="shared" si="88"/>
        <v>0</v>
      </c>
      <c r="J211" s="740">
        <f t="shared" si="89"/>
        <v>0</v>
      </c>
      <c r="K211" s="739">
        <f t="shared" si="90"/>
        <v>22465.88</v>
      </c>
      <c r="L211" s="857">
        <f t="shared" si="91"/>
        <v>0</v>
      </c>
      <c r="M211" s="740">
        <f t="shared" si="83"/>
        <v>0</v>
      </c>
      <c r="N211" s="604">
        <f t="shared" si="72"/>
        <v>0</v>
      </c>
      <c r="O211" s="604">
        <f t="shared" si="73"/>
        <v>0</v>
      </c>
      <c r="P211" s="604">
        <f t="shared" si="74"/>
        <v>0</v>
      </c>
      <c r="Q211" s="604">
        <f t="shared" si="75"/>
        <v>0</v>
      </c>
      <c r="R211" s="604">
        <f t="shared" si="76"/>
        <v>0</v>
      </c>
      <c r="S211" s="604">
        <f t="shared" si="77"/>
        <v>0</v>
      </c>
      <c r="T211" s="604">
        <f t="shared" si="78"/>
        <v>0</v>
      </c>
      <c r="U211" s="604">
        <f t="shared" si="79"/>
        <v>0</v>
      </c>
      <c r="V211" s="604">
        <f t="shared" si="80"/>
        <v>0</v>
      </c>
      <c r="W211" s="604">
        <f t="shared" si="81"/>
        <v>0</v>
      </c>
      <c r="X211" s="746">
        <v>0</v>
      </c>
      <c r="Y211" s="746">
        <f t="shared" si="82"/>
        <v>0</v>
      </c>
    </row>
    <row r="212" spans="2:27">
      <c r="B212" s="598" t="s">
        <v>2596</v>
      </c>
      <c r="C212" s="604" t="s">
        <v>1109</v>
      </c>
      <c r="D212" s="745">
        <v>2002</v>
      </c>
      <c r="E212" s="604" t="s">
        <v>1225</v>
      </c>
      <c r="F212" s="738">
        <v>0.2</v>
      </c>
      <c r="G212" s="739">
        <v>17868.21</v>
      </c>
      <c r="H212" s="741">
        <v>17868.21</v>
      </c>
      <c r="I212" s="742">
        <f t="shared" si="88"/>
        <v>0</v>
      </c>
      <c r="J212" s="740">
        <f t="shared" si="89"/>
        <v>0</v>
      </c>
      <c r="K212" s="739">
        <f t="shared" si="90"/>
        <v>17868.21</v>
      </c>
      <c r="L212" s="857">
        <f t="shared" si="91"/>
        <v>0</v>
      </c>
      <c r="M212" s="740">
        <f t="shared" si="83"/>
        <v>0</v>
      </c>
      <c r="N212" s="604">
        <f t="shared" si="72"/>
        <v>0</v>
      </c>
      <c r="O212" s="604">
        <f t="shared" si="73"/>
        <v>0</v>
      </c>
      <c r="P212" s="604">
        <f t="shared" si="74"/>
        <v>0</v>
      </c>
      <c r="Q212" s="604">
        <f t="shared" si="75"/>
        <v>0</v>
      </c>
      <c r="R212" s="604">
        <f t="shared" si="76"/>
        <v>0</v>
      </c>
      <c r="S212" s="604">
        <f t="shared" si="77"/>
        <v>0</v>
      </c>
      <c r="T212" s="604">
        <f t="shared" si="78"/>
        <v>0</v>
      </c>
      <c r="U212" s="604">
        <f t="shared" si="79"/>
        <v>0</v>
      </c>
      <c r="V212" s="604">
        <f t="shared" si="80"/>
        <v>0</v>
      </c>
      <c r="W212" s="604">
        <f t="shared" si="81"/>
        <v>0</v>
      </c>
      <c r="X212" s="746">
        <v>0</v>
      </c>
      <c r="Y212" s="746">
        <f t="shared" si="82"/>
        <v>0</v>
      </c>
    </row>
    <row r="213" spans="2:27">
      <c r="B213" s="598" t="s">
        <v>2596</v>
      </c>
      <c r="C213" s="604" t="s">
        <v>1109</v>
      </c>
      <c r="D213" s="745">
        <v>2003</v>
      </c>
      <c r="E213" s="604" t="s">
        <v>1225</v>
      </c>
      <c r="F213" s="738">
        <v>0.2</v>
      </c>
      <c r="G213" s="739">
        <v>35300</v>
      </c>
      <c r="H213" s="741">
        <v>35300</v>
      </c>
      <c r="I213" s="742">
        <f t="shared" si="88"/>
        <v>0</v>
      </c>
      <c r="J213" s="740">
        <f t="shared" si="89"/>
        <v>0</v>
      </c>
      <c r="K213" s="739">
        <f t="shared" si="90"/>
        <v>35300</v>
      </c>
      <c r="L213" s="857">
        <f t="shared" si="91"/>
        <v>0</v>
      </c>
      <c r="M213" s="740">
        <f t="shared" si="83"/>
        <v>0</v>
      </c>
      <c r="N213" s="604">
        <f t="shared" si="72"/>
        <v>0</v>
      </c>
      <c r="O213" s="604">
        <f t="shared" si="73"/>
        <v>0</v>
      </c>
      <c r="P213" s="604">
        <f t="shared" si="74"/>
        <v>0</v>
      </c>
      <c r="Q213" s="604">
        <f t="shared" si="75"/>
        <v>0</v>
      </c>
      <c r="R213" s="604">
        <f t="shared" si="76"/>
        <v>0</v>
      </c>
      <c r="S213" s="604">
        <f t="shared" si="77"/>
        <v>0</v>
      </c>
      <c r="T213" s="604">
        <f t="shared" si="78"/>
        <v>0</v>
      </c>
      <c r="U213" s="604">
        <f t="shared" si="79"/>
        <v>0</v>
      </c>
      <c r="V213" s="604">
        <f t="shared" si="80"/>
        <v>0</v>
      </c>
      <c r="W213" s="604">
        <f t="shared" si="81"/>
        <v>0</v>
      </c>
      <c r="X213" s="746">
        <v>0</v>
      </c>
      <c r="Y213" s="746">
        <f t="shared" si="82"/>
        <v>0</v>
      </c>
    </row>
    <row r="214" spans="2:27">
      <c r="B214" s="598" t="s">
        <v>2596</v>
      </c>
      <c r="C214" s="604" t="s">
        <v>1109</v>
      </c>
      <c r="D214" s="745">
        <v>2000</v>
      </c>
      <c r="E214" s="604" t="s">
        <v>1226</v>
      </c>
      <c r="F214" s="738">
        <v>0.33329999999999999</v>
      </c>
      <c r="G214" s="739">
        <v>2582.2800000000002</v>
      </c>
      <c r="H214" s="741">
        <v>2582.2800000000002</v>
      </c>
      <c r="I214" s="742">
        <f t="shared" si="88"/>
        <v>0</v>
      </c>
      <c r="J214" s="740">
        <f t="shared" si="89"/>
        <v>0</v>
      </c>
      <c r="K214" s="739">
        <f t="shared" si="90"/>
        <v>2582.2800000000002</v>
      </c>
      <c r="L214" s="857">
        <f t="shared" si="91"/>
        <v>0</v>
      </c>
      <c r="M214" s="740">
        <f t="shared" si="83"/>
        <v>0</v>
      </c>
      <c r="N214" s="604">
        <f t="shared" si="72"/>
        <v>0</v>
      </c>
      <c r="O214" s="604">
        <f t="shared" si="73"/>
        <v>0</v>
      </c>
      <c r="P214" s="604">
        <f t="shared" si="74"/>
        <v>0</v>
      </c>
      <c r="Q214" s="604">
        <f t="shared" si="75"/>
        <v>0</v>
      </c>
      <c r="R214" s="604">
        <f t="shared" si="76"/>
        <v>0</v>
      </c>
      <c r="S214" s="604">
        <f t="shared" si="77"/>
        <v>0</v>
      </c>
      <c r="T214" s="604">
        <f t="shared" si="78"/>
        <v>0</v>
      </c>
      <c r="U214" s="604">
        <f t="shared" si="79"/>
        <v>0</v>
      </c>
      <c r="V214" s="604">
        <f t="shared" si="80"/>
        <v>0</v>
      </c>
      <c r="W214" s="604">
        <f t="shared" si="81"/>
        <v>0</v>
      </c>
      <c r="X214" s="746">
        <v>0</v>
      </c>
      <c r="Y214" s="746">
        <f t="shared" si="82"/>
        <v>0</v>
      </c>
    </row>
    <row r="215" spans="2:27">
      <c r="B215" s="598" t="s">
        <v>2596</v>
      </c>
      <c r="C215" s="604" t="s">
        <v>1109</v>
      </c>
      <c r="D215" s="745">
        <v>2000</v>
      </c>
      <c r="E215" s="604" t="s">
        <v>1227</v>
      </c>
      <c r="F215" s="738">
        <v>0.33329999999999999</v>
      </c>
      <c r="G215" s="739">
        <v>5681.03</v>
      </c>
      <c r="H215" s="741">
        <v>5681.03</v>
      </c>
      <c r="I215" s="742">
        <f t="shared" si="88"/>
        <v>0</v>
      </c>
      <c r="J215" s="740">
        <f t="shared" si="89"/>
        <v>0</v>
      </c>
      <c r="K215" s="739">
        <f t="shared" si="90"/>
        <v>5681.03</v>
      </c>
      <c r="L215" s="857">
        <f t="shared" si="91"/>
        <v>0</v>
      </c>
      <c r="M215" s="740">
        <f t="shared" si="83"/>
        <v>0</v>
      </c>
      <c r="N215" s="604">
        <f t="shared" si="72"/>
        <v>0</v>
      </c>
      <c r="O215" s="604">
        <f t="shared" si="73"/>
        <v>0</v>
      </c>
      <c r="P215" s="604">
        <f t="shared" si="74"/>
        <v>0</v>
      </c>
      <c r="Q215" s="604">
        <f t="shared" si="75"/>
        <v>0</v>
      </c>
      <c r="R215" s="604">
        <f t="shared" si="76"/>
        <v>0</v>
      </c>
      <c r="S215" s="604">
        <f t="shared" si="77"/>
        <v>0</v>
      </c>
      <c r="T215" s="604">
        <f t="shared" si="78"/>
        <v>0</v>
      </c>
      <c r="U215" s="604">
        <f t="shared" si="79"/>
        <v>0</v>
      </c>
      <c r="V215" s="604">
        <f t="shared" si="80"/>
        <v>0</v>
      </c>
      <c r="W215" s="604">
        <f t="shared" si="81"/>
        <v>0</v>
      </c>
      <c r="X215" s="746">
        <v>0</v>
      </c>
      <c r="Y215" s="746">
        <f t="shared" si="82"/>
        <v>0</v>
      </c>
    </row>
    <row r="216" spans="2:27">
      <c r="B216" s="598" t="s">
        <v>2596</v>
      </c>
      <c r="C216" s="604" t="s">
        <v>1109</v>
      </c>
      <c r="D216" s="745">
        <v>2001</v>
      </c>
      <c r="E216" s="604" t="s">
        <v>1228</v>
      </c>
      <c r="F216" s="738">
        <v>0.33329999999999999</v>
      </c>
      <c r="G216" s="739">
        <v>999.34</v>
      </c>
      <c r="H216" s="741">
        <v>999.34</v>
      </c>
      <c r="I216" s="742">
        <f t="shared" si="88"/>
        <v>0</v>
      </c>
      <c r="J216" s="740">
        <f t="shared" si="89"/>
        <v>0</v>
      </c>
      <c r="K216" s="739">
        <f t="shared" si="90"/>
        <v>999.34</v>
      </c>
      <c r="L216" s="857">
        <f t="shared" si="91"/>
        <v>0</v>
      </c>
      <c r="M216" s="740">
        <f t="shared" si="83"/>
        <v>0</v>
      </c>
      <c r="N216" s="604">
        <f t="shared" si="72"/>
        <v>0</v>
      </c>
      <c r="O216" s="604">
        <f t="shared" si="73"/>
        <v>0</v>
      </c>
      <c r="P216" s="604">
        <f t="shared" si="74"/>
        <v>0</v>
      </c>
      <c r="Q216" s="604">
        <f t="shared" si="75"/>
        <v>0</v>
      </c>
      <c r="R216" s="604">
        <f t="shared" si="76"/>
        <v>0</v>
      </c>
      <c r="S216" s="604">
        <f t="shared" si="77"/>
        <v>0</v>
      </c>
      <c r="T216" s="604">
        <f t="shared" si="78"/>
        <v>0</v>
      </c>
      <c r="U216" s="604">
        <f t="shared" si="79"/>
        <v>0</v>
      </c>
      <c r="V216" s="604">
        <f t="shared" si="80"/>
        <v>0</v>
      </c>
      <c r="W216" s="604">
        <f t="shared" si="81"/>
        <v>0</v>
      </c>
      <c r="X216" s="746">
        <v>0</v>
      </c>
      <c r="Y216" s="746">
        <f t="shared" si="82"/>
        <v>0</v>
      </c>
    </row>
    <row r="217" spans="2:27">
      <c r="B217" s="598" t="s">
        <v>2596</v>
      </c>
      <c r="C217" s="604" t="s">
        <v>1109</v>
      </c>
      <c r="D217" s="745">
        <v>2001</v>
      </c>
      <c r="E217" s="604" t="s">
        <v>1229</v>
      </c>
      <c r="F217" s="738">
        <v>0.33329999999999999</v>
      </c>
      <c r="G217" s="739">
        <v>201.42</v>
      </c>
      <c r="H217" s="741">
        <v>201.42</v>
      </c>
      <c r="I217" s="742">
        <f t="shared" si="88"/>
        <v>0</v>
      </c>
      <c r="J217" s="740">
        <f t="shared" si="89"/>
        <v>0</v>
      </c>
      <c r="K217" s="739">
        <f t="shared" si="90"/>
        <v>201.42</v>
      </c>
      <c r="L217" s="857">
        <f t="shared" si="91"/>
        <v>0</v>
      </c>
      <c r="M217" s="740">
        <f t="shared" si="83"/>
        <v>0</v>
      </c>
      <c r="N217" s="604">
        <f t="shared" si="72"/>
        <v>0</v>
      </c>
      <c r="O217" s="604">
        <f t="shared" si="73"/>
        <v>0</v>
      </c>
      <c r="P217" s="604">
        <f t="shared" si="74"/>
        <v>0</v>
      </c>
      <c r="Q217" s="604">
        <f t="shared" si="75"/>
        <v>0</v>
      </c>
      <c r="R217" s="604">
        <f t="shared" si="76"/>
        <v>0</v>
      </c>
      <c r="S217" s="604">
        <f t="shared" si="77"/>
        <v>0</v>
      </c>
      <c r="T217" s="604">
        <f t="shared" si="78"/>
        <v>0</v>
      </c>
      <c r="U217" s="604">
        <f t="shared" si="79"/>
        <v>0</v>
      </c>
      <c r="V217" s="604">
        <f t="shared" si="80"/>
        <v>0</v>
      </c>
      <c r="W217" s="604">
        <f t="shared" si="81"/>
        <v>0</v>
      </c>
      <c r="X217" s="746">
        <v>0</v>
      </c>
      <c r="Y217" s="746">
        <f t="shared" si="82"/>
        <v>0</v>
      </c>
    </row>
    <row r="218" spans="2:27">
      <c r="B218" s="598" t="s">
        <v>2596</v>
      </c>
      <c r="C218" s="604" t="s">
        <v>1109</v>
      </c>
      <c r="D218" s="745">
        <v>2002</v>
      </c>
      <c r="E218" s="604" t="s">
        <v>1230</v>
      </c>
      <c r="F218" s="738">
        <v>0.33329999999999999</v>
      </c>
      <c r="G218" s="739">
        <v>1110</v>
      </c>
      <c r="H218" s="741">
        <v>1110</v>
      </c>
      <c r="I218" s="742">
        <f t="shared" si="88"/>
        <v>0</v>
      </c>
      <c r="J218" s="740">
        <f t="shared" si="89"/>
        <v>0</v>
      </c>
      <c r="K218" s="739">
        <f t="shared" si="90"/>
        <v>1110</v>
      </c>
      <c r="L218" s="857">
        <f t="shared" si="91"/>
        <v>0</v>
      </c>
      <c r="M218" s="740">
        <f t="shared" si="83"/>
        <v>0</v>
      </c>
      <c r="N218" s="604">
        <f t="shared" si="72"/>
        <v>0</v>
      </c>
      <c r="O218" s="604">
        <f t="shared" si="73"/>
        <v>0</v>
      </c>
      <c r="P218" s="604">
        <f t="shared" si="74"/>
        <v>0</v>
      </c>
      <c r="Q218" s="604">
        <f t="shared" si="75"/>
        <v>0</v>
      </c>
      <c r="R218" s="604">
        <f t="shared" si="76"/>
        <v>0</v>
      </c>
      <c r="S218" s="604">
        <f t="shared" si="77"/>
        <v>0</v>
      </c>
      <c r="T218" s="604">
        <f t="shared" si="78"/>
        <v>0</v>
      </c>
      <c r="U218" s="604">
        <f t="shared" si="79"/>
        <v>0</v>
      </c>
      <c r="V218" s="604">
        <f t="shared" si="80"/>
        <v>0</v>
      </c>
      <c r="W218" s="604">
        <f t="shared" si="81"/>
        <v>0</v>
      </c>
      <c r="X218" s="746">
        <v>0</v>
      </c>
      <c r="Y218" s="746">
        <f t="shared" si="82"/>
        <v>0</v>
      </c>
    </row>
    <row r="219" spans="2:27">
      <c r="B219" s="598" t="s">
        <v>2596</v>
      </c>
      <c r="C219" s="604" t="s">
        <v>1109</v>
      </c>
      <c r="D219" s="745">
        <v>2003</v>
      </c>
      <c r="E219" s="604" t="s">
        <v>1231</v>
      </c>
      <c r="F219" s="738">
        <v>0.33329999999999999</v>
      </c>
      <c r="G219" s="739">
        <v>663</v>
      </c>
      <c r="H219" s="741">
        <v>663</v>
      </c>
      <c r="I219" s="742">
        <f t="shared" si="88"/>
        <v>0</v>
      </c>
      <c r="J219" s="740">
        <f t="shared" si="89"/>
        <v>0</v>
      </c>
      <c r="K219" s="739">
        <f t="shared" si="90"/>
        <v>663</v>
      </c>
      <c r="L219" s="857">
        <f t="shared" si="91"/>
        <v>0</v>
      </c>
      <c r="M219" s="740">
        <f t="shared" si="83"/>
        <v>0</v>
      </c>
      <c r="N219" s="604">
        <f t="shared" si="72"/>
        <v>0</v>
      </c>
      <c r="O219" s="604">
        <f t="shared" si="73"/>
        <v>0</v>
      </c>
      <c r="P219" s="604">
        <f t="shared" si="74"/>
        <v>0</v>
      </c>
      <c r="Q219" s="604">
        <f t="shared" si="75"/>
        <v>0</v>
      </c>
      <c r="R219" s="604">
        <f t="shared" si="76"/>
        <v>0</v>
      </c>
      <c r="S219" s="604">
        <f t="shared" si="77"/>
        <v>0</v>
      </c>
      <c r="T219" s="604">
        <f t="shared" si="78"/>
        <v>0</v>
      </c>
      <c r="U219" s="604">
        <f t="shared" si="79"/>
        <v>0</v>
      </c>
      <c r="V219" s="604">
        <f t="shared" si="80"/>
        <v>0</v>
      </c>
      <c r="W219" s="604">
        <f t="shared" si="81"/>
        <v>0</v>
      </c>
      <c r="X219" s="746">
        <v>0</v>
      </c>
      <c r="Y219" s="746">
        <f t="shared" si="82"/>
        <v>0</v>
      </c>
    </row>
    <row r="220" spans="2:27">
      <c r="B220" s="598" t="s">
        <v>2596</v>
      </c>
      <c r="C220" s="604" t="s">
        <v>1109</v>
      </c>
      <c r="D220" s="745">
        <v>2004</v>
      </c>
      <c r="E220" s="604" t="s">
        <v>1232</v>
      </c>
      <c r="F220" s="738">
        <v>0.33329999999999999</v>
      </c>
      <c r="G220" s="739">
        <v>2900</v>
      </c>
      <c r="H220" s="741">
        <v>2900</v>
      </c>
      <c r="I220" s="742">
        <f t="shared" si="88"/>
        <v>0</v>
      </c>
      <c r="J220" s="740">
        <f t="shared" si="89"/>
        <v>0</v>
      </c>
      <c r="K220" s="739">
        <f t="shared" si="90"/>
        <v>2900</v>
      </c>
      <c r="L220" s="857">
        <f t="shared" si="91"/>
        <v>0</v>
      </c>
      <c r="M220" s="740">
        <f t="shared" si="83"/>
        <v>0</v>
      </c>
      <c r="N220" s="604">
        <f t="shared" si="72"/>
        <v>0</v>
      </c>
      <c r="O220" s="604">
        <f t="shared" si="73"/>
        <v>0</v>
      </c>
      <c r="P220" s="604">
        <f t="shared" si="74"/>
        <v>0</v>
      </c>
      <c r="Q220" s="604">
        <f t="shared" si="75"/>
        <v>0</v>
      </c>
      <c r="R220" s="604">
        <f t="shared" si="76"/>
        <v>0</v>
      </c>
      <c r="S220" s="604">
        <f t="shared" si="77"/>
        <v>0</v>
      </c>
      <c r="T220" s="604">
        <f t="shared" si="78"/>
        <v>0</v>
      </c>
      <c r="U220" s="604">
        <f t="shared" si="79"/>
        <v>0</v>
      </c>
      <c r="V220" s="604">
        <f t="shared" si="80"/>
        <v>0</v>
      </c>
      <c r="W220" s="604">
        <f t="shared" si="81"/>
        <v>0</v>
      </c>
      <c r="X220" s="746">
        <v>0</v>
      </c>
      <c r="Y220" s="746">
        <f t="shared" si="82"/>
        <v>0</v>
      </c>
    </row>
    <row r="221" spans="2:27">
      <c r="B221" s="598" t="s">
        <v>2596</v>
      </c>
      <c r="C221" s="604" t="s">
        <v>1109</v>
      </c>
      <c r="D221" s="745">
        <v>2005</v>
      </c>
      <c r="E221" s="604" t="s">
        <v>1233</v>
      </c>
      <c r="F221" s="738">
        <v>0.33329999999999999</v>
      </c>
      <c r="G221" s="739">
        <v>900</v>
      </c>
      <c r="H221" s="741">
        <v>900</v>
      </c>
      <c r="I221" s="742">
        <f t="shared" si="88"/>
        <v>0</v>
      </c>
      <c r="J221" s="740">
        <f t="shared" si="89"/>
        <v>0</v>
      </c>
      <c r="K221" s="739">
        <f t="shared" si="90"/>
        <v>900</v>
      </c>
      <c r="L221" s="857">
        <f t="shared" si="91"/>
        <v>0</v>
      </c>
      <c r="M221" s="740">
        <f t="shared" si="83"/>
        <v>0</v>
      </c>
      <c r="N221" s="604">
        <f t="shared" si="72"/>
        <v>0</v>
      </c>
      <c r="O221" s="604">
        <f t="shared" si="73"/>
        <v>0</v>
      </c>
      <c r="P221" s="604">
        <f t="shared" si="74"/>
        <v>0</v>
      </c>
      <c r="Q221" s="604">
        <f t="shared" si="75"/>
        <v>0</v>
      </c>
      <c r="R221" s="604">
        <f t="shared" si="76"/>
        <v>0</v>
      </c>
      <c r="S221" s="604">
        <f t="shared" si="77"/>
        <v>0</v>
      </c>
      <c r="T221" s="604">
        <f t="shared" si="78"/>
        <v>0</v>
      </c>
      <c r="U221" s="604">
        <f t="shared" si="79"/>
        <v>0</v>
      </c>
      <c r="V221" s="604">
        <f t="shared" si="80"/>
        <v>0</v>
      </c>
      <c r="W221" s="604">
        <f t="shared" si="81"/>
        <v>0</v>
      </c>
      <c r="X221" s="746">
        <v>0</v>
      </c>
      <c r="Y221" s="746">
        <f t="shared" si="82"/>
        <v>0</v>
      </c>
    </row>
    <row r="222" spans="2:27">
      <c r="B222" s="598" t="s">
        <v>2596</v>
      </c>
      <c r="C222" s="604" t="s">
        <v>1109</v>
      </c>
      <c r="D222" s="745">
        <v>2005</v>
      </c>
      <c r="E222" s="604" t="s">
        <v>1234</v>
      </c>
      <c r="F222" s="738">
        <v>0.33329999999999999</v>
      </c>
      <c r="G222" s="739">
        <v>294.93</v>
      </c>
      <c r="H222" s="741">
        <v>294.93</v>
      </c>
      <c r="I222" s="742">
        <f t="shared" si="88"/>
        <v>0</v>
      </c>
      <c r="J222" s="740">
        <f t="shared" si="89"/>
        <v>0</v>
      </c>
      <c r="K222" s="739">
        <f t="shared" si="90"/>
        <v>294.93</v>
      </c>
      <c r="L222" s="857">
        <f t="shared" si="91"/>
        <v>0</v>
      </c>
      <c r="M222" s="740">
        <f t="shared" si="83"/>
        <v>0</v>
      </c>
      <c r="N222" s="604">
        <f t="shared" si="72"/>
        <v>0</v>
      </c>
      <c r="O222" s="604">
        <f t="shared" si="73"/>
        <v>0</v>
      </c>
      <c r="P222" s="604">
        <f t="shared" si="74"/>
        <v>0</v>
      </c>
      <c r="Q222" s="604">
        <f t="shared" si="75"/>
        <v>0</v>
      </c>
      <c r="R222" s="604">
        <f t="shared" si="76"/>
        <v>0</v>
      </c>
      <c r="S222" s="604">
        <f t="shared" si="77"/>
        <v>0</v>
      </c>
      <c r="T222" s="604">
        <f t="shared" si="78"/>
        <v>0</v>
      </c>
      <c r="U222" s="604">
        <f t="shared" si="79"/>
        <v>0</v>
      </c>
      <c r="V222" s="604">
        <f t="shared" si="80"/>
        <v>0</v>
      </c>
      <c r="W222" s="604">
        <f t="shared" si="81"/>
        <v>0</v>
      </c>
      <c r="X222" s="746">
        <v>0</v>
      </c>
      <c r="Y222" s="746">
        <f t="shared" si="82"/>
        <v>0</v>
      </c>
    </row>
    <row r="223" spans="2:27">
      <c r="B223" s="598" t="s">
        <v>2596</v>
      </c>
      <c r="C223" s="604" t="s">
        <v>1109</v>
      </c>
      <c r="D223" s="745">
        <v>2008</v>
      </c>
      <c r="E223" s="604" t="s">
        <v>1235</v>
      </c>
      <c r="F223" s="738">
        <v>0.33329999999999999</v>
      </c>
      <c r="G223" s="739">
        <v>750</v>
      </c>
      <c r="H223" s="741">
        <v>750</v>
      </c>
      <c r="I223" s="742">
        <f t="shared" si="88"/>
        <v>0</v>
      </c>
      <c r="J223" s="740">
        <f t="shared" si="89"/>
        <v>0</v>
      </c>
      <c r="K223" s="739">
        <f t="shared" si="90"/>
        <v>750</v>
      </c>
      <c r="L223" s="857">
        <f t="shared" si="91"/>
        <v>0</v>
      </c>
      <c r="M223" s="740">
        <f t="shared" si="83"/>
        <v>0</v>
      </c>
      <c r="N223" s="604">
        <f t="shared" si="72"/>
        <v>0</v>
      </c>
      <c r="O223" s="604">
        <f t="shared" si="73"/>
        <v>0</v>
      </c>
      <c r="P223" s="604">
        <f t="shared" si="74"/>
        <v>0</v>
      </c>
      <c r="Q223" s="604">
        <f t="shared" si="75"/>
        <v>0</v>
      </c>
      <c r="R223" s="604">
        <f t="shared" si="76"/>
        <v>0</v>
      </c>
      <c r="S223" s="604">
        <f t="shared" si="77"/>
        <v>0</v>
      </c>
      <c r="T223" s="604">
        <f t="shared" si="78"/>
        <v>0</v>
      </c>
      <c r="U223" s="604">
        <f t="shared" si="79"/>
        <v>0</v>
      </c>
      <c r="V223" s="604">
        <f t="shared" si="80"/>
        <v>0</v>
      </c>
      <c r="W223" s="604">
        <f t="shared" si="81"/>
        <v>0</v>
      </c>
      <c r="X223" s="746">
        <v>0</v>
      </c>
      <c r="Y223" s="746">
        <f t="shared" si="82"/>
        <v>0</v>
      </c>
    </row>
    <row r="224" spans="2:27">
      <c r="B224" s="598" t="s">
        <v>2596</v>
      </c>
      <c r="C224" s="604" t="s">
        <v>1109</v>
      </c>
      <c r="D224" s="745">
        <v>2011</v>
      </c>
      <c r="E224" s="604" t="s">
        <v>1236</v>
      </c>
      <c r="F224" s="738">
        <v>0.33329999999999999</v>
      </c>
      <c r="G224" s="739">
        <v>2670</v>
      </c>
      <c r="H224" s="741">
        <v>2670</v>
      </c>
      <c r="I224" s="742">
        <f t="shared" si="88"/>
        <v>0</v>
      </c>
      <c r="J224" s="740">
        <f t="shared" si="89"/>
        <v>0</v>
      </c>
      <c r="K224" s="739">
        <f t="shared" si="90"/>
        <v>2670</v>
      </c>
      <c r="L224" s="857">
        <f t="shared" si="91"/>
        <v>0</v>
      </c>
      <c r="M224" s="740">
        <f t="shared" si="83"/>
        <v>0</v>
      </c>
      <c r="N224" s="604">
        <f t="shared" si="72"/>
        <v>0</v>
      </c>
      <c r="O224" s="604">
        <f t="shared" si="73"/>
        <v>0</v>
      </c>
      <c r="P224" s="604">
        <f t="shared" si="74"/>
        <v>0</v>
      </c>
      <c r="Q224" s="604">
        <f t="shared" si="75"/>
        <v>0</v>
      </c>
      <c r="R224" s="604">
        <f t="shared" si="76"/>
        <v>0</v>
      </c>
      <c r="S224" s="604">
        <f t="shared" si="77"/>
        <v>0</v>
      </c>
      <c r="T224" s="604">
        <f t="shared" si="78"/>
        <v>0</v>
      </c>
      <c r="U224" s="604">
        <f t="shared" si="79"/>
        <v>0</v>
      </c>
      <c r="V224" s="604">
        <f t="shared" si="80"/>
        <v>0</v>
      </c>
      <c r="W224" s="604">
        <f t="shared" si="81"/>
        <v>0</v>
      </c>
      <c r="X224" s="746">
        <v>0</v>
      </c>
      <c r="Y224" s="746">
        <f t="shared" si="82"/>
        <v>0</v>
      </c>
    </row>
    <row r="225" spans="2:27">
      <c r="B225" s="598" t="s">
        <v>2596</v>
      </c>
      <c r="C225" s="604" t="s">
        <v>1109</v>
      </c>
      <c r="D225" s="745">
        <v>2011</v>
      </c>
      <c r="E225" s="604" t="s">
        <v>1237</v>
      </c>
      <c r="F225" s="738">
        <v>0.33329999999999999</v>
      </c>
      <c r="G225" s="739">
        <v>430</v>
      </c>
      <c r="H225" s="741">
        <v>430</v>
      </c>
      <c r="I225" s="742">
        <f t="shared" si="88"/>
        <v>0</v>
      </c>
      <c r="J225" s="740">
        <f t="shared" si="89"/>
        <v>0</v>
      </c>
      <c r="K225" s="739">
        <f t="shared" si="90"/>
        <v>430</v>
      </c>
      <c r="L225" s="857">
        <f t="shared" si="91"/>
        <v>0</v>
      </c>
      <c r="M225" s="740">
        <f t="shared" si="83"/>
        <v>0</v>
      </c>
      <c r="N225" s="604">
        <f t="shared" si="72"/>
        <v>0</v>
      </c>
      <c r="O225" s="604">
        <f t="shared" si="73"/>
        <v>0</v>
      </c>
      <c r="P225" s="604">
        <f t="shared" si="74"/>
        <v>0</v>
      </c>
      <c r="Q225" s="604">
        <f t="shared" si="75"/>
        <v>0</v>
      </c>
      <c r="R225" s="604">
        <f t="shared" si="76"/>
        <v>0</v>
      </c>
      <c r="S225" s="604">
        <f t="shared" si="77"/>
        <v>0</v>
      </c>
      <c r="T225" s="604">
        <f t="shared" si="78"/>
        <v>0</v>
      </c>
      <c r="U225" s="604">
        <f t="shared" si="79"/>
        <v>0</v>
      </c>
      <c r="V225" s="604">
        <f t="shared" si="80"/>
        <v>0</v>
      </c>
      <c r="W225" s="604">
        <f t="shared" si="81"/>
        <v>0</v>
      </c>
      <c r="X225" s="746">
        <v>0</v>
      </c>
      <c r="Y225" s="746">
        <f t="shared" si="82"/>
        <v>0</v>
      </c>
    </row>
    <row r="226" spans="2:27">
      <c r="B226" s="598" t="s">
        <v>2596</v>
      </c>
      <c r="C226" s="604" t="s">
        <v>1109</v>
      </c>
      <c r="D226" s="745">
        <v>2011</v>
      </c>
      <c r="E226" s="604" t="s">
        <v>1238</v>
      </c>
      <c r="F226" s="738">
        <v>0.33329999999999999</v>
      </c>
      <c r="G226" s="739">
        <v>180</v>
      </c>
      <c r="H226" s="741">
        <v>180</v>
      </c>
      <c r="I226" s="742">
        <f t="shared" si="88"/>
        <v>0</v>
      </c>
      <c r="J226" s="740">
        <f t="shared" si="89"/>
        <v>0</v>
      </c>
      <c r="K226" s="739">
        <f t="shared" si="90"/>
        <v>180</v>
      </c>
      <c r="L226" s="857">
        <f t="shared" si="91"/>
        <v>0</v>
      </c>
      <c r="M226" s="740">
        <f t="shared" si="83"/>
        <v>0</v>
      </c>
      <c r="N226" s="604">
        <f t="shared" si="72"/>
        <v>0</v>
      </c>
      <c r="O226" s="604">
        <f t="shared" si="73"/>
        <v>0</v>
      </c>
      <c r="P226" s="604">
        <f t="shared" si="74"/>
        <v>0</v>
      </c>
      <c r="Q226" s="604">
        <f t="shared" si="75"/>
        <v>0</v>
      </c>
      <c r="R226" s="604">
        <f t="shared" si="76"/>
        <v>0</v>
      </c>
      <c r="S226" s="604">
        <f t="shared" si="77"/>
        <v>0</v>
      </c>
      <c r="T226" s="604">
        <f t="shared" si="78"/>
        <v>0</v>
      </c>
      <c r="U226" s="604">
        <f t="shared" si="79"/>
        <v>0</v>
      </c>
      <c r="V226" s="604">
        <f t="shared" si="80"/>
        <v>0</v>
      </c>
      <c r="W226" s="604">
        <f t="shared" si="81"/>
        <v>0</v>
      </c>
      <c r="X226" s="746">
        <v>0</v>
      </c>
      <c r="Y226" s="746">
        <f t="shared" si="82"/>
        <v>0</v>
      </c>
    </row>
    <row r="227" spans="2:27">
      <c r="B227" s="598" t="s">
        <v>2596</v>
      </c>
      <c r="C227" s="604" t="s">
        <v>1109</v>
      </c>
      <c r="D227" s="745">
        <v>2011</v>
      </c>
      <c r="E227" s="604" t="s">
        <v>1239</v>
      </c>
      <c r="F227" s="738">
        <v>0.33329999999999999</v>
      </c>
      <c r="G227" s="739">
        <v>2040</v>
      </c>
      <c r="H227" s="741">
        <v>2040</v>
      </c>
      <c r="I227" s="742">
        <f t="shared" si="88"/>
        <v>0</v>
      </c>
      <c r="J227" s="740">
        <f t="shared" si="89"/>
        <v>0</v>
      </c>
      <c r="K227" s="739">
        <f t="shared" si="90"/>
        <v>2040</v>
      </c>
      <c r="L227" s="857">
        <f t="shared" si="91"/>
        <v>0</v>
      </c>
      <c r="M227" s="740">
        <f t="shared" si="83"/>
        <v>0</v>
      </c>
      <c r="N227" s="604">
        <f t="shared" si="72"/>
        <v>0</v>
      </c>
      <c r="O227" s="604">
        <f t="shared" si="73"/>
        <v>0</v>
      </c>
      <c r="P227" s="604">
        <f t="shared" si="74"/>
        <v>0</v>
      </c>
      <c r="Q227" s="604">
        <f t="shared" si="75"/>
        <v>0</v>
      </c>
      <c r="R227" s="604">
        <f t="shared" si="76"/>
        <v>0</v>
      </c>
      <c r="S227" s="604">
        <f t="shared" si="77"/>
        <v>0</v>
      </c>
      <c r="T227" s="604">
        <f t="shared" si="78"/>
        <v>0</v>
      </c>
      <c r="U227" s="604">
        <f t="shared" si="79"/>
        <v>0</v>
      </c>
      <c r="V227" s="604">
        <f t="shared" si="80"/>
        <v>0</v>
      </c>
      <c r="W227" s="604">
        <f t="shared" si="81"/>
        <v>0</v>
      </c>
      <c r="X227" s="746">
        <v>0</v>
      </c>
      <c r="Y227" s="746">
        <f t="shared" si="82"/>
        <v>0</v>
      </c>
    </row>
    <row r="228" spans="2:27">
      <c r="B228" s="598" t="s">
        <v>2596</v>
      </c>
      <c r="C228" s="604" t="s">
        <v>1109</v>
      </c>
      <c r="D228" s="745">
        <v>2012</v>
      </c>
      <c r="E228" s="604" t="s">
        <v>1240</v>
      </c>
      <c r="F228" s="738">
        <v>0.33329999999999999</v>
      </c>
      <c r="G228" s="739">
        <v>490</v>
      </c>
      <c r="H228" s="741">
        <v>490</v>
      </c>
      <c r="I228" s="742">
        <f t="shared" si="88"/>
        <v>0</v>
      </c>
      <c r="J228" s="740">
        <f t="shared" si="89"/>
        <v>0</v>
      </c>
      <c r="K228" s="739">
        <f t="shared" si="90"/>
        <v>490</v>
      </c>
      <c r="L228" s="857">
        <f t="shared" si="91"/>
        <v>0</v>
      </c>
      <c r="M228" s="740">
        <f t="shared" si="83"/>
        <v>0</v>
      </c>
      <c r="N228" s="604">
        <f t="shared" si="72"/>
        <v>0</v>
      </c>
      <c r="O228" s="604">
        <f t="shared" si="73"/>
        <v>0</v>
      </c>
      <c r="P228" s="604">
        <f t="shared" si="74"/>
        <v>0</v>
      </c>
      <c r="Q228" s="604">
        <f t="shared" si="75"/>
        <v>0</v>
      </c>
      <c r="R228" s="604">
        <f t="shared" si="76"/>
        <v>0</v>
      </c>
      <c r="S228" s="604">
        <f t="shared" si="77"/>
        <v>0</v>
      </c>
      <c r="T228" s="604">
        <f t="shared" si="78"/>
        <v>0</v>
      </c>
      <c r="U228" s="604">
        <f t="shared" si="79"/>
        <v>0</v>
      </c>
      <c r="V228" s="604">
        <f t="shared" si="80"/>
        <v>0</v>
      </c>
      <c r="W228" s="604">
        <f t="shared" si="81"/>
        <v>0</v>
      </c>
      <c r="X228" s="746">
        <v>0</v>
      </c>
      <c r="Y228" s="746">
        <f t="shared" si="82"/>
        <v>0</v>
      </c>
    </row>
    <row r="229" spans="2:27">
      <c r="B229" s="598" t="s">
        <v>2596</v>
      </c>
      <c r="C229" s="604" t="s">
        <v>1109</v>
      </c>
      <c r="D229" s="745">
        <v>2012</v>
      </c>
      <c r="E229" s="604" t="s">
        <v>1241</v>
      </c>
      <c r="F229" s="738">
        <v>0.33329999999999999</v>
      </c>
      <c r="G229" s="739">
        <v>132.22999999999999</v>
      </c>
      <c r="H229" s="741">
        <v>132.22999999999999</v>
      </c>
      <c r="I229" s="742">
        <f t="shared" si="88"/>
        <v>0</v>
      </c>
      <c r="J229" s="740">
        <f t="shared" si="89"/>
        <v>0</v>
      </c>
      <c r="K229" s="739">
        <f t="shared" si="90"/>
        <v>132.22999999999999</v>
      </c>
      <c r="L229" s="857">
        <f t="shared" si="91"/>
        <v>0</v>
      </c>
      <c r="M229" s="740">
        <f t="shared" si="83"/>
        <v>0</v>
      </c>
      <c r="N229" s="604">
        <f t="shared" si="72"/>
        <v>0</v>
      </c>
      <c r="O229" s="604">
        <f t="shared" si="73"/>
        <v>0</v>
      </c>
      <c r="P229" s="604">
        <f t="shared" si="74"/>
        <v>0</v>
      </c>
      <c r="Q229" s="604">
        <f t="shared" si="75"/>
        <v>0</v>
      </c>
      <c r="R229" s="604">
        <f t="shared" si="76"/>
        <v>0</v>
      </c>
      <c r="S229" s="604">
        <f t="shared" si="77"/>
        <v>0</v>
      </c>
      <c r="T229" s="604">
        <f t="shared" si="78"/>
        <v>0</v>
      </c>
      <c r="U229" s="604">
        <f t="shared" si="79"/>
        <v>0</v>
      </c>
      <c r="V229" s="604">
        <f t="shared" si="80"/>
        <v>0</v>
      </c>
      <c r="W229" s="604">
        <f t="shared" si="81"/>
        <v>0</v>
      </c>
      <c r="X229" s="746">
        <v>0</v>
      </c>
      <c r="Y229" s="746">
        <f t="shared" si="82"/>
        <v>0</v>
      </c>
    </row>
    <row r="230" spans="2:27">
      <c r="B230" s="598" t="s">
        <v>2596</v>
      </c>
      <c r="C230" s="604" t="s">
        <v>1109</v>
      </c>
      <c r="D230" s="745">
        <v>2012</v>
      </c>
      <c r="E230" s="604" t="s">
        <v>1242</v>
      </c>
      <c r="F230" s="738">
        <v>0.33329999999999999</v>
      </c>
      <c r="G230" s="739">
        <v>180</v>
      </c>
      <c r="H230" s="741">
        <v>180</v>
      </c>
      <c r="I230" s="742">
        <f t="shared" si="88"/>
        <v>0</v>
      </c>
      <c r="J230" s="740">
        <f t="shared" si="89"/>
        <v>0</v>
      </c>
      <c r="K230" s="739">
        <f t="shared" si="90"/>
        <v>180</v>
      </c>
      <c r="L230" s="857">
        <f t="shared" si="91"/>
        <v>0</v>
      </c>
      <c r="M230" s="740">
        <f t="shared" si="83"/>
        <v>0</v>
      </c>
      <c r="N230" s="604">
        <f t="shared" si="72"/>
        <v>0</v>
      </c>
      <c r="O230" s="604">
        <f t="shared" si="73"/>
        <v>0</v>
      </c>
      <c r="P230" s="604">
        <f t="shared" si="74"/>
        <v>0</v>
      </c>
      <c r="Q230" s="604">
        <f t="shared" si="75"/>
        <v>0</v>
      </c>
      <c r="R230" s="604">
        <f t="shared" si="76"/>
        <v>0</v>
      </c>
      <c r="S230" s="604">
        <f t="shared" si="77"/>
        <v>0</v>
      </c>
      <c r="T230" s="604">
        <f t="shared" si="78"/>
        <v>0</v>
      </c>
      <c r="U230" s="604">
        <f t="shared" si="79"/>
        <v>0</v>
      </c>
      <c r="V230" s="604">
        <f t="shared" si="80"/>
        <v>0</v>
      </c>
      <c r="W230" s="604">
        <f t="shared" si="81"/>
        <v>0</v>
      </c>
      <c r="X230" s="746">
        <v>0</v>
      </c>
      <c r="Y230" s="746">
        <f t="shared" si="82"/>
        <v>0</v>
      </c>
    </row>
    <row r="231" spans="2:27" ht="12.75" thickBot="1">
      <c r="B231" s="598" t="s">
        <v>2596</v>
      </c>
      <c r="C231" s="604" t="s">
        <v>1109</v>
      </c>
      <c r="D231" s="745">
        <v>2013</v>
      </c>
      <c r="E231" s="604" t="s">
        <v>1243</v>
      </c>
      <c r="F231" s="738">
        <v>0.33329999999999999</v>
      </c>
      <c r="G231" s="739">
        <v>23.14</v>
      </c>
      <c r="H231" s="741">
        <v>23.14</v>
      </c>
      <c r="I231" s="742">
        <f t="shared" si="88"/>
        <v>0</v>
      </c>
      <c r="J231" s="740">
        <f t="shared" si="89"/>
        <v>0</v>
      </c>
      <c r="K231" s="739">
        <f t="shared" si="90"/>
        <v>23.14</v>
      </c>
      <c r="L231" s="858">
        <f t="shared" si="91"/>
        <v>0</v>
      </c>
      <c r="M231" s="740">
        <f t="shared" si="83"/>
        <v>0</v>
      </c>
      <c r="N231" s="604">
        <f t="shared" si="72"/>
        <v>0</v>
      </c>
      <c r="O231" s="604">
        <f t="shared" si="73"/>
        <v>0</v>
      </c>
      <c r="P231" s="604">
        <f t="shared" si="74"/>
        <v>0</v>
      </c>
      <c r="Q231" s="604">
        <f t="shared" si="75"/>
        <v>0</v>
      </c>
      <c r="R231" s="604">
        <f t="shared" si="76"/>
        <v>0</v>
      </c>
      <c r="S231" s="604">
        <f t="shared" si="77"/>
        <v>0</v>
      </c>
      <c r="T231" s="604">
        <f t="shared" si="78"/>
        <v>0</v>
      </c>
      <c r="U231" s="604">
        <f t="shared" si="79"/>
        <v>0</v>
      </c>
      <c r="V231" s="604">
        <f t="shared" si="80"/>
        <v>0</v>
      </c>
      <c r="W231" s="604">
        <f t="shared" si="81"/>
        <v>0</v>
      </c>
      <c r="X231" s="746">
        <v>0</v>
      </c>
      <c r="Y231" s="746">
        <f t="shared" si="82"/>
        <v>0</v>
      </c>
    </row>
    <row r="232" spans="2:27">
      <c r="B232" s="598" t="s">
        <v>2595</v>
      </c>
      <c r="C232" s="604" t="s">
        <v>1105</v>
      </c>
      <c r="D232" s="745">
        <v>2010</v>
      </c>
      <c r="E232" s="604" t="s">
        <v>1244</v>
      </c>
      <c r="F232" s="738">
        <v>0.1</v>
      </c>
      <c r="G232" s="739">
        <v>8000</v>
      </c>
      <c r="H232" s="741">
        <v>8000</v>
      </c>
      <c r="I232" s="742">
        <f t="shared" ref="I232:I295" si="92">+G232-H232</f>
        <v>0</v>
      </c>
      <c r="J232" s="740">
        <f t="shared" ref="J232:J236" si="93">IF(I232=0,0,G232*F232)</f>
        <v>0</v>
      </c>
      <c r="K232" s="739">
        <f t="shared" ref="K232:K295" si="94">+H232+J232</f>
        <v>8000</v>
      </c>
      <c r="L232" s="849">
        <f t="shared" ref="L232:L295" si="95">+G232-K232</f>
        <v>0</v>
      </c>
      <c r="M232" s="740">
        <f t="shared" si="83"/>
        <v>0</v>
      </c>
      <c r="N232" s="604">
        <f t="shared" si="72"/>
        <v>0</v>
      </c>
      <c r="O232" s="604">
        <f t="shared" si="73"/>
        <v>0</v>
      </c>
      <c r="P232" s="604">
        <f t="shared" si="74"/>
        <v>0</v>
      </c>
      <c r="Q232" s="604">
        <f t="shared" si="75"/>
        <v>0</v>
      </c>
      <c r="R232" s="604">
        <f t="shared" si="76"/>
        <v>0</v>
      </c>
      <c r="S232" s="604">
        <f t="shared" si="77"/>
        <v>0</v>
      </c>
      <c r="T232" s="604">
        <f t="shared" si="78"/>
        <v>0</v>
      </c>
      <c r="U232" s="604">
        <f t="shared" si="79"/>
        <v>0</v>
      </c>
      <c r="V232" s="604">
        <f t="shared" si="80"/>
        <v>0</v>
      </c>
      <c r="W232" s="604">
        <f t="shared" si="81"/>
        <v>0</v>
      </c>
      <c r="X232" s="746">
        <v>0</v>
      </c>
      <c r="Y232" s="746">
        <f t="shared" si="82"/>
        <v>0</v>
      </c>
      <c r="Z232" s="746">
        <f>+SUM(L232:L302)</f>
        <v>168682.36</v>
      </c>
    </row>
    <row r="233" spans="2:27">
      <c r="B233" s="598" t="s">
        <v>2595</v>
      </c>
      <c r="C233" s="604" t="s">
        <v>1105</v>
      </c>
      <c r="D233" s="745">
        <v>2011</v>
      </c>
      <c r="E233" s="604" t="s">
        <v>1245</v>
      </c>
      <c r="F233" s="738">
        <v>0.1</v>
      </c>
      <c r="G233" s="739">
        <v>15000</v>
      </c>
      <c r="H233" s="741">
        <v>15000</v>
      </c>
      <c r="I233" s="742">
        <f t="shared" si="92"/>
        <v>0</v>
      </c>
      <c r="J233" s="740">
        <f t="shared" si="93"/>
        <v>0</v>
      </c>
      <c r="K233" s="739">
        <f t="shared" si="94"/>
        <v>15000</v>
      </c>
      <c r="L233" s="850">
        <f t="shared" si="95"/>
        <v>0</v>
      </c>
      <c r="M233" s="740">
        <f t="shared" si="83"/>
        <v>0</v>
      </c>
      <c r="N233" s="604">
        <f t="shared" si="72"/>
        <v>0</v>
      </c>
      <c r="O233" s="604">
        <f t="shared" si="73"/>
        <v>0</v>
      </c>
      <c r="P233" s="604">
        <f t="shared" si="74"/>
        <v>0</v>
      </c>
      <c r="Q233" s="604">
        <f t="shared" si="75"/>
        <v>0</v>
      </c>
      <c r="R233" s="604">
        <f t="shared" si="76"/>
        <v>0</v>
      </c>
      <c r="S233" s="604">
        <f t="shared" si="77"/>
        <v>0</v>
      </c>
      <c r="T233" s="604">
        <f t="shared" si="78"/>
        <v>0</v>
      </c>
      <c r="U233" s="604">
        <f t="shared" si="79"/>
        <v>0</v>
      </c>
      <c r="V233" s="604">
        <f t="shared" si="80"/>
        <v>0</v>
      </c>
      <c r="W233" s="604">
        <f t="shared" si="81"/>
        <v>0</v>
      </c>
      <c r="X233" s="746">
        <v>0</v>
      </c>
      <c r="Y233" s="746">
        <f t="shared" si="82"/>
        <v>0</v>
      </c>
      <c r="Z233" s="746">
        <f>+Z232-BdV!I27-BdV!I33</f>
        <v>0</v>
      </c>
      <c r="AA233" s="840" t="s">
        <v>363</v>
      </c>
    </row>
    <row r="234" spans="2:27">
      <c r="B234" s="598" t="s">
        <v>2595</v>
      </c>
      <c r="C234" s="604" t="s">
        <v>1105</v>
      </c>
      <c r="D234" s="745">
        <v>2011</v>
      </c>
      <c r="E234" s="604" t="s">
        <v>1246</v>
      </c>
      <c r="F234" s="738">
        <v>0.1</v>
      </c>
      <c r="G234" s="739">
        <v>1900</v>
      </c>
      <c r="H234" s="741">
        <v>1900</v>
      </c>
      <c r="I234" s="742">
        <f t="shared" si="92"/>
        <v>0</v>
      </c>
      <c r="J234" s="740">
        <f t="shared" si="93"/>
        <v>0</v>
      </c>
      <c r="K234" s="739">
        <f t="shared" si="94"/>
        <v>1900</v>
      </c>
      <c r="L234" s="850">
        <f t="shared" si="95"/>
        <v>0</v>
      </c>
      <c r="M234" s="740">
        <f t="shared" si="83"/>
        <v>0</v>
      </c>
      <c r="N234" s="604">
        <f t="shared" si="72"/>
        <v>0</v>
      </c>
      <c r="O234" s="604">
        <f t="shared" si="73"/>
        <v>0</v>
      </c>
      <c r="P234" s="604">
        <f t="shared" si="74"/>
        <v>0</v>
      </c>
      <c r="Q234" s="604">
        <f t="shared" si="75"/>
        <v>0</v>
      </c>
      <c r="R234" s="604">
        <f t="shared" si="76"/>
        <v>0</v>
      </c>
      <c r="S234" s="604">
        <f t="shared" si="77"/>
        <v>0</v>
      </c>
      <c r="T234" s="604">
        <f t="shared" si="78"/>
        <v>0</v>
      </c>
      <c r="U234" s="604">
        <f t="shared" si="79"/>
        <v>0</v>
      </c>
      <c r="V234" s="604">
        <f t="shared" si="80"/>
        <v>0</v>
      </c>
      <c r="W234" s="604">
        <f t="shared" si="81"/>
        <v>0</v>
      </c>
      <c r="X234" s="746">
        <v>0</v>
      </c>
      <c r="Y234" s="746">
        <f t="shared" si="82"/>
        <v>0</v>
      </c>
    </row>
    <row r="235" spans="2:27">
      <c r="B235" s="598" t="s">
        <v>2595</v>
      </c>
      <c r="C235" s="604" t="s">
        <v>1105</v>
      </c>
      <c r="D235" s="745">
        <v>2011</v>
      </c>
      <c r="E235" s="604" t="s">
        <v>1247</v>
      </c>
      <c r="F235" s="738">
        <v>0.1</v>
      </c>
      <c r="G235" s="739">
        <v>1850</v>
      </c>
      <c r="H235" s="741">
        <v>1850</v>
      </c>
      <c r="I235" s="742">
        <f t="shared" si="92"/>
        <v>0</v>
      </c>
      <c r="J235" s="740">
        <f t="shared" si="93"/>
        <v>0</v>
      </c>
      <c r="K235" s="739">
        <f t="shared" si="94"/>
        <v>1850</v>
      </c>
      <c r="L235" s="850">
        <f t="shared" si="95"/>
        <v>0</v>
      </c>
      <c r="M235" s="740">
        <f t="shared" si="83"/>
        <v>0</v>
      </c>
      <c r="N235" s="604">
        <f t="shared" si="72"/>
        <v>0</v>
      </c>
      <c r="O235" s="604">
        <f t="shared" si="73"/>
        <v>0</v>
      </c>
      <c r="P235" s="604">
        <f t="shared" si="74"/>
        <v>0</v>
      </c>
      <c r="Q235" s="604">
        <f t="shared" si="75"/>
        <v>0</v>
      </c>
      <c r="R235" s="604">
        <f t="shared" si="76"/>
        <v>0</v>
      </c>
      <c r="S235" s="604">
        <f t="shared" si="77"/>
        <v>0</v>
      </c>
      <c r="T235" s="604">
        <f t="shared" si="78"/>
        <v>0</v>
      </c>
      <c r="U235" s="604">
        <f t="shared" si="79"/>
        <v>0</v>
      </c>
      <c r="V235" s="604">
        <f t="shared" si="80"/>
        <v>0</v>
      </c>
      <c r="W235" s="604">
        <f t="shared" si="81"/>
        <v>0</v>
      </c>
      <c r="X235" s="746">
        <v>0</v>
      </c>
      <c r="Y235" s="746">
        <f t="shared" si="82"/>
        <v>0</v>
      </c>
    </row>
    <row r="236" spans="2:27">
      <c r="B236" s="598" t="s">
        <v>2595</v>
      </c>
      <c r="C236" s="604" t="s">
        <v>1105</v>
      </c>
      <c r="D236" s="745">
        <v>2012</v>
      </c>
      <c r="E236" s="604" t="s">
        <v>1248</v>
      </c>
      <c r="F236" s="738">
        <v>0.1</v>
      </c>
      <c r="G236" s="739">
        <v>3400</v>
      </c>
      <c r="H236" s="741">
        <v>3400</v>
      </c>
      <c r="I236" s="742">
        <f t="shared" si="92"/>
        <v>0</v>
      </c>
      <c r="J236" s="740">
        <f t="shared" si="93"/>
        <v>0</v>
      </c>
      <c r="K236" s="739">
        <f t="shared" si="94"/>
        <v>3400</v>
      </c>
      <c r="L236" s="850">
        <f t="shared" si="95"/>
        <v>0</v>
      </c>
      <c r="M236" s="740">
        <f t="shared" si="83"/>
        <v>0</v>
      </c>
      <c r="N236" s="604">
        <f t="shared" si="72"/>
        <v>0</v>
      </c>
      <c r="O236" s="604">
        <f t="shared" si="73"/>
        <v>0</v>
      </c>
      <c r="P236" s="604">
        <f t="shared" si="74"/>
        <v>0</v>
      </c>
      <c r="Q236" s="604">
        <f t="shared" si="75"/>
        <v>0</v>
      </c>
      <c r="R236" s="604">
        <f t="shared" si="76"/>
        <v>0</v>
      </c>
      <c r="S236" s="604">
        <f t="shared" si="77"/>
        <v>0</v>
      </c>
      <c r="T236" s="604">
        <f t="shared" si="78"/>
        <v>0</v>
      </c>
      <c r="U236" s="604">
        <f t="shared" si="79"/>
        <v>0</v>
      </c>
      <c r="V236" s="604">
        <f t="shared" si="80"/>
        <v>0</v>
      </c>
      <c r="W236" s="604">
        <f t="shared" si="81"/>
        <v>0</v>
      </c>
      <c r="X236" s="746">
        <v>0</v>
      </c>
      <c r="Y236" s="746">
        <f t="shared" si="82"/>
        <v>0</v>
      </c>
    </row>
    <row r="237" spans="2:27">
      <c r="B237" s="598" t="s">
        <v>2595</v>
      </c>
      <c r="C237" s="604" t="s">
        <v>1105</v>
      </c>
      <c r="D237" s="745">
        <v>2012</v>
      </c>
      <c r="E237" s="604" t="s">
        <v>1249</v>
      </c>
      <c r="F237" s="738">
        <v>0.1</v>
      </c>
      <c r="G237" s="739">
        <v>3000</v>
      </c>
      <c r="H237" s="741">
        <v>2850</v>
      </c>
      <c r="I237" s="742">
        <f t="shared" si="92"/>
        <v>150</v>
      </c>
      <c r="J237" s="740">
        <f t="shared" ref="J237:J249" si="96">IF(I237=0,0,G237*F237/2)</f>
        <v>150</v>
      </c>
      <c r="K237" s="739">
        <f t="shared" si="94"/>
        <v>3000</v>
      </c>
      <c r="L237" s="850">
        <f t="shared" si="95"/>
        <v>0</v>
      </c>
      <c r="M237" s="740">
        <f t="shared" si="83"/>
        <v>0</v>
      </c>
      <c r="N237" s="604">
        <f t="shared" si="72"/>
        <v>0</v>
      </c>
      <c r="O237" s="604">
        <f t="shared" si="73"/>
        <v>0</v>
      </c>
      <c r="P237" s="604">
        <f t="shared" si="74"/>
        <v>0</v>
      </c>
      <c r="Q237" s="604">
        <f t="shared" si="75"/>
        <v>0</v>
      </c>
      <c r="R237" s="604">
        <f t="shared" si="76"/>
        <v>0</v>
      </c>
      <c r="S237" s="604">
        <f t="shared" si="77"/>
        <v>0</v>
      </c>
      <c r="T237" s="604">
        <f t="shared" si="78"/>
        <v>0</v>
      </c>
      <c r="U237" s="604">
        <f t="shared" si="79"/>
        <v>0</v>
      </c>
      <c r="V237" s="604">
        <f t="shared" si="80"/>
        <v>0</v>
      </c>
      <c r="W237" s="604">
        <f t="shared" si="81"/>
        <v>0</v>
      </c>
      <c r="X237" s="746">
        <v>0</v>
      </c>
      <c r="Y237" s="746">
        <f t="shared" si="82"/>
        <v>0</v>
      </c>
    </row>
    <row r="238" spans="2:27">
      <c r="B238" s="598" t="s">
        <v>2595</v>
      </c>
      <c r="C238" s="604" t="s">
        <v>1105</v>
      </c>
      <c r="D238" s="745">
        <v>2012</v>
      </c>
      <c r="E238" s="604" t="s">
        <v>1250</v>
      </c>
      <c r="F238" s="738">
        <v>0.1</v>
      </c>
      <c r="G238" s="739">
        <v>1500</v>
      </c>
      <c r="H238" s="741">
        <v>1425</v>
      </c>
      <c r="I238" s="742">
        <f t="shared" si="92"/>
        <v>75</v>
      </c>
      <c r="J238" s="740">
        <f t="shared" si="96"/>
        <v>75</v>
      </c>
      <c r="K238" s="739">
        <f t="shared" si="94"/>
        <v>1500</v>
      </c>
      <c r="L238" s="850">
        <f t="shared" si="95"/>
        <v>0</v>
      </c>
      <c r="M238" s="740">
        <f t="shared" si="83"/>
        <v>0</v>
      </c>
      <c r="N238" s="604">
        <f t="shared" si="72"/>
        <v>0</v>
      </c>
      <c r="O238" s="604">
        <f t="shared" si="73"/>
        <v>0</v>
      </c>
      <c r="P238" s="604">
        <f t="shared" si="74"/>
        <v>0</v>
      </c>
      <c r="Q238" s="604">
        <f t="shared" si="75"/>
        <v>0</v>
      </c>
      <c r="R238" s="604">
        <f t="shared" si="76"/>
        <v>0</v>
      </c>
      <c r="S238" s="604">
        <f t="shared" si="77"/>
        <v>0</v>
      </c>
      <c r="T238" s="604">
        <f t="shared" si="78"/>
        <v>0</v>
      </c>
      <c r="U238" s="604">
        <f t="shared" si="79"/>
        <v>0</v>
      </c>
      <c r="V238" s="604">
        <f t="shared" si="80"/>
        <v>0</v>
      </c>
      <c r="W238" s="604">
        <f t="shared" si="81"/>
        <v>0</v>
      </c>
      <c r="X238" s="746">
        <v>0</v>
      </c>
      <c r="Y238" s="746">
        <f t="shared" si="82"/>
        <v>0</v>
      </c>
    </row>
    <row r="239" spans="2:27">
      <c r="B239" s="598" t="s">
        <v>2595</v>
      </c>
      <c r="C239" s="604" t="s">
        <v>1105</v>
      </c>
      <c r="D239" s="745">
        <v>2012</v>
      </c>
      <c r="E239" s="604" t="s">
        <v>1251</v>
      </c>
      <c r="F239" s="738">
        <v>0.1</v>
      </c>
      <c r="G239" s="739">
        <v>1500</v>
      </c>
      <c r="H239" s="741">
        <v>1425</v>
      </c>
      <c r="I239" s="742">
        <f t="shared" si="92"/>
        <v>75</v>
      </c>
      <c r="J239" s="740">
        <f t="shared" si="96"/>
        <v>75</v>
      </c>
      <c r="K239" s="739">
        <f t="shared" si="94"/>
        <v>1500</v>
      </c>
      <c r="L239" s="850">
        <f t="shared" si="95"/>
        <v>0</v>
      </c>
      <c r="M239" s="740">
        <f t="shared" si="83"/>
        <v>0</v>
      </c>
      <c r="N239" s="604">
        <f t="shared" si="72"/>
        <v>0</v>
      </c>
      <c r="O239" s="604">
        <f t="shared" si="73"/>
        <v>0</v>
      </c>
      <c r="P239" s="604">
        <f t="shared" si="74"/>
        <v>0</v>
      </c>
      <c r="Q239" s="604">
        <f t="shared" si="75"/>
        <v>0</v>
      </c>
      <c r="R239" s="604">
        <f t="shared" si="76"/>
        <v>0</v>
      </c>
      <c r="S239" s="604">
        <f t="shared" si="77"/>
        <v>0</v>
      </c>
      <c r="T239" s="604">
        <f t="shared" si="78"/>
        <v>0</v>
      </c>
      <c r="U239" s="604">
        <f t="shared" si="79"/>
        <v>0</v>
      </c>
      <c r="V239" s="604">
        <f t="shared" si="80"/>
        <v>0</v>
      </c>
      <c r="W239" s="604">
        <f t="shared" si="81"/>
        <v>0</v>
      </c>
      <c r="X239" s="746">
        <v>0</v>
      </c>
      <c r="Y239" s="746">
        <f t="shared" si="82"/>
        <v>0</v>
      </c>
    </row>
    <row r="240" spans="2:27">
      <c r="B240" s="598" t="s">
        <v>2595</v>
      </c>
      <c r="C240" s="604" t="s">
        <v>1105</v>
      </c>
      <c r="D240" s="745">
        <v>2012</v>
      </c>
      <c r="E240" s="604" t="s">
        <v>1252</v>
      </c>
      <c r="F240" s="738">
        <v>0.1</v>
      </c>
      <c r="G240" s="739">
        <v>1500</v>
      </c>
      <c r="H240" s="741">
        <v>1425</v>
      </c>
      <c r="I240" s="742">
        <f t="shared" si="92"/>
        <v>75</v>
      </c>
      <c r="J240" s="740">
        <f t="shared" si="96"/>
        <v>75</v>
      </c>
      <c r="K240" s="739">
        <f t="shared" si="94"/>
        <v>1500</v>
      </c>
      <c r="L240" s="850">
        <f t="shared" si="95"/>
        <v>0</v>
      </c>
      <c r="M240" s="740">
        <f t="shared" si="83"/>
        <v>0</v>
      </c>
      <c r="N240" s="604">
        <f t="shared" si="72"/>
        <v>0</v>
      </c>
      <c r="O240" s="604">
        <f t="shared" si="73"/>
        <v>0</v>
      </c>
      <c r="P240" s="604">
        <f t="shared" si="74"/>
        <v>0</v>
      </c>
      <c r="Q240" s="604">
        <f t="shared" si="75"/>
        <v>0</v>
      </c>
      <c r="R240" s="604">
        <f t="shared" si="76"/>
        <v>0</v>
      </c>
      <c r="S240" s="604">
        <f t="shared" si="77"/>
        <v>0</v>
      </c>
      <c r="T240" s="604">
        <f t="shared" si="78"/>
        <v>0</v>
      </c>
      <c r="U240" s="604">
        <f t="shared" si="79"/>
        <v>0</v>
      </c>
      <c r="V240" s="604">
        <f t="shared" si="80"/>
        <v>0</v>
      </c>
      <c r="W240" s="604">
        <f t="shared" si="81"/>
        <v>0</v>
      </c>
      <c r="X240" s="746">
        <v>0</v>
      </c>
      <c r="Y240" s="746">
        <f t="shared" si="82"/>
        <v>0</v>
      </c>
    </row>
    <row r="241" spans="2:25">
      <c r="B241" s="598" t="s">
        <v>2595</v>
      </c>
      <c r="C241" s="604" t="s">
        <v>1105</v>
      </c>
      <c r="D241" s="745">
        <v>2012</v>
      </c>
      <c r="E241" s="604" t="s">
        <v>1253</v>
      </c>
      <c r="F241" s="738">
        <v>0.1</v>
      </c>
      <c r="G241" s="739">
        <v>5356.72</v>
      </c>
      <c r="H241" s="741">
        <v>5088.87</v>
      </c>
      <c r="I241" s="742">
        <f t="shared" si="92"/>
        <v>267.85000000000036</v>
      </c>
      <c r="J241" s="740">
        <f t="shared" si="96"/>
        <v>267.83600000000001</v>
      </c>
      <c r="K241" s="739">
        <f t="shared" si="94"/>
        <v>5356.7060000000001</v>
      </c>
      <c r="L241" s="850">
        <f t="shared" si="95"/>
        <v>1.4000000000123691E-2</v>
      </c>
      <c r="M241" s="740">
        <f>+IF(L241=0,0,G241*F241)-X241</f>
        <v>1.4000000000123691E-2</v>
      </c>
      <c r="N241" s="604">
        <f t="shared" si="72"/>
        <v>0</v>
      </c>
      <c r="O241" s="604">
        <f t="shared" si="73"/>
        <v>0</v>
      </c>
      <c r="P241" s="604">
        <f t="shared" si="74"/>
        <v>0</v>
      </c>
      <c r="Q241" s="604">
        <f t="shared" si="75"/>
        <v>0</v>
      </c>
      <c r="R241" s="604">
        <f t="shared" si="76"/>
        <v>0</v>
      </c>
      <c r="S241" s="604">
        <f t="shared" si="77"/>
        <v>0</v>
      </c>
      <c r="T241" s="604">
        <f t="shared" si="78"/>
        <v>0</v>
      </c>
      <c r="U241" s="604">
        <f t="shared" si="79"/>
        <v>0</v>
      </c>
      <c r="V241" s="604">
        <f t="shared" si="80"/>
        <v>0</v>
      </c>
      <c r="W241" s="604">
        <f t="shared" si="81"/>
        <v>0</v>
      </c>
      <c r="X241" s="746">
        <v>535.6579999999999</v>
      </c>
      <c r="Y241" s="746">
        <f t="shared" si="82"/>
        <v>0</v>
      </c>
    </row>
    <row r="242" spans="2:25">
      <c r="B242" s="598" t="s">
        <v>2595</v>
      </c>
      <c r="C242" s="604" t="s">
        <v>1105</v>
      </c>
      <c r="D242" s="745">
        <v>2012</v>
      </c>
      <c r="E242" s="604" t="s">
        <v>1254</v>
      </c>
      <c r="F242" s="738">
        <v>0.1</v>
      </c>
      <c r="G242" s="739">
        <v>2500</v>
      </c>
      <c r="H242" s="741">
        <v>2375</v>
      </c>
      <c r="I242" s="742">
        <f t="shared" si="92"/>
        <v>125</v>
      </c>
      <c r="J242" s="740">
        <f t="shared" si="96"/>
        <v>125</v>
      </c>
      <c r="K242" s="739">
        <f t="shared" si="94"/>
        <v>2500</v>
      </c>
      <c r="L242" s="850">
        <f t="shared" si="95"/>
        <v>0</v>
      </c>
      <c r="M242" s="740">
        <f t="shared" si="83"/>
        <v>0</v>
      </c>
      <c r="N242" s="604">
        <f t="shared" si="72"/>
        <v>0</v>
      </c>
      <c r="O242" s="604">
        <f t="shared" si="73"/>
        <v>0</v>
      </c>
      <c r="P242" s="604">
        <f t="shared" si="74"/>
        <v>0</v>
      </c>
      <c r="Q242" s="604">
        <f t="shared" si="75"/>
        <v>0</v>
      </c>
      <c r="R242" s="604">
        <f t="shared" si="76"/>
        <v>0</v>
      </c>
      <c r="S242" s="604">
        <f t="shared" si="77"/>
        <v>0</v>
      </c>
      <c r="T242" s="604">
        <f t="shared" si="78"/>
        <v>0</v>
      </c>
      <c r="U242" s="604">
        <f t="shared" si="79"/>
        <v>0</v>
      </c>
      <c r="V242" s="604">
        <f t="shared" si="80"/>
        <v>0</v>
      </c>
      <c r="W242" s="604">
        <f t="shared" si="81"/>
        <v>0</v>
      </c>
      <c r="X242" s="746">
        <v>0</v>
      </c>
      <c r="Y242" s="746">
        <f t="shared" si="82"/>
        <v>0</v>
      </c>
    </row>
    <row r="243" spans="2:25">
      <c r="B243" s="598" t="s">
        <v>2595</v>
      </c>
      <c r="C243" s="604" t="s">
        <v>1105</v>
      </c>
      <c r="D243" s="745">
        <v>2012</v>
      </c>
      <c r="E243" s="604" t="s">
        <v>1255</v>
      </c>
      <c r="F243" s="738">
        <v>0.1</v>
      </c>
      <c r="G243" s="739">
        <v>1800</v>
      </c>
      <c r="H243" s="741">
        <v>1710</v>
      </c>
      <c r="I243" s="742">
        <f t="shared" si="92"/>
        <v>90</v>
      </c>
      <c r="J243" s="740">
        <f t="shared" si="96"/>
        <v>90</v>
      </c>
      <c r="K243" s="739">
        <f t="shared" si="94"/>
        <v>1800</v>
      </c>
      <c r="L243" s="850">
        <f t="shared" si="95"/>
        <v>0</v>
      </c>
      <c r="M243" s="740">
        <f t="shared" si="83"/>
        <v>0</v>
      </c>
      <c r="N243" s="604">
        <f t="shared" si="72"/>
        <v>0</v>
      </c>
      <c r="O243" s="604">
        <f t="shared" si="73"/>
        <v>0</v>
      </c>
      <c r="P243" s="604">
        <f t="shared" si="74"/>
        <v>0</v>
      </c>
      <c r="Q243" s="604">
        <f t="shared" si="75"/>
        <v>0</v>
      </c>
      <c r="R243" s="604">
        <f t="shared" si="76"/>
        <v>0</v>
      </c>
      <c r="S243" s="604">
        <f t="shared" si="77"/>
        <v>0</v>
      </c>
      <c r="T243" s="604">
        <f t="shared" si="78"/>
        <v>0</v>
      </c>
      <c r="U243" s="604">
        <f t="shared" si="79"/>
        <v>0</v>
      </c>
      <c r="V243" s="604">
        <f t="shared" si="80"/>
        <v>0</v>
      </c>
      <c r="W243" s="604">
        <f t="shared" si="81"/>
        <v>0</v>
      </c>
      <c r="X243" s="746">
        <v>0</v>
      </c>
      <c r="Y243" s="746">
        <f t="shared" si="82"/>
        <v>0</v>
      </c>
    </row>
    <row r="244" spans="2:25">
      <c r="B244" s="598" t="s">
        <v>2595</v>
      </c>
      <c r="C244" s="604" t="s">
        <v>1105</v>
      </c>
      <c r="D244" s="745">
        <v>2012</v>
      </c>
      <c r="E244" s="604" t="s">
        <v>1256</v>
      </c>
      <c r="F244" s="738">
        <v>0.1</v>
      </c>
      <c r="G244" s="739">
        <v>8002.58</v>
      </c>
      <c r="H244" s="741">
        <v>7602.47</v>
      </c>
      <c r="I244" s="742">
        <f t="shared" si="92"/>
        <v>400.10999999999967</v>
      </c>
      <c r="J244" s="740">
        <f t="shared" si="96"/>
        <v>400.12900000000002</v>
      </c>
      <c r="K244" s="739">
        <f t="shared" si="94"/>
        <v>8002.5990000000002</v>
      </c>
      <c r="L244" s="850">
        <f t="shared" si="95"/>
        <v>-1.9000000000232831E-2</v>
      </c>
      <c r="M244" s="740">
        <f>+IF(L244=0,0,G244*F244)-X244</f>
        <v>-1.9000000000232831E-2</v>
      </c>
      <c r="N244" s="604">
        <f t="shared" si="72"/>
        <v>0</v>
      </c>
      <c r="O244" s="604">
        <f t="shared" si="73"/>
        <v>0</v>
      </c>
      <c r="P244" s="604">
        <f t="shared" si="74"/>
        <v>0</v>
      </c>
      <c r="Q244" s="604">
        <f t="shared" si="75"/>
        <v>0</v>
      </c>
      <c r="R244" s="604">
        <f t="shared" si="76"/>
        <v>0</v>
      </c>
      <c r="S244" s="604">
        <f t="shared" si="77"/>
        <v>0</v>
      </c>
      <c r="T244" s="604">
        <f t="shared" si="78"/>
        <v>0</v>
      </c>
      <c r="U244" s="604">
        <f t="shared" si="79"/>
        <v>0</v>
      </c>
      <c r="V244" s="604">
        <f t="shared" si="80"/>
        <v>0</v>
      </c>
      <c r="W244" s="604">
        <f t="shared" si="81"/>
        <v>0</v>
      </c>
      <c r="X244" s="746">
        <v>800.27700000000027</v>
      </c>
      <c r="Y244" s="746">
        <f t="shared" si="82"/>
        <v>0</v>
      </c>
    </row>
    <row r="245" spans="2:25">
      <c r="B245" s="598" t="s">
        <v>2595</v>
      </c>
      <c r="C245" s="604" t="s">
        <v>1105</v>
      </c>
      <c r="D245" s="745">
        <v>2012</v>
      </c>
      <c r="E245" s="604" t="s">
        <v>1257</v>
      </c>
      <c r="F245" s="738">
        <v>0.1</v>
      </c>
      <c r="G245" s="739">
        <v>2778</v>
      </c>
      <c r="H245" s="741">
        <f>+G245*0.95</f>
        <v>2639.1</v>
      </c>
      <c r="I245" s="742">
        <f t="shared" si="92"/>
        <v>138.90000000000009</v>
      </c>
      <c r="J245" s="740">
        <f t="shared" si="96"/>
        <v>138.9</v>
      </c>
      <c r="K245" s="739">
        <f t="shared" si="94"/>
        <v>2778</v>
      </c>
      <c r="L245" s="850">
        <f t="shared" si="95"/>
        <v>0</v>
      </c>
      <c r="M245" s="740">
        <f t="shared" si="83"/>
        <v>0</v>
      </c>
      <c r="N245" s="604">
        <f t="shared" si="72"/>
        <v>0</v>
      </c>
      <c r="O245" s="604">
        <f t="shared" si="73"/>
        <v>0</v>
      </c>
      <c r="P245" s="604">
        <f t="shared" si="74"/>
        <v>0</v>
      </c>
      <c r="Q245" s="604">
        <f t="shared" si="75"/>
        <v>0</v>
      </c>
      <c r="R245" s="604">
        <f t="shared" si="76"/>
        <v>0</v>
      </c>
      <c r="S245" s="604">
        <f t="shared" si="77"/>
        <v>0</v>
      </c>
      <c r="T245" s="604">
        <f t="shared" si="78"/>
        <v>0</v>
      </c>
      <c r="U245" s="604">
        <f t="shared" si="79"/>
        <v>0</v>
      </c>
      <c r="V245" s="604">
        <f t="shared" si="80"/>
        <v>0</v>
      </c>
      <c r="W245" s="604">
        <f t="shared" si="81"/>
        <v>0</v>
      </c>
      <c r="X245" s="746">
        <v>0</v>
      </c>
      <c r="Y245" s="746">
        <f t="shared" si="82"/>
        <v>0</v>
      </c>
    </row>
    <row r="246" spans="2:25">
      <c r="B246" s="598" t="s">
        <v>2595</v>
      </c>
      <c r="C246" s="604" t="s">
        <v>1105</v>
      </c>
      <c r="D246" s="745">
        <v>2012</v>
      </c>
      <c r="E246" s="604"/>
      <c r="F246" s="738">
        <v>0.1</v>
      </c>
      <c r="G246" s="739">
        <v>1800</v>
      </c>
      <c r="H246" s="741">
        <f>+G246*0.95</f>
        <v>1710</v>
      </c>
      <c r="I246" s="742">
        <f t="shared" si="92"/>
        <v>90</v>
      </c>
      <c r="J246" s="740">
        <f t="shared" si="96"/>
        <v>90</v>
      </c>
      <c r="K246" s="739">
        <f t="shared" si="94"/>
        <v>1800</v>
      </c>
      <c r="L246" s="850">
        <f t="shared" si="95"/>
        <v>0</v>
      </c>
      <c r="M246" s="740">
        <f t="shared" si="83"/>
        <v>0</v>
      </c>
      <c r="N246" s="604">
        <f t="shared" si="72"/>
        <v>0</v>
      </c>
      <c r="O246" s="604">
        <f t="shared" si="73"/>
        <v>0</v>
      </c>
      <c r="P246" s="604">
        <f t="shared" si="74"/>
        <v>0</v>
      </c>
      <c r="Q246" s="604">
        <f t="shared" si="75"/>
        <v>0</v>
      </c>
      <c r="R246" s="604">
        <f t="shared" si="76"/>
        <v>0</v>
      </c>
      <c r="S246" s="604">
        <f t="shared" si="77"/>
        <v>0</v>
      </c>
      <c r="T246" s="604">
        <f t="shared" si="78"/>
        <v>0</v>
      </c>
      <c r="U246" s="604">
        <f t="shared" si="79"/>
        <v>0</v>
      </c>
      <c r="V246" s="604">
        <f t="shared" si="80"/>
        <v>0</v>
      </c>
      <c r="W246" s="604">
        <f t="shared" si="81"/>
        <v>0</v>
      </c>
      <c r="X246" s="746">
        <v>0</v>
      </c>
      <c r="Y246" s="746">
        <f t="shared" si="82"/>
        <v>0</v>
      </c>
    </row>
    <row r="247" spans="2:25">
      <c r="B247" s="598" t="s">
        <v>2595</v>
      </c>
      <c r="C247" s="604" t="s">
        <v>1105</v>
      </c>
      <c r="D247" s="745">
        <v>2012</v>
      </c>
      <c r="E247" s="604"/>
      <c r="F247" s="738">
        <v>0.1</v>
      </c>
      <c r="G247" s="739">
        <v>1010</v>
      </c>
      <c r="H247" s="741">
        <f t="shared" ref="H247:H249" si="97">+G247*0.95</f>
        <v>959.5</v>
      </c>
      <c r="I247" s="742">
        <f t="shared" si="92"/>
        <v>50.5</v>
      </c>
      <c r="J247" s="740">
        <f t="shared" si="96"/>
        <v>50.5</v>
      </c>
      <c r="K247" s="739">
        <f t="shared" si="94"/>
        <v>1010</v>
      </c>
      <c r="L247" s="850">
        <f t="shared" si="95"/>
        <v>0</v>
      </c>
      <c r="M247" s="740">
        <f t="shared" si="83"/>
        <v>0</v>
      </c>
      <c r="N247" s="604">
        <f t="shared" si="72"/>
        <v>0</v>
      </c>
      <c r="O247" s="604">
        <f t="shared" si="73"/>
        <v>0</v>
      </c>
      <c r="P247" s="604">
        <f t="shared" si="74"/>
        <v>0</v>
      </c>
      <c r="Q247" s="604">
        <f t="shared" si="75"/>
        <v>0</v>
      </c>
      <c r="R247" s="604">
        <f t="shared" si="76"/>
        <v>0</v>
      </c>
      <c r="S247" s="604">
        <f t="shared" si="77"/>
        <v>0</v>
      </c>
      <c r="T247" s="604">
        <f t="shared" si="78"/>
        <v>0</v>
      </c>
      <c r="U247" s="604">
        <f t="shared" si="79"/>
        <v>0</v>
      </c>
      <c r="V247" s="604">
        <f t="shared" si="80"/>
        <v>0</v>
      </c>
      <c r="W247" s="604">
        <f t="shared" si="81"/>
        <v>0</v>
      </c>
      <c r="X247" s="746">
        <v>0</v>
      </c>
      <c r="Y247" s="746">
        <f t="shared" si="82"/>
        <v>0</v>
      </c>
    </row>
    <row r="248" spans="2:25">
      <c r="B248" s="598" t="s">
        <v>2595</v>
      </c>
      <c r="C248" s="604" t="s">
        <v>1105</v>
      </c>
      <c r="D248" s="745">
        <v>2012</v>
      </c>
      <c r="E248" s="604"/>
      <c r="F248" s="738">
        <v>0.1</v>
      </c>
      <c r="G248" s="739">
        <v>650</v>
      </c>
      <c r="H248" s="741">
        <f t="shared" si="97"/>
        <v>617.5</v>
      </c>
      <c r="I248" s="742">
        <f t="shared" si="92"/>
        <v>32.5</v>
      </c>
      <c r="J248" s="740">
        <f t="shared" si="96"/>
        <v>32.5</v>
      </c>
      <c r="K248" s="739">
        <f t="shared" si="94"/>
        <v>650</v>
      </c>
      <c r="L248" s="850">
        <f t="shared" si="95"/>
        <v>0</v>
      </c>
      <c r="M248" s="740">
        <f t="shared" si="83"/>
        <v>0</v>
      </c>
      <c r="N248" s="604">
        <f t="shared" si="72"/>
        <v>0</v>
      </c>
      <c r="O248" s="604">
        <f t="shared" si="73"/>
        <v>0</v>
      </c>
      <c r="P248" s="604">
        <f t="shared" si="74"/>
        <v>0</v>
      </c>
      <c r="Q248" s="604">
        <f t="shared" si="75"/>
        <v>0</v>
      </c>
      <c r="R248" s="604">
        <f t="shared" si="76"/>
        <v>0</v>
      </c>
      <c r="S248" s="604">
        <f t="shared" si="77"/>
        <v>0</v>
      </c>
      <c r="T248" s="604">
        <f t="shared" si="78"/>
        <v>0</v>
      </c>
      <c r="U248" s="604">
        <f t="shared" si="79"/>
        <v>0</v>
      </c>
      <c r="V248" s="604">
        <f t="shared" si="80"/>
        <v>0</v>
      </c>
      <c r="W248" s="604">
        <f t="shared" si="81"/>
        <v>0</v>
      </c>
      <c r="X248" s="746">
        <v>0</v>
      </c>
      <c r="Y248" s="746">
        <f t="shared" si="82"/>
        <v>0</v>
      </c>
    </row>
    <row r="249" spans="2:25">
      <c r="B249" s="598" t="s">
        <v>2595</v>
      </c>
      <c r="C249" s="604" t="s">
        <v>1105</v>
      </c>
      <c r="D249" s="745">
        <v>2012</v>
      </c>
      <c r="E249" s="604"/>
      <c r="F249" s="738">
        <v>0.1</v>
      </c>
      <c r="G249" s="739">
        <v>140</v>
      </c>
      <c r="H249" s="741">
        <f t="shared" si="97"/>
        <v>133</v>
      </c>
      <c r="I249" s="742">
        <f t="shared" si="92"/>
        <v>7</v>
      </c>
      <c r="J249" s="740">
        <f t="shared" si="96"/>
        <v>7</v>
      </c>
      <c r="K249" s="739">
        <f t="shared" si="94"/>
        <v>140</v>
      </c>
      <c r="L249" s="850">
        <f t="shared" si="95"/>
        <v>0</v>
      </c>
      <c r="M249" s="740">
        <f t="shared" si="83"/>
        <v>0</v>
      </c>
      <c r="N249" s="604">
        <f t="shared" si="72"/>
        <v>0</v>
      </c>
      <c r="O249" s="604">
        <f t="shared" si="73"/>
        <v>0</v>
      </c>
      <c r="P249" s="604">
        <f t="shared" si="74"/>
        <v>0</v>
      </c>
      <c r="Q249" s="604">
        <f t="shared" si="75"/>
        <v>0</v>
      </c>
      <c r="R249" s="604">
        <f t="shared" si="76"/>
        <v>0</v>
      </c>
      <c r="S249" s="604">
        <f t="shared" si="77"/>
        <v>0</v>
      </c>
      <c r="T249" s="604">
        <f t="shared" si="78"/>
        <v>0</v>
      </c>
      <c r="U249" s="604">
        <f t="shared" si="79"/>
        <v>0</v>
      </c>
      <c r="V249" s="604">
        <f t="shared" si="80"/>
        <v>0</v>
      </c>
      <c r="W249" s="604">
        <f t="shared" si="81"/>
        <v>0</v>
      </c>
      <c r="X249" s="746">
        <v>0</v>
      </c>
      <c r="Y249" s="746">
        <f t="shared" si="82"/>
        <v>0</v>
      </c>
    </row>
    <row r="250" spans="2:25">
      <c r="B250" s="598" t="s">
        <v>2595</v>
      </c>
      <c r="C250" s="604" t="s">
        <v>1105</v>
      </c>
      <c r="D250" s="745">
        <v>2013</v>
      </c>
      <c r="E250" s="604" t="s">
        <v>1258</v>
      </c>
      <c r="F250" s="738">
        <v>0.1</v>
      </c>
      <c r="G250" s="739">
        <v>6700</v>
      </c>
      <c r="H250" s="741">
        <v>5695</v>
      </c>
      <c r="I250" s="742">
        <f t="shared" si="92"/>
        <v>1005</v>
      </c>
      <c r="J250" s="740">
        <f t="shared" ref="J250:J294" si="98">IF(I250=0,0,G250*F250)</f>
        <v>670</v>
      </c>
      <c r="K250" s="739">
        <f t="shared" si="94"/>
        <v>6365</v>
      </c>
      <c r="L250" s="850">
        <f t="shared" si="95"/>
        <v>335</v>
      </c>
      <c r="M250" s="740">
        <f t="shared" ref="M250:M255" si="99">+IF(L250=0,0,G250*F250)-X250</f>
        <v>335</v>
      </c>
      <c r="N250" s="604">
        <f t="shared" si="72"/>
        <v>0</v>
      </c>
      <c r="O250" s="604">
        <f t="shared" si="73"/>
        <v>0</v>
      </c>
      <c r="P250" s="604">
        <f t="shared" si="74"/>
        <v>0</v>
      </c>
      <c r="Q250" s="604">
        <f t="shared" si="75"/>
        <v>0</v>
      </c>
      <c r="R250" s="604">
        <f t="shared" si="76"/>
        <v>0</v>
      </c>
      <c r="S250" s="604">
        <f t="shared" si="77"/>
        <v>0</v>
      </c>
      <c r="T250" s="604">
        <f t="shared" si="78"/>
        <v>0</v>
      </c>
      <c r="U250" s="604">
        <f t="shared" si="79"/>
        <v>0</v>
      </c>
      <c r="V250" s="604">
        <f t="shared" si="80"/>
        <v>0</v>
      </c>
      <c r="W250" s="604">
        <f t="shared" si="81"/>
        <v>0</v>
      </c>
      <c r="X250" s="746">
        <v>335</v>
      </c>
      <c r="Y250" s="746">
        <f t="shared" si="82"/>
        <v>0</v>
      </c>
    </row>
    <row r="251" spans="2:25">
      <c r="B251" s="598" t="s">
        <v>2595</v>
      </c>
      <c r="C251" s="604" t="s">
        <v>1105</v>
      </c>
      <c r="D251" s="745">
        <v>2013</v>
      </c>
      <c r="E251" s="604" t="s">
        <v>1259</v>
      </c>
      <c r="F251" s="738">
        <v>0.1</v>
      </c>
      <c r="G251" s="739">
        <v>6700</v>
      </c>
      <c r="H251" s="741">
        <v>5695</v>
      </c>
      <c r="I251" s="742">
        <f t="shared" si="92"/>
        <v>1005</v>
      </c>
      <c r="J251" s="740">
        <f t="shared" si="98"/>
        <v>670</v>
      </c>
      <c r="K251" s="739">
        <f t="shared" si="94"/>
        <v>6365</v>
      </c>
      <c r="L251" s="850">
        <f t="shared" si="95"/>
        <v>335</v>
      </c>
      <c r="M251" s="740">
        <f t="shared" si="99"/>
        <v>335</v>
      </c>
      <c r="N251" s="604">
        <f t="shared" si="72"/>
        <v>0</v>
      </c>
      <c r="O251" s="604">
        <f t="shared" si="73"/>
        <v>0</v>
      </c>
      <c r="P251" s="604">
        <f t="shared" si="74"/>
        <v>0</v>
      </c>
      <c r="Q251" s="604">
        <f t="shared" si="75"/>
        <v>0</v>
      </c>
      <c r="R251" s="604">
        <f t="shared" si="76"/>
        <v>0</v>
      </c>
      <c r="S251" s="604">
        <f t="shared" si="77"/>
        <v>0</v>
      </c>
      <c r="T251" s="604">
        <f t="shared" si="78"/>
        <v>0</v>
      </c>
      <c r="U251" s="604">
        <f t="shared" si="79"/>
        <v>0</v>
      </c>
      <c r="V251" s="604">
        <f t="shared" si="80"/>
        <v>0</v>
      </c>
      <c r="W251" s="604">
        <f t="shared" si="81"/>
        <v>0</v>
      </c>
      <c r="X251" s="746">
        <v>335</v>
      </c>
      <c r="Y251" s="746">
        <f t="shared" si="82"/>
        <v>0</v>
      </c>
    </row>
    <row r="252" spans="2:25">
      <c r="B252" s="598" t="s">
        <v>2595</v>
      </c>
      <c r="C252" s="604" t="s">
        <v>1105</v>
      </c>
      <c r="D252" s="745">
        <v>2013</v>
      </c>
      <c r="E252" s="604" t="s">
        <v>1260</v>
      </c>
      <c r="F252" s="738">
        <v>0.1</v>
      </c>
      <c r="G252" s="739">
        <v>2200</v>
      </c>
      <c r="H252" s="741">
        <v>1870</v>
      </c>
      <c r="I252" s="742">
        <f t="shared" si="92"/>
        <v>330</v>
      </c>
      <c r="J252" s="740">
        <f t="shared" si="98"/>
        <v>220</v>
      </c>
      <c r="K252" s="739">
        <f t="shared" si="94"/>
        <v>2090</v>
      </c>
      <c r="L252" s="850">
        <f t="shared" si="95"/>
        <v>110</v>
      </c>
      <c r="M252" s="740">
        <f t="shared" si="99"/>
        <v>110</v>
      </c>
      <c r="N252" s="604">
        <f t="shared" si="72"/>
        <v>0</v>
      </c>
      <c r="O252" s="604">
        <f t="shared" si="73"/>
        <v>0</v>
      </c>
      <c r="P252" s="604">
        <f t="shared" si="74"/>
        <v>0</v>
      </c>
      <c r="Q252" s="604">
        <f t="shared" si="75"/>
        <v>0</v>
      </c>
      <c r="R252" s="604">
        <f t="shared" si="76"/>
        <v>0</v>
      </c>
      <c r="S252" s="604">
        <f t="shared" si="77"/>
        <v>0</v>
      </c>
      <c r="T252" s="604">
        <f t="shared" si="78"/>
        <v>0</v>
      </c>
      <c r="U252" s="604">
        <f t="shared" si="79"/>
        <v>0</v>
      </c>
      <c r="V252" s="604">
        <f t="shared" si="80"/>
        <v>0</v>
      </c>
      <c r="W252" s="604">
        <f t="shared" si="81"/>
        <v>0</v>
      </c>
      <c r="X252" s="746">
        <v>110</v>
      </c>
      <c r="Y252" s="746">
        <f t="shared" si="82"/>
        <v>0</v>
      </c>
    </row>
    <row r="253" spans="2:25">
      <c r="B253" s="598" t="s">
        <v>2595</v>
      </c>
      <c r="C253" s="604" t="s">
        <v>1105</v>
      </c>
      <c r="D253" s="745">
        <v>2013</v>
      </c>
      <c r="E253" s="604" t="s">
        <v>1261</v>
      </c>
      <c r="F253" s="738">
        <v>0.1</v>
      </c>
      <c r="G253" s="739">
        <v>1100</v>
      </c>
      <c r="H253" s="741">
        <v>935</v>
      </c>
      <c r="I253" s="742">
        <f t="shared" si="92"/>
        <v>165</v>
      </c>
      <c r="J253" s="740">
        <f t="shared" si="98"/>
        <v>110</v>
      </c>
      <c r="K253" s="739">
        <f t="shared" si="94"/>
        <v>1045</v>
      </c>
      <c r="L253" s="850">
        <f t="shared" si="95"/>
        <v>55</v>
      </c>
      <c r="M253" s="740">
        <f t="shared" si="99"/>
        <v>55</v>
      </c>
      <c r="N253" s="604">
        <f t="shared" si="72"/>
        <v>0</v>
      </c>
      <c r="O253" s="604">
        <f t="shared" si="73"/>
        <v>0</v>
      </c>
      <c r="P253" s="604">
        <f t="shared" si="74"/>
        <v>0</v>
      </c>
      <c r="Q253" s="604">
        <f t="shared" si="75"/>
        <v>0</v>
      </c>
      <c r="R253" s="604">
        <f t="shared" si="76"/>
        <v>0</v>
      </c>
      <c r="S253" s="604">
        <f t="shared" si="77"/>
        <v>0</v>
      </c>
      <c r="T253" s="604">
        <f t="shared" si="78"/>
        <v>0</v>
      </c>
      <c r="U253" s="604">
        <f t="shared" si="79"/>
        <v>0</v>
      </c>
      <c r="V253" s="604">
        <f t="shared" si="80"/>
        <v>0</v>
      </c>
      <c r="W253" s="604">
        <f t="shared" si="81"/>
        <v>0</v>
      </c>
      <c r="X253" s="746">
        <v>55</v>
      </c>
      <c r="Y253" s="746">
        <f t="shared" si="82"/>
        <v>0</v>
      </c>
    </row>
    <row r="254" spans="2:25">
      <c r="B254" s="598" t="s">
        <v>2595</v>
      </c>
      <c r="C254" s="604" t="s">
        <v>1105</v>
      </c>
      <c r="D254" s="745">
        <v>2013</v>
      </c>
      <c r="E254" s="604" t="s">
        <v>1262</v>
      </c>
      <c r="F254" s="738">
        <v>0.1</v>
      </c>
      <c r="G254" s="739">
        <v>1600</v>
      </c>
      <c r="H254" s="741">
        <v>1360</v>
      </c>
      <c r="I254" s="742">
        <f t="shared" si="92"/>
        <v>240</v>
      </c>
      <c r="J254" s="740">
        <f t="shared" si="98"/>
        <v>160</v>
      </c>
      <c r="K254" s="739">
        <f t="shared" si="94"/>
        <v>1520</v>
      </c>
      <c r="L254" s="850">
        <f t="shared" si="95"/>
        <v>80</v>
      </c>
      <c r="M254" s="740">
        <f t="shared" si="99"/>
        <v>80</v>
      </c>
      <c r="N254" s="604">
        <f t="shared" si="72"/>
        <v>0</v>
      </c>
      <c r="O254" s="604">
        <f t="shared" si="73"/>
        <v>0</v>
      </c>
      <c r="P254" s="604">
        <f t="shared" si="74"/>
        <v>0</v>
      </c>
      <c r="Q254" s="604">
        <f t="shared" si="75"/>
        <v>0</v>
      </c>
      <c r="R254" s="604">
        <f t="shared" si="76"/>
        <v>0</v>
      </c>
      <c r="S254" s="604">
        <f t="shared" si="77"/>
        <v>0</v>
      </c>
      <c r="T254" s="604">
        <f t="shared" si="78"/>
        <v>0</v>
      </c>
      <c r="U254" s="604">
        <f t="shared" si="79"/>
        <v>0</v>
      </c>
      <c r="V254" s="604">
        <f t="shared" si="80"/>
        <v>0</v>
      </c>
      <c r="W254" s="604">
        <f t="shared" si="81"/>
        <v>0</v>
      </c>
      <c r="X254" s="746">
        <v>80</v>
      </c>
      <c r="Y254" s="746">
        <f t="shared" si="82"/>
        <v>0</v>
      </c>
    </row>
    <row r="255" spans="2:25">
      <c r="B255" s="598" t="s">
        <v>2595</v>
      </c>
      <c r="C255" s="604" t="s">
        <v>1105</v>
      </c>
      <c r="D255" s="745">
        <v>2013</v>
      </c>
      <c r="E255" s="604" t="s">
        <v>1263</v>
      </c>
      <c r="F255" s="738">
        <v>0.1</v>
      </c>
      <c r="G255" s="739">
        <v>3500</v>
      </c>
      <c r="H255" s="741">
        <v>2975</v>
      </c>
      <c r="I255" s="742">
        <f t="shared" si="92"/>
        <v>525</v>
      </c>
      <c r="J255" s="740">
        <f t="shared" si="98"/>
        <v>350</v>
      </c>
      <c r="K255" s="739">
        <f t="shared" si="94"/>
        <v>3325</v>
      </c>
      <c r="L255" s="850">
        <f t="shared" si="95"/>
        <v>175</v>
      </c>
      <c r="M255" s="740">
        <f t="shared" si="99"/>
        <v>175</v>
      </c>
      <c r="N255" s="604">
        <f t="shared" si="72"/>
        <v>0</v>
      </c>
      <c r="O255" s="604">
        <f t="shared" si="73"/>
        <v>0</v>
      </c>
      <c r="P255" s="604">
        <f t="shared" si="74"/>
        <v>0</v>
      </c>
      <c r="Q255" s="604">
        <f t="shared" si="75"/>
        <v>0</v>
      </c>
      <c r="R255" s="604">
        <f t="shared" si="76"/>
        <v>0</v>
      </c>
      <c r="S255" s="604">
        <f t="shared" si="77"/>
        <v>0</v>
      </c>
      <c r="T255" s="604">
        <f t="shared" si="78"/>
        <v>0</v>
      </c>
      <c r="U255" s="604">
        <f t="shared" si="79"/>
        <v>0</v>
      </c>
      <c r="V255" s="604">
        <f t="shared" si="80"/>
        <v>0</v>
      </c>
      <c r="W255" s="604">
        <f t="shared" si="81"/>
        <v>0</v>
      </c>
      <c r="X255" s="746">
        <v>175</v>
      </c>
      <c r="Y255" s="746">
        <f t="shared" si="82"/>
        <v>0</v>
      </c>
    </row>
    <row r="256" spans="2:25">
      <c r="B256" s="598" t="s">
        <v>2595</v>
      </c>
      <c r="C256" s="604" t="s">
        <v>1105</v>
      </c>
      <c r="D256" s="745">
        <v>2014</v>
      </c>
      <c r="E256" s="604" t="s">
        <v>1264</v>
      </c>
      <c r="F256" s="738">
        <v>0.1</v>
      </c>
      <c r="G256" s="739">
        <v>1000</v>
      </c>
      <c r="H256" s="741">
        <v>750</v>
      </c>
      <c r="I256" s="742">
        <f t="shared" si="92"/>
        <v>250</v>
      </c>
      <c r="J256" s="740">
        <f t="shared" si="98"/>
        <v>100</v>
      </c>
      <c r="K256" s="739">
        <f t="shared" si="94"/>
        <v>850</v>
      </c>
      <c r="L256" s="850">
        <f t="shared" si="95"/>
        <v>150</v>
      </c>
      <c r="M256" s="740">
        <f t="shared" si="83"/>
        <v>100</v>
      </c>
      <c r="N256" s="604">
        <f t="shared" ref="N256:N265" si="100">+IF(L256-M256&gt;0,G256*F256,0)-X256</f>
        <v>50</v>
      </c>
      <c r="O256" s="604">
        <f t="shared" si="73"/>
        <v>0</v>
      </c>
      <c r="P256" s="604">
        <f t="shared" si="74"/>
        <v>0</v>
      </c>
      <c r="Q256" s="604">
        <f t="shared" si="75"/>
        <v>0</v>
      </c>
      <c r="R256" s="604">
        <f t="shared" si="76"/>
        <v>0</v>
      </c>
      <c r="S256" s="604">
        <f t="shared" si="77"/>
        <v>0</v>
      </c>
      <c r="T256" s="604">
        <f t="shared" si="78"/>
        <v>0</v>
      </c>
      <c r="U256" s="604">
        <f t="shared" si="79"/>
        <v>0</v>
      </c>
      <c r="V256" s="604">
        <f t="shared" si="80"/>
        <v>0</v>
      </c>
      <c r="W256" s="604">
        <f t="shared" si="81"/>
        <v>0</v>
      </c>
      <c r="X256" s="746">
        <v>50</v>
      </c>
      <c r="Y256" s="746">
        <f t="shared" si="82"/>
        <v>0</v>
      </c>
    </row>
    <row r="257" spans="2:25">
      <c r="B257" s="598" t="s">
        <v>2595</v>
      </c>
      <c r="C257" s="604" t="s">
        <v>1105</v>
      </c>
      <c r="D257" s="745">
        <v>2014</v>
      </c>
      <c r="E257" s="604" t="s">
        <v>1265</v>
      </c>
      <c r="F257" s="738">
        <v>0.1</v>
      </c>
      <c r="G257" s="739">
        <v>8000</v>
      </c>
      <c r="H257" s="741">
        <v>6000</v>
      </c>
      <c r="I257" s="742">
        <f t="shared" si="92"/>
        <v>2000</v>
      </c>
      <c r="J257" s="740">
        <f t="shared" si="98"/>
        <v>800</v>
      </c>
      <c r="K257" s="739">
        <f t="shared" si="94"/>
        <v>6800</v>
      </c>
      <c r="L257" s="850">
        <f t="shared" si="95"/>
        <v>1200</v>
      </c>
      <c r="M257" s="740">
        <f t="shared" si="83"/>
        <v>800</v>
      </c>
      <c r="N257" s="604">
        <f t="shared" si="100"/>
        <v>400</v>
      </c>
      <c r="O257" s="604">
        <f t="shared" si="73"/>
        <v>0</v>
      </c>
      <c r="P257" s="604">
        <f t="shared" si="74"/>
        <v>0</v>
      </c>
      <c r="Q257" s="604">
        <f t="shared" si="75"/>
        <v>0</v>
      </c>
      <c r="R257" s="604">
        <f t="shared" si="76"/>
        <v>0</v>
      </c>
      <c r="S257" s="604">
        <f t="shared" si="77"/>
        <v>0</v>
      </c>
      <c r="T257" s="604">
        <f t="shared" si="78"/>
        <v>0</v>
      </c>
      <c r="U257" s="604">
        <f t="shared" si="79"/>
        <v>0</v>
      </c>
      <c r="V257" s="604">
        <f t="shared" si="80"/>
        <v>0</v>
      </c>
      <c r="W257" s="604">
        <f t="shared" si="81"/>
        <v>0</v>
      </c>
      <c r="X257" s="746">
        <v>400</v>
      </c>
      <c r="Y257" s="746">
        <f t="shared" si="82"/>
        <v>0</v>
      </c>
    </row>
    <row r="258" spans="2:25">
      <c r="B258" s="598" t="s">
        <v>2595</v>
      </c>
      <c r="C258" s="604" t="s">
        <v>1105</v>
      </c>
      <c r="D258" s="745">
        <v>2014</v>
      </c>
      <c r="E258" s="604" t="s">
        <v>1266</v>
      </c>
      <c r="F258" s="738">
        <v>0.1</v>
      </c>
      <c r="G258" s="739">
        <v>8003.1</v>
      </c>
      <c r="H258" s="741">
        <v>6002.33</v>
      </c>
      <c r="I258" s="742">
        <f t="shared" si="92"/>
        <v>2000.7700000000004</v>
      </c>
      <c r="J258" s="740">
        <f t="shared" si="98"/>
        <v>800.31000000000006</v>
      </c>
      <c r="K258" s="739">
        <f t="shared" si="94"/>
        <v>6802.64</v>
      </c>
      <c r="L258" s="850">
        <f t="shared" si="95"/>
        <v>1200.46</v>
      </c>
      <c r="M258" s="740">
        <f t="shared" si="83"/>
        <v>800.31000000000006</v>
      </c>
      <c r="N258" s="604">
        <f t="shared" si="100"/>
        <v>400.15</v>
      </c>
      <c r="O258" s="604">
        <f t="shared" si="73"/>
        <v>0</v>
      </c>
      <c r="P258" s="604">
        <f t="shared" si="74"/>
        <v>0</v>
      </c>
      <c r="Q258" s="604">
        <f t="shared" si="75"/>
        <v>0</v>
      </c>
      <c r="R258" s="604">
        <f t="shared" si="76"/>
        <v>0</v>
      </c>
      <c r="S258" s="604">
        <f t="shared" si="77"/>
        <v>0</v>
      </c>
      <c r="T258" s="604">
        <f t="shared" si="78"/>
        <v>0</v>
      </c>
      <c r="U258" s="604">
        <f t="shared" si="79"/>
        <v>0</v>
      </c>
      <c r="V258" s="604">
        <f t="shared" si="80"/>
        <v>0</v>
      </c>
      <c r="W258" s="604">
        <f t="shared" si="81"/>
        <v>0</v>
      </c>
      <c r="X258" s="746">
        <v>400.16000000000008</v>
      </c>
      <c r="Y258" s="746">
        <f t="shared" si="82"/>
        <v>0</v>
      </c>
    </row>
    <row r="259" spans="2:25">
      <c r="B259" s="598" t="s">
        <v>2595</v>
      </c>
      <c r="C259" s="604" t="s">
        <v>1105</v>
      </c>
      <c r="D259" s="745">
        <v>2014</v>
      </c>
      <c r="E259" s="604" t="s">
        <v>1267</v>
      </c>
      <c r="F259" s="738">
        <v>0.1</v>
      </c>
      <c r="G259" s="739">
        <v>17016.5</v>
      </c>
      <c r="H259" s="741">
        <v>12762.38</v>
      </c>
      <c r="I259" s="742">
        <f t="shared" si="92"/>
        <v>4254.1200000000008</v>
      </c>
      <c r="J259" s="740">
        <f t="shared" si="98"/>
        <v>1701.65</v>
      </c>
      <c r="K259" s="739">
        <f t="shared" si="94"/>
        <v>14464.029999999999</v>
      </c>
      <c r="L259" s="850">
        <f t="shared" si="95"/>
        <v>2552.4700000000012</v>
      </c>
      <c r="M259" s="740">
        <f t="shared" si="83"/>
        <v>1701.65</v>
      </c>
      <c r="N259" s="604">
        <f t="shared" si="100"/>
        <v>850.82000000000107</v>
      </c>
      <c r="O259" s="604">
        <f t="shared" si="73"/>
        <v>0</v>
      </c>
      <c r="P259" s="604">
        <f t="shared" si="74"/>
        <v>0</v>
      </c>
      <c r="Q259" s="604">
        <f t="shared" si="75"/>
        <v>0</v>
      </c>
      <c r="R259" s="604">
        <f t="shared" si="76"/>
        <v>0</v>
      </c>
      <c r="S259" s="604">
        <f t="shared" si="77"/>
        <v>0</v>
      </c>
      <c r="T259" s="604">
        <f t="shared" si="78"/>
        <v>0</v>
      </c>
      <c r="U259" s="604">
        <f t="shared" si="79"/>
        <v>0</v>
      </c>
      <c r="V259" s="604">
        <f t="shared" si="80"/>
        <v>0</v>
      </c>
      <c r="W259" s="604">
        <f t="shared" si="81"/>
        <v>0</v>
      </c>
      <c r="X259" s="746">
        <v>850.82999999999902</v>
      </c>
      <c r="Y259" s="746">
        <f t="shared" si="82"/>
        <v>0</v>
      </c>
    </row>
    <row r="260" spans="2:25">
      <c r="B260" s="598" t="s">
        <v>2595</v>
      </c>
      <c r="C260" s="604" t="s">
        <v>1105</v>
      </c>
      <c r="D260" s="745">
        <v>2014</v>
      </c>
      <c r="E260" s="604" t="s">
        <v>1268</v>
      </c>
      <c r="F260" s="738">
        <v>0.1</v>
      </c>
      <c r="G260" s="739">
        <v>500</v>
      </c>
      <c r="H260" s="741">
        <v>375</v>
      </c>
      <c r="I260" s="742">
        <f t="shared" si="92"/>
        <v>125</v>
      </c>
      <c r="J260" s="740">
        <f t="shared" si="98"/>
        <v>50</v>
      </c>
      <c r="K260" s="739">
        <f t="shared" si="94"/>
        <v>425</v>
      </c>
      <c r="L260" s="850">
        <f t="shared" si="95"/>
        <v>75</v>
      </c>
      <c r="M260" s="740">
        <f t="shared" si="83"/>
        <v>50</v>
      </c>
      <c r="N260" s="604">
        <f t="shared" si="100"/>
        <v>25</v>
      </c>
      <c r="O260" s="604">
        <f t="shared" si="73"/>
        <v>0</v>
      </c>
      <c r="P260" s="604">
        <f t="shared" si="74"/>
        <v>0</v>
      </c>
      <c r="Q260" s="604">
        <f t="shared" si="75"/>
        <v>0</v>
      </c>
      <c r="R260" s="604">
        <f t="shared" si="76"/>
        <v>0</v>
      </c>
      <c r="S260" s="604">
        <f t="shared" si="77"/>
        <v>0</v>
      </c>
      <c r="T260" s="604">
        <f t="shared" si="78"/>
        <v>0</v>
      </c>
      <c r="U260" s="604">
        <f t="shared" si="79"/>
        <v>0</v>
      </c>
      <c r="V260" s="604">
        <f t="shared" si="80"/>
        <v>0</v>
      </c>
      <c r="W260" s="604">
        <f t="shared" si="81"/>
        <v>0</v>
      </c>
      <c r="X260" s="746">
        <v>25</v>
      </c>
      <c r="Y260" s="746">
        <f t="shared" si="82"/>
        <v>0</v>
      </c>
    </row>
    <row r="261" spans="2:25">
      <c r="B261" s="598" t="s">
        <v>2595</v>
      </c>
      <c r="C261" s="604" t="s">
        <v>1105</v>
      </c>
      <c r="D261" s="745">
        <v>2014</v>
      </c>
      <c r="E261" s="604" t="s">
        <v>1269</v>
      </c>
      <c r="F261" s="738">
        <v>0.1</v>
      </c>
      <c r="G261" s="739">
        <v>500</v>
      </c>
      <c r="H261" s="741">
        <v>375</v>
      </c>
      <c r="I261" s="742">
        <f t="shared" si="92"/>
        <v>125</v>
      </c>
      <c r="J261" s="740">
        <f t="shared" si="98"/>
        <v>50</v>
      </c>
      <c r="K261" s="739">
        <f t="shared" si="94"/>
        <v>425</v>
      </c>
      <c r="L261" s="850">
        <f t="shared" si="95"/>
        <v>75</v>
      </c>
      <c r="M261" s="740">
        <f t="shared" si="83"/>
        <v>50</v>
      </c>
      <c r="N261" s="604">
        <f t="shared" si="100"/>
        <v>25</v>
      </c>
      <c r="O261" s="604">
        <f t="shared" ref="O261:O327" si="101">+IF(L261-SUM(M261:N261)&gt;0,G261*F261,0)</f>
        <v>0</v>
      </c>
      <c r="P261" s="604">
        <f t="shared" ref="P261:P327" si="102">+IF(L261-SUM(M261:O261)&gt;0,G261*F261,0)</f>
        <v>0</v>
      </c>
      <c r="Q261" s="604">
        <f t="shared" ref="Q261:Q327" si="103">+IF(L261-SUM(M261:P261)&gt;0,G261*F261,0)</f>
        <v>0</v>
      </c>
      <c r="R261" s="604">
        <f t="shared" ref="R261:R327" si="104">+IF(L261-SUM(M261:Q261)&gt;0,G261*F261,0)</f>
        <v>0</v>
      </c>
      <c r="S261" s="604">
        <f t="shared" ref="S261:S327" si="105">+IF(L261-SUM(M261:R261)&gt;0,G261*F261,0)</f>
        <v>0</v>
      </c>
      <c r="T261" s="604">
        <f t="shared" ref="T261:T327" si="106">+IF(L261-SUM(M261:S261)&gt;0,G261*F261,0)</f>
        <v>0</v>
      </c>
      <c r="U261" s="604">
        <f t="shared" ref="U261:U327" si="107">+IF(L261-SUM(M261:T261)&gt;0,G261*F261,0)</f>
        <v>0</v>
      </c>
      <c r="V261" s="604">
        <f t="shared" ref="V261:V327" si="108">+IF(L261-SUM(M261:U261)&gt;0,G261*F261,0)</f>
        <v>0</v>
      </c>
      <c r="W261" s="604">
        <f t="shared" ref="W261:W327" si="109">+IF(L261-SUM(M261:V261)&gt;0,G261*F261,0)</f>
        <v>0</v>
      </c>
      <c r="X261" s="746">
        <v>25</v>
      </c>
      <c r="Y261" s="746">
        <f t="shared" ref="Y261:Y327" si="110">+SUM(M261:W261)-L261</f>
        <v>0</v>
      </c>
    </row>
    <row r="262" spans="2:25">
      <c r="B262" s="598" t="s">
        <v>2595</v>
      </c>
      <c r="C262" s="604" t="s">
        <v>1105</v>
      </c>
      <c r="D262" s="745">
        <v>2014</v>
      </c>
      <c r="E262" s="604" t="s">
        <v>1270</v>
      </c>
      <c r="F262" s="738">
        <v>0.1</v>
      </c>
      <c r="G262" s="739">
        <v>300</v>
      </c>
      <c r="H262" s="741">
        <v>225</v>
      </c>
      <c r="I262" s="742">
        <f t="shared" si="92"/>
        <v>75</v>
      </c>
      <c r="J262" s="740">
        <f t="shared" si="98"/>
        <v>30</v>
      </c>
      <c r="K262" s="739">
        <f t="shared" si="94"/>
        <v>255</v>
      </c>
      <c r="L262" s="850">
        <f t="shared" si="95"/>
        <v>45</v>
      </c>
      <c r="M262" s="740">
        <f t="shared" si="83"/>
        <v>30</v>
      </c>
      <c r="N262" s="604">
        <f t="shared" si="100"/>
        <v>15</v>
      </c>
      <c r="O262" s="604">
        <f t="shared" si="101"/>
        <v>0</v>
      </c>
      <c r="P262" s="604">
        <f t="shared" si="102"/>
        <v>0</v>
      </c>
      <c r="Q262" s="604">
        <f t="shared" si="103"/>
        <v>0</v>
      </c>
      <c r="R262" s="604">
        <f t="shared" si="104"/>
        <v>0</v>
      </c>
      <c r="S262" s="604">
        <f t="shared" si="105"/>
        <v>0</v>
      </c>
      <c r="T262" s="604">
        <f t="shared" si="106"/>
        <v>0</v>
      </c>
      <c r="U262" s="604">
        <f t="shared" si="107"/>
        <v>0</v>
      </c>
      <c r="V262" s="604">
        <f t="shared" si="108"/>
        <v>0</v>
      </c>
      <c r="W262" s="604">
        <f t="shared" si="109"/>
        <v>0</v>
      </c>
      <c r="X262" s="746">
        <v>15</v>
      </c>
      <c r="Y262" s="746">
        <f t="shared" si="110"/>
        <v>0</v>
      </c>
    </row>
    <row r="263" spans="2:25">
      <c r="B263" s="598" t="s">
        <v>2595</v>
      </c>
      <c r="C263" s="604" t="s">
        <v>1105</v>
      </c>
      <c r="D263" s="745">
        <v>2014</v>
      </c>
      <c r="E263" s="604" t="s">
        <v>1271</v>
      </c>
      <c r="F263" s="738">
        <v>0.1</v>
      </c>
      <c r="G263" s="739">
        <v>1440</v>
      </c>
      <c r="H263" s="741">
        <v>1080</v>
      </c>
      <c r="I263" s="742">
        <f t="shared" si="92"/>
        <v>360</v>
      </c>
      <c r="J263" s="740">
        <f t="shared" si="98"/>
        <v>144</v>
      </c>
      <c r="K263" s="739">
        <f t="shared" si="94"/>
        <v>1224</v>
      </c>
      <c r="L263" s="850">
        <f t="shared" si="95"/>
        <v>216</v>
      </c>
      <c r="M263" s="740">
        <f t="shared" si="83"/>
        <v>144</v>
      </c>
      <c r="N263" s="604">
        <f t="shared" si="100"/>
        <v>72</v>
      </c>
      <c r="O263" s="604">
        <f t="shared" si="101"/>
        <v>0</v>
      </c>
      <c r="P263" s="604">
        <f t="shared" si="102"/>
        <v>0</v>
      </c>
      <c r="Q263" s="604">
        <f t="shared" si="103"/>
        <v>0</v>
      </c>
      <c r="R263" s="604">
        <f t="shared" si="104"/>
        <v>0</v>
      </c>
      <c r="S263" s="604">
        <f t="shared" si="105"/>
        <v>0</v>
      </c>
      <c r="T263" s="604">
        <f t="shared" si="106"/>
        <v>0</v>
      </c>
      <c r="U263" s="604">
        <f t="shared" si="107"/>
        <v>0</v>
      </c>
      <c r="V263" s="604">
        <f t="shared" si="108"/>
        <v>0</v>
      </c>
      <c r="W263" s="604">
        <f t="shared" si="109"/>
        <v>0</v>
      </c>
      <c r="X263" s="746">
        <v>72</v>
      </c>
      <c r="Y263" s="746">
        <f t="shared" si="110"/>
        <v>0</v>
      </c>
    </row>
    <row r="264" spans="2:25">
      <c r="B264" s="598" t="s">
        <v>2595</v>
      </c>
      <c r="C264" s="604" t="s">
        <v>1105</v>
      </c>
      <c r="D264" s="745">
        <v>2014</v>
      </c>
      <c r="E264" s="604" t="s">
        <v>1272</v>
      </c>
      <c r="F264" s="738">
        <v>0.1</v>
      </c>
      <c r="G264" s="739">
        <v>674</v>
      </c>
      <c r="H264" s="741">
        <v>505.5</v>
      </c>
      <c r="I264" s="742">
        <f t="shared" si="92"/>
        <v>168.5</v>
      </c>
      <c r="J264" s="740">
        <f t="shared" si="98"/>
        <v>67.400000000000006</v>
      </c>
      <c r="K264" s="739">
        <f t="shared" si="94"/>
        <v>572.9</v>
      </c>
      <c r="L264" s="850">
        <f t="shared" si="95"/>
        <v>101.10000000000002</v>
      </c>
      <c r="M264" s="740">
        <f t="shared" ref="M264:M330" si="111">+IF(L264=0,0,G264*F264)</f>
        <v>67.400000000000006</v>
      </c>
      <c r="N264" s="604">
        <f t="shared" si="100"/>
        <v>33.700000000000017</v>
      </c>
      <c r="O264" s="604">
        <f t="shared" si="101"/>
        <v>0</v>
      </c>
      <c r="P264" s="604">
        <f t="shared" si="102"/>
        <v>0</v>
      </c>
      <c r="Q264" s="604">
        <f t="shared" si="103"/>
        <v>0</v>
      </c>
      <c r="R264" s="604">
        <f t="shared" si="104"/>
        <v>0</v>
      </c>
      <c r="S264" s="604">
        <f t="shared" si="105"/>
        <v>0</v>
      </c>
      <c r="T264" s="604">
        <f t="shared" si="106"/>
        <v>0</v>
      </c>
      <c r="U264" s="604">
        <f t="shared" si="107"/>
        <v>0</v>
      </c>
      <c r="V264" s="604">
        <f t="shared" si="108"/>
        <v>0</v>
      </c>
      <c r="W264" s="604">
        <f t="shared" si="109"/>
        <v>0</v>
      </c>
      <c r="X264" s="746">
        <v>33.699999999999989</v>
      </c>
      <c r="Y264" s="746">
        <f t="shared" si="110"/>
        <v>0</v>
      </c>
    </row>
    <row r="265" spans="2:25">
      <c r="B265" s="598" t="s">
        <v>2595</v>
      </c>
      <c r="C265" s="604" t="s">
        <v>1105</v>
      </c>
      <c r="D265" s="745">
        <v>2014</v>
      </c>
      <c r="E265" s="604" t="s">
        <v>1273</v>
      </c>
      <c r="F265" s="738">
        <v>0.1</v>
      </c>
      <c r="G265" s="739">
        <v>14000</v>
      </c>
      <c r="H265" s="741">
        <v>10500</v>
      </c>
      <c r="I265" s="742">
        <f t="shared" si="92"/>
        <v>3500</v>
      </c>
      <c r="J265" s="740">
        <f t="shared" si="98"/>
        <v>1400</v>
      </c>
      <c r="K265" s="739">
        <f t="shared" si="94"/>
        <v>11900</v>
      </c>
      <c r="L265" s="850">
        <f t="shared" si="95"/>
        <v>2100</v>
      </c>
      <c r="M265" s="740">
        <f t="shared" si="111"/>
        <v>1400</v>
      </c>
      <c r="N265" s="604">
        <f t="shared" si="100"/>
        <v>700</v>
      </c>
      <c r="O265" s="604">
        <f t="shared" si="101"/>
        <v>0</v>
      </c>
      <c r="P265" s="604">
        <f t="shared" si="102"/>
        <v>0</v>
      </c>
      <c r="Q265" s="604">
        <f t="shared" si="103"/>
        <v>0</v>
      </c>
      <c r="R265" s="604">
        <f t="shared" si="104"/>
        <v>0</v>
      </c>
      <c r="S265" s="604">
        <f t="shared" si="105"/>
        <v>0</v>
      </c>
      <c r="T265" s="604">
        <f t="shared" si="106"/>
        <v>0</v>
      </c>
      <c r="U265" s="604">
        <f t="shared" si="107"/>
        <v>0</v>
      </c>
      <c r="V265" s="604">
        <f t="shared" si="108"/>
        <v>0</v>
      </c>
      <c r="W265" s="604">
        <f t="shared" si="109"/>
        <v>0</v>
      </c>
      <c r="X265" s="746">
        <v>700</v>
      </c>
      <c r="Y265" s="746">
        <f t="shared" si="110"/>
        <v>0</v>
      </c>
    </row>
    <row r="266" spans="2:25">
      <c r="B266" s="598" t="s">
        <v>2595</v>
      </c>
      <c r="C266" s="604" t="s">
        <v>1105</v>
      </c>
      <c r="D266" s="745">
        <v>2015</v>
      </c>
      <c r="E266" s="604" t="s">
        <v>1274</v>
      </c>
      <c r="F266" s="738">
        <v>0.1</v>
      </c>
      <c r="G266" s="739">
        <v>911.2</v>
      </c>
      <c r="H266" s="741">
        <v>592.28</v>
      </c>
      <c r="I266" s="742">
        <f t="shared" si="92"/>
        <v>318.92000000000007</v>
      </c>
      <c r="J266" s="740">
        <f t="shared" si="98"/>
        <v>91.12</v>
      </c>
      <c r="K266" s="739">
        <f t="shared" si="94"/>
        <v>683.4</v>
      </c>
      <c r="L266" s="850">
        <f t="shared" si="95"/>
        <v>227.80000000000007</v>
      </c>
      <c r="M266" s="740">
        <f t="shared" si="111"/>
        <v>91.12</v>
      </c>
      <c r="N266" s="604">
        <f t="shared" ref="N266:N327" si="112">+IF(L266-M266&gt;0,G266*F266,0)</f>
        <v>91.12</v>
      </c>
      <c r="O266" s="604">
        <f>+IF(L266-SUM(M266:N266)&gt;0,G266*F266,0)-X266</f>
        <v>45.560000000000059</v>
      </c>
      <c r="P266" s="604">
        <f t="shared" si="102"/>
        <v>0</v>
      </c>
      <c r="Q266" s="604">
        <f t="shared" si="103"/>
        <v>0</v>
      </c>
      <c r="R266" s="604">
        <f t="shared" si="104"/>
        <v>0</v>
      </c>
      <c r="S266" s="604">
        <f t="shared" si="105"/>
        <v>0</v>
      </c>
      <c r="T266" s="604">
        <f t="shared" si="106"/>
        <v>0</v>
      </c>
      <c r="U266" s="604">
        <f t="shared" si="107"/>
        <v>0</v>
      </c>
      <c r="V266" s="604">
        <f t="shared" si="108"/>
        <v>0</v>
      </c>
      <c r="W266" s="604">
        <f t="shared" si="109"/>
        <v>0</v>
      </c>
      <c r="X266" s="746">
        <v>45.559999999999945</v>
      </c>
      <c r="Y266" s="746">
        <f t="shared" si="110"/>
        <v>0</v>
      </c>
    </row>
    <row r="267" spans="2:25">
      <c r="B267" s="598" t="s">
        <v>2595</v>
      </c>
      <c r="C267" s="604" t="s">
        <v>1105</v>
      </c>
      <c r="D267" s="745">
        <v>2015</v>
      </c>
      <c r="E267" s="604" t="s">
        <v>1275</v>
      </c>
      <c r="F267" s="738">
        <v>0.1</v>
      </c>
      <c r="G267" s="739">
        <v>525</v>
      </c>
      <c r="H267" s="741">
        <v>341.25</v>
      </c>
      <c r="I267" s="742">
        <f t="shared" si="92"/>
        <v>183.75</v>
      </c>
      <c r="J267" s="740">
        <v>0</v>
      </c>
      <c r="K267" s="739">
        <f t="shared" si="94"/>
        <v>341.25</v>
      </c>
      <c r="L267" s="850">
        <f t="shared" si="95"/>
        <v>183.75</v>
      </c>
      <c r="M267" s="740">
        <f t="shared" si="111"/>
        <v>52.5</v>
      </c>
      <c r="N267" s="604">
        <f t="shared" si="112"/>
        <v>52.5</v>
      </c>
      <c r="O267" s="604">
        <f t="shared" si="101"/>
        <v>52.5</v>
      </c>
      <c r="P267" s="604">
        <f>+IF(L267-SUM(M267:O267)&gt;0,G267*F267,0)-X267</f>
        <v>26.25</v>
      </c>
      <c r="Q267" s="604">
        <f t="shared" si="103"/>
        <v>0</v>
      </c>
      <c r="R267" s="604">
        <f t="shared" si="104"/>
        <v>0</v>
      </c>
      <c r="S267" s="604">
        <f t="shared" si="105"/>
        <v>0</v>
      </c>
      <c r="T267" s="604">
        <f t="shared" si="106"/>
        <v>0</v>
      </c>
      <c r="U267" s="604">
        <f t="shared" si="107"/>
        <v>0</v>
      </c>
      <c r="V267" s="604">
        <f t="shared" si="108"/>
        <v>0</v>
      </c>
      <c r="W267" s="604">
        <f t="shared" si="109"/>
        <v>0</v>
      </c>
      <c r="X267" s="746">
        <v>26.25</v>
      </c>
      <c r="Y267" s="746">
        <f t="shared" si="110"/>
        <v>0</v>
      </c>
    </row>
    <row r="268" spans="2:25">
      <c r="B268" s="598" t="s">
        <v>2595</v>
      </c>
      <c r="C268" s="604" t="s">
        <v>1105</v>
      </c>
      <c r="D268" s="745"/>
      <c r="E268" s="604"/>
      <c r="F268" s="738">
        <v>0.1</v>
      </c>
      <c r="G268" s="739">
        <v>-525</v>
      </c>
      <c r="H268" s="741">
        <v>-341.25</v>
      </c>
      <c r="I268" s="742">
        <f t="shared" si="92"/>
        <v>-183.75</v>
      </c>
      <c r="J268" s="740">
        <v>0</v>
      </c>
      <c r="K268" s="739">
        <f t="shared" si="94"/>
        <v>-341.25</v>
      </c>
      <c r="L268" s="850">
        <f t="shared" si="95"/>
        <v>-183.75</v>
      </c>
      <c r="M268" s="740">
        <f>+IF(L268=0,0,G268*F268)-X268</f>
        <v>-183.75</v>
      </c>
      <c r="N268" s="604">
        <f t="shared" si="112"/>
        <v>0</v>
      </c>
      <c r="O268" s="604">
        <f t="shared" si="101"/>
        <v>0</v>
      </c>
      <c r="P268" s="604">
        <f t="shared" si="102"/>
        <v>0</v>
      </c>
      <c r="Q268" s="604">
        <f t="shared" si="103"/>
        <v>0</v>
      </c>
      <c r="R268" s="604">
        <f t="shared" si="104"/>
        <v>0</v>
      </c>
      <c r="S268" s="604">
        <f t="shared" si="105"/>
        <v>0</v>
      </c>
      <c r="T268" s="604">
        <f t="shared" si="106"/>
        <v>0</v>
      </c>
      <c r="U268" s="604">
        <f t="shared" si="107"/>
        <v>0</v>
      </c>
      <c r="V268" s="604">
        <f t="shared" si="108"/>
        <v>0</v>
      </c>
      <c r="W268" s="604">
        <f t="shared" si="109"/>
        <v>0</v>
      </c>
      <c r="X268" s="746">
        <v>131.25</v>
      </c>
      <c r="Y268" s="746">
        <f t="shared" si="110"/>
        <v>0</v>
      </c>
    </row>
    <row r="269" spans="2:25">
      <c r="B269" s="598" t="s">
        <v>2595</v>
      </c>
      <c r="C269" s="604" t="s">
        <v>1105</v>
      </c>
      <c r="D269" s="745">
        <v>2015</v>
      </c>
      <c r="E269" s="604" t="s">
        <v>1276</v>
      </c>
      <c r="F269" s="738">
        <v>0.1</v>
      </c>
      <c r="G269" s="739">
        <v>6000</v>
      </c>
      <c r="H269" s="741">
        <v>3900</v>
      </c>
      <c r="I269" s="742">
        <f t="shared" si="92"/>
        <v>2100</v>
      </c>
      <c r="J269" s="740">
        <f t="shared" si="98"/>
        <v>600</v>
      </c>
      <c r="K269" s="739">
        <f t="shared" si="94"/>
        <v>4500</v>
      </c>
      <c r="L269" s="850">
        <f t="shared" si="95"/>
        <v>1500</v>
      </c>
      <c r="M269" s="740">
        <f t="shared" si="111"/>
        <v>600</v>
      </c>
      <c r="N269" s="604">
        <f t="shared" si="112"/>
        <v>600</v>
      </c>
      <c r="O269" s="604">
        <f>+IF(L269-SUM(M269:N269)&gt;0,G269*F269,0)-X269</f>
        <v>300</v>
      </c>
      <c r="P269" s="604">
        <f t="shared" si="102"/>
        <v>0</v>
      </c>
      <c r="Q269" s="604">
        <f t="shared" si="103"/>
        <v>0</v>
      </c>
      <c r="R269" s="604">
        <f t="shared" si="104"/>
        <v>0</v>
      </c>
      <c r="S269" s="604">
        <f t="shared" si="105"/>
        <v>0</v>
      </c>
      <c r="T269" s="604">
        <f t="shared" si="106"/>
        <v>0</v>
      </c>
      <c r="U269" s="604">
        <f t="shared" si="107"/>
        <v>0</v>
      </c>
      <c r="V269" s="604">
        <f t="shared" si="108"/>
        <v>0</v>
      </c>
      <c r="W269" s="604">
        <f t="shared" si="109"/>
        <v>0</v>
      </c>
      <c r="X269" s="746">
        <v>300</v>
      </c>
      <c r="Y269" s="746">
        <f t="shared" si="110"/>
        <v>0</v>
      </c>
    </row>
    <row r="270" spans="2:25">
      <c r="B270" s="598" t="s">
        <v>2595</v>
      </c>
      <c r="C270" s="604" t="s">
        <v>1105</v>
      </c>
      <c r="D270" s="745">
        <v>2015</v>
      </c>
      <c r="E270" s="604" t="s">
        <v>1277</v>
      </c>
      <c r="F270" s="738">
        <v>0.1</v>
      </c>
      <c r="G270" s="739">
        <v>1789.75</v>
      </c>
      <c r="H270" s="741">
        <v>1163.3699999999999</v>
      </c>
      <c r="I270" s="742">
        <f t="shared" si="92"/>
        <v>626.38000000000011</v>
      </c>
      <c r="J270" s="740">
        <f t="shared" si="98"/>
        <v>178.97500000000002</v>
      </c>
      <c r="K270" s="739">
        <f t="shared" si="94"/>
        <v>1342.3449999999998</v>
      </c>
      <c r="L270" s="850">
        <f t="shared" si="95"/>
        <v>447.4050000000002</v>
      </c>
      <c r="M270" s="740">
        <f t="shared" si="111"/>
        <v>178.97500000000002</v>
      </c>
      <c r="N270" s="604">
        <f t="shared" si="112"/>
        <v>178.97500000000002</v>
      </c>
      <c r="O270" s="604">
        <f>+IF(L270-SUM(M270:N270)&gt;0,G270*F270,0)-X270</f>
        <v>89.455000000000155</v>
      </c>
      <c r="P270" s="604">
        <f t="shared" si="102"/>
        <v>0</v>
      </c>
      <c r="Q270" s="604">
        <f t="shared" si="103"/>
        <v>0</v>
      </c>
      <c r="R270" s="604">
        <f t="shared" si="104"/>
        <v>0</v>
      </c>
      <c r="S270" s="604">
        <f t="shared" si="105"/>
        <v>0</v>
      </c>
      <c r="T270" s="604">
        <f t="shared" si="106"/>
        <v>0</v>
      </c>
      <c r="U270" s="604">
        <f t="shared" si="107"/>
        <v>0</v>
      </c>
      <c r="V270" s="604">
        <f t="shared" si="108"/>
        <v>0</v>
      </c>
      <c r="W270" s="604">
        <f t="shared" si="109"/>
        <v>0</v>
      </c>
      <c r="X270" s="746">
        <v>89.519999999999868</v>
      </c>
      <c r="Y270" s="746">
        <f t="shared" si="110"/>
        <v>0</v>
      </c>
    </row>
    <row r="271" spans="2:25">
      <c r="B271" s="598" t="s">
        <v>2595</v>
      </c>
      <c r="C271" s="604" t="s">
        <v>1105</v>
      </c>
      <c r="D271" s="745">
        <v>2015</v>
      </c>
      <c r="E271" s="604" t="s">
        <v>1278</v>
      </c>
      <c r="F271" s="738">
        <v>0.1</v>
      </c>
      <c r="G271" s="739">
        <v>16500</v>
      </c>
      <c r="H271" s="741">
        <v>10725</v>
      </c>
      <c r="I271" s="742">
        <f t="shared" si="92"/>
        <v>5775</v>
      </c>
      <c r="J271" s="740">
        <f t="shared" si="98"/>
        <v>1650</v>
      </c>
      <c r="K271" s="739">
        <f t="shared" si="94"/>
        <v>12375</v>
      </c>
      <c r="L271" s="850">
        <f t="shared" si="95"/>
        <v>4125</v>
      </c>
      <c r="M271" s="740">
        <f t="shared" si="111"/>
        <v>1650</v>
      </c>
      <c r="N271" s="604">
        <f t="shared" si="112"/>
        <v>1650</v>
      </c>
      <c r="O271" s="604">
        <f>+IF(L271-SUM(M271:N271)&gt;0,G271*F271,0)-X271</f>
        <v>825</v>
      </c>
      <c r="P271" s="604">
        <f t="shared" si="102"/>
        <v>0</v>
      </c>
      <c r="Q271" s="604">
        <f t="shared" si="103"/>
        <v>0</v>
      </c>
      <c r="R271" s="604">
        <f t="shared" si="104"/>
        <v>0</v>
      </c>
      <c r="S271" s="604">
        <f t="shared" si="105"/>
        <v>0</v>
      </c>
      <c r="T271" s="604">
        <f t="shared" si="106"/>
        <v>0</v>
      </c>
      <c r="U271" s="604">
        <f t="shared" si="107"/>
        <v>0</v>
      </c>
      <c r="V271" s="604">
        <f t="shared" si="108"/>
        <v>0</v>
      </c>
      <c r="W271" s="604">
        <f t="shared" si="109"/>
        <v>0</v>
      </c>
      <c r="X271" s="746">
        <v>825</v>
      </c>
      <c r="Y271" s="746">
        <f t="shared" si="110"/>
        <v>0</v>
      </c>
    </row>
    <row r="272" spans="2:25">
      <c r="B272" s="598" t="s">
        <v>2595</v>
      </c>
      <c r="C272" s="604" t="s">
        <v>1105</v>
      </c>
      <c r="D272" s="745">
        <v>2017</v>
      </c>
      <c r="E272" s="604" t="s">
        <v>1279</v>
      </c>
      <c r="F272" s="738">
        <v>0.1</v>
      </c>
      <c r="G272" s="739">
        <v>1800</v>
      </c>
      <c r="H272" s="741">
        <v>810</v>
      </c>
      <c r="I272" s="742">
        <f t="shared" si="92"/>
        <v>990</v>
      </c>
      <c r="J272" s="740">
        <f t="shared" si="98"/>
        <v>180</v>
      </c>
      <c r="K272" s="739">
        <f t="shared" si="94"/>
        <v>990</v>
      </c>
      <c r="L272" s="850">
        <f t="shared" si="95"/>
        <v>810</v>
      </c>
      <c r="M272" s="740">
        <f t="shared" si="111"/>
        <v>180</v>
      </c>
      <c r="N272" s="604">
        <f t="shared" si="112"/>
        <v>180</v>
      </c>
      <c r="O272" s="604">
        <f t="shared" si="101"/>
        <v>180</v>
      </c>
      <c r="P272" s="604">
        <f t="shared" si="102"/>
        <v>180</v>
      </c>
      <c r="Q272" s="604">
        <f t="shared" ref="Q272:Q277" si="113">+IF(L272-SUM(M272:P272)&gt;0,G272*F272,0)-X272</f>
        <v>90</v>
      </c>
      <c r="R272" s="604">
        <f t="shared" si="104"/>
        <v>0</v>
      </c>
      <c r="S272" s="604">
        <f t="shared" si="105"/>
        <v>0</v>
      </c>
      <c r="T272" s="604">
        <f t="shared" si="106"/>
        <v>0</v>
      </c>
      <c r="U272" s="604">
        <f t="shared" si="107"/>
        <v>0</v>
      </c>
      <c r="V272" s="604">
        <f t="shared" si="108"/>
        <v>0</v>
      </c>
      <c r="W272" s="604">
        <f t="shared" si="109"/>
        <v>0</v>
      </c>
      <c r="X272" s="746">
        <v>90</v>
      </c>
      <c r="Y272" s="746">
        <f t="shared" si="110"/>
        <v>0</v>
      </c>
    </row>
    <row r="273" spans="2:25">
      <c r="B273" s="598" t="s">
        <v>2595</v>
      </c>
      <c r="C273" s="604" t="s">
        <v>1105</v>
      </c>
      <c r="D273" s="745">
        <v>2017</v>
      </c>
      <c r="E273" s="604" t="s">
        <v>1280</v>
      </c>
      <c r="F273" s="738">
        <v>0.1</v>
      </c>
      <c r="G273" s="739">
        <v>7000</v>
      </c>
      <c r="H273" s="741">
        <v>3150</v>
      </c>
      <c r="I273" s="742">
        <f t="shared" si="92"/>
        <v>3850</v>
      </c>
      <c r="J273" s="740">
        <f t="shared" si="98"/>
        <v>700</v>
      </c>
      <c r="K273" s="739">
        <f t="shared" si="94"/>
        <v>3850</v>
      </c>
      <c r="L273" s="850">
        <f t="shared" si="95"/>
        <v>3150</v>
      </c>
      <c r="M273" s="740">
        <f t="shared" si="111"/>
        <v>700</v>
      </c>
      <c r="N273" s="604">
        <f t="shared" si="112"/>
        <v>700</v>
      </c>
      <c r="O273" s="604">
        <f t="shared" si="101"/>
        <v>700</v>
      </c>
      <c r="P273" s="604">
        <f t="shared" si="102"/>
        <v>700</v>
      </c>
      <c r="Q273" s="604">
        <f t="shared" si="113"/>
        <v>350</v>
      </c>
      <c r="R273" s="604">
        <f t="shared" si="104"/>
        <v>0</v>
      </c>
      <c r="S273" s="604">
        <f t="shared" si="105"/>
        <v>0</v>
      </c>
      <c r="T273" s="604">
        <f t="shared" si="106"/>
        <v>0</v>
      </c>
      <c r="U273" s="604">
        <f t="shared" si="107"/>
        <v>0</v>
      </c>
      <c r="V273" s="604">
        <f t="shared" si="108"/>
        <v>0</v>
      </c>
      <c r="W273" s="604">
        <f t="shared" si="109"/>
        <v>0</v>
      </c>
      <c r="X273" s="746">
        <v>350</v>
      </c>
      <c r="Y273" s="746">
        <f t="shared" si="110"/>
        <v>0</v>
      </c>
    </row>
    <row r="274" spans="2:25">
      <c r="B274" s="598" t="s">
        <v>2595</v>
      </c>
      <c r="C274" s="604" t="s">
        <v>1105</v>
      </c>
      <c r="D274" s="745">
        <v>2017</v>
      </c>
      <c r="E274" s="604" t="s">
        <v>1281</v>
      </c>
      <c r="F274" s="738">
        <v>0.1</v>
      </c>
      <c r="G274" s="739">
        <v>6500</v>
      </c>
      <c r="H274" s="741">
        <v>2925</v>
      </c>
      <c r="I274" s="742">
        <f t="shared" si="92"/>
        <v>3575</v>
      </c>
      <c r="J274" s="740">
        <f t="shared" si="98"/>
        <v>650</v>
      </c>
      <c r="K274" s="739">
        <f t="shared" si="94"/>
        <v>3575</v>
      </c>
      <c r="L274" s="850">
        <f t="shared" si="95"/>
        <v>2925</v>
      </c>
      <c r="M274" s="740">
        <f t="shared" si="111"/>
        <v>650</v>
      </c>
      <c r="N274" s="604">
        <f t="shared" si="112"/>
        <v>650</v>
      </c>
      <c r="O274" s="604">
        <f t="shared" si="101"/>
        <v>650</v>
      </c>
      <c r="P274" s="604">
        <f t="shared" si="102"/>
        <v>650</v>
      </c>
      <c r="Q274" s="604">
        <f t="shared" si="113"/>
        <v>325</v>
      </c>
      <c r="R274" s="604">
        <f t="shared" si="104"/>
        <v>0</v>
      </c>
      <c r="S274" s="604">
        <f t="shared" si="105"/>
        <v>0</v>
      </c>
      <c r="T274" s="604">
        <f t="shared" si="106"/>
        <v>0</v>
      </c>
      <c r="U274" s="604">
        <f t="shared" si="107"/>
        <v>0</v>
      </c>
      <c r="V274" s="604">
        <f t="shared" si="108"/>
        <v>0</v>
      </c>
      <c r="W274" s="604">
        <f t="shared" si="109"/>
        <v>0</v>
      </c>
      <c r="X274" s="746">
        <v>325</v>
      </c>
      <c r="Y274" s="746">
        <f t="shared" si="110"/>
        <v>0</v>
      </c>
    </row>
    <row r="275" spans="2:25">
      <c r="B275" s="598" t="s">
        <v>2595</v>
      </c>
      <c r="C275" s="604" t="s">
        <v>1105</v>
      </c>
      <c r="D275" s="745">
        <v>2017</v>
      </c>
      <c r="E275" s="604" t="s">
        <v>1282</v>
      </c>
      <c r="F275" s="738">
        <v>0.1</v>
      </c>
      <c r="G275" s="739">
        <v>2529.08</v>
      </c>
      <c r="H275" s="741">
        <v>1138.0899999999999</v>
      </c>
      <c r="I275" s="742">
        <f t="shared" si="92"/>
        <v>1390.99</v>
      </c>
      <c r="J275" s="740">
        <f t="shared" si="98"/>
        <v>252.90800000000002</v>
      </c>
      <c r="K275" s="739">
        <f t="shared" si="94"/>
        <v>1390.998</v>
      </c>
      <c r="L275" s="850">
        <f t="shared" si="95"/>
        <v>1138.0819999999999</v>
      </c>
      <c r="M275" s="740">
        <f t="shared" si="111"/>
        <v>252.90800000000002</v>
      </c>
      <c r="N275" s="604">
        <f t="shared" si="112"/>
        <v>252.90800000000002</v>
      </c>
      <c r="O275" s="604">
        <f t="shared" si="101"/>
        <v>252.90800000000002</v>
      </c>
      <c r="P275" s="604">
        <f t="shared" si="102"/>
        <v>252.90800000000002</v>
      </c>
      <c r="Q275" s="604">
        <f t="shared" si="113"/>
        <v>126.44999999999993</v>
      </c>
      <c r="R275" s="604">
        <f t="shared" si="104"/>
        <v>0</v>
      </c>
      <c r="S275" s="604">
        <f t="shared" si="105"/>
        <v>0</v>
      </c>
      <c r="T275" s="604">
        <f t="shared" si="106"/>
        <v>0</v>
      </c>
      <c r="U275" s="604">
        <f t="shared" si="107"/>
        <v>0</v>
      </c>
      <c r="V275" s="604">
        <f t="shared" si="108"/>
        <v>0</v>
      </c>
      <c r="W275" s="604">
        <f t="shared" si="109"/>
        <v>0</v>
      </c>
      <c r="X275" s="746">
        <v>126.45800000000008</v>
      </c>
      <c r="Y275" s="746">
        <f t="shared" si="110"/>
        <v>0</v>
      </c>
    </row>
    <row r="276" spans="2:25">
      <c r="B276" s="598" t="s">
        <v>2595</v>
      </c>
      <c r="C276" s="604" t="s">
        <v>1105</v>
      </c>
      <c r="D276" s="745">
        <v>2017</v>
      </c>
      <c r="E276" s="604" t="s">
        <v>1282</v>
      </c>
      <c r="F276" s="738">
        <v>0.1</v>
      </c>
      <c r="G276" s="739">
        <v>2529.09</v>
      </c>
      <c r="H276" s="741">
        <v>1138.0899999999999</v>
      </c>
      <c r="I276" s="742">
        <f t="shared" si="92"/>
        <v>1391.0000000000002</v>
      </c>
      <c r="J276" s="740">
        <f t="shared" si="98"/>
        <v>252.90900000000002</v>
      </c>
      <c r="K276" s="739">
        <f t="shared" si="94"/>
        <v>1390.999</v>
      </c>
      <c r="L276" s="850">
        <f t="shared" si="95"/>
        <v>1138.0910000000001</v>
      </c>
      <c r="M276" s="740">
        <f t="shared" si="111"/>
        <v>252.90900000000002</v>
      </c>
      <c r="N276" s="604">
        <f t="shared" si="112"/>
        <v>252.90900000000002</v>
      </c>
      <c r="O276" s="604">
        <f t="shared" si="101"/>
        <v>252.90900000000002</v>
      </c>
      <c r="P276" s="604">
        <f t="shared" si="102"/>
        <v>252.90900000000002</v>
      </c>
      <c r="Q276" s="604">
        <f t="shared" si="113"/>
        <v>126.45500000000007</v>
      </c>
      <c r="R276" s="604">
        <f t="shared" si="104"/>
        <v>0</v>
      </c>
      <c r="S276" s="604">
        <f t="shared" si="105"/>
        <v>0</v>
      </c>
      <c r="T276" s="604">
        <f t="shared" si="106"/>
        <v>0</v>
      </c>
      <c r="U276" s="604">
        <f t="shared" si="107"/>
        <v>0</v>
      </c>
      <c r="V276" s="604">
        <f t="shared" si="108"/>
        <v>0</v>
      </c>
      <c r="W276" s="604">
        <f t="shared" si="109"/>
        <v>0</v>
      </c>
      <c r="X276" s="746">
        <v>126.45399999999995</v>
      </c>
      <c r="Y276" s="746">
        <f t="shared" si="110"/>
        <v>0</v>
      </c>
    </row>
    <row r="277" spans="2:25">
      <c r="B277" s="598" t="s">
        <v>2595</v>
      </c>
      <c r="C277" s="604" t="s">
        <v>1105</v>
      </c>
      <c r="D277" s="745">
        <v>2017</v>
      </c>
      <c r="E277" s="604" t="s">
        <v>1283</v>
      </c>
      <c r="F277" s="738">
        <v>0.1</v>
      </c>
      <c r="G277" s="739">
        <v>11261.7</v>
      </c>
      <c r="H277" s="741">
        <v>5067.7700000000004</v>
      </c>
      <c r="I277" s="742">
        <f t="shared" si="92"/>
        <v>6193.93</v>
      </c>
      <c r="J277" s="740">
        <f t="shared" si="98"/>
        <v>1126.17</v>
      </c>
      <c r="K277" s="739">
        <f t="shared" si="94"/>
        <v>6193.9400000000005</v>
      </c>
      <c r="L277" s="850">
        <f t="shared" si="95"/>
        <v>5067.76</v>
      </c>
      <c r="M277" s="740">
        <f t="shared" si="111"/>
        <v>1126.17</v>
      </c>
      <c r="N277" s="604">
        <f t="shared" si="112"/>
        <v>1126.17</v>
      </c>
      <c r="O277" s="604">
        <f t="shared" si="101"/>
        <v>1126.17</v>
      </c>
      <c r="P277" s="604">
        <f t="shared" si="102"/>
        <v>1126.17</v>
      </c>
      <c r="Q277" s="604">
        <f t="shared" si="113"/>
        <v>563.07999999999993</v>
      </c>
      <c r="R277" s="604">
        <f t="shared" si="104"/>
        <v>0</v>
      </c>
      <c r="S277" s="604">
        <f t="shared" si="105"/>
        <v>0</v>
      </c>
      <c r="T277" s="604">
        <f t="shared" si="106"/>
        <v>0</v>
      </c>
      <c r="U277" s="604">
        <f t="shared" si="107"/>
        <v>0</v>
      </c>
      <c r="V277" s="604">
        <f t="shared" si="108"/>
        <v>0</v>
      </c>
      <c r="W277" s="604">
        <f t="shared" si="109"/>
        <v>0</v>
      </c>
      <c r="X277" s="746">
        <v>563.09000000000015</v>
      </c>
      <c r="Y277" s="746">
        <f t="shared" si="110"/>
        <v>0</v>
      </c>
    </row>
    <row r="278" spans="2:25">
      <c r="B278" s="598" t="s">
        <v>2595</v>
      </c>
      <c r="C278" s="604" t="s">
        <v>1105</v>
      </c>
      <c r="D278" s="745">
        <v>2019</v>
      </c>
      <c r="E278" s="604" t="s">
        <v>1284</v>
      </c>
      <c r="F278" s="738">
        <v>0.1</v>
      </c>
      <c r="G278" s="739">
        <v>14500</v>
      </c>
      <c r="H278" s="741">
        <v>3625</v>
      </c>
      <c r="I278" s="742">
        <f t="shared" si="92"/>
        <v>10875</v>
      </c>
      <c r="J278" s="740">
        <f t="shared" si="98"/>
        <v>1450</v>
      </c>
      <c r="K278" s="739">
        <f t="shared" si="94"/>
        <v>5075</v>
      </c>
      <c r="L278" s="850">
        <f t="shared" si="95"/>
        <v>9425</v>
      </c>
      <c r="M278" s="740">
        <f t="shared" si="111"/>
        <v>1450</v>
      </c>
      <c r="N278" s="604">
        <f t="shared" si="112"/>
        <v>1450</v>
      </c>
      <c r="O278" s="604">
        <f t="shared" si="101"/>
        <v>1450</v>
      </c>
      <c r="P278" s="604">
        <f t="shared" si="102"/>
        <v>1450</v>
      </c>
      <c r="Q278" s="604">
        <f t="shared" si="103"/>
        <v>1450</v>
      </c>
      <c r="R278" s="604">
        <f t="shared" si="104"/>
        <v>1450</v>
      </c>
      <c r="S278" s="604">
        <f>+IF(L278-SUM(M278:R278)&gt;0,G278*F278,0)-X278</f>
        <v>725</v>
      </c>
      <c r="T278" s="604">
        <f t="shared" si="106"/>
        <v>0</v>
      </c>
      <c r="U278" s="604">
        <f t="shared" si="107"/>
        <v>0</v>
      </c>
      <c r="V278" s="604">
        <f t="shared" si="108"/>
        <v>0</v>
      </c>
      <c r="W278" s="604">
        <f t="shared" si="109"/>
        <v>0</v>
      </c>
      <c r="X278" s="746">
        <v>725</v>
      </c>
      <c r="Y278" s="746">
        <f t="shared" si="110"/>
        <v>0</v>
      </c>
    </row>
    <row r="279" spans="2:25">
      <c r="B279" s="598" t="s">
        <v>2595</v>
      </c>
      <c r="C279" s="604" t="s">
        <v>1105</v>
      </c>
      <c r="D279" s="745">
        <v>2021</v>
      </c>
      <c r="E279" s="604" t="s">
        <v>1285</v>
      </c>
      <c r="F279" s="738">
        <v>0.1</v>
      </c>
      <c r="G279" s="739">
        <v>7000</v>
      </c>
      <c r="H279" s="741">
        <v>350</v>
      </c>
      <c r="I279" s="742">
        <f t="shared" si="92"/>
        <v>6650</v>
      </c>
      <c r="J279" s="740">
        <f t="shared" si="98"/>
        <v>700</v>
      </c>
      <c r="K279" s="739">
        <f t="shared" si="94"/>
        <v>1050</v>
      </c>
      <c r="L279" s="850">
        <f t="shared" si="95"/>
        <v>5950</v>
      </c>
      <c r="M279" s="740">
        <f t="shared" si="111"/>
        <v>700</v>
      </c>
      <c r="N279" s="604">
        <f t="shared" si="112"/>
        <v>700</v>
      </c>
      <c r="O279" s="604">
        <f t="shared" si="101"/>
        <v>700</v>
      </c>
      <c r="P279" s="604">
        <f t="shared" si="102"/>
        <v>700</v>
      </c>
      <c r="Q279" s="604">
        <f t="shared" si="103"/>
        <v>700</v>
      </c>
      <c r="R279" s="604">
        <f t="shared" si="104"/>
        <v>700</v>
      </c>
      <c r="S279" s="604">
        <f t="shared" si="105"/>
        <v>700</v>
      </c>
      <c r="T279" s="604">
        <f t="shared" si="106"/>
        <v>700</v>
      </c>
      <c r="U279" s="604">
        <f>+IF(L279-SUM(M279:T279)&gt;0,G279*F279,0)-X279</f>
        <v>350</v>
      </c>
      <c r="V279" s="604">
        <f t="shared" si="108"/>
        <v>0</v>
      </c>
      <c r="W279" s="604">
        <f t="shared" si="109"/>
        <v>0</v>
      </c>
      <c r="X279" s="746">
        <v>350</v>
      </c>
      <c r="Y279" s="746">
        <f t="shared" si="110"/>
        <v>0</v>
      </c>
    </row>
    <row r="280" spans="2:25">
      <c r="B280" s="598" t="s">
        <v>2595</v>
      </c>
      <c r="C280" s="604" t="s">
        <v>1105</v>
      </c>
      <c r="D280" s="745">
        <v>2021</v>
      </c>
      <c r="E280" s="604" t="s">
        <v>1286</v>
      </c>
      <c r="F280" s="738">
        <v>1</v>
      </c>
      <c r="G280" s="739">
        <v>2700</v>
      </c>
      <c r="H280" s="741">
        <v>2700</v>
      </c>
      <c r="I280" s="742">
        <f t="shared" si="92"/>
        <v>0</v>
      </c>
      <c r="J280" s="740">
        <f t="shared" si="98"/>
        <v>0</v>
      </c>
      <c r="K280" s="739">
        <f t="shared" si="94"/>
        <v>2700</v>
      </c>
      <c r="L280" s="850">
        <f t="shared" si="95"/>
        <v>0</v>
      </c>
      <c r="M280" s="740">
        <f t="shared" si="111"/>
        <v>0</v>
      </c>
      <c r="N280" s="604">
        <f t="shared" si="112"/>
        <v>0</v>
      </c>
      <c r="O280" s="604">
        <f t="shared" si="101"/>
        <v>0</v>
      </c>
      <c r="P280" s="604">
        <f t="shared" si="102"/>
        <v>0</v>
      </c>
      <c r="Q280" s="604">
        <f t="shared" si="103"/>
        <v>0</v>
      </c>
      <c r="R280" s="604">
        <f t="shared" si="104"/>
        <v>0</v>
      </c>
      <c r="S280" s="604">
        <f t="shared" si="105"/>
        <v>0</v>
      </c>
      <c r="T280" s="604">
        <f t="shared" si="106"/>
        <v>0</v>
      </c>
      <c r="U280" s="604">
        <f t="shared" si="107"/>
        <v>0</v>
      </c>
      <c r="V280" s="604">
        <f t="shared" si="108"/>
        <v>0</v>
      </c>
      <c r="W280" s="604">
        <f t="shared" si="109"/>
        <v>0</v>
      </c>
      <c r="X280" s="746">
        <v>0</v>
      </c>
      <c r="Y280" s="746">
        <f t="shared" si="110"/>
        <v>0</v>
      </c>
    </row>
    <row r="281" spans="2:25">
      <c r="B281" s="598" t="s">
        <v>2595</v>
      </c>
      <c r="C281" s="604" t="s">
        <v>1105</v>
      </c>
      <c r="D281" s="745">
        <v>2021</v>
      </c>
      <c r="E281" s="604" t="s">
        <v>1287</v>
      </c>
      <c r="F281" s="738">
        <v>1</v>
      </c>
      <c r="G281" s="739">
        <v>2700</v>
      </c>
      <c r="H281" s="741">
        <v>2700</v>
      </c>
      <c r="I281" s="742">
        <f t="shared" si="92"/>
        <v>0</v>
      </c>
      <c r="J281" s="740">
        <f t="shared" si="98"/>
        <v>0</v>
      </c>
      <c r="K281" s="739">
        <f t="shared" si="94"/>
        <v>2700</v>
      </c>
      <c r="L281" s="850">
        <f t="shared" si="95"/>
        <v>0</v>
      </c>
      <c r="M281" s="740">
        <f t="shared" si="111"/>
        <v>0</v>
      </c>
      <c r="N281" s="604">
        <f t="shared" si="112"/>
        <v>0</v>
      </c>
      <c r="O281" s="604">
        <f t="shared" si="101"/>
        <v>0</v>
      </c>
      <c r="P281" s="604">
        <f t="shared" si="102"/>
        <v>0</v>
      </c>
      <c r="Q281" s="604">
        <f t="shared" si="103"/>
        <v>0</v>
      </c>
      <c r="R281" s="604">
        <f t="shared" si="104"/>
        <v>0</v>
      </c>
      <c r="S281" s="604">
        <f t="shared" si="105"/>
        <v>0</v>
      </c>
      <c r="T281" s="604">
        <f t="shared" si="106"/>
        <v>0</v>
      </c>
      <c r="U281" s="604">
        <f t="shared" si="107"/>
        <v>0</v>
      </c>
      <c r="V281" s="604">
        <f t="shared" si="108"/>
        <v>0</v>
      </c>
      <c r="W281" s="604">
        <f t="shared" si="109"/>
        <v>0</v>
      </c>
      <c r="X281" s="746">
        <v>0</v>
      </c>
      <c r="Y281" s="746">
        <f t="shared" si="110"/>
        <v>0</v>
      </c>
    </row>
    <row r="282" spans="2:25">
      <c r="B282" s="598" t="s">
        <v>2595</v>
      </c>
      <c r="C282" s="604" t="s">
        <v>1105</v>
      </c>
      <c r="D282" s="745">
        <v>2021</v>
      </c>
      <c r="E282" s="604" t="s">
        <v>1288</v>
      </c>
      <c r="F282" s="738">
        <v>0.1</v>
      </c>
      <c r="G282" s="739">
        <v>1000</v>
      </c>
      <c r="H282" s="741">
        <v>50</v>
      </c>
      <c r="I282" s="742">
        <f t="shared" si="92"/>
        <v>950</v>
      </c>
      <c r="J282" s="740">
        <f t="shared" si="98"/>
        <v>100</v>
      </c>
      <c r="K282" s="739">
        <f t="shared" si="94"/>
        <v>150</v>
      </c>
      <c r="L282" s="850">
        <f t="shared" si="95"/>
        <v>850</v>
      </c>
      <c r="M282" s="740">
        <f t="shared" si="111"/>
        <v>100</v>
      </c>
      <c r="N282" s="604">
        <f t="shared" si="112"/>
        <v>100</v>
      </c>
      <c r="O282" s="604">
        <f t="shared" si="101"/>
        <v>100</v>
      </c>
      <c r="P282" s="604">
        <f t="shared" si="102"/>
        <v>100</v>
      </c>
      <c r="Q282" s="604">
        <f t="shared" si="103"/>
        <v>100</v>
      </c>
      <c r="R282" s="604">
        <f t="shared" si="104"/>
        <v>100</v>
      </c>
      <c r="S282" s="604">
        <f t="shared" si="105"/>
        <v>100</v>
      </c>
      <c r="T282" s="604">
        <f t="shared" si="106"/>
        <v>100</v>
      </c>
      <c r="U282" s="604">
        <f t="shared" ref="U282:U291" si="114">+IF(L282-SUM(M282:T282)&gt;0,G282*F282,0)-X282</f>
        <v>50</v>
      </c>
      <c r="V282" s="604">
        <f t="shared" si="108"/>
        <v>0</v>
      </c>
      <c r="W282" s="604">
        <f t="shared" si="109"/>
        <v>0</v>
      </c>
      <c r="X282" s="746">
        <v>50</v>
      </c>
      <c r="Y282" s="746">
        <f t="shared" si="110"/>
        <v>0</v>
      </c>
    </row>
    <row r="283" spans="2:25">
      <c r="B283" s="598" t="s">
        <v>2595</v>
      </c>
      <c r="C283" s="604" t="s">
        <v>1105</v>
      </c>
      <c r="D283" s="745">
        <v>2021</v>
      </c>
      <c r="E283" s="604" t="s">
        <v>1289</v>
      </c>
      <c r="F283" s="738">
        <v>0.1</v>
      </c>
      <c r="G283" s="739">
        <v>500</v>
      </c>
      <c r="H283" s="741">
        <v>25</v>
      </c>
      <c r="I283" s="742">
        <f t="shared" si="92"/>
        <v>475</v>
      </c>
      <c r="J283" s="740">
        <f t="shared" si="98"/>
        <v>50</v>
      </c>
      <c r="K283" s="739">
        <f t="shared" si="94"/>
        <v>75</v>
      </c>
      <c r="L283" s="850">
        <f t="shared" si="95"/>
        <v>425</v>
      </c>
      <c r="M283" s="740">
        <f t="shared" si="111"/>
        <v>50</v>
      </c>
      <c r="N283" s="604">
        <f t="shared" si="112"/>
        <v>50</v>
      </c>
      <c r="O283" s="604">
        <f t="shared" si="101"/>
        <v>50</v>
      </c>
      <c r="P283" s="604">
        <f t="shared" si="102"/>
        <v>50</v>
      </c>
      <c r="Q283" s="604">
        <f t="shared" si="103"/>
        <v>50</v>
      </c>
      <c r="R283" s="604">
        <f t="shared" si="104"/>
        <v>50</v>
      </c>
      <c r="S283" s="604">
        <f t="shared" si="105"/>
        <v>50</v>
      </c>
      <c r="T283" s="604">
        <f t="shared" si="106"/>
        <v>50</v>
      </c>
      <c r="U283" s="604">
        <f t="shared" si="114"/>
        <v>25</v>
      </c>
      <c r="V283" s="604">
        <f t="shared" si="108"/>
        <v>0</v>
      </c>
      <c r="W283" s="604">
        <f t="shared" si="109"/>
        <v>0</v>
      </c>
      <c r="X283" s="746">
        <v>25</v>
      </c>
      <c r="Y283" s="746">
        <f t="shared" si="110"/>
        <v>0</v>
      </c>
    </row>
    <row r="284" spans="2:25">
      <c r="B284" s="598" t="s">
        <v>2595</v>
      </c>
      <c r="C284" s="604" t="s">
        <v>1105</v>
      </c>
      <c r="D284" s="745">
        <v>2021</v>
      </c>
      <c r="E284" s="604" t="s">
        <v>1290</v>
      </c>
      <c r="F284" s="738">
        <v>0.1</v>
      </c>
      <c r="G284" s="739">
        <v>180</v>
      </c>
      <c r="H284" s="741">
        <v>9</v>
      </c>
      <c r="I284" s="742">
        <f t="shared" si="92"/>
        <v>171</v>
      </c>
      <c r="J284" s="740">
        <f t="shared" si="98"/>
        <v>18</v>
      </c>
      <c r="K284" s="739">
        <f t="shared" si="94"/>
        <v>27</v>
      </c>
      <c r="L284" s="850">
        <f t="shared" si="95"/>
        <v>153</v>
      </c>
      <c r="M284" s="740">
        <f t="shared" si="111"/>
        <v>18</v>
      </c>
      <c r="N284" s="604">
        <f t="shared" si="112"/>
        <v>18</v>
      </c>
      <c r="O284" s="604">
        <f t="shared" si="101"/>
        <v>18</v>
      </c>
      <c r="P284" s="604">
        <f t="shared" si="102"/>
        <v>18</v>
      </c>
      <c r="Q284" s="604">
        <f t="shared" si="103"/>
        <v>18</v>
      </c>
      <c r="R284" s="604">
        <f t="shared" si="104"/>
        <v>18</v>
      </c>
      <c r="S284" s="604">
        <f t="shared" si="105"/>
        <v>18</v>
      </c>
      <c r="T284" s="604">
        <f t="shared" si="106"/>
        <v>18</v>
      </c>
      <c r="U284" s="604">
        <f t="shared" si="114"/>
        <v>9</v>
      </c>
      <c r="V284" s="604">
        <f t="shared" si="108"/>
        <v>0</v>
      </c>
      <c r="W284" s="604">
        <f t="shared" si="109"/>
        <v>0</v>
      </c>
      <c r="X284" s="746">
        <v>9</v>
      </c>
      <c r="Y284" s="746">
        <f t="shared" si="110"/>
        <v>0</v>
      </c>
    </row>
    <row r="285" spans="2:25">
      <c r="B285" s="598" t="s">
        <v>2595</v>
      </c>
      <c r="C285" s="604" t="s">
        <v>1105</v>
      </c>
      <c r="D285" s="745">
        <v>2021</v>
      </c>
      <c r="E285" s="604" t="s">
        <v>1291</v>
      </c>
      <c r="F285" s="738">
        <v>0.1</v>
      </c>
      <c r="G285" s="739">
        <v>190</v>
      </c>
      <c r="H285" s="741">
        <v>9.5</v>
      </c>
      <c r="I285" s="742">
        <f t="shared" si="92"/>
        <v>180.5</v>
      </c>
      <c r="J285" s="740">
        <f t="shared" si="98"/>
        <v>19</v>
      </c>
      <c r="K285" s="739">
        <f t="shared" si="94"/>
        <v>28.5</v>
      </c>
      <c r="L285" s="850">
        <f t="shared" si="95"/>
        <v>161.5</v>
      </c>
      <c r="M285" s="740">
        <f t="shared" si="111"/>
        <v>19</v>
      </c>
      <c r="N285" s="604">
        <f t="shared" si="112"/>
        <v>19</v>
      </c>
      <c r="O285" s="604">
        <f t="shared" si="101"/>
        <v>19</v>
      </c>
      <c r="P285" s="604">
        <f t="shared" si="102"/>
        <v>19</v>
      </c>
      <c r="Q285" s="604">
        <f t="shared" si="103"/>
        <v>19</v>
      </c>
      <c r="R285" s="604">
        <f t="shared" si="104"/>
        <v>19</v>
      </c>
      <c r="S285" s="604">
        <f t="shared" si="105"/>
        <v>19</v>
      </c>
      <c r="T285" s="604">
        <f t="shared" si="106"/>
        <v>19</v>
      </c>
      <c r="U285" s="604">
        <f t="shared" si="114"/>
        <v>9.5</v>
      </c>
      <c r="V285" s="604">
        <f t="shared" si="108"/>
        <v>0</v>
      </c>
      <c r="W285" s="604">
        <f t="shared" si="109"/>
        <v>0</v>
      </c>
      <c r="X285" s="746">
        <v>9.5</v>
      </c>
      <c r="Y285" s="746">
        <f t="shared" si="110"/>
        <v>0</v>
      </c>
    </row>
    <row r="286" spans="2:25">
      <c r="B286" s="598" t="s">
        <v>2595</v>
      </c>
      <c r="C286" s="604" t="s">
        <v>1105</v>
      </c>
      <c r="D286" s="745">
        <v>2021</v>
      </c>
      <c r="E286" s="604" t="s">
        <v>1292</v>
      </c>
      <c r="F286" s="738">
        <v>0.1</v>
      </c>
      <c r="G286" s="739">
        <v>655.73</v>
      </c>
      <c r="H286" s="741">
        <v>32.79</v>
      </c>
      <c r="I286" s="742">
        <f t="shared" si="92"/>
        <v>622.94000000000005</v>
      </c>
      <c r="J286" s="740">
        <f t="shared" si="98"/>
        <v>65.573000000000008</v>
      </c>
      <c r="K286" s="739">
        <f t="shared" si="94"/>
        <v>98.363</v>
      </c>
      <c r="L286" s="850">
        <f t="shared" si="95"/>
        <v>557.36699999999996</v>
      </c>
      <c r="M286" s="740">
        <f t="shared" si="111"/>
        <v>65.573000000000008</v>
      </c>
      <c r="N286" s="604">
        <f t="shared" si="112"/>
        <v>65.573000000000008</v>
      </c>
      <c r="O286" s="604">
        <f t="shared" si="101"/>
        <v>65.573000000000008</v>
      </c>
      <c r="P286" s="604">
        <f t="shared" si="102"/>
        <v>65.573000000000008</v>
      </c>
      <c r="Q286" s="604">
        <f t="shared" si="103"/>
        <v>65.573000000000008</v>
      </c>
      <c r="R286" s="604">
        <f t="shared" si="104"/>
        <v>65.573000000000008</v>
      </c>
      <c r="S286" s="604">
        <f t="shared" si="105"/>
        <v>65.573000000000008</v>
      </c>
      <c r="T286" s="604">
        <f t="shared" si="106"/>
        <v>65.573000000000008</v>
      </c>
      <c r="U286" s="604">
        <f t="shared" si="114"/>
        <v>32.783000000000044</v>
      </c>
      <c r="V286" s="604">
        <f t="shared" si="108"/>
        <v>0</v>
      </c>
      <c r="W286" s="604">
        <f t="shared" si="109"/>
        <v>0</v>
      </c>
      <c r="X286" s="746">
        <v>32.789999999999964</v>
      </c>
      <c r="Y286" s="746">
        <f t="shared" si="110"/>
        <v>0</v>
      </c>
    </row>
    <row r="287" spans="2:25">
      <c r="B287" s="598" t="s">
        <v>2595</v>
      </c>
      <c r="C287" s="604" t="s">
        <v>1105</v>
      </c>
      <c r="D287" s="745">
        <v>2021</v>
      </c>
      <c r="E287" s="604" t="s">
        <v>1293</v>
      </c>
      <c r="F287" s="738">
        <v>0.1</v>
      </c>
      <c r="G287" s="739">
        <v>2000</v>
      </c>
      <c r="H287" s="741">
        <v>100</v>
      </c>
      <c r="I287" s="742">
        <f t="shared" si="92"/>
        <v>1900</v>
      </c>
      <c r="J287" s="740">
        <f t="shared" si="98"/>
        <v>200</v>
      </c>
      <c r="K287" s="739">
        <f t="shared" si="94"/>
        <v>300</v>
      </c>
      <c r="L287" s="850">
        <f t="shared" si="95"/>
        <v>1700</v>
      </c>
      <c r="M287" s="740">
        <f t="shared" si="111"/>
        <v>200</v>
      </c>
      <c r="N287" s="604">
        <f t="shared" si="112"/>
        <v>200</v>
      </c>
      <c r="O287" s="604">
        <f t="shared" si="101"/>
        <v>200</v>
      </c>
      <c r="P287" s="604">
        <f t="shared" si="102"/>
        <v>200</v>
      </c>
      <c r="Q287" s="604">
        <f t="shared" si="103"/>
        <v>200</v>
      </c>
      <c r="R287" s="604">
        <f t="shared" si="104"/>
        <v>200</v>
      </c>
      <c r="S287" s="604">
        <f t="shared" si="105"/>
        <v>200</v>
      </c>
      <c r="T287" s="604">
        <f t="shared" si="106"/>
        <v>200</v>
      </c>
      <c r="U287" s="604">
        <f t="shared" si="114"/>
        <v>100</v>
      </c>
      <c r="V287" s="604">
        <f t="shared" si="108"/>
        <v>0</v>
      </c>
      <c r="W287" s="604">
        <f t="shared" si="109"/>
        <v>0</v>
      </c>
      <c r="X287" s="746">
        <v>100</v>
      </c>
      <c r="Y287" s="746">
        <f t="shared" si="110"/>
        <v>0</v>
      </c>
    </row>
    <row r="288" spans="2:25">
      <c r="B288" s="598" t="s">
        <v>2595</v>
      </c>
      <c r="C288" s="604" t="s">
        <v>1105</v>
      </c>
      <c r="D288" s="745">
        <v>2021</v>
      </c>
      <c r="E288" s="604" t="s">
        <v>1294</v>
      </c>
      <c r="F288" s="738">
        <v>0.1</v>
      </c>
      <c r="G288" s="739">
        <v>1800</v>
      </c>
      <c r="H288" s="741">
        <v>90</v>
      </c>
      <c r="I288" s="742">
        <f t="shared" si="92"/>
        <v>1710</v>
      </c>
      <c r="J288" s="740">
        <f t="shared" si="98"/>
        <v>180</v>
      </c>
      <c r="K288" s="739">
        <f t="shared" si="94"/>
        <v>270</v>
      </c>
      <c r="L288" s="850">
        <f t="shared" si="95"/>
        <v>1530</v>
      </c>
      <c r="M288" s="740">
        <f t="shared" si="111"/>
        <v>180</v>
      </c>
      <c r="N288" s="604">
        <f t="shared" si="112"/>
        <v>180</v>
      </c>
      <c r="O288" s="604">
        <f t="shared" si="101"/>
        <v>180</v>
      </c>
      <c r="P288" s="604">
        <f t="shared" si="102"/>
        <v>180</v>
      </c>
      <c r="Q288" s="604">
        <f t="shared" si="103"/>
        <v>180</v>
      </c>
      <c r="R288" s="604">
        <f t="shared" si="104"/>
        <v>180</v>
      </c>
      <c r="S288" s="604">
        <f t="shared" si="105"/>
        <v>180</v>
      </c>
      <c r="T288" s="604">
        <f t="shared" si="106"/>
        <v>180</v>
      </c>
      <c r="U288" s="604">
        <f t="shared" si="114"/>
        <v>90</v>
      </c>
      <c r="V288" s="604">
        <f t="shared" si="108"/>
        <v>0</v>
      </c>
      <c r="W288" s="604">
        <f t="shared" si="109"/>
        <v>0</v>
      </c>
      <c r="X288" s="746">
        <v>90</v>
      </c>
      <c r="Y288" s="746">
        <f t="shared" si="110"/>
        <v>0</v>
      </c>
    </row>
    <row r="289" spans="2:27">
      <c r="B289" s="598" t="s">
        <v>2595</v>
      </c>
      <c r="C289" s="604" t="s">
        <v>1105</v>
      </c>
      <c r="D289" s="745">
        <v>2021</v>
      </c>
      <c r="E289" s="604" t="s">
        <v>1295</v>
      </c>
      <c r="F289" s="738">
        <v>0.1</v>
      </c>
      <c r="G289" s="739">
        <v>2450</v>
      </c>
      <c r="H289" s="741">
        <v>122.5</v>
      </c>
      <c r="I289" s="742">
        <f t="shared" si="92"/>
        <v>2327.5</v>
      </c>
      <c r="J289" s="740">
        <f t="shared" si="98"/>
        <v>245</v>
      </c>
      <c r="K289" s="739">
        <f t="shared" si="94"/>
        <v>367.5</v>
      </c>
      <c r="L289" s="850">
        <f t="shared" si="95"/>
        <v>2082.5</v>
      </c>
      <c r="M289" s="740">
        <f t="shared" si="111"/>
        <v>245</v>
      </c>
      <c r="N289" s="604">
        <f t="shared" si="112"/>
        <v>245</v>
      </c>
      <c r="O289" s="604">
        <f t="shared" si="101"/>
        <v>245</v>
      </c>
      <c r="P289" s="604">
        <f t="shared" si="102"/>
        <v>245</v>
      </c>
      <c r="Q289" s="604">
        <f t="shared" si="103"/>
        <v>245</v>
      </c>
      <c r="R289" s="604">
        <f t="shared" si="104"/>
        <v>245</v>
      </c>
      <c r="S289" s="604">
        <f t="shared" si="105"/>
        <v>245</v>
      </c>
      <c r="T289" s="604">
        <f t="shared" si="106"/>
        <v>245</v>
      </c>
      <c r="U289" s="604">
        <f t="shared" si="114"/>
        <v>122.5</v>
      </c>
      <c r="V289" s="604">
        <f t="shared" si="108"/>
        <v>0</v>
      </c>
      <c r="W289" s="604">
        <f t="shared" si="109"/>
        <v>0</v>
      </c>
      <c r="X289" s="746">
        <v>122.5</v>
      </c>
      <c r="Y289" s="746">
        <f t="shared" si="110"/>
        <v>0</v>
      </c>
    </row>
    <row r="290" spans="2:27">
      <c r="B290" s="598" t="s">
        <v>2595</v>
      </c>
      <c r="C290" s="604" t="s">
        <v>1105</v>
      </c>
      <c r="D290" s="745">
        <v>2021</v>
      </c>
      <c r="E290" s="604" t="s">
        <v>1296</v>
      </c>
      <c r="F290" s="738">
        <v>0.1</v>
      </c>
      <c r="G290" s="739">
        <v>2940</v>
      </c>
      <c r="H290" s="741">
        <v>147</v>
      </c>
      <c r="I290" s="742">
        <f t="shared" si="92"/>
        <v>2793</v>
      </c>
      <c r="J290" s="740">
        <f t="shared" si="98"/>
        <v>294</v>
      </c>
      <c r="K290" s="739">
        <f t="shared" si="94"/>
        <v>441</v>
      </c>
      <c r="L290" s="850">
        <f t="shared" si="95"/>
        <v>2499</v>
      </c>
      <c r="M290" s="740">
        <f t="shared" si="111"/>
        <v>294</v>
      </c>
      <c r="N290" s="604">
        <f t="shared" si="112"/>
        <v>294</v>
      </c>
      <c r="O290" s="604">
        <f t="shared" si="101"/>
        <v>294</v>
      </c>
      <c r="P290" s="604">
        <f t="shared" si="102"/>
        <v>294</v>
      </c>
      <c r="Q290" s="604">
        <f t="shared" si="103"/>
        <v>294</v>
      </c>
      <c r="R290" s="604">
        <f t="shared" si="104"/>
        <v>294</v>
      </c>
      <c r="S290" s="604">
        <f t="shared" si="105"/>
        <v>294</v>
      </c>
      <c r="T290" s="604">
        <f t="shared" si="106"/>
        <v>294</v>
      </c>
      <c r="U290" s="604">
        <f t="shared" si="114"/>
        <v>147</v>
      </c>
      <c r="V290" s="604">
        <f t="shared" si="108"/>
        <v>0</v>
      </c>
      <c r="W290" s="604">
        <f t="shared" si="109"/>
        <v>0</v>
      </c>
      <c r="X290" s="746">
        <v>147</v>
      </c>
      <c r="Y290" s="746">
        <f t="shared" si="110"/>
        <v>0</v>
      </c>
    </row>
    <row r="291" spans="2:27">
      <c r="B291" s="598" t="s">
        <v>2595</v>
      </c>
      <c r="C291" s="604" t="s">
        <v>1105</v>
      </c>
      <c r="D291" s="745">
        <v>2021</v>
      </c>
      <c r="E291" s="604" t="s">
        <v>1297</v>
      </c>
      <c r="F291" s="738">
        <v>0.1</v>
      </c>
      <c r="G291" s="739">
        <v>3200</v>
      </c>
      <c r="H291" s="741">
        <v>160</v>
      </c>
      <c r="I291" s="742">
        <f t="shared" si="92"/>
        <v>3040</v>
      </c>
      <c r="J291" s="740">
        <f t="shared" si="98"/>
        <v>320</v>
      </c>
      <c r="K291" s="739">
        <f t="shared" si="94"/>
        <v>480</v>
      </c>
      <c r="L291" s="850">
        <f t="shared" si="95"/>
        <v>2720</v>
      </c>
      <c r="M291" s="740">
        <f t="shared" si="111"/>
        <v>320</v>
      </c>
      <c r="N291" s="604">
        <f t="shared" si="112"/>
        <v>320</v>
      </c>
      <c r="O291" s="604">
        <f t="shared" si="101"/>
        <v>320</v>
      </c>
      <c r="P291" s="604">
        <f t="shared" si="102"/>
        <v>320</v>
      </c>
      <c r="Q291" s="604">
        <f t="shared" si="103"/>
        <v>320</v>
      </c>
      <c r="R291" s="604">
        <f t="shared" si="104"/>
        <v>320</v>
      </c>
      <c r="S291" s="604">
        <f t="shared" si="105"/>
        <v>320</v>
      </c>
      <c r="T291" s="604">
        <f t="shared" si="106"/>
        <v>320</v>
      </c>
      <c r="U291" s="604">
        <f t="shared" si="114"/>
        <v>160</v>
      </c>
      <c r="V291" s="604">
        <f t="shared" si="108"/>
        <v>0</v>
      </c>
      <c r="W291" s="604">
        <f t="shared" si="109"/>
        <v>0</v>
      </c>
      <c r="X291" s="746">
        <v>160</v>
      </c>
      <c r="Y291" s="746">
        <f t="shared" si="110"/>
        <v>0</v>
      </c>
    </row>
    <row r="292" spans="2:27">
      <c r="B292" s="598" t="s">
        <v>2595</v>
      </c>
      <c r="C292" s="604" t="s">
        <v>1105</v>
      </c>
      <c r="D292" s="745">
        <v>2021</v>
      </c>
      <c r="E292" s="604" t="s">
        <v>1298</v>
      </c>
      <c r="F292" s="738">
        <v>1</v>
      </c>
      <c r="G292" s="739">
        <v>975.01</v>
      </c>
      <c r="H292" s="741">
        <v>975.01</v>
      </c>
      <c r="I292" s="742">
        <f t="shared" si="92"/>
        <v>0</v>
      </c>
      <c r="J292" s="740">
        <f t="shared" si="98"/>
        <v>0</v>
      </c>
      <c r="K292" s="739">
        <f t="shared" si="94"/>
        <v>975.01</v>
      </c>
      <c r="L292" s="850">
        <f t="shared" si="95"/>
        <v>0</v>
      </c>
      <c r="M292" s="740">
        <f t="shared" si="111"/>
        <v>0</v>
      </c>
      <c r="N292" s="604">
        <f t="shared" si="112"/>
        <v>0</v>
      </c>
      <c r="O292" s="604">
        <f t="shared" si="101"/>
        <v>0</v>
      </c>
      <c r="P292" s="604">
        <f t="shared" si="102"/>
        <v>0</v>
      </c>
      <c r="Q292" s="604">
        <f t="shared" si="103"/>
        <v>0</v>
      </c>
      <c r="R292" s="604">
        <f t="shared" si="104"/>
        <v>0</v>
      </c>
      <c r="S292" s="604">
        <f t="shared" si="105"/>
        <v>0</v>
      </c>
      <c r="T292" s="604">
        <f t="shared" si="106"/>
        <v>0</v>
      </c>
      <c r="U292" s="604">
        <f t="shared" si="107"/>
        <v>0</v>
      </c>
      <c r="V292" s="604">
        <f t="shared" si="108"/>
        <v>0</v>
      </c>
      <c r="W292" s="604">
        <f t="shared" si="109"/>
        <v>0</v>
      </c>
      <c r="X292" s="746">
        <v>0</v>
      </c>
      <c r="Y292" s="746">
        <f t="shared" si="110"/>
        <v>0</v>
      </c>
    </row>
    <row r="293" spans="2:27">
      <c r="B293" s="598" t="s">
        <v>2595</v>
      </c>
      <c r="C293" s="604" t="s">
        <v>1105</v>
      </c>
      <c r="D293" s="745">
        <v>2021</v>
      </c>
      <c r="E293" s="604" t="s">
        <v>1299</v>
      </c>
      <c r="F293" s="738">
        <v>0.1</v>
      </c>
      <c r="G293" s="739">
        <v>12454.8</v>
      </c>
      <c r="H293" s="741">
        <v>622.74</v>
      </c>
      <c r="I293" s="742">
        <f t="shared" si="92"/>
        <v>11832.06</v>
      </c>
      <c r="J293" s="740">
        <f t="shared" si="98"/>
        <v>1245.48</v>
      </c>
      <c r="K293" s="739">
        <f t="shared" si="94"/>
        <v>1868.22</v>
      </c>
      <c r="L293" s="850">
        <f t="shared" si="95"/>
        <v>10586.58</v>
      </c>
      <c r="M293" s="740">
        <f>+IF(L293=0,0,G293*F293)</f>
        <v>1245.48</v>
      </c>
      <c r="N293" s="604">
        <f t="shared" si="112"/>
        <v>1245.48</v>
      </c>
      <c r="O293" s="604">
        <f t="shared" si="101"/>
        <v>1245.48</v>
      </c>
      <c r="P293" s="604">
        <f t="shared" si="102"/>
        <v>1245.48</v>
      </c>
      <c r="Q293" s="604">
        <f t="shared" si="103"/>
        <v>1245.48</v>
      </c>
      <c r="R293" s="604">
        <f t="shared" si="104"/>
        <v>1245.48</v>
      </c>
      <c r="S293" s="604">
        <f t="shared" si="105"/>
        <v>1245.48</v>
      </c>
      <c r="T293" s="604">
        <f t="shared" si="106"/>
        <v>1245.48</v>
      </c>
      <c r="U293" s="604">
        <f>+IF(L293-SUM(M293:T293)&gt;0,G293*F293,0)-X293</f>
        <v>622.74000000000206</v>
      </c>
      <c r="V293" s="604">
        <f t="shared" si="108"/>
        <v>0</v>
      </c>
      <c r="W293" s="604">
        <f t="shared" si="109"/>
        <v>0</v>
      </c>
      <c r="X293" s="746">
        <v>622.73999999999796</v>
      </c>
      <c r="Y293" s="746">
        <f t="shared" si="110"/>
        <v>0</v>
      </c>
    </row>
    <row r="294" spans="2:27">
      <c r="B294" s="598" t="s">
        <v>2595</v>
      </c>
      <c r="C294" s="604" t="s">
        <v>1105</v>
      </c>
      <c r="D294" s="745">
        <v>2021</v>
      </c>
      <c r="E294" s="604" t="s">
        <v>1300</v>
      </c>
      <c r="F294" s="738">
        <v>0.1</v>
      </c>
      <c r="G294" s="739">
        <v>7850</v>
      </c>
      <c r="H294" s="741">
        <v>392.5</v>
      </c>
      <c r="I294" s="742">
        <f t="shared" si="92"/>
        <v>7457.5</v>
      </c>
      <c r="J294" s="740">
        <f t="shared" si="98"/>
        <v>785</v>
      </c>
      <c r="K294" s="739">
        <f t="shared" si="94"/>
        <v>1177.5</v>
      </c>
      <c r="L294" s="850">
        <f t="shared" si="95"/>
        <v>6672.5</v>
      </c>
      <c r="M294" s="740">
        <f t="shared" si="111"/>
        <v>785</v>
      </c>
      <c r="N294" s="604">
        <f t="shared" si="112"/>
        <v>785</v>
      </c>
      <c r="O294" s="604">
        <f t="shared" si="101"/>
        <v>785</v>
      </c>
      <c r="P294" s="604">
        <f t="shared" si="102"/>
        <v>785</v>
      </c>
      <c r="Q294" s="604">
        <f t="shared" si="103"/>
        <v>785</v>
      </c>
      <c r="R294" s="604">
        <f t="shared" si="104"/>
        <v>785</v>
      </c>
      <c r="S294" s="604">
        <f t="shared" si="105"/>
        <v>785</v>
      </c>
      <c r="T294" s="604">
        <f t="shared" si="106"/>
        <v>785</v>
      </c>
      <c r="U294" s="604">
        <f>+IF(L294-SUM(M294:T294)&gt;0,G294*F294,0)-X294</f>
        <v>392.5</v>
      </c>
      <c r="V294" s="604">
        <f t="shared" si="108"/>
        <v>0</v>
      </c>
      <c r="W294" s="604">
        <f t="shared" si="109"/>
        <v>0</v>
      </c>
      <c r="X294" s="746">
        <v>392.5</v>
      </c>
      <c r="Y294" s="746">
        <f t="shared" si="110"/>
        <v>0</v>
      </c>
    </row>
    <row r="295" spans="2:27">
      <c r="B295" s="598" t="s">
        <v>2595</v>
      </c>
      <c r="C295" s="604" t="s">
        <v>1105</v>
      </c>
      <c r="D295" s="745">
        <v>2022</v>
      </c>
      <c r="E295" s="604" t="s">
        <v>2544</v>
      </c>
      <c r="F295" s="738">
        <v>0.1</v>
      </c>
      <c r="G295" s="739">
        <v>21400</v>
      </c>
      <c r="H295" s="741">
        <v>0</v>
      </c>
      <c r="I295" s="742">
        <f t="shared" si="92"/>
        <v>21400</v>
      </c>
      <c r="J295" s="740">
        <f>IF(I295=0,0,G295*F295/2)</f>
        <v>1070</v>
      </c>
      <c r="K295" s="739">
        <f t="shared" si="94"/>
        <v>1070</v>
      </c>
      <c r="L295" s="850">
        <f t="shared" si="95"/>
        <v>20330</v>
      </c>
      <c r="M295" s="740">
        <f t="shared" si="111"/>
        <v>2140</v>
      </c>
      <c r="N295" s="604">
        <f t="shared" si="112"/>
        <v>2140</v>
      </c>
      <c r="O295" s="604">
        <f t="shared" si="101"/>
        <v>2140</v>
      </c>
      <c r="P295" s="604">
        <f t="shared" si="102"/>
        <v>2140</v>
      </c>
      <c r="Q295" s="604">
        <f t="shared" si="103"/>
        <v>2140</v>
      </c>
      <c r="R295" s="604">
        <f t="shared" si="104"/>
        <v>2140</v>
      </c>
      <c r="S295" s="604">
        <f t="shared" si="105"/>
        <v>2140</v>
      </c>
      <c r="T295" s="604">
        <f t="shared" si="106"/>
        <v>2140</v>
      </c>
      <c r="U295" s="604">
        <f t="shared" si="107"/>
        <v>2140</v>
      </c>
      <c r="V295" s="604">
        <f>+IF(L295-SUM(M295:U295)&gt;0,G295*F295,0)-1070</f>
        <v>1070</v>
      </c>
      <c r="W295" s="604">
        <f>+IF(L295-SUM(M295:V295)&gt;0,G295*F295,0)</f>
        <v>0</v>
      </c>
      <c r="X295" s="746">
        <v>1070</v>
      </c>
      <c r="Y295" s="746">
        <f>+SUM(M295:W295)-L295</f>
        <v>0</v>
      </c>
    </row>
    <row r="296" spans="2:27">
      <c r="B296" s="598" t="s">
        <v>2595</v>
      </c>
      <c r="C296" s="604" t="s">
        <v>1105</v>
      </c>
      <c r="D296" s="745">
        <v>2022</v>
      </c>
      <c r="E296" s="604" t="s">
        <v>2545</v>
      </c>
      <c r="F296" s="738">
        <v>0.1</v>
      </c>
      <c r="G296" s="739">
        <v>2395</v>
      </c>
      <c r="H296" s="741">
        <v>0</v>
      </c>
      <c r="I296" s="742">
        <f t="shared" ref="I296:I302" si="115">+G296-H296</f>
        <v>2395</v>
      </c>
      <c r="J296" s="740">
        <f>IF(I296=0,0,G296*F296/2)</f>
        <v>119.75</v>
      </c>
      <c r="K296" s="739">
        <f t="shared" ref="K296:K302" si="116">+H296+J296</f>
        <v>119.75</v>
      </c>
      <c r="L296" s="850">
        <f t="shared" ref="L296:L302" si="117">+G296-K296</f>
        <v>2275.25</v>
      </c>
      <c r="M296" s="740">
        <f t="shared" si="111"/>
        <v>239.5</v>
      </c>
      <c r="N296" s="604">
        <f t="shared" si="112"/>
        <v>239.5</v>
      </c>
      <c r="O296" s="604">
        <f t="shared" si="101"/>
        <v>239.5</v>
      </c>
      <c r="P296" s="604">
        <f t="shared" si="102"/>
        <v>239.5</v>
      </c>
      <c r="Q296" s="604">
        <f t="shared" si="103"/>
        <v>239.5</v>
      </c>
      <c r="R296" s="604">
        <f t="shared" si="104"/>
        <v>239.5</v>
      </c>
      <c r="S296" s="604">
        <f t="shared" si="105"/>
        <v>239.5</v>
      </c>
      <c r="T296" s="604">
        <f t="shared" si="106"/>
        <v>239.5</v>
      </c>
      <c r="U296" s="604">
        <f t="shared" si="107"/>
        <v>239.5</v>
      </c>
      <c r="V296" s="604">
        <f>+IF(L296-SUM(M296:U296)&gt;0,G296*F296,0)-X296</f>
        <v>119.75</v>
      </c>
      <c r="W296" s="604">
        <f t="shared" si="109"/>
        <v>0</v>
      </c>
      <c r="X296" s="746">
        <v>119.75</v>
      </c>
      <c r="Y296" s="746">
        <f t="shared" si="110"/>
        <v>0</v>
      </c>
    </row>
    <row r="297" spans="2:27">
      <c r="B297" s="598" t="s">
        <v>2595</v>
      </c>
      <c r="C297" s="604" t="s">
        <v>1105</v>
      </c>
      <c r="D297" s="745">
        <v>2022</v>
      </c>
      <c r="E297" s="604" t="s">
        <v>2546</v>
      </c>
      <c r="F297" s="738">
        <v>0.1</v>
      </c>
      <c r="G297" s="739">
        <v>60000</v>
      </c>
      <c r="H297" s="741">
        <v>0</v>
      </c>
      <c r="I297" s="742">
        <f t="shared" si="115"/>
        <v>60000</v>
      </c>
      <c r="J297" s="740">
        <f>IF(I297=0,0,G297*F297/2)</f>
        <v>3000</v>
      </c>
      <c r="K297" s="739">
        <f t="shared" si="116"/>
        <v>3000</v>
      </c>
      <c r="L297" s="850">
        <f t="shared" si="117"/>
        <v>57000</v>
      </c>
      <c r="M297" s="740">
        <f t="shared" si="111"/>
        <v>6000</v>
      </c>
      <c r="N297" s="604">
        <f t="shared" si="112"/>
        <v>6000</v>
      </c>
      <c r="O297" s="604">
        <f t="shared" si="101"/>
        <v>6000</v>
      </c>
      <c r="P297" s="604">
        <f t="shared" si="102"/>
        <v>6000</v>
      </c>
      <c r="Q297" s="604">
        <f t="shared" si="103"/>
        <v>6000</v>
      </c>
      <c r="R297" s="604">
        <f t="shared" si="104"/>
        <v>6000</v>
      </c>
      <c r="S297" s="604">
        <f t="shared" si="105"/>
        <v>6000</v>
      </c>
      <c r="T297" s="604">
        <f t="shared" si="106"/>
        <v>6000</v>
      </c>
      <c r="U297" s="604">
        <f t="shared" si="107"/>
        <v>6000</v>
      </c>
      <c r="V297" s="604">
        <f>+IF(L297-SUM(M297:U297)&gt;0,G297*F297,0)-X297</f>
        <v>3000</v>
      </c>
      <c r="W297" s="604">
        <f t="shared" si="109"/>
        <v>0</v>
      </c>
      <c r="X297" s="746">
        <v>3000</v>
      </c>
      <c r="Y297" s="746">
        <f t="shared" si="110"/>
        <v>0</v>
      </c>
    </row>
    <row r="298" spans="2:27">
      <c r="B298" s="598" t="s">
        <v>2595</v>
      </c>
      <c r="C298" s="604" t="s">
        <v>1105</v>
      </c>
      <c r="D298" s="745">
        <v>2022</v>
      </c>
      <c r="E298" s="604" t="s">
        <v>2547</v>
      </c>
      <c r="F298" s="738">
        <v>0.1</v>
      </c>
      <c r="G298" s="739">
        <v>4000</v>
      </c>
      <c r="H298" s="741">
        <v>0</v>
      </c>
      <c r="I298" s="742">
        <f t="shared" si="115"/>
        <v>4000</v>
      </c>
      <c r="J298" s="740">
        <f>IF(I298=0,0,G298*F298/2)</f>
        <v>200</v>
      </c>
      <c r="K298" s="739">
        <f t="shared" si="116"/>
        <v>200</v>
      </c>
      <c r="L298" s="850">
        <f t="shared" si="117"/>
        <v>3800</v>
      </c>
      <c r="M298" s="740">
        <f t="shared" si="111"/>
        <v>400</v>
      </c>
      <c r="N298" s="604">
        <f t="shared" si="112"/>
        <v>400</v>
      </c>
      <c r="O298" s="604">
        <f t="shared" si="101"/>
        <v>400</v>
      </c>
      <c r="P298" s="604">
        <f t="shared" si="102"/>
        <v>400</v>
      </c>
      <c r="Q298" s="604">
        <f t="shared" si="103"/>
        <v>400</v>
      </c>
      <c r="R298" s="604">
        <f t="shared" si="104"/>
        <v>400</v>
      </c>
      <c r="S298" s="604">
        <f t="shared" si="105"/>
        <v>400</v>
      </c>
      <c r="T298" s="604">
        <f t="shared" si="106"/>
        <v>400</v>
      </c>
      <c r="U298" s="604">
        <f t="shared" si="107"/>
        <v>400</v>
      </c>
      <c r="V298" s="604">
        <f>+IF(L298-SUM(M298:U298)&gt;0,G298*F298,0)-X298</f>
        <v>200</v>
      </c>
      <c r="W298" s="604">
        <f t="shared" si="109"/>
        <v>0</v>
      </c>
      <c r="X298" s="746">
        <v>200</v>
      </c>
      <c r="Y298" s="746">
        <f t="shared" si="110"/>
        <v>0</v>
      </c>
    </row>
    <row r="299" spans="2:27">
      <c r="B299" s="598" t="s">
        <v>2595</v>
      </c>
      <c r="C299" s="604" t="s">
        <v>1105</v>
      </c>
      <c r="D299" s="745">
        <v>2022</v>
      </c>
      <c r="E299" s="604"/>
      <c r="F299" s="738">
        <v>0.1</v>
      </c>
      <c r="G299" s="739">
        <v>4600</v>
      </c>
      <c r="H299" s="741"/>
      <c r="I299" s="742">
        <f>+G299</f>
        <v>4600</v>
      </c>
      <c r="J299" s="740">
        <f>IF(I299=0,0,G299*F299/2)</f>
        <v>230</v>
      </c>
      <c r="K299" s="739">
        <f t="shared" si="116"/>
        <v>230</v>
      </c>
      <c r="L299" s="850">
        <f t="shared" si="117"/>
        <v>4370</v>
      </c>
      <c r="M299" s="740">
        <f>+IF(L299=0,0,G299*F299)</f>
        <v>460</v>
      </c>
      <c r="N299" s="604">
        <f t="shared" si="112"/>
        <v>460</v>
      </c>
      <c r="O299" s="604">
        <f t="shared" si="101"/>
        <v>460</v>
      </c>
      <c r="P299" s="604">
        <f t="shared" si="102"/>
        <v>460</v>
      </c>
      <c r="Q299" s="604">
        <f t="shared" si="103"/>
        <v>460</v>
      </c>
      <c r="R299" s="604">
        <f t="shared" si="104"/>
        <v>460</v>
      </c>
      <c r="S299" s="604">
        <f t="shared" si="105"/>
        <v>460</v>
      </c>
      <c r="T299" s="604">
        <f t="shared" si="106"/>
        <v>460</v>
      </c>
      <c r="U299" s="604">
        <f t="shared" si="107"/>
        <v>460</v>
      </c>
      <c r="V299" s="604">
        <v>230</v>
      </c>
      <c r="W299" s="604"/>
      <c r="X299" s="746"/>
      <c r="Y299" s="746">
        <f>+SUM(M299:W299)-L299</f>
        <v>0</v>
      </c>
    </row>
    <row r="300" spans="2:27">
      <c r="B300" s="598" t="s">
        <v>2595</v>
      </c>
      <c r="C300" s="604" t="s">
        <v>1105</v>
      </c>
      <c r="D300" s="745">
        <v>2022</v>
      </c>
      <c r="E300" s="604"/>
      <c r="F300" s="738">
        <v>0.1</v>
      </c>
      <c r="G300" s="739">
        <v>3090</v>
      </c>
      <c r="H300" s="741"/>
      <c r="I300" s="742">
        <f t="shared" ref="I300:I301" si="118">+G300</f>
        <v>3090</v>
      </c>
      <c r="J300" s="740">
        <f t="shared" ref="J300:J301" si="119">IF(I300=0,0,G300*F300/2)</f>
        <v>154.5</v>
      </c>
      <c r="K300" s="739">
        <f t="shared" si="116"/>
        <v>154.5</v>
      </c>
      <c r="L300" s="850">
        <f t="shared" si="117"/>
        <v>2935.5</v>
      </c>
      <c r="M300" s="740">
        <f>+IF(L300=0,0,G300*F300)</f>
        <v>309</v>
      </c>
      <c r="N300" s="604">
        <f t="shared" ref="N300:N301" si="120">+IF(L300-M300&gt;0,G300*F300,0)</f>
        <v>309</v>
      </c>
      <c r="O300" s="604">
        <f t="shared" ref="O300:O301" si="121">+IF(L300-SUM(M300:N300)&gt;0,G300*F300,0)</f>
        <v>309</v>
      </c>
      <c r="P300" s="604">
        <f t="shared" ref="P300:P301" si="122">+IF(L300-SUM(M300:O300)&gt;0,G300*F300,0)</f>
        <v>309</v>
      </c>
      <c r="Q300" s="604">
        <f t="shared" ref="Q300:Q301" si="123">+IF(L300-SUM(M300:P300)&gt;0,G300*F300,0)</f>
        <v>309</v>
      </c>
      <c r="R300" s="604">
        <f t="shared" ref="R300:R301" si="124">+IF(L300-SUM(M300:Q300)&gt;0,G300*F300,0)</f>
        <v>309</v>
      </c>
      <c r="S300" s="604">
        <f t="shared" ref="S300:S301" si="125">+IF(L300-SUM(M300:R300)&gt;0,G300*F300,0)</f>
        <v>309</v>
      </c>
      <c r="T300" s="604">
        <f t="shared" ref="T300:T301" si="126">+IF(L300-SUM(M300:S300)&gt;0,G300*F300,0)</f>
        <v>309</v>
      </c>
      <c r="U300" s="604">
        <f t="shared" ref="U300:U301" si="127">+IF(L300-SUM(M300:T300)&gt;0,G300*F300,0)</f>
        <v>309</v>
      </c>
      <c r="V300" s="604">
        <v>154.5</v>
      </c>
      <c r="W300" s="604"/>
      <c r="X300" s="746"/>
      <c r="Y300" s="746">
        <f>+SUM(M300:W300)-L300</f>
        <v>0</v>
      </c>
    </row>
    <row r="301" spans="2:27">
      <c r="B301" s="598" t="s">
        <v>2595</v>
      </c>
      <c r="C301" s="604" t="s">
        <v>1105</v>
      </c>
      <c r="D301" s="745">
        <v>2022</v>
      </c>
      <c r="E301" s="604"/>
      <c r="F301" s="738">
        <v>0.1</v>
      </c>
      <c r="G301" s="739">
        <v>1000</v>
      </c>
      <c r="H301" s="741"/>
      <c r="I301" s="742">
        <f t="shared" si="118"/>
        <v>1000</v>
      </c>
      <c r="J301" s="740">
        <f t="shared" si="119"/>
        <v>50</v>
      </c>
      <c r="K301" s="739">
        <f t="shared" si="116"/>
        <v>50</v>
      </c>
      <c r="L301" s="850">
        <f t="shared" si="117"/>
        <v>950</v>
      </c>
      <c r="M301" s="740">
        <f>+IF(L301=0,0,G301*F301)</f>
        <v>100</v>
      </c>
      <c r="N301" s="604">
        <f t="shared" si="120"/>
        <v>100</v>
      </c>
      <c r="O301" s="604">
        <f t="shared" si="121"/>
        <v>100</v>
      </c>
      <c r="P301" s="604">
        <f t="shared" si="122"/>
        <v>100</v>
      </c>
      <c r="Q301" s="604">
        <f t="shared" si="123"/>
        <v>100</v>
      </c>
      <c r="R301" s="604">
        <f t="shared" si="124"/>
        <v>100</v>
      </c>
      <c r="S301" s="604">
        <f t="shared" si="125"/>
        <v>100</v>
      </c>
      <c r="T301" s="604">
        <f t="shared" si="126"/>
        <v>100</v>
      </c>
      <c r="U301" s="604">
        <f t="shared" si="127"/>
        <v>100</v>
      </c>
      <c r="V301" s="604">
        <v>50</v>
      </c>
      <c r="W301" s="604"/>
      <c r="X301" s="746"/>
      <c r="Y301" s="746">
        <f>+SUM(M301:W301)-L301</f>
        <v>0</v>
      </c>
    </row>
    <row r="302" spans="2:27" ht="12.75" thickBot="1">
      <c r="B302" s="598" t="s">
        <v>2595</v>
      </c>
      <c r="C302" s="604" t="s">
        <v>1105</v>
      </c>
      <c r="D302" s="745">
        <v>2022</v>
      </c>
      <c r="E302" s="604" t="s">
        <v>2548</v>
      </c>
      <c r="F302" s="738">
        <v>0.1</v>
      </c>
      <c r="G302" s="739">
        <v>2500</v>
      </c>
      <c r="H302" s="741">
        <v>0</v>
      </c>
      <c r="I302" s="742">
        <f t="shared" si="115"/>
        <v>2500</v>
      </c>
      <c r="J302" s="740">
        <f>IF(I302=0,0,G302*F302/2)</f>
        <v>125</v>
      </c>
      <c r="K302" s="739">
        <f t="shared" si="116"/>
        <v>125</v>
      </c>
      <c r="L302" s="851">
        <f t="shared" si="117"/>
        <v>2375</v>
      </c>
      <c r="M302" s="740">
        <f t="shared" si="111"/>
        <v>250</v>
      </c>
      <c r="N302" s="604">
        <f t="shared" si="112"/>
        <v>250</v>
      </c>
      <c r="O302" s="604">
        <f t="shared" si="101"/>
        <v>250</v>
      </c>
      <c r="P302" s="604">
        <f t="shared" si="102"/>
        <v>250</v>
      </c>
      <c r="Q302" s="604">
        <f t="shared" si="103"/>
        <v>250</v>
      </c>
      <c r="R302" s="604">
        <f t="shared" si="104"/>
        <v>250</v>
      </c>
      <c r="S302" s="604">
        <f t="shared" si="105"/>
        <v>250</v>
      </c>
      <c r="T302" s="604">
        <f t="shared" si="106"/>
        <v>250</v>
      </c>
      <c r="U302" s="604">
        <f t="shared" si="107"/>
        <v>250</v>
      </c>
      <c r="V302" s="604">
        <f>+IF(L302-SUM(M302:U302)&gt;0,G302*F302,0)-X302</f>
        <v>125</v>
      </c>
      <c r="W302" s="604">
        <f t="shared" si="109"/>
        <v>0</v>
      </c>
      <c r="X302" s="746">
        <v>125</v>
      </c>
      <c r="Y302" s="746">
        <f t="shared" si="110"/>
        <v>0</v>
      </c>
    </row>
    <row r="303" spans="2:27">
      <c r="B303" s="598" t="s">
        <v>2595</v>
      </c>
      <c r="C303" s="604" t="s">
        <v>1107</v>
      </c>
      <c r="D303" s="745">
        <v>1999</v>
      </c>
      <c r="E303" s="604" t="s">
        <v>1301</v>
      </c>
      <c r="F303" s="738">
        <v>0.4</v>
      </c>
      <c r="G303" s="739">
        <v>852.15</v>
      </c>
      <c r="H303" s="741">
        <v>852.15</v>
      </c>
      <c r="I303" s="742">
        <f t="shared" ref="I303:I366" si="128">+G303-H303</f>
        <v>0</v>
      </c>
      <c r="J303" s="740">
        <f t="shared" ref="J303:J366" si="129">IF(I303=0,0,G303*F303)</f>
        <v>0</v>
      </c>
      <c r="K303" s="739">
        <f t="shared" ref="K303:K366" si="130">+H303+J303</f>
        <v>852.15</v>
      </c>
      <c r="L303" s="859">
        <f t="shared" ref="L303:L366" si="131">+G303-K303</f>
        <v>0</v>
      </c>
      <c r="M303" s="740">
        <f t="shared" si="111"/>
        <v>0</v>
      </c>
      <c r="N303" s="604">
        <f t="shared" si="112"/>
        <v>0</v>
      </c>
      <c r="O303" s="604">
        <f t="shared" si="101"/>
        <v>0</v>
      </c>
      <c r="P303" s="604">
        <f t="shared" si="102"/>
        <v>0</v>
      </c>
      <c r="Q303" s="604">
        <f t="shared" si="103"/>
        <v>0</v>
      </c>
      <c r="R303" s="604">
        <f t="shared" si="104"/>
        <v>0</v>
      </c>
      <c r="S303" s="604">
        <f t="shared" si="105"/>
        <v>0</v>
      </c>
      <c r="T303" s="604">
        <f t="shared" si="106"/>
        <v>0</v>
      </c>
      <c r="U303" s="604">
        <f t="shared" si="107"/>
        <v>0</v>
      </c>
      <c r="V303" s="604">
        <f t="shared" si="108"/>
        <v>0</v>
      </c>
      <c r="W303" s="604">
        <f t="shared" si="109"/>
        <v>0</v>
      </c>
      <c r="X303" s="746">
        <v>0</v>
      </c>
      <c r="Y303" s="746">
        <f t="shared" si="110"/>
        <v>0</v>
      </c>
      <c r="Z303" s="746">
        <f>+SUM(L303:L690)</f>
        <v>40434.514000000003</v>
      </c>
    </row>
    <row r="304" spans="2:27">
      <c r="B304" s="598" t="s">
        <v>2595</v>
      </c>
      <c r="C304" s="604" t="s">
        <v>1107</v>
      </c>
      <c r="D304" s="745">
        <v>2000</v>
      </c>
      <c r="E304" s="604" t="s">
        <v>1302</v>
      </c>
      <c r="F304" s="738">
        <v>0.4</v>
      </c>
      <c r="G304" s="739">
        <v>852.15</v>
      </c>
      <c r="H304" s="741">
        <v>852.15</v>
      </c>
      <c r="I304" s="742">
        <f t="shared" si="128"/>
        <v>0</v>
      </c>
      <c r="J304" s="740">
        <f t="shared" si="129"/>
        <v>0</v>
      </c>
      <c r="K304" s="739">
        <f t="shared" si="130"/>
        <v>852.15</v>
      </c>
      <c r="L304" s="860">
        <f t="shared" si="131"/>
        <v>0</v>
      </c>
      <c r="M304" s="740">
        <f t="shared" si="111"/>
        <v>0</v>
      </c>
      <c r="N304" s="604">
        <f t="shared" si="112"/>
        <v>0</v>
      </c>
      <c r="O304" s="604">
        <f t="shared" si="101"/>
        <v>0</v>
      </c>
      <c r="P304" s="604">
        <f t="shared" si="102"/>
        <v>0</v>
      </c>
      <c r="Q304" s="604">
        <f t="shared" si="103"/>
        <v>0</v>
      </c>
      <c r="R304" s="604">
        <f t="shared" si="104"/>
        <v>0</v>
      </c>
      <c r="S304" s="604">
        <f t="shared" si="105"/>
        <v>0</v>
      </c>
      <c r="T304" s="604">
        <f t="shared" si="106"/>
        <v>0</v>
      </c>
      <c r="U304" s="604">
        <f t="shared" si="107"/>
        <v>0</v>
      </c>
      <c r="V304" s="604">
        <f t="shared" si="108"/>
        <v>0</v>
      </c>
      <c r="W304" s="604">
        <f t="shared" si="109"/>
        <v>0</v>
      </c>
      <c r="X304" s="746">
        <v>0</v>
      </c>
      <c r="Y304" s="746">
        <f t="shared" si="110"/>
        <v>0</v>
      </c>
      <c r="Z304" s="746">
        <f>+Z303-BdV!I36-BdV!I37-BdV!I38</f>
        <v>-6.0000002849847078E-3</v>
      </c>
      <c r="AA304" s="598" t="s">
        <v>363</v>
      </c>
    </row>
    <row r="305" spans="2:26">
      <c r="B305" s="598" t="s">
        <v>2595</v>
      </c>
      <c r="C305" s="604" t="s">
        <v>1107</v>
      </c>
      <c r="D305" s="745">
        <v>2000</v>
      </c>
      <c r="E305" s="604" t="s">
        <v>1303</v>
      </c>
      <c r="F305" s="738">
        <v>0.4</v>
      </c>
      <c r="G305" s="739">
        <v>1084.56</v>
      </c>
      <c r="H305" s="741">
        <v>1084.56</v>
      </c>
      <c r="I305" s="742">
        <f t="shared" si="128"/>
        <v>0</v>
      </c>
      <c r="J305" s="740">
        <f t="shared" si="129"/>
        <v>0</v>
      </c>
      <c r="K305" s="739">
        <f t="shared" si="130"/>
        <v>1084.56</v>
      </c>
      <c r="L305" s="860">
        <f t="shared" si="131"/>
        <v>0</v>
      </c>
      <c r="M305" s="740">
        <f t="shared" si="111"/>
        <v>0</v>
      </c>
      <c r="N305" s="604">
        <f t="shared" si="112"/>
        <v>0</v>
      </c>
      <c r="O305" s="604">
        <f t="shared" si="101"/>
        <v>0</v>
      </c>
      <c r="P305" s="604">
        <f t="shared" si="102"/>
        <v>0</v>
      </c>
      <c r="Q305" s="604">
        <f t="shared" si="103"/>
        <v>0</v>
      </c>
      <c r="R305" s="604">
        <f t="shared" si="104"/>
        <v>0</v>
      </c>
      <c r="S305" s="604">
        <f t="shared" si="105"/>
        <v>0</v>
      </c>
      <c r="T305" s="604">
        <f t="shared" si="106"/>
        <v>0</v>
      </c>
      <c r="U305" s="604">
        <f t="shared" si="107"/>
        <v>0</v>
      </c>
      <c r="V305" s="604">
        <f t="shared" si="108"/>
        <v>0</v>
      </c>
      <c r="W305" s="604">
        <f t="shared" si="109"/>
        <v>0</v>
      </c>
      <c r="X305" s="746">
        <v>0</v>
      </c>
      <c r="Y305" s="746">
        <f t="shared" si="110"/>
        <v>0</v>
      </c>
      <c r="Z305" s="746"/>
    </row>
    <row r="306" spans="2:26">
      <c r="B306" s="598" t="s">
        <v>2595</v>
      </c>
      <c r="C306" s="604" t="s">
        <v>1107</v>
      </c>
      <c r="D306" s="745">
        <v>2000</v>
      </c>
      <c r="E306" s="604" t="s">
        <v>1304</v>
      </c>
      <c r="F306" s="738">
        <v>0.4</v>
      </c>
      <c r="G306" s="739">
        <v>1717.22</v>
      </c>
      <c r="H306" s="741">
        <v>1717.22</v>
      </c>
      <c r="I306" s="742">
        <f t="shared" si="128"/>
        <v>0</v>
      </c>
      <c r="J306" s="740">
        <f t="shared" si="129"/>
        <v>0</v>
      </c>
      <c r="K306" s="739">
        <f t="shared" si="130"/>
        <v>1717.22</v>
      </c>
      <c r="L306" s="860">
        <f t="shared" si="131"/>
        <v>0</v>
      </c>
      <c r="M306" s="740">
        <f t="shared" si="111"/>
        <v>0</v>
      </c>
      <c r="N306" s="604">
        <f t="shared" si="112"/>
        <v>0</v>
      </c>
      <c r="O306" s="604">
        <f t="shared" si="101"/>
        <v>0</v>
      </c>
      <c r="P306" s="604">
        <f t="shared" si="102"/>
        <v>0</v>
      </c>
      <c r="Q306" s="604">
        <f t="shared" si="103"/>
        <v>0</v>
      </c>
      <c r="R306" s="604">
        <f t="shared" si="104"/>
        <v>0</v>
      </c>
      <c r="S306" s="604">
        <f t="shared" si="105"/>
        <v>0</v>
      </c>
      <c r="T306" s="604">
        <f t="shared" si="106"/>
        <v>0</v>
      </c>
      <c r="U306" s="604">
        <f t="shared" si="107"/>
        <v>0</v>
      </c>
      <c r="V306" s="604">
        <f t="shared" si="108"/>
        <v>0</v>
      </c>
      <c r="W306" s="604">
        <f t="shared" si="109"/>
        <v>0</v>
      </c>
      <c r="X306" s="746">
        <v>0</v>
      </c>
      <c r="Y306" s="746">
        <f t="shared" si="110"/>
        <v>0</v>
      </c>
    </row>
    <row r="307" spans="2:26">
      <c r="B307" s="598" t="s">
        <v>2595</v>
      </c>
      <c r="C307" s="604" t="s">
        <v>1107</v>
      </c>
      <c r="D307" s="745">
        <v>2001</v>
      </c>
      <c r="E307" s="604" t="s">
        <v>1305</v>
      </c>
      <c r="F307" s="738">
        <v>0.4</v>
      </c>
      <c r="G307" s="739">
        <v>2220.7600000000002</v>
      </c>
      <c r="H307" s="741">
        <v>2220.7600000000002</v>
      </c>
      <c r="I307" s="742">
        <f t="shared" si="128"/>
        <v>0</v>
      </c>
      <c r="J307" s="740">
        <f t="shared" si="129"/>
        <v>0</v>
      </c>
      <c r="K307" s="739">
        <f t="shared" si="130"/>
        <v>2220.7600000000002</v>
      </c>
      <c r="L307" s="860">
        <f t="shared" si="131"/>
        <v>0</v>
      </c>
      <c r="M307" s="740">
        <f t="shared" si="111"/>
        <v>0</v>
      </c>
      <c r="N307" s="604">
        <f t="shared" si="112"/>
        <v>0</v>
      </c>
      <c r="O307" s="604">
        <f t="shared" si="101"/>
        <v>0</v>
      </c>
      <c r="P307" s="604">
        <f t="shared" si="102"/>
        <v>0</v>
      </c>
      <c r="Q307" s="604">
        <f t="shared" si="103"/>
        <v>0</v>
      </c>
      <c r="R307" s="604">
        <f t="shared" si="104"/>
        <v>0</v>
      </c>
      <c r="S307" s="604">
        <f t="shared" si="105"/>
        <v>0</v>
      </c>
      <c r="T307" s="604">
        <f t="shared" si="106"/>
        <v>0</v>
      </c>
      <c r="U307" s="604">
        <f t="shared" si="107"/>
        <v>0</v>
      </c>
      <c r="V307" s="604">
        <f t="shared" si="108"/>
        <v>0</v>
      </c>
      <c r="W307" s="604">
        <f t="shared" si="109"/>
        <v>0</v>
      </c>
      <c r="X307" s="746">
        <v>0</v>
      </c>
      <c r="Y307" s="746">
        <f t="shared" si="110"/>
        <v>0</v>
      </c>
    </row>
    <row r="308" spans="2:26">
      <c r="B308" s="598" t="s">
        <v>2595</v>
      </c>
      <c r="C308" s="604" t="s">
        <v>1107</v>
      </c>
      <c r="D308" s="745">
        <v>2002</v>
      </c>
      <c r="E308" s="604" t="s">
        <v>1306</v>
      </c>
      <c r="F308" s="738">
        <v>0.4</v>
      </c>
      <c r="G308" s="739">
        <v>658.84</v>
      </c>
      <c r="H308" s="741">
        <v>658.84</v>
      </c>
      <c r="I308" s="742">
        <f t="shared" si="128"/>
        <v>0</v>
      </c>
      <c r="J308" s="740">
        <f t="shared" si="129"/>
        <v>0</v>
      </c>
      <c r="K308" s="739">
        <f t="shared" si="130"/>
        <v>658.84</v>
      </c>
      <c r="L308" s="860">
        <f t="shared" si="131"/>
        <v>0</v>
      </c>
      <c r="M308" s="740">
        <f t="shared" si="111"/>
        <v>0</v>
      </c>
      <c r="N308" s="604">
        <f t="shared" si="112"/>
        <v>0</v>
      </c>
      <c r="O308" s="604">
        <f t="shared" si="101"/>
        <v>0</v>
      </c>
      <c r="P308" s="604">
        <f t="shared" si="102"/>
        <v>0</v>
      </c>
      <c r="Q308" s="604">
        <f t="shared" si="103"/>
        <v>0</v>
      </c>
      <c r="R308" s="604">
        <f t="shared" si="104"/>
        <v>0</v>
      </c>
      <c r="S308" s="604">
        <f t="shared" si="105"/>
        <v>0</v>
      </c>
      <c r="T308" s="604">
        <f t="shared" si="106"/>
        <v>0</v>
      </c>
      <c r="U308" s="604">
        <f t="shared" si="107"/>
        <v>0</v>
      </c>
      <c r="V308" s="604">
        <f t="shared" si="108"/>
        <v>0</v>
      </c>
      <c r="W308" s="604">
        <f t="shared" si="109"/>
        <v>0</v>
      </c>
      <c r="X308" s="746">
        <v>0</v>
      </c>
      <c r="Y308" s="746">
        <f t="shared" si="110"/>
        <v>0</v>
      </c>
    </row>
    <row r="309" spans="2:26">
      <c r="B309" s="598" t="s">
        <v>2595</v>
      </c>
      <c r="C309" s="604" t="s">
        <v>1107</v>
      </c>
      <c r="D309" s="745">
        <v>2002</v>
      </c>
      <c r="E309" s="604" t="s">
        <v>1307</v>
      </c>
      <c r="F309" s="738">
        <v>0.4</v>
      </c>
      <c r="G309" s="739">
        <v>1190</v>
      </c>
      <c r="H309" s="741">
        <v>1190</v>
      </c>
      <c r="I309" s="742">
        <f t="shared" si="128"/>
        <v>0</v>
      </c>
      <c r="J309" s="740">
        <f t="shared" si="129"/>
        <v>0</v>
      </c>
      <c r="K309" s="739">
        <f t="shared" si="130"/>
        <v>1190</v>
      </c>
      <c r="L309" s="860">
        <f t="shared" si="131"/>
        <v>0</v>
      </c>
      <c r="M309" s="740">
        <f t="shared" si="111"/>
        <v>0</v>
      </c>
      <c r="N309" s="604">
        <f t="shared" si="112"/>
        <v>0</v>
      </c>
      <c r="O309" s="604">
        <f t="shared" si="101"/>
        <v>0</v>
      </c>
      <c r="P309" s="604">
        <f t="shared" si="102"/>
        <v>0</v>
      </c>
      <c r="Q309" s="604">
        <f t="shared" si="103"/>
        <v>0</v>
      </c>
      <c r="R309" s="604">
        <f t="shared" si="104"/>
        <v>0</v>
      </c>
      <c r="S309" s="604">
        <f t="shared" si="105"/>
        <v>0</v>
      </c>
      <c r="T309" s="604">
        <f t="shared" si="106"/>
        <v>0</v>
      </c>
      <c r="U309" s="604">
        <f t="shared" si="107"/>
        <v>0</v>
      </c>
      <c r="V309" s="604">
        <f t="shared" si="108"/>
        <v>0</v>
      </c>
      <c r="W309" s="604">
        <f t="shared" si="109"/>
        <v>0</v>
      </c>
      <c r="X309" s="746">
        <v>0</v>
      </c>
      <c r="Y309" s="746">
        <f t="shared" si="110"/>
        <v>0</v>
      </c>
    </row>
    <row r="310" spans="2:26">
      <c r="B310" s="598" t="s">
        <v>2595</v>
      </c>
      <c r="C310" s="604" t="s">
        <v>1107</v>
      </c>
      <c r="D310" s="745">
        <v>2003</v>
      </c>
      <c r="E310" s="604" t="s">
        <v>1308</v>
      </c>
      <c r="F310" s="738">
        <v>0.4</v>
      </c>
      <c r="G310" s="739">
        <v>4114.68</v>
      </c>
      <c r="H310" s="741">
        <v>4114.68</v>
      </c>
      <c r="I310" s="742">
        <f t="shared" si="128"/>
        <v>0</v>
      </c>
      <c r="J310" s="740">
        <f t="shared" si="129"/>
        <v>0</v>
      </c>
      <c r="K310" s="739">
        <f t="shared" si="130"/>
        <v>4114.68</v>
      </c>
      <c r="L310" s="860">
        <f t="shared" si="131"/>
        <v>0</v>
      </c>
      <c r="M310" s="740">
        <f t="shared" si="111"/>
        <v>0</v>
      </c>
      <c r="N310" s="604">
        <f t="shared" si="112"/>
        <v>0</v>
      </c>
      <c r="O310" s="604">
        <f t="shared" si="101"/>
        <v>0</v>
      </c>
      <c r="P310" s="604">
        <f t="shared" si="102"/>
        <v>0</v>
      </c>
      <c r="Q310" s="604">
        <f t="shared" si="103"/>
        <v>0</v>
      </c>
      <c r="R310" s="604">
        <f t="shared" si="104"/>
        <v>0</v>
      </c>
      <c r="S310" s="604">
        <f t="shared" si="105"/>
        <v>0</v>
      </c>
      <c r="T310" s="604">
        <f t="shared" si="106"/>
        <v>0</v>
      </c>
      <c r="U310" s="604">
        <f t="shared" si="107"/>
        <v>0</v>
      </c>
      <c r="V310" s="604">
        <f t="shared" si="108"/>
        <v>0</v>
      </c>
      <c r="W310" s="604">
        <f t="shared" si="109"/>
        <v>0</v>
      </c>
      <c r="X310" s="746">
        <v>0</v>
      </c>
      <c r="Y310" s="746">
        <f t="shared" si="110"/>
        <v>0</v>
      </c>
    </row>
    <row r="311" spans="2:26">
      <c r="B311" s="598" t="s">
        <v>2595</v>
      </c>
      <c r="C311" s="604" t="s">
        <v>1107</v>
      </c>
      <c r="D311" s="745">
        <v>2003</v>
      </c>
      <c r="E311" s="604" t="s">
        <v>1309</v>
      </c>
      <c r="F311" s="738">
        <v>0.4</v>
      </c>
      <c r="G311" s="739">
        <v>2181.52</v>
      </c>
      <c r="H311" s="741">
        <v>2181.52</v>
      </c>
      <c r="I311" s="742">
        <f t="shared" si="128"/>
        <v>0</v>
      </c>
      <c r="J311" s="740">
        <f t="shared" si="129"/>
        <v>0</v>
      </c>
      <c r="K311" s="739">
        <f t="shared" si="130"/>
        <v>2181.52</v>
      </c>
      <c r="L311" s="860">
        <f t="shared" si="131"/>
        <v>0</v>
      </c>
      <c r="M311" s="740">
        <f t="shared" si="111"/>
        <v>0</v>
      </c>
      <c r="N311" s="604">
        <f t="shared" si="112"/>
        <v>0</v>
      </c>
      <c r="O311" s="604">
        <f t="shared" si="101"/>
        <v>0</v>
      </c>
      <c r="P311" s="604">
        <f t="shared" si="102"/>
        <v>0</v>
      </c>
      <c r="Q311" s="604">
        <f t="shared" si="103"/>
        <v>0</v>
      </c>
      <c r="R311" s="604">
        <f t="shared" si="104"/>
        <v>0</v>
      </c>
      <c r="S311" s="604">
        <f t="shared" si="105"/>
        <v>0</v>
      </c>
      <c r="T311" s="604">
        <f t="shared" si="106"/>
        <v>0</v>
      </c>
      <c r="U311" s="604">
        <f t="shared" si="107"/>
        <v>0</v>
      </c>
      <c r="V311" s="604">
        <f t="shared" si="108"/>
        <v>0</v>
      </c>
      <c r="W311" s="604">
        <f t="shared" si="109"/>
        <v>0</v>
      </c>
      <c r="X311" s="746">
        <v>0</v>
      </c>
      <c r="Y311" s="746">
        <f t="shared" si="110"/>
        <v>0</v>
      </c>
    </row>
    <row r="312" spans="2:26">
      <c r="B312" s="598" t="s">
        <v>2595</v>
      </c>
      <c r="C312" s="604" t="s">
        <v>1107</v>
      </c>
      <c r="D312" s="745">
        <v>2003</v>
      </c>
      <c r="E312" s="604" t="s">
        <v>1310</v>
      </c>
      <c r="F312" s="738">
        <v>0.4</v>
      </c>
      <c r="G312" s="739">
        <v>3000</v>
      </c>
      <c r="H312" s="741">
        <v>3000</v>
      </c>
      <c r="I312" s="742">
        <f t="shared" si="128"/>
        <v>0</v>
      </c>
      <c r="J312" s="740">
        <f t="shared" si="129"/>
        <v>0</v>
      </c>
      <c r="K312" s="739">
        <f t="shared" si="130"/>
        <v>3000</v>
      </c>
      <c r="L312" s="860">
        <f t="shared" si="131"/>
        <v>0</v>
      </c>
      <c r="M312" s="740">
        <f t="shared" si="111"/>
        <v>0</v>
      </c>
      <c r="N312" s="604">
        <f t="shared" si="112"/>
        <v>0</v>
      </c>
      <c r="O312" s="604">
        <f t="shared" si="101"/>
        <v>0</v>
      </c>
      <c r="P312" s="604">
        <f t="shared" si="102"/>
        <v>0</v>
      </c>
      <c r="Q312" s="604">
        <f t="shared" si="103"/>
        <v>0</v>
      </c>
      <c r="R312" s="604">
        <f t="shared" si="104"/>
        <v>0</v>
      </c>
      <c r="S312" s="604">
        <f t="shared" si="105"/>
        <v>0</v>
      </c>
      <c r="T312" s="604">
        <f t="shared" si="106"/>
        <v>0</v>
      </c>
      <c r="U312" s="604">
        <f t="shared" si="107"/>
        <v>0</v>
      </c>
      <c r="V312" s="604">
        <f t="shared" si="108"/>
        <v>0</v>
      </c>
      <c r="W312" s="604">
        <f t="shared" si="109"/>
        <v>0</v>
      </c>
      <c r="X312" s="746">
        <v>0</v>
      </c>
      <c r="Y312" s="746">
        <f t="shared" si="110"/>
        <v>0</v>
      </c>
    </row>
    <row r="313" spans="2:26">
      <c r="B313" s="598" t="s">
        <v>2595</v>
      </c>
      <c r="C313" s="604" t="s">
        <v>1107</v>
      </c>
      <c r="D313" s="745">
        <v>2003</v>
      </c>
      <c r="E313" s="604"/>
      <c r="F313" s="738">
        <v>0.4</v>
      </c>
      <c r="G313" s="739">
        <v>-3000</v>
      </c>
      <c r="H313" s="741">
        <v>-3000</v>
      </c>
      <c r="I313" s="742">
        <f t="shared" si="128"/>
        <v>0</v>
      </c>
      <c r="J313" s="740">
        <f t="shared" si="129"/>
        <v>0</v>
      </c>
      <c r="K313" s="739">
        <f t="shared" si="130"/>
        <v>-3000</v>
      </c>
      <c r="L313" s="860">
        <f t="shared" si="131"/>
        <v>0</v>
      </c>
      <c r="M313" s="740">
        <f t="shared" si="111"/>
        <v>0</v>
      </c>
      <c r="N313" s="604">
        <f t="shared" si="112"/>
        <v>0</v>
      </c>
      <c r="O313" s="604">
        <f t="shared" si="101"/>
        <v>0</v>
      </c>
      <c r="P313" s="604">
        <f t="shared" si="102"/>
        <v>0</v>
      </c>
      <c r="Q313" s="604">
        <f t="shared" si="103"/>
        <v>0</v>
      </c>
      <c r="R313" s="604">
        <f t="shared" si="104"/>
        <v>0</v>
      </c>
      <c r="S313" s="604">
        <f t="shared" si="105"/>
        <v>0</v>
      </c>
      <c r="T313" s="604">
        <f t="shared" si="106"/>
        <v>0</v>
      </c>
      <c r="U313" s="604">
        <f t="shared" si="107"/>
        <v>0</v>
      </c>
      <c r="V313" s="604">
        <f t="shared" si="108"/>
        <v>0</v>
      </c>
      <c r="W313" s="604">
        <f t="shared" si="109"/>
        <v>0</v>
      </c>
      <c r="X313" s="746">
        <v>0</v>
      </c>
      <c r="Y313" s="746">
        <f t="shared" si="110"/>
        <v>0</v>
      </c>
    </row>
    <row r="314" spans="2:26">
      <c r="B314" s="598" t="s">
        <v>2595</v>
      </c>
      <c r="C314" s="604" t="s">
        <v>1107</v>
      </c>
      <c r="D314" s="745">
        <v>2003</v>
      </c>
      <c r="E314" s="604" t="s">
        <v>1311</v>
      </c>
      <c r="F314" s="738">
        <v>0.4</v>
      </c>
      <c r="G314" s="739">
        <v>3000</v>
      </c>
      <c r="H314" s="741">
        <v>3000</v>
      </c>
      <c r="I314" s="742">
        <f t="shared" si="128"/>
        <v>0</v>
      </c>
      <c r="J314" s="740">
        <f t="shared" si="129"/>
        <v>0</v>
      </c>
      <c r="K314" s="739">
        <f t="shared" si="130"/>
        <v>3000</v>
      </c>
      <c r="L314" s="860">
        <f t="shared" si="131"/>
        <v>0</v>
      </c>
      <c r="M314" s="740">
        <f t="shared" si="111"/>
        <v>0</v>
      </c>
      <c r="N314" s="604">
        <f t="shared" si="112"/>
        <v>0</v>
      </c>
      <c r="O314" s="604">
        <f t="shared" si="101"/>
        <v>0</v>
      </c>
      <c r="P314" s="604">
        <f t="shared" si="102"/>
        <v>0</v>
      </c>
      <c r="Q314" s="604">
        <f t="shared" si="103"/>
        <v>0</v>
      </c>
      <c r="R314" s="604">
        <f t="shared" si="104"/>
        <v>0</v>
      </c>
      <c r="S314" s="604">
        <f t="shared" si="105"/>
        <v>0</v>
      </c>
      <c r="T314" s="604">
        <f t="shared" si="106"/>
        <v>0</v>
      </c>
      <c r="U314" s="604">
        <f t="shared" si="107"/>
        <v>0</v>
      </c>
      <c r="V314" s="604">
        <f t="shared" si="108"/>
        <v>0</v>
      </c>
      <c r="W314" s="604">
        <f t="shared" si="109"/>
        <v>0</v>
      </c>
      <c r="X314" s="746">
        <v>0</v>
      </c>
      <c r="Y314" s="746">
        <f t="shared" si="110"/>
        <v>0</v>
      </c>
    </row>
    <row r="315" spans="2:26">
      <c r="B315" s="598" t="s">
        <v>2595</v>
      </c>
      <c r="C315" s="604" t="s">
        <v>1107</v>
      </c>
      <c r="D315" s="745">
        <v>2003</v>
      </c>
      <c r="E315" s="604"/>
      <c r="F315" s="738">
        <v>0.4</v>
      </c>
      <c r="G315" s="739">
        <v>-3000</v>
      </c>
      <c r="H315" s="741">
        <v>-3000</v>
      </c>
      <c r="I315" s="742">
        <f t="shared" si="128"/>
        <v>0</v>
      </c>
      <c r="J315" s="740">
        <f t="shared" si="129"/>
        <v>0</v>
      </c>
      <c r="K315" s="739">
        <f t="shared" si="130"/>
        <v>-3000</v>
      </c>
      <c r="L315" s="860">
        <f t="shared" si="131"/>
        <v>0</v>
      </c>
      <c r="M315" s="740">
        <f t="shared" si="111"/>
        <v>0</v>
      </c>
      <c r="N315" s="604">
        <f t="shared" si="112"/>
        <v>0</v>
      </c>
      <c r="O315" s="604">
        <f t="shared" si="101"/>
        <v>0</v>
      </c>
      <c r="P315" s="604">
        <f t="shared" si="102"/>
        <v>0</v>
      </c>
      <c r="Q315" s="604">
        <f t="shared" si="103"/>
        <v>0</v>
      </c>
      <c r="R315" s="604">
        <f t="shared" si="104"/>
        <v>0</v>
      </c>
      <c r="S315" s="604">
        <f t="shared" si="105"/>
        <v>0</v>
      </c>
      <c r="T315" s="604">
        <f t="shared" si="106"/>
        <v>0</v>
      </c>
      <c r="U315" s="604">
        <f t="shared" si="107"/>
        <v>0</v>
      </c>
      <c r="V315" s="604">
        <f t="shared" si="108"/>
        <v>0</v>
      </c>
      <c r="W315" s="604">
        <f t="shared" si="109"/>
        <v>0</v>
      </c>
      <c r="X315" s="746">
        <v>0</v>
      </c>
      <c r="Y315" s="746">
        <f t="shared" si="110"/>
        <v>0</v>
      </c>
    </row>
    <row r="316" spans="2:26">
      <c r="B316" s="598" t="s">
        <v>2595</v>
      </c>
      <c r="C316" s="604" t="s">
        <v>1107</v>
      </c>
      <c r="D316" s="745">
        <v>2003</v>
      </c>
      <c r="E316" s="604" t="s">
        <v>1312</v>
      </c>
      <c r="F316" s="738">
        <v>0.4</v>
      </c>
      <c r="G316" s="739">
        <v>1800</v>
      </c>
      <c r="H316" s="741">
        <v>1800</v>
      </c>
      <c r="I316" s="742">
        <f t="shared" si="128"/>
        <v>0</v>
      </c>
      <c r="J316" s="740">
        <f t="shared" si="129"/>
        <v>0</v>
      </c>
      <c r="K316" s="739">
        <f t="shared" si="130"/>
        <v>1800</v>
      </c>
      <c r="L316" s="860">
        <f t="shared" si="131"/>
        <v>0</v>
      </c>
      <c r="M316" s="740">
        <f t="shared" si="111"/>
        <v>0</v>
      </c>
      <c r="N316" s="604">
        <f t="shared" si="112"/>
        <v>0</v>
      </c>
      <c r="O316" s="604">
        <f t="shared" si="101"/>
        <v>0</v>
      </c>
      <c r="P316" s="604">
        <f t="shared" si="102"/>
        <v>0</v>
      </c>
      <c r="Q316" s="604">
        <f t="shared" si="103"/>
        <v>0</v>
      </c>
      <c r="R316" s="604">
        <f t="shared" si="104"/>
        <v>0</v>
      </c>
      <c r="S316" s="604">
        <f t="shared" si="105"/>
        <v>0</v>
      </c>
      <c r="T316" s="604">
        <f t="shared" si="106"/>
        <v>0</v>
      </c>
      <c r="U316" s="604">
        <f t="shared" si="107"/>
        <v>0</v>
      </c>
      <c r="V316" s="604">
        <f t="shared" si="108"/>
        <v>0</v>
      </c>
      <c r="W316" s="604">
        <f t="shared" si="109"/>
        <v>0</v>
      </c>
      <c r="X316" s="746">
        <v>0</v>
      </c>
      <c r="Y316" s="746">
        <f t="shared" si="110"/>
        <v>0</v>
      </c>
    </row>
    <row r="317" spans="2:26">
      <c r="B317" s="598" t="s">
        <v>2595</v>
      </c>
      <c r="C317" s="604" t="s">
        <v>1107</v>
      </c>
      <c r="D317" s="745">
        <v>2004</v>
      </c>
      <c r="E317" s="604" t="s">
        <v>1313</v>
      </c>
      <c r="F317" s="738">
        <v>0.4</v>
      </c>
      <c r="G317" s="739">
        <v>3000</v>
      </c>
      <c r="H317" s="741">
        <v>3000</v>
      </c>
      <c r="I317" s="742">
        <f t="shared" si="128"/>
        <v>0</v>
      </c>
      <c r="J317" s="740">
        <f t="shared" si="129"/>
        <v>0</v>
      </c>
      <c r="K317" s="739">
        <f t="shared" si="130"/>
        <v>3000</v>
      </c>
      <c r="L317" s="860">
        <f t="shared" si="131"/>
        <v>0</v>
      </c>
      <c r="M317" s="740">
        <f t="shared" si="111"/>
        <v>0</v>
      </c>
      <c r="N317" s="604">
        <f t="shared" si="112"/>
        <v>0</v>
      </c>
      <c r="O317" s="604">
        <f t="shared" si="101"/>
        <v>0</v>
      </c>
      <c r="P317" s="604">
        <f t="shared" si="102"/>
        <v>0</v>
      </c>
      <c r="Q317" s="604">
        <f t="shared" si="103"/>
        <v>0</v>
      </c>
      <c r="R317" s="604">
        <f t="shared" si="104"/>
        <v>0</v>
      </c>
      <c r="S317" s="604">
        <f t="shared" si="105"/>
        <v>0</v>
      </c>
      <c r="T317" s="604">
        <f t="shared" si="106"/>
        <v>0</v>
      </c>
      <c r="U317" s="604">
        <f t="shared" si="107"/>
        <v>0</v>
      </c>
      <c r="V317" s="604">
        <f t="shared" si="108"/>
        <v>0</v>
      </c>
      <c r="W317" s="604">
        <f t="shared" si="109"/>
        <v>0</v>
      </c>
      <c r="X317" s="746">
        <v>0</v>
      </c>
      <c r="Y317" s="746">
        <f t="shared" si="110"/>
        <v>0</v>
      </c>
    </row>
    <row r="318" spans="2:26">
      <c r="B318" s="598" t="s">
        <v>2595</v>
      </c>
      <c r="C318" s="604" t="s">
        <v>1107</v>
      </c>
      <c r="D318" s="745">
        <v>2004</v>
      </c>
      <c r="E318" s="604" t="s">
        <v>1314</v>
      </c>
      <c r="F318" s="738">
        <v>0.4</v>
      </c>
      <c r="G318" s="739">
        <v>3000</v>
      </c>
      <c r="H318" s="741">
        <v>3000</v>
      </c>
      <c r="I318" s="742">
        <f t="shared" si="128"/>
        <v>0</v>
      </c>
      <c r="J318" s="740">
        <f t="shared" si="129"/>
        <v>0</v>
      </c>
      <c r="K318" s="739">
        <f t="shared" si="130"/>
        <v>3000</v>
      </c>
      <c r="L318" s="860">
        <f t="shared" si="131"/>
        <v>0</v>
      </c>
      <c r="M318" s="740">
        <f t="shared" si="111"/>
        <v>0</v>
      </c>
      <c r="N318" s="604">
        <f t="shared" si="112"/>
        <v>0</v>
      </c>
      <c r="O318" s="604">
        <f t="shared" si="101"/>
        <v>0</v>
      </c>
      <c r="P318" s="604">
        <f t="shared" si="102"/>
        <v>0</v>
      </c>
      <c r="Q318" s="604">
        <f t="shared" si="103"/>
        <v>0</v>
      </c>
      <c r="R318" s="604">
        <f t="shared" si="104"/>
        <v>0</v>
      </c>
      <c r="S318" s="604">
        <f t="shared" si="105"/>
        <v>0</v>
      </c>
      <c r="T318" s="604">
        <f t="shared" si="106"/>
        <v>0</v>
      </c>
      <c r="U318" s="604">
        <f t="shared" si="107"/>
        <v>0</v>
      </c>
      <c r="V318" s="604">
        <f t="shared" si="108"/>
        <v>0</v>
      </c>
      <c r="W318" s="604">
        <f t="shared" si="109"/>
        <v>0</v>
      </c>
      <c r="X318" s="746">
        <v>0</v>
      </c>
      <c r="Y318" s="746">
        <f t="shared" si="110"/>
        <v>0</v>
      </c>
    </row>
    <row r="319" spans="2:26">
      <c r="B319" s="598" t="s">
        <v>2595</v>
      </c>
      <c r="C319" s="604" t="s">
        <v>1107</v>
      </c>
      <c r="D319" s="745">
        <v>2004</v>
      </c>
      <c r="E319" s="604" t="s">
        <v>1315</v>
      </c>
      <c r="F319" s="738">
        <v>0.4</v>
      </c>
      <c r="G319" s="739">
        <v>3000</v>
      </c>
      <c r="H319" s="741">
        <v>3000</v>
      </c>
      <c r="I319" s="742">
        <f t="shared" si="128"/>
        <v>0</v>
      </c>
      <c r="J319" s="740">
        <f t="shared" si="129"/>
        <v>0</v>
      </c>
      <c r="K319" s="739">
        <f t="shared" si="130"/>
        <v>3000</v>
      </c>
      <c r="L319" s="860">
        <f t="shared" si="131"/>
        <v>0</v>
      </c>
      <c r="M319" s="740">
        <f t="shared" si="111"/>
        <v>0</v>
      </c>
      <c r="N319" s="604">
        <f t="shared" si="112"/>
        <v>0</v>
      </c>
      <c r="O319" s="604">
        <f t="shared" si="101"/>
        <v>0</v>
      </c>
      <c r="P319" s="604">
        <f t="shared" si="102"/>
        <v>0</v>
      </c>
      <c r="Q319" s="604">
        <f t="shared" si="103"/>
        <v>0</v>
      </c>
      <c r="R319" s="604">
        <f t="shared" si="104"/>
        <v>0</v>
      </c>
      <c r="S319" s="604">
        <f t="shared" si="105"/>
        <v>0</v>
      </c>
      <c r="T319" s="604">
        <f t="shared" si="106"/>
        <v>0</v>
      </c>
      <c r="U319" s="604">
        <f t="shared" si="107"/>
        <v>0</v>
      </c>
      <c r="V319" s="604">
        <f t="shared" si="108"/>
        <v>0</v>
      </c>
      <c r="W319" s="604">
        <f t="shared" si="109"/>
        <v>0</v>
      </c>
      <c r="X319" s="746">
        <v>0</v>
      </c>
      <c r="Y319" s="746">
        <f t="shared" si="110"/>
        <v>0</v>
      </c>
    </row>
    <row r="320" spans="2:26">
      <c r="B320" s="598" t="s">
        <v>2595</v>
      </c>
      <c r="C320" s="604" t="s">
        <v>1107</v>
      </c>
      <c r="D320" s="745">
        <v>2004</v>
      </c>
      <c r="E320" s="604" t="s">
        <v>1316</v>
      </c>
      <c r="F320" s="738">
        <v>0.4</v>
      </c>
      <c r="G320" s="739">
        <v>1280</v>
      </c>
      <c r="H320" s="741">
        <v>1280</v>
      </c>
      <c r="I320" s="742">
        <f t="shared" si="128"/>
        <v>0</v>
      </c>
      <c r="J320" s="740">
        <f t="shared" si="129"/>
        <v>0</v>
      </c>
      <c r="K320" s="739">
        <f t="shared" si="130"/>
        <v>1280</v>
      </c>
      <c r="L320" s="860">
        <f t="shared" si="131"/>
        <v>0</v>
      </c>
      <c r="M320" s="740">
        <f t="shared" si="111"/>
        <v>0</v>
      </c>
      <c r="N320" s="604">
        <f t="shared" si="112"/>
        <v>0</v>
      </c>
      <c r="O320" s="604">
        <f t="shared" si="101"/>
        <v>0</v>
      </c>
      <c r="P320" s="604">
        <f t="shared" si="102"/>
        <v>0</v>
      </c>
      <c r="Q320" s="604">
        <f t="shared" si="103"/>
        <v>0</v>
      </c>
      <c r="R320" s="604">
        <f t="shared" si="104"/>
        <v>0</v>
      </c>
      <c r="S320" s="604">
        <f t="shared" si="105"/>
        <v>0</v>
      </c>
      <c r="T320" s="604">
        <f t="shared" si="106"/>
        <v>0</v>
      </c>
      <c r="U320" s="604">
        <f t="shared" si="107"/>
        <v>0</v>
      </c>
      <c r="V320" s="604">
        <f t="shared" si="108"/>
        <v>0</v>
      </c>
      <c r="W320" s="604">
        <f t="shared" si="109"/>
        <v>0</v>
      </c>
      <c r="X320" s="746">
        <v>0</v>
      </c>
      <c r="Y320" s="746">
        <f t="shared" si="110"/>
        <v>0</v>
      </c>
    </row>
    <row r="321" spans="2:25">
      <c r="B321" s="598" t="s">
        <v>2595</v>
      </c>
      <c r="C321" s="604" t="s">
        <v>1107</v>
      </c>
      <c r="D321" s="745">
        <v>2004</v>
      </c>
      <c r="E321" s="604" t="s">
        <v>1317</v>
      </c>
      <c r="F321" s="738">
        <v>0.4</v>
      </c>
      <c r="G321" s="739">
        <v>3500</v>
      </c>
      <c r="H321" s="741">
        <v>3500</v>
      </c>
      <c r="I321" s="742">
        <f t="shared" si="128"/>
        <v>0</v>
      </c>
      <c r="J321" s="740">
        <f t="shared" si="129"/>
        <v>0</v>
      </c>
      <c r="K321" s="739">
        <f t="shared" si="130"/>
        <v>3500</v>
      </c>
      <c r="L321" s="860">
        <f t="shared" si="131"/>
        <v>0</v>
      </c>
      <c r="M321" s="740">
        <f t="shared" si="111"/>
        <v>0</v>
      </c>
      <c r="N321" s="604">
        <f t="shared" si="112"/>
        <v>0</v>
      </c>
      <c r="O321" s="604">
        <f t="shared" si="101"/>
        <v>0</v>
      </c>
      <c r="P321" s="604">
        <f t="shared" si="102"/>
        <v>0</v>
      </c>
      <c r="Q321" s="604">
        <f t="shared" si="103"/>
        <v>0</v>
      </c>
      <c r="R321" s="604">
        <f t="shared" si="104"/>
        <v>0</v>
      </c>
      <c r="S321" s="604">
        <f t="shared" si="105"/>
        <v>0</v>
      </c>
      <c r="T321" s="604">
        <f t="shared" si="106"/>
        <v>0</v>
      </c>
      <c r="U321" s="604">
        <f t="shared" si="107"/>
        <v>0</v>
      </c>
      <c r="V321" s="604">
        <f t="shared" si="108"/>
        <v>0</v>
      </c>
      <c r="W321" s="604">
        <f t="shared" si="109"/>
        <v>0</v>
      </c>
      <c r="X321" s="746">
        <v>0</v>
      </c>
      <c r="Y321" s="746">
        <f t="shared" si="110"/>
        <v>0</v>
      </c>
    </row>
    <row r="322" spans="2:25">
      <c r="B322" s="598" t="s">
        <v>2595</v>
      </c>
      <c r="C322" s="604" t="s">
        <v>1107</v>
      </c>
      <c r="D322" s="745">
        <v>2004</v>
      </c>
      <c r="E322" s="604" t="s">
        <v>1318</v>
      </c>
      <c r="F322" s="738">
        <v>0.4</v>
      </c>
      <c r="G322" s="739">
        <v>1180</v>
      </c>
      <c r="H322" s="741">
        <v>1180</v>
      </c>
      <c r="I322" s="742">
        <f t="shared" si="128"/>
        <v>0</v>
      </c>
      <c r="J322" s="740">
        <f t="shared" si="129"/>
        <v>0</v>
      </c>
      <c r="K322" s="739">
        <f t="shared" si="130"/>
        <v>1180</v>
      </c>
      <c r="L322" s="860">
        <f t="shared" si="131"/>
        <v>0</v>
      </c>
      <c r="M322" s="740">
        <f t="shared" si="111"/>
        <v>0</v>
      </c>
      <c r="N322" s="604">
        <f t="shared" si="112"/>
        <v>0</v>
      </c>
      <c r="O322" s="604">
        <f t="shared" si="101"/>
        <v>0</v>
      </c>
      <c r="P322" s="604">
        <f t="shared" si="102"/>
        <v>0</v>
      </c>
      <c r="Q322" s="604">
        <f t="shared" si="103"/>
        <v>0</v>
      </c>
      <c r="R322" s="604">
        <f t="shared" si="104"/>
        <v>0</v>
      </c>
      <c r="S322" s="604">
        <f t="shared" si="105"/>
        <v>0</v>
      </c>
      <c r="T322" s="604">
        <f t="shared" si="106"/>
        <v>0</v>
      </c>
      <c r="U322" s="604">
        <f t="shared" si="107"/>
        <v>0</v>
      </c>
      <c r="V322" s="604">
        <f t="shared" si="108"/>
        <v>0</v>
      </c>
      <c r="W322" s="604">
        <f t="shared" si="109"/>
        <v>0</v>
      </c>
      <c r="X322" s="746">
        <v>0</v>
      </c>
      <c r="Y322" s="746">
        <f t="shared" si="110"/>
        <v>0</v>
      </c>
    </row>
    <row r="323" spans="2:25">
      <c r="B323" s="598" t="s">
        <v>2595</v>
      </c>
      <c r="C323" s="604" t="s">
        <v>1107</v>
      </c>
      <c r="D323" s="745">
        <v>2004</v>
      </c>
      <c r="E323" s="604" t="s">
        <v>1319</v>
      </c>
      <c r="F323" s="738">
        <v>0.4</v>
      </c>
      <c r="G323" s="739">
        <v>2000</v>
      </c>
      <c r="H323" s="741">
        <v>2000</v>
      </c>
      <c r="I323" s="742">
        <f t="shared" si="128"/>
        <v>0</v>
      </c>
      <c r="J323" s="740">
        <f t="shared" si="129"/>
        <v>0</v>
      </c>
      <c r="K323" s="739">
        <f t="shared" si="130"/>
        <v>2000</v>
      </c>
      <c r="L323" s="860">
        <f t="shared" si="131"/>
        <v>0</v>
      </c>
      <c r="M323" s="740">
        <f t="shared" si="111"/>
        <v>0</v>
      </c>
      <c r="N323" s="604">
        <f t="shared" si="112"/>
        <v>0</v>
      </c>
      <c r="O323" s="604">
        <f t="shared" si="101"/>
        <v>0</v>
      </c>
      <c r="P323" s="604">
        <f t="shared" si="102"/>
        <v>0</v>
      </c>
      <c r="Q323" s="604">
        <f t="shared" si="103"/>
        <v>0</v>
      </c>
      <c r="R323" s="604">
        <f t="shared" si="104"/>
        <v>0</v>
      </c>
      <c r="S323" s="604">
        <f t="shared" si="105"/>
        <v>0</v>
      </c>
      <c r="T323" s="604">
        <f t="shared" si="106"/>
        <v>0</v>
      </c>
      <c r="U323" s="604">
        <f t="shared" si="107"/>
        <v>0</v>
      </c>
      <c r="V323" s="604">
        <f t="shared" si="108"/>
        <v>0</v>
      </c>
      <c r="W323" s="604">
        <f t="shared" si="109"/>
        <v>0</v>
      </c>
      <c r="X323" s="746">
        <v>0</v>
      </c>
      <c r="Y323" s="746">
        <f t="shared" si="110"/>
        <v>0</v>
      </c>
    </row>
    <row r="324" spans="2:25">
      <c r="B324" s="598" t="s">
        <v>2595</v>
      </c>
      <c r="C324" s="604" t="s">
        <v>1107</v>
      </c>
      <c r="D324" s="745">
        <v>2004</v>
      </c>
      <c r="E324" s="604" t="s">
        <v>1320</v>
      </c>
      <c r="F324" s="738">
        <v>0.4</v>
      </c>
      <c r="G324" s="739">
        <v>2500</v>
      </c>
      <c r="H324" s="741">
        <v>2500</v>
      </c>
      <c r="I324" s="742">
        <f t="shared" si="128"/>
        <v>0</v>
      </c>
      <c r="J324" s="740">
        <f t="shared" si="129"/>
        <v>0</v>
      </c>
      <c r="K324" s="739">
        <f t="shared" si="130"/>
        <v>2500</v>
      </c>
      <c r="L324" s="860">
        <f t="shared" si="131"/>
        <v>0</v>
      </c>
      <c r="M324" s="740">
        <f t="shared" si="111"/>
        <v>0</v>
      </c>
      <c r="N324" s="604">
        <f t="shared" si="112"/>
        <v>0</v>
      </c>
      <c r="O324" s="604">
        <f t="shared" si="101"/>
        <v>0</v>
      </c>
      <c r="P324" s="604">
        <f t="shared" si="102"/>
        <v>0</v>
      </c>
      <c r="Q324" s="604">
        <f t="shared" si="103"/>
        <v>0</v>
      </c>
      <c r="R324" s="604">
        <f t="shared" si="104"/>
        <v>0</v>
      </c>
      <c r="S324" s="604">
        <f t="shared" si="105"/>
        <v>0</v>
      </c>
      <c r="T324" s="604">
        <f t="shared" si="106"/>
        <v>0</v>
      </c>
      <c r="U324" s="604">
        <f t="shared" si="107"/>
        <v>0</v>
      </c>
      <c r="V324" s="604">
        <f t="shared" si="108"/>
        <v>0</v>
      </c>
      <c r="W324" s="604">
        <f t="shared" si="109"/>
        <v>0</v>
      </c>
      <c r="X324" s="746">
        <v>0</v>
      </c>
      <c r="Y324" s="746">
        <f t="shared" si="110"/>
        <v>0</v>
      </c>
    </row>
    <row r="325" spans="2:25">
      <c r="B325" s="598" t="s">
        <v>2595</v>
      </c>
      <c r="C325" s="604" t="s">
        <v>1107</v>
      </c>
      <c r="D325" s="745">
        <v>2004</v>
      </c>
      <c r="E325" s="604" t="s">
        <v>1321</v>
      </c>
      <c r="F325" s="738">
        <v>0.4</v>
      </c>
      <c r="G325" s="739">
        <v>3000</v>
      </c>
      <c r="H325" s="741">
        <v>3000</v>
      </c>
      <c r="I325" s="742">
        <f t="shared" si="128"/>
        <v>0</v>
      </c>
      <c r="J325" s="740">
        <f t="shared" si="129"/>
        <v>0</v>
      </c>
      <c r="K325" s="739">
        <f t="shared" si="130"/>
        <v>3000</v>
      </c>
      <c r="L325" s="860">
        <f t="shared" si="131"/>
        <v>0</v>
      </c>
      <c r="M325" s="740">
        <f t="shared" si="111"/>
        <v>0</v>
      </c>
      <c r="N325" s="604">
        <f t="shared" si="112"/>
        <v>0</v>
      </c>
      <c r="O325" s="604">
        <f t="shared" si="101"/>
        <v>0</v>
      </c>
      <c r="P325" s="604">
        <f t="shared" si="102"/>
        <v>0</v>
      </c>
      <c r="Q325" s="604">
        <f t="shared" si="103"/>
        <v>0</v>
      </c>
      <c r="R325" s="604">
        <f t="shared" si="104"/>
        <v>0</v>
      </c>
      <c r="S325" s="604">
        <f t="shared" si="105"/>
        <v>0</v>
      </c>
      <c r="T325" s="604">
        <f t="shared" si="106"/>
        <v>0</v>
      </c>
      <c r="U325" s="604">
        <f t="shared" si="107"/>
        <v>0</v>
      </c>
      <c r="V325" s="604">
        <f t="shared" si="108"/>
        <v>0</v>
      </c>
      <c r="W325" s="604">
        <f t="shared" si="109"/>
        <v>0</v>
      </c>
      <c r="X325" s="746">
        <v>0</v>
      </c>
      <c r="Y325" s="746">
        <f t="shared" si="110"/>
        <v>0</v>
      </c>
    </row>
    <row r="326" spans="2:25">
      <c r="B326" s="598" t="s">
        <v>2595</v>
      </c>
      <c r="C326" s="604" t="s">
        <v>1107</v>
      </c>
      <c r="D326" s="745">
        <v>2004</v>
      </c>
      <c r="E326" s="604" t="s">
        <v>1322</v>
      </c>
      <c r="F326" s="738">
        <v>0.4</v>
      </c>
      <c r="G326" s="739">
        <v>2500</v>
      </c>
      <c r="H326" s="741">
        <v>2500</v>
      </c>
      <c r="I326" s="742">
        <f t="shared" si="128"/>
        <v>0</v>
      </c>
      <c r="J326" s="740">
        <f t="shared" si="129"/>
        <v>0</v>
      </c>
      <c r="K326" s="739">
        <f t="shared" si="130"/>
        <v>2500</v>
      </c>
      <c r="L326" s="860">
        <f t="shared" si="131"/>
        <v>0</v>
      </c>
      <c r="M326" s="740">
        <f t="shared" si="111"/>
        <v>0</v>
      </c>
      <c r="N326" s="604">
        <f t="shared" si="112"/>
        <v>0</v>
      </c>
      <c r="O326" s="604">
        <f t="shared" si="101"/>
        <v>0</v>
      </c>
      <c r="P326" s="604">
        <f t="shared" si="102"/>
        <v>0</v>
      </c>
      <c r="Q326" s="604">
        <f t="shared" si="103"/>
        <v>0</v>
      </c>
      <c r="R326" s="604">
        <f t="shared" si="104"/>
        <v>0</v>
      </c>
      <c r="S326" s="604">
        <f t="shared" si="105"/>
        <v>0</v>
      </c>
      <c r="T326" s="604">
        <f t="shared" si="106"/>
        <v>0</v>
      </c>
      <c r="U326" s="604">
        <f t="shared" si="107"/>
        <v>0</v>
      </c>
      <c r="V326" s="604">
        <f t="shared" si="108"/>
        <v>0</v>
      </c>
      <c r="W326" s="604">
        <f t="shared" si="109"/>
        <v>0</v>
      </c>
      <c r="X326" s="746">
        <v>0</v>
      </c>
      <c r="Y326" s="746">
        <f t="shared" si="110"/>
        <v>0</v>
      </c>
    </row>
    <row r="327" spans="2:25">
      <c r="B327" s="598" t="s">
        <v>2595</v>
      </c>
      <c r="C327" s="604" t="s">
        <v>1107</v>
      </c>
      <c r="D327" s="745">
        <v>2004</v>
      </c>
      <c r="E327" s="604" t="s">
        <v>1323</v>
      </c>
      <c r="F327" s="738">
        <v>0.4</v>
      </c>
      <c r="G327" s="739">
        <v>1200</v>
      </c>
      <c r="H327" s="741">
        <v>1200</v>
      </c>
      <c r="I327" s="742">
        <f t="shared" si="128"/>
        <v>0</v>
      </c>
      <c r="J327" s="740">
        <f t="shared" si="129"/>
        <v>0</v>
      </c>
      <c r="K327" s="739">
        <f t="shared" si="130"/>
        <v>1200</v>
      </c>
      <c r="L327" s="860">
        <f t="shared" si="131"/>
        <v>0</v>
      </c>
      <c r="M327" s="740">
        <f t="shared" si="111"/>
        <v>0</v>
      </c>
      <c r="N327" s="604">
        <f t="shared" si="112"/>
        <v>0</v>
      </c>
      <c r="O327" s="604">
        <f t="shared" si="101"/>
        <v>0</v>
      </c>
      <c r="P327" s="604">
        <f t="shared" si="102"/>
        <v>0</v>
      </c>
      <c r="Q327" s="604">
        <f t="shared" si="103"/>
        <v>0</v>
      </c>
      <c r="R327" s="604">
        <f t="shared" si="104"/>
        <v>0</v>
      </c>
      <c r="S327" s="604">
        <f t="shared" si="105"/>
        <v>0</v>
      </c>
      <c r="T327" s="604">
        <f t="shared" si="106"/>
        <v>0</v>
      </c>
      <c r="U327" s="604">
        <f t="shared" si="107"/>
        <v>0</v>
      </c>
      <c r="V327" s="604">
        <f t="shared" si="108"/>
        <v>0</v>
      </c>
      <c r="W327" s="604">
        <f t="shared" si="109"/>
        <v>0</v>
      </c>
      <c r="X327" s="746">
        <v>0</v>
      </c>
      <c r="Y327" s="746">
        <f t="shared" si="110"/>
        <v>0</v>
      </c>
    </row>
    <row r="328" spans="2:25">
      <c r="B328" s="598" t="s">
        <v>2595</v>
      </c>
      <c r="C328" s="604" t="s">
        <v>1107</v>
      </c>
      <c r="D328" s="745">
        <v>2005</v>
      </c>
      <c r="E328" s="604" t="s">
        <v>1324</v>
      </c>
      <c r="F328" s="738">
        <v>0.4</v>
      </c>
      <c r="G328" s="739">
        <v>720</v>
      </c>
      <c r="H328" s="741">
        <v>720</v>
      </c>
      <c r="I328" s="742">
        <f t="shared" si="128"/>
        <v>0</v>
      </c>
      <c r="J328" s="740">
        <f t="shared" si="129"/>
        <v>0</v>
      </c>
      <c r="K328" s="739">
        <f t="shared" si="130"/>
        <v>720</v>
      </c>
      <c r="L328" s="860">
        <f t="shared" si="131"/>
        <v>0</v>
      </c>
      <c r="M328" s="740">
        <f t="shared" si="111"/>
        <v>0</v>
      </c>
      <c r="N328" s="604">
        <f t="shared" ref="N328:N391" si="132">+IF(L328-M328&gt;0,G328*F328,0)</f>
        <v>0</v>
      </c>
      <c r="O328" s="604">
        <f t="shared" ref="O328:O391" si="133">+IF(L328-SUM(M328:N328)&gt;0,G328*F328,0)</f>
        <v>0</v>
      </c>
      <c r="P328" s="604">
        <f t="shared" ref="P328:P391" si="134">+IF(L328-SUM(M328:O328)&gt;0,G328*F328,0)</f>
        <v>0</v>
      </c>
      <c r="Q328" s="604">
        <f t="shared" ref="Q328:Q391" si="135">+IF(L328-SUM(M328:P328)&gt;0,G328*F328,0)</f>
        <v>0</v>
      </c>
      <c r="R328" s="604">
        <f t="shared" ref="R328:R391" si="136">+IF(L328-SUM(M328:Q328)&gt;0,G328*F328,0)</f>
        <v>0</v>
      </c>
      <c r="S328" s="604">
        <f t="shared" ref="S328:S391" si="137">+IF(L328-SUM(M328:R328)&gt;0,G328*F328,0)</f>
        <v>0</v>
      </c>
      <c r="T328" s="604">
        <f t="shared" ref="T328:T391" si="138">+IF(L328-SUM(M328:S328)&gt;0,G328*F328,0)</f>
        <v>0</v>
      </c>
      <c r="U328" s="604">
        <f t="shared" ref="U328:U391" si="139">+IF(L328-SUM(M328:T328)&gt;0,G328*F328,0)</f>
        <v>0</v>
      </c>
      <c r="V328" s="604">
        <f t="shared" ref="V328:V391" si="140">+IF(L328-SUM(M328:U328)&gt;0,G328*F328,0)</f>
        <v>0</v>
      </c>
      <c r="W328" s="604">
        <f t="shared" ref="W328:W391" si="141">+IF(L328-SUM(M328:V328)&gt;0,G328*F328,0)</f>
        <v>0</v>
      </c>
      <c r="X328" s="746">
        <v>0</v>
      </c>
      <c r="Y328" s="746">
        <f t="shared" ref="Y328:Y391" si="142">+SUM(M328:W328)-L328</f>
        <v>0</v>
      </c>
    </row>
    <row r="329" spans="2:25">
      <c r="B329" s="598" t="s">
        <v>2595</v>
      </c>
      <c r="C329" s="604" t="s">
        <v>1107</v>
      </c>
      <c r="D329" s="745">
        <v>2005</v>
      </c>
      <c r="E329" s="604" t="s">
        <v>1325</v>
      </c>
      <c r="F329" s="738">
        <v>0.4</v>
      </c>
      <c r="G329" s="739">
        <v>2050</v>
      </c>
      <c r="H329" s="741">
        <v>2050</v>
      </c>
      <c r="I329" s="742">
        <f t="shared" si="128"/>
        <v>0</v>
      </c>
      <c r="J329" s="740">
        <f t="shared" si="129"/>
        <v>0</v>
      </c>
      <c r="K329" s="739">
        <f t="shared" si="130"/>
        <v>2050</v>
      </c>
      <c r="L329" s="860">
        <f t="shared" si="131"/>
        <v>0</v>
      </c>
      <c r="M329" s="740">
        <f t="shared" si="111"/>
        <v>0</v>
      </c>
      <c r="N329" s="604">
        <f t="shared" si="132"/>
        <v>0</v>
      </c>
      <c r="O329" s="604">
        <f t="shared" si="133"/>
        <v>0</v>
      </c>
      <c r="P329" s="604">
        <f t="shared" si="134"/>
        <v>0</v>
      </c>
      <c r="Q329" s="604">
        <f t="shared" si="135"/>
        <v>0</v>
      </c>
      <c r="R329" s="604">
        <f t="shared" si="136"/>
        <v>0</v>
      </c>
      <c r="S329" s="604">
        <f t="shared" si="137"/>
        <v>0</v>
      </c>
      <c r="T329" s="604">
        <f t="shared" si="138"/>
        <v>0</v>
      </c>
      <c r="U329" s="604">
        <f t="shared" si="139"/>
        <v>0</v>
      </c>
      <c r="V329" s="604">
        <f t="shared" si="140"/>
        <v>0</v>
      </c>
      <c r="W329" s="604">
        <f t="shared" si="141"/>
        <v>0</v>
      </c>
      <c r="X329" s="746">
        <v>0</v>
      </c>
      <c r="Y329" s="746">
        <f t="shared" si="142"/>
        <v>0</v>
      </c>
    </row>
    <row r="330" spans="2:25">
      <c r="B330" s="598" t="s">
        <v>2595</v>
      </c>
      <c r="C330" s="604" t="s">
        <v>1107</v>
      </c>
      <c r="D330" s="745">
        <v>2012</v>
      </c>
      <c r="E330" s="604"/>
      <c r="F330" s="738">
        <v>0.4</v>
      </c>
      <c r="G330" s="739">
        <v>1085</v>
      </c>
      <c r="H330" s="741">
        <v>1085</v>
      </c>
      <c r="I330" s="742">
        <f t="shared" si="128"/>
        <v>0</v>
      </c>
      <c r="J330" s="740">
        <f t="shared" si="129"/>
        <v>0</v>
      </c>
      <c r="K330" s="739">
        <f t="shared" si="130"/>
        <v>1085</v>
      </c>
      <c r="L330" s="860">
        <f t="shared" si="131"/>
        <v>0</v>
      </c>
      <c r="M330" s="740">
        <f t="shared" si="111"/>
        <v>0</v>
      </c>
      <c r="N330" s="604">
        <f t="shared" si="132"/>
        <v>0</v>
      </c>
      <c r="O330" s="604">
        <f t="shared" si="133"/>
        <v>0</v>
      </c>
      <c r="P330" s="604">
        <f t="shared" si="134"/>
        <v>0</v>
      </c>
      <c r="Q330" s="604">
        <f t="shared" si="135"/>
        <v>0</v>
      </c>
      <c r="R330" s="604">
        <f t="shared" si="136"/>
        <v>0</v>
      </c>
      <c r="S330" s="604">
        <f t="shared" si="137"/>
        <v>0</v>
      </c>
      <c r="T330" s="604">
        <f t="shared" si="138"/>
        <v>0</v>
      </c>
      <c r="U330" s="604">
        <f t="shared" si="139"/>
        <v>0</v>
      </c>
      <c r="V330" s="604">
        <f t="shared" si="140"/>
        <v>0</v>
      </c>
      <c r="W330" s="604">
        <f t="shared" si="141"/>
        <v>0</v>
      </c>
      <c r="X330" s="746">
        <v>0</v>
      </c>
      <c r="Y330" s="746">
        <f t="shared" si="142"/>
        <v>0</v>
      </c>
    </row>
    <row r="331" spans="2:25">
      <c r="B331" s="598" t="s">
        <v>2595</v>
      </c>
      <c r="C331" s="604" t="s">
        <v>1107</v>
      </c>
      <c r="D331" s="745">
        <v>2005</v>
      </c>
      <c r="E331" s="604" t="s">
        <v>1326</v>
      </c>
      <c r="F331" s="738">
        <v>0.4</v>
      </c>
      <c r="G331" s="739">
        <v>5500</v>
      </c>
      <c r="H331" s="741">
        <v>5500</v>
      </c>
      <c r="I331" s="742">
        <f t="shared" si="128"/>
        <v>0</v>
      </c>
      <c r="J331" s="740">
        <f t="shared" si="129"/>
        <v>0</v>
      </c>
      <c r="K331" s="739">
        <f t="shared" si="130"/>
        <v>5500</v>
      </c>
      <c r="L331" s="860">
        <f t="shared" si="131"/>
        <v>0</v>
      </c>
      <c r="M331" s="740">
        <f t="shared" ref="M331:M394" si="143">+IF(L331=0,0,G331*F331)</f>
        <v>0</v>
      </c>
      <c r="N331" s="604">
        <f t="shared" si="132"/>
        <v>0</v>
      </c>
      <c r="O331" s="604">
        <f t="shared" si="133"/>
        <v>0</v>
      </c>
      <c r="P331" s="604">
        <f t="shared" si="134"/>
        <v>0</v>
      </c>
      <c r="Q331" s="604">
        <f t="shared" si="135"/>
        <v>0</v>
      </c>
      <c r="R331" s="604">
        <f t="shared" si="136"/>
        <v>0</v>
      </c>
      <c r="S331" s="604">
        <f t="shared" si="137"/>
        <v>0</v>
      </c>
      <c r="T331" s="604">
        <f t="shared" si="138"/>
        <v>0</v>
      </c>
      <c r="U331" s="604">
        <f t="shared" si="139"/>
        <v>0</v>
      </c>
      <c r="V331" s="604">
        <f t="shared" si="140"/>
        <v>0</v>
      </c>
      <c r="W331" s="604">
        <f t="shared" si="141"/>
        <v>0</v>
      </c>
      <c r="X331" s="746">
        <v>0</v>
      </c>
      <c r="Y331" s="746">
        <f t="shared" si="142"/>
        <v>0</v>
      </c>
    </row>
    <row r="332" spans="2:25">
      <c r="B332" s="598" t="s">
        <v>2595</v>
      </c>
      <c r="C332" s="604" t="s">
        <v>1107</v>
      </c>
      <c r="D332" s="745">
        <v>2005</v>
      </c>
      <c r="E332" s="604" t="s">
        <v>1327</v>
      </c>
      <c r="F332" s="738">
        <v>0.4</v>
      </c>
      <c r="G332" s="739">
        <v>1174.0999999999999</v>
      </c>
      <c r="H332" s="741">
        <v>1174.0999999999999</v>
      </c>
      <c r="I332" s="742">
        <f t="shared" si="128"/>
        <v>0</v>
      </c>
      <c r="J332" s="740">
        <f t="shared" si="129"/>
        <v>0</v>
      </c>
      <c r="K332" s="739">
        <f t="shared" si="130"/>
        <v>1174.0999999999999</v>
      </c>
      <c r="L332" s="860">
        <f t="shared" si="131"/>
        <v>0</v>
      </c>
      <c r="M332" s="740">
        <f t="shared" si="143"/>
        <v>0</v>
      </c>
      <c r="N332" s="604">
        <f t="shared" si="132"/>
        <v>0</v>
      </c>
      <c r="O332" s="604">
        <f t="shared" si="133"/>
        <v>0</v>
      </c>
      <c r="P332" s="604">
        <f t="shared" si="134"/>
        <v>0</v>
      </c>
      <c r="Q332" s="604">
        <f t="shared" si="135"/>
        <v>0</v>
      </c>
      <c r="R332" s="604">
        <f t="shared" si="136"/>
        <v>0</v>
      </c>
      <c r="S332" s="604">
        <f t="shared" si="137"/>
        <v>0</v>
      </c>
      <c r="T332" s="604">
        <f t="shared" si="138"/>
        <v>0</v>
      </c>
      <c r="U332" s="604">
        <f t="shared" si="139"/>
        <v>0</v>
      </c>
      <c r="V332" s="604">
        <f t="shared" si="140"/>
        <v>0</v>
      </c>
      <c r="W332" s="604">
        <f t="shared" si="141"/>
        <v>0</v>
      </c>
      <c r="X332" s="746">
        <v>0</v>
      </c>
      <c r="Y332" s="746">
        <f t="shared" si="142"/>
        <v>0</v>
      </c>
    </row>
    <row r="333" spans="2:25">
      <c r="B333" s="598" t="s">
        <v>2595</v>
      </c>
      <c r="C333" s="604" t="s">
        <v>1107</v>
      </c>
      <c r="D333" s="745">
        <v>2005</v>
      </c>
      <c r="E333" s="604" t="s">
        <v>1328</v>
      </c>
      <c r="F333" s="738">
        <v>0.4</v>
      </c>
      <c r="G333" s="739">
        <v>1400</v>
      </c>
      <c r="H333" s="741">
        <v>1400</v>
      </c>
      <c r="I333" s="742">
        <f t="shared" si="128"/>
        <v>0</v>
      </c>
      <c r="J333" s="740">
        <f t="shared" si="129"/>
        <v>0</v>
      </c>
      <c r="K333" s="739">
        <f t="shared" si="130"/>
        <v>1400</v>
      </c>
      <c r="L333" s="860">
        <f t="shared" si="131"/>
        <v>0</v>
      </c>
      <c r="M333" s="740">
        <f t="shared" si="143"/>
        <v>0</v>
      </c>
      <c r="N333" s="604">
        <f t="shared" si="132"/>
        <v>0</v>
      </c>
      <c r="O333" s="604">
        <f t="shared" si="133"/>
        <v>0</v>
      </c>
      <c r="P333" s="604">
        <f t="shared" si="134"/>
        <v>0</v>
      </c>
      <c r="Q333" s="604">
        <f t="shared" si="135"/>
        <v>0</v>
      </c>
      <c r="R333" s="604">
        <f t="shared" si="136"/>
        <v>0</v>
      </c>
      <c r="S333" s="604">
        <f t="shared" si="137"/>
        <v>0</v>
      </c>
      <c r="T333" s="604">
        <f t="shared" si="138"/>
        <v>0</v>
      </c>
      <c r="U333" s="604">
        <f t="shared" si="139"/>
        <v>0</v>
      </c>
      <c r="V333" s="604">
        <f t="shared" si="140"/>
        <v>0</v>
      </c>
      <c r="W333" s="604">
        <f t="shared" si="141"/>
        <v>0</v>
      </c>
      <c r="X333" s="746">
        <v>0</v>
      </c>
      <c r="Y333" s="746">
        <f t="shared" si="142"/>
        <v>0</v>
      </c>
    </row>
    <row r="334" spans="2:25">
      <c r="B334" s="598" t="s">
        <v>2595</v>
      </c>
      <c r="C334" s="604" t="s">
        <v>1107</v>
      </c>
      <c r="D334" s="745">
        <v>2005</v>
      </c>
      <c r="E334" s="604" t="s">
        <v>1328</v>
      </c>
      <c r="F334" s="738">
        <v>0.4</v>
      </c>
      <c r="G334" s="739">
        <v>1400</v>
      </c>
      <c r="H334" s="741">
        <v>1400</v>
      </c>
      <c r="I334" s="742">
        <f t="shared" si="128"/>
        <v>0</v>
      </c>
      <c r="J334" s="740">
        <f t="shared" si="129"/>
        <v>0</v>
      </c>
      <c r="K334" s="739">
        <f t="shared" si="130"/>
        <v>1400</v>
      </c>
      <c r="L334" s="860">
        <f t="shared" si="131"/>
        <v>0</v>
      </c>
      <c r="M334" s="740">
        <f t="shared" si="143"/>
        <v>0</v>
      </c>
      <c r="N334" s="604">
        <f t="shared" si="132"/>
        <v>0</v>
      </c>
      <c r="O334" s="604">
        <f t="shared" si="133"/>
        <v>0</v>
      </c>
      <c r="P334" s="604">
        <f t="shared" si="134"/>
        <v>0</v>
      </c>
      <c r="Q334" s="604">
        <f t="shared" si="135"/>
        <v>0</v>
      </c>
      <c r="R334" s="604">
        <f t="shared" si="136"/>
        <v>0</v>
      </c>
      <c r="S334" s="604">
        <f t="shared" si="137"/>
        <v>0</v>
      </c>
      <c r="T334" s="604">
        <f t="shared" si="138"/>
        <v>0</v>
      </c>
      <c r="U334" s="604">
        <f t="shared" si="139"/>
        <v>0</v>
      </c>
      <c r="V334" s="604">
        <f t="shared" si="140"/>
        <v>0</v>
      </c>
      <c r="W334" s="604">
        <f t="shared" si="141"/>
        <v>0</v>
      </c>
      <c r="X334" s="746">
        <v>0</v>
      </c>
      <c r="Y334" s="746">
        <f t="shared" si="142"/>
        <v>0</v>
      </c>
    </row>
    <row r="335" spans="2:25">
      <c r="B335" s="598" t="s">
        <v>2595</v>
      </c>
      <c r="C335" s="604" t="s">
        <v>1107</v>
      </c>
      <c r="D335" s="745">
        <v>2005</v>
      </c>
      <c r="E335" s="604" t="s">
        <v>1328</v>
      </c>
      <c r="F335" s="738">
        <v>0.4</v>
      </c>
      <c r="G335" s="739">
        <v>1400</v>
      </c>
      <c r="H335" s="741">
        <v>1400</v>
      </c>
      <c r="I335" s="742">
        <f t="shared" si="128"/>
        <v>0</v>
      </c>
      <c r="J335" s="740">
        <f t="shared" si="129"/>
        <v>0</v>
      </c>
      <c r="K335" s="739">
        <f t="shared" si="130"/>
        <v>1400</v>
      </c>
      <c r="L335" s="860">
        <f t="shared" si="131"/>
        <v>0</v>
      </c>
      <c r="M335" s="740">
        <f t="shared" si="143"/>
        <v>0</v>
      </c>
      <c r="N335" s="604">
        <f t="shared" si="132"/>
        <v>0</v>
      </c>
      <c r="O335" s="604">
        <f t="shared" si="133"/>
        <v>0</v>
      </c>
      <c r="P335" s="604">
        <f t="shared" si="134"/>
        <v>0</v>
      </c>
      <c r="Q335" s="604">
        <f t="shared" si="135"/>
        <v>0</v>
      </c>
      <c r="R335" s="604">
        <f t="shared" si="136"/>
        <v>0</v>
      </c>
      <c r="S335" s="604">
        <f t="shared" si="137"/>
        <v>0</v>
      </c>
      <c r="T335" s="604">
        <f t="shared" si="138"/>
        <v>0</v>
      </c>
      <c r="U335" s="604">
        <f t="shared" si="139"/>
        <v>0</v>
      </c>
      <c r="V335" s="604">
        <f t="shared" si="140"/>
        <v>0</v>
      </c>
      <c r="W335" s="604">
        <f t="shared" si="141"/>
        <v>0</v>
      </c>
      <c r="X335" s="746">
        <v>0</v>
      </c>
      <c r="Y335" s="746">
        <f t="shared" si="142"/>
        <v>0</v>
      </c>
    </row>
    <row r="336" spans="2:25">
      <c r="B336" s="598" t="s">
        <v>2595</v>
      </c>
      <c r="C336" s="604" t="s">
        <v>1107</v>
      </c>
      <c r="D336" s="745">
        <v>2005</v>
      </c>
      <c r="E336" s="604" t="s">
        <v>1328</v>
      </c>
      <c r="F336" s="738">
        <v>0.4</v>
      </c>
      <c r="G336" s="739">
        <v>1400</v>
      </c>
      <c r="H336" s="741">
        <v>1400</v>
      </c>
      <c r="I336" s="742">
        <f t="shared" si="128"/>
        <v>0</v>
      </c>
      <c r="J336" s="740">
        <f t="shared" si="129"/>
        <v>0</v>
      </c>
      <c r="K336" s="739">
        <f t="shared" si="130"/>
        <v>1400</v>
      </c>
      <c r="L336" s="860">
        <f t="shared" si="131"/>
        <v>0</v>
      </c>
      <c r="M336" s="740">
        <f t="shared" si="143"/>
        <v>0</v>
      </c>
      <c r="N336" s="604">
        <f t="shared" si="132"/>
        <v>0</v>
      </c>
      <c r="O336" s="604">
        <f t="shared" si="133"/>
        <v>0</v>
      </c>
      <c r="P336" s="604">
        <f t="shared" si="134"/>
        <v>0</v>
      </c>
      <c r="Q336" s="604">
        <f t="shared" si="135"/>
        <v>0</v>
      </c>
      <c r="R336" s="604">
        <f t="shared" si="136"/>
        <v>0</v>
      </c>
      <c r="S336" s="604">
        <f t="shared" si="137"/>
        <v>0</v>
      </c>
      <c r="T336" s="604">
        <f t="shared" si="138"/>
        <v>0</v>
      </c>
      <c r="U336" s="604">
        <f t="shared" si="139"/>
        <v>0</v>
      </c>
      <c r="V336" s="604">
        <f t="shared" si="140"/>
        <v>0</v>
      </c>
      <c r="W336" s="604">
        <f t="shared" si="141"/>
        <v>0</v>
      </c>
      <c r="X336" s="746">
        <v>0</v>
      </c>
      <c r="Y336" s="746">
        <f t="shared" si="142"/>
        <v>0</v>
      </c>
    </row>
    <row r="337" spans="2:25">
      <c r="B337" s="598" t="s">
        <v>2595</v>
      </c>
      <c r="C337" s="604" t="s">
        <v>1107</v>
      </c>
      <c r="D337" s="745">
        <v>2005</v>
      </c>
      <c r="E337" s="604" t="s">
        <v>1328</v>
      </c>
      <c r="F337" s="738">
        <v>0.4</v>
      </c>
      <c r="G337" s="739">
        <v>1400</v>
      </c>
      <c r="H337" s="741">
        <v>1400</v>
      </c>
      <c r="I337" s="742">
        <f t="shared" si="128"/>
        <v>0</v>
      </c>
      <c r="J337" s="740">
        <f t="shared" si="129"/>
        <v>0</v>
      </c>
      <c r="K337" s="739">
        <f t="shared" si="130"/>
        <v>1400</v>
      </c>
      <c r="L337" s="860">
        <f t="shared" si="131"/>
        <v>0</v>
      </c>
      <c r="M337" s="740">
        <f t="shared" si="143"/>
        <v>0</v>
      </c>
      <c r="N337" s="604">
        <f t="shared" si="132"/>
        <v>0</v>
      </c>
      <c r="O337" s="604">
        <f t="shared" si="133"/>
        <v>0</v>
      </c>
      <c r="P337" s="604">
        <f t="shared" si="134"/>
        <v>0</v>
      </c>
      <c r="Q337" s="604">
        <f t="shared" si="135"/>
        <v>0</v>
      </c>
      <c r="R337" s="604">
        <f t="shared" si="136"/>
        <v>0</v>
      </c>
      <c r="S337" s="604">
        <f t="shared" si="137"/>
        <v>0</v>
      </c>
      <c r="T337" s="604">
        <f t="shared" si="138"/>
        <v>0</v>
      </c>
      <c r="U337" s="604">
        <f t="shared" si="139"/>
        <v>0</v>
      </c>
      <c r="V337" s="604">
        <f t="shared" si="140"/>
        <v>0</v>
      </c>
      <c r="W337" s="604">
        <f t="shared" si="141"/>
        <v>0</v>
      </c>
      <c r="X337" s="746">
        <v>0</v>
      </c>
      <c r="Y337" s="746">
        <f t="shared" si="142"/>
        <v>0</v>
      </c>
    </row>
    <row r="338" spans="2:25">
      <c r="B338" s="598" t="s">
        <v>2595</v>
      </c>
      <c r="C338" s="604" t="s">
        <v>1107</v>
      </c>
      <c r="D338" s="745">
        <v>2005</v>
      </c>
      <c r="E338" s="604" t="s">
        <v>1329</v>
      </c>
      <c r="F338" s="738">
        <v>0.4</v>
      </c>
      <c r="G338" s="739">
        <v>2400</v>
      </c>
      <c r="H338" s="741">
        <v>2400</v>
      </c>
      <c r="I338" s="742">
        <f t="shared" si="128"/>
        <v>0</v>
      </c>
      <c r="J338" s="740">
        <f t="shared" si="129"/>
        <v>0</v>
      </c>
      <c r="K338" s="739">
        <f t="shared" si="130"/>
        <v>2400</v>
      </c>
      <c r="L338" s="860">
        <f t="shared" si="131"/>
        <v>0</v>
      </c>
      <c r="M338" s="740">
        <f t="shared" si="143"/>
        <v>0</v>
      </c>
      <c r="N338" s="604">
        <f t="shared" si="132"/>
        <v>0</v>
      </c>
      <c r="O338" s="604">
        <f t="shared" si="133"/>
        <v>0</v>
      </c>
      <c r="P338" s="604">
        <f t="shared" si="134"/>
        <v>0</v>
      </c>
      <c r="Q338" s="604">
        <f t="shared" si="135"/>
        <v>0</v>
      </c>
      <c r="R338" s="604">
        <f t="shared" si="136"/>
        <v>0</v>
      </c>
      <c r="S338" s="604">
        <f t="shared" si="137"/>
        <v>0</v>
      </c>
      <c r="T338" s="604">
        <f t="shared" si="138"/>
        <v>0</v>
      </c>
      <c r="U338" s="604">
        <f t="shared" si="139"/>
        <v>0</v>
      </c>
      <c r="V338" s="604">
        <f t="shared" si="140"/>
        <v>0</v>
      </c>
      <c r="W338" s="604">
        <f t="shared" si="141"/>
        <v>0</v>
      </c>
      <c r="X338" s="746">
        <v>0</v>
      </c>
      <c r="Y338" s="746">
        <f t="shared" si="142"/>
        <v>0</v>
      </c>
    </row>
    <row r="339" spans="2:25">
      <c r="B339" s="598" t="s">
        <v>2595</v>
      </c>
      <c r="C339" s="604" t="s">
        <v>1107</v>
      </c>
      <c r="D339" s="745">
        <v>2005</v>
      </c>
      <c r="E339" s="604" t="s">
        <v>1330</v>
      </c>
      <c r="F339" s="738">
        <v>0.4</v>
      </c>
      <c r="G339" s="739">
        <v>900</v>
      </c>
      <c r="H339" s="741">
        <v>900</v>
      </c>
      <c r="I339" s="742">
        <f t="shared" si="128"/>
        <v>0</v>
      </c>
      <c r="J339" s="740">
        <f t="shared" si="129"/>
        <v>0</v>
      </c>
      <c r="K339" s="739">
        <f t="shared" si="130"/>
        <v>900</v>
      </c>
      <c r="L339" s="860">
        <f t="shared" si="131"/>
        <v>0</v>
      </c>
      <c r="M339" s="740">
        <f t="shared" si="143"/>
        <v>0</v>
      </c>
      <c r="N339" s="604">
        <f t="shared" si="132"/>
        <v>0</v>
      </c>
      <c r="O339" s="604">
        <f t="shared" si="133"/>
        <v>0</v>
      </c>
      <c r="P339" s="604">
        <f t="shared" si="134"/>
        <v>0</v>
      </c>
      <c r="Q339" s="604">
        <f t="shared" si="135"/>
        <v>0</v>
      </c>
      <c r="R339" s="604">
        <f t="shared" si="136"/>
        <v>0</v>
      </c>
      <c r="S339" s="604">
        <f t="shared" si="137"/>
        <v>0</v>
      </c>
      <c r="T339" s="604">
        <f t="shared" si="138"/>
        <v>0</v>
      </c>
      <c r="U339" s="604">
        <f t="shared" si="139"/>
        <v>0</v>
      </c>
      <c r="V339" s="604">
        <f t="shared" si="140"/>
        <v>0</v>
      </c>
      <c r="W339" s="604">
        <f t="shared" si="141"/>
        <v>0</v>
      </c>
      <c r="X339" s="746">
        <v>0</v>
      </c>
      <c r="Y339" s="746">
        <f t="shared" si="142"/>
        <v>0</v>
      </c>
    </row>
    <row r="340" spans="2:25">
      <c r="B340" s="598" t="s">
        <v>2595</v>
      </c>
      <c r="C340" s="604" t="s">
        <v>1107</v>
      </c>
      <c r="D340" s="745">
        <v>2005</v>
      </c>
      <c r="E340" s="604" t="s">
        <v>1331</v>
      </c>
      <c r="F340" s="738">
        <v>0.4</v>
      </c>
      <c r="G340" s="739">
        <v>480</v>
      </c>
      <c r="H340" s="741">
        <v>480</v>
      </c>
      <c r="I340" s="742">
        <f t="shared" si="128"/>
        <v>0</v>
      </c>
      <c r="J340" s="740">
        <f t="shared" si="129"/>
        <v>0</v>
      </c>
      <c r="K340" s="739">
        <f t="shared" si="130"/>
        <v>480</v>
      </c>
      <c r="L340" s="860">
        <f t="shared" si="131"/>
        <v>0</v>
      </c>
      <c r="M340" s="740">
        <f t="shared" si="143"/>
        <v>0</v>
      </c>
      <c r="N340" s="604">
        <f t="shared" si="132"/>
        <v>0</v>
      </c>
      <c r="O340" s="604">
        <f t="shared" si="133"/>
        <v>0</v>
      </c>
      <c r="P340" s="604">
        <f t="shared" si="134"/>
        <v>0</v>
      </c>
      <c r="Q340" s="604">
        <f t="shared" si="135"/>
        <v>0</v>
      </c>
      <c r="R340" s="604">
        <f t="shared" si="136"/>
        <v>0</v>
      </c>
      <c r="S340" s="604">
        <f t="shared" si="137"/>
        <v>0</v>
      </c>
      <c r="T340" s="604">
        <f t="shared" si="138"/>
        <v>0</v>
      </c>
      <c r="U340" s="604">
        <f t="shared" si="139"/>
        <v>0</v>
      </c>
      <c r="V340" s="604">
        <f t="shared" si="140"/>
        <v>0</v>
      </c>
      <c r="W340" s="604">
        <f t="shared" si="141"/>
        <v>0</v>
      </c>
      <c r="X340" s="746">
        <v>0</v>
      </c>
      <c r="Y340" s="746">
        <f t="shared" si="142"/>
        <v>0</v>
      </c>
    </row>
    <row r="341" spans="2:25">
      <c r="B341" s="598" t="s">
        <v>2595</v>
      </c>
      <c r="C341" s="604" t="s">
        <v>1107</v>
      </c>
      <c r="D341" s="745">
        <v>2005</v>
      </c>
      <c r="E341" s="604" t="s">
        <v>1332</v>
      </c>
      <c r="F341" s="738">
        <v>0.4</v>
      </c>
      <c r="G341" s="739">
        <v>530</v>
      </c>
      <c r="H341" s="741">
        <v>530</v>
      </c>
      <c r="I341" s="742">
        <f t="shared" si="128"/>
        <v>0</v>
      </c>
      <c r="J341" s="740">
        <f t="shared" si="129"/>
        <v>0</v>
      </c>
      <c r="K341" s="739">
        <f t="shared" si="130"/>
        <v>530</v>
      </c>
      <c r="L341" s="860">
        <f t="shared" si="131"/>
        <v>0</v>
      </c>
      <c r="M341" s="740">
        <f t="shared" si="143"/>
        <v>0</v>
      </c>
      <c r="N341" s="604">
        <f t="shared" si="132"/>
        <v>0</v>
      </c>
      <c r="O341" s="604">
        <f t="shared" si="133"/>
        <v>0</v>
      </c>
      <c r="P341" s="604">
        <f t="shared" si="134"/>
        <v>0</v>
      </c>
      <c r="Q341" s="604">
        <f t="shared" si="135"/>
        <v>0</v>
      </c>
      <c r="R341" s="604">
        <f t="shared" si="136"/>
        <v>0</v>
      </c>
      <c r="S341" s="604">
        <f t="shared" si="137"/>
        <v>0</v>
      </c>
      <c r="T341" s="604">
        <f t="shared" si="138"/>
        <v>0</v>
      </c>
      <c r="U341" s="604">
        <f t="shared" si="139"/>
        <v>0</v>
      </c>
      <c r="V341" s="604">
        <f t="shared" si="140"/>
        <v>0</v>
      </c>
      <c r="W341" s="604">
        <f t="shared" si="141"/>
        <v>0</v>
      </c>
      <c r="X341" s="746">
        <v>0</v>
      </c>
      <c r="Y341" s="746">
        <f t="shared" si="142"/>
        <v>0</v>
      </c>
    </row>
    <row r="342" spans="2:25">
      <c r="B342" s="598" t="s">
        <v>2595</v>
      </c>
      <c r="C342" s="604" t="s">
        <v>1107</v>
      </c>
      <c r="D342" s="745">
        <v>2005</v>
      </c>
      <c r="E342" s="604" t="s">
        <v>1333</v>
      </c>
      <c r="F342" s="738">
        <v>0.4</v>
      </c>
      <c r="G342" s="739">
        <v>392</v>
      </c>
      <c r="H342" s="741">
        <v>392</v>
      </c>
      <c r="I342" s="742">
        <f t="shared" si="128"/>
        <v>0</v>
      </c>
      <c r="J342" s="740">
        <f t="shared" si="129"/>
        <v>0</v>
      </c>
      <c r="K342" s="739">
        <f t="shared" si="130"/>
        <v>392</v>
      </c>
      <c r="L342" s="860">
        <f t="shared" si="131"/>
        <v>0</v>
      </c>
      <c r="M342" s="740">
        <f t="shared" si="143"/>
        <v>0</v>
      </c>
      <c r="N342" s="604">
        <f t="shared" si="132"/>
        <v>0</v>
      </c>
      <c r="O342" s="604">
        <f t="shared" si="133"/>
        <v>0</v>
      </c>
      <c r="P342" s="604">
        <f t="shared" si="134"/>
        <v>0</v>
      </c>
      <c r="Q342" s="604">
        <f t="shared" si="135"/>
        <v>0</v>
      </c>
      <c r="R342" s="604">
        <f t="shared" si="136"/>
        <v>0</v>
      </c>
      <c r="S342" s="604">
        <f t="shared" si="137"/>
        <v>0</v>
      </c>
      <c r="T342" s="604">
        <f t="shared" si="138"/>
        <v>0</v>
      </c>
      <c r="U342" s="604">
        <f t="shared" si="139"/>
        <v>0</v>
      </c>
      <c r="V342" s="604">
        <f t="shared" si="140"/>
        <v>0</v>
      </c>
      <c r="W342" s="604">
        <f t="shared" si="141"/>
        <v>0</v>
      </c>
      <c r="X342" s="746">
        <v>0</v>
      </c>
      <c r="Y342" s="746">
        <f t="shared" si="142"/>
        <v>0</v>
      </c>
    </row>
    <row r="343" spans="2:25">
      <c r="B343" s="598" t="s">
        <v>2595</v>
      </c>
      <c r="C343" s="604" t="s">
        <v>1107</v>
      </c>
      <c r="D343" s="745">
        <v>2005</v>
      </c>
      <c r="E343" s="604" t="s">
        <v>1334</v>
      </c>
      <c r="F343" s="738">
        <v>0.4</v>
      </c>
      <c r="G343" s="739">
        <v>208</v>
      </c>
      <c r="H343" s="741">
        <v>208</v>
      </c>
      <c r="I343" s="742">
        <f t="shared" si="128"/>
        <v>0</v>
      </c>
      <c r="J343" s="740">
        <f t="shared" si="129"/>
        <v>0</v>
      </c>
      <c r="K343" s="739">
        <f t="shared" si="130"/>
        <v>208</v>
      </c>
      <c r="L343" s="860">
        <f t="shared" si="131"/>
        <v>0</v>
      </c>
      <c r="M343" s="740">
        <f t="shared" si="143"/>
        <v>0</v>
      </c>
      <c r="N343" s="604">
        <f t="shared" si="132"/>
        <v>0</v>
      </c>
      <c r="O343" s="604">
        <f t="shared" si="133"/>
        <v>0</v>
      </c>
      <c r="P343" s="604">
        <f t="shared" si="134"/>
        <v>0</v>
      </c>
      <c r="Q343" s="604">
        <f t="shared" si="135"/>
        <v>0</v>
      </c>
      <c r="R343" s="604">
        <f t="shared" si="136"/>
        <v>0</v>
      </c>
      <c r="S343" s="604">
        <f t="shared" si="137"/>
        <v>0</v>
      </c>
      <c r="T343" s="604">
        <f t="shared" si="138"/>
        <v>0</v>
      </c>
      <c r="U343" s="604">
        <f t="shared" si="139"/>
        <v>0</v>
      </c>
      <c r="V343" s="604">
        <f t="shared" si="140"/>
        <v>0</v>
      </c>
      <c r="W343" s="604">
        <f t="shared" si="141"/>
        <v>0</v>
      </c>
      <c r="X343" s="746">
        <v>0</v>
      </c>
      <c r="Y343" s="746">
        <f t="shared" si="142"/>
        <v>0</v>
      </c>
    </row>
    <row r="344" spans="2:25">
      <c r="B344" s="598" t="s">
        <v>2595</v>
      </c>
      <c r="C344" s="604" t="s">
        <v>1107</v>
      </c>
      <c r="D344" s="745">
        <v>2005</v>
      </c>
      <c r="E344" s="604" t="s">
        <v>1335</v>
      </c>
      <c r="F344" s="738">
        <v>0.4</v>
      </c>
      <c r="G344" s="739">
        <v>2600</v>
      </c>
      <c r="H344" s="741">
        <v>2600</v>
      </c>
      <c r="I344" s="742">
        <f t="shared" si="128"/>
        <v>0</v>
      </c>
      <c r="J344" s="740">
        <f t="shared" si="129"/>
        <v>0</v>
      </c>
      <c r="K344" s="739">
        <f t="shared" si="130"/>
        <v>2600</v>
      </c>
      <c r="L344" s="860">
        <f t="shared" si="131"/>
        <v>0</v>
      </c>
      <c r="M344" s="740">
        <f t="shared" si="143"/>
        <v>0</v>
      </c>
      <c r="N344" s="604">
        <f t="shared" si="132"/>
        <v>0</v>
      </c>
      <c r="O344" s="604">
        <f t="shared" si="133"/>
        <v>0</v>
      </c>
      <c r="P344" s="604">
        <f t="shared" si="134"/>
        <v>0</v>
      </c>
      <c r="Q344" s="604">
        <f t="shared" si="135"/>
        <v>0</v>
      </c>
      <c r="R344" s="604">
        <f t="shared" si="136"/>
        <v>0</v>
      </c>
      <c r="S344" s="604">
        <f t="shared" si="137"/>
        <v>0</v>
      </c>
      <c r="T344" s="604">
        <f t="shared" si="138"/>
        <v>0</v>
      </c>
      <c r="U344" s="604">
        <f t="shared" si="139"/>
        <v>0</v>
      </c>
      <c r="V344" s="604">
        <f t="shared" si="140"/>
        <v>0</v>
      </c>
      <c r="W344" s="604">
        <f t="shared" si="141"/>
        <v>0</v>
      </c>
      <c r="X344" s="746">
        <v>0</v>
      </c>
      <c r="Y344" s="746">
        <f t="shared" si="142"/>
        <v>0</v>
      </c>
    </row>
    <row r="345" spans="2:25">
      <c r="B345" s="598" t="s">
        <v>2595</v>
      </c>
      <c r="C345" s="604" t="s">
        <v>1107</v>
      </c>
      <c r="D345" s="745">
        <v>2005</v>
      </c>
      <c r="E345" s="604" t="s">
        <v>1336</v>
      </c>
      <c r="F345" s="738">
        <v>0.4</v>
      </c>
      <c r="G345" s="739">
        <v>2680</v>
      </c>
      <c r="H345" s="741">
        <v>2680</v>
      </c>
      <c r="I345" s="742">
        <f t="shared" si="128"/>
        <v>0</v>
      </c>
      <c r="J345" s="740">
        <f t="shared" si="129"/>
        <v>0</v>
      </c>
      <c r="K345" s="739">
        <f t="shared" si="130"/>
        <v>2680</v>
      </c>
      <c r="L345" s="860">
        <f t="shared" si="131"/>
        <v>0</v>
      </c>
      <c r="M345" s="740">
        <f t="shared" si="143"/>
        <v>0</v>
      </c>
      <c r="N345" s="604">
        <f t="shared" si="132"/>
        <v>0</v>
      </c>
      <c r="O345" s="604">
        <f t="shared" si="133"/>
        <v>0</v>
      </c>
      <c r="P345" s="604">
        <f t="shared" si="134"/>
        <v>0</v>
      </c>
      <c r="Q345" s="604">
        <f t="shared" si="135"/>
        <v>0</v>
      </c>
      <c r="R345" s="604">
        <f t="shared" si="136"/>
        <v>0</v>
      </c>
      <c r="S345" s="604">
        <f t="shared" si="137"/>
        <v>0</v>
      </c>
      <c r="T345" s="604">
        <f t="shared" si="138"/>
        <v>0</v>
      </c>
      <c r="U345" s="604">
        <f t="shared" si="139"/>
        <v>0</v>
      </c>
      <c r="V345" s="604">
        <f t="shared" si="140"/>
        <v>0</v>
      </c>
      <c r="W345" s="604">
        <f t="shared" si="141"/>
        <v>0</v>
      </c>
      <c r="X345" s="746">
        <v>0</v>
      </c>
      <c r="Y345" s="746">
        <f t="shared" si="142"/>
        <v>0</v>
      </c>
    </row>
    <row r="346" spans="2:25">
      <c r="B346" s="598" t="s">
        <v>2595</v>
      </c>
      <c r="C346" s="604" t="s">
        <v>1107</v>
      </c>
      <c r="D346" s="745">
        <v>2005</v>
      </c>
      <c r="E346" s="604" t="s">
        <v>1337</v>
      </c>
      <c r="F346" s="738">
        <v>0.4</v>
      </c>
      <c r="G346" s="739">
        <v>1537.5</v>
      </c>
      <c r="H346" s="741">
        <v>1537.5</v>
      </c>
      <c r="I346" s="742">
        <f t="shared" si="128"/>
        <v>0</v>
      </c>
      <c r="J346" s="740">
        <f t="shared" si="129"/>
        <v>0</v>
      </c>
      <c r="K346" s="739">
        <f t="shared" si="130"/>
        <v>1537.5</v>
      </c>
      <c r="L346" s="860">
        <f t="shared" si="131"/>
        <v>0</v>
      </c>
      <c r="M346" s="740">
        <f t="shared" si="143"/>
        <v>0</v>
      </c>
      <c r="N346" s="604">
        <f t="shared" si="132"/>
        <v>0</v>
      </c>
      <c r="O346" s="604">
        <f t="shared" si="133"/>
        <v>0</v>
      </c>
      <c r="P346" s="604">
        <f t="shared" si="134"/>
        <v>0</v>
      </c>
      <c r="Q346" s="604">
        <f t="shared" si="135"/>
        <v>0</v>
      </c>
      <c r="R346" s="604">
        <f t="shared" si="136"/>
        <v>0</v>
      </c>
      <c r="S346" s="604">
        <f t="shared" si="137"/>
        <v>0</v>
      </c>
      <c r="T346" s="604">
        <f t="shared" si="138"/>
        <v>0</v>
      </c>
      <c r="U346" s="604">
        <f t="shared" si="139"/>
        <v>0</v>
      </c>
      <c r="V346" s="604">
        <f t="shared" si="140"/>
        <v>0</v>
      </c>
      <c r="W346" s="604">
        <f t="shared" si="141"/>
        <v>0</v>
      </c>
      <c r="X346" s="746">
        <v>0</v>
      </c>
      <c r="Y346" s="746">
        <f t="shared" si="142"/>
        <v>0</v>
      </c>
    </row>
    <row r="347" spans="2:25">
      <c r="B347" s="598" t="s">
        <v>2595</v>
      </c>
      <c r="C347" s="604" t="s">
        <v>1107</v>
      </c>
      <c r="D347" s="745">
        <v>2005</v>
      </c>
      <c r="E347" s="604" t="s">
        <v>1338</v>
      </c>
      <c r="F347" s="738">
        <v>0.4</v>
      </c>
      <c r="G347" s="739">
        <v>3700</v>
      </c>
      <c r="H347" s="741">
        <v>3700</v>
      </c>
      <c r="I347" s="742">
        <f t="shared" si="128"/>
        <v>0</v>
      </c>
      <c r="J347" s="740">
        <f t="shared" si="129"/>
        <v>0</v>
      </c>
      <c r="K347" s="739">
        <f t="shared" si="130"/>
        <v>3700</v>
      </c>
      <c r="L347" s="860">
        <f t="shared" si="131"/>
        <v>0</v>
      </c>
      <c r="M347" s="740">
        <f t="shared" si="143"/>
        <v>0</v>
      </c>
      <c r="N347" s="604">
        <f t="shared" si="132"/>
        <v>0</v>
      </c>
      <c r="O347" s="604">
        <f t="shared" si="133"/>
        <v>0</v>
      </c>
      <c r="P347" s="604">
        <f t="shared" si="134"/>
        <v>0</v>
      </c>
      <c r="Q347" s="604">
        <f t="shared" si="135"/>
        <v>0</v>
      </c>
      <c r="R347" s="604">
        <f t="shared" si="136"/>
        <v>0</v>
      </c>
      <c r="S347" s="604">
        <f t="shared" si="137"/>
        <v>0</v>
      </c>
      <c r="T347" s="604">
        <f t="shared" si="138"/>
        <v>0</v>
      </c>
      <c r="U347" s="604">
        <f t="shared" si="139"/>
        <v>0</v>
      </c>
      <c r="V347" s="604">
        <f t="shared" si="140"/>
        <v>0</v>
      </c>
      <c r="W347" s="604">
        <f t="shared" si="141"/>
        <v>0</v>
      </c>
      <c r="X347" s="746">
        <v>0</v>
      </c>
      <c r="Y347" s="746">
        <f t="shared" si="142"/>
        <v>0</v>
      </c>
    </row>
    <row r="348" spans="2:25">
      <c r="B348" s="598" t="s">
        <v>2595</v>
      </c>
      <c r="C348" s="604" t="s">
        <v>1107</v>
      </c>
      <c r="D348" s="745">
        <v>2006</v>
      </c>
      <c r="E348" s="604" t="s">
        <v>1339</v>
      </c>
      <c r="F348" s="738">
        <v>0.4</v>
      </c>
      <c r="G348" s="739">
        <v>625</v>
      </c>
      <c r="H348" s="741">
        <v>625</v>
      </c>
      <c r="I348" s="742">
        <f t="shared" si="128"/>
        <v>0</v>
      </c>
      <c r="J348" s="740">
        <f t="shared" si="129"/>
        <v>0</v>
      </c>
      <c r="K348" s="739">
        <f t="shared" si="130"/>
        <v>625</v>
      </c>
      <c r="L348" s="860">
        <f t="shared" si="131"/>
        <v>0</v>
      </c>
      <c r="M348" s="740">
        <f t="shared" si="143"/>
        <v>0</v>
      </c>
      <c r="N348" s="604">
        <f t="shared" si="132"/>
        <v>0</v>
      </c>
      <c r="O348" s="604">
        <f t="shared" si="133"/>
        <v>0</v>
      </c>
      <c r="P348" s="604">
        <f t="shared" si="134"/>
        <v>0</v>
      </c>
      <c r="Q348" s="604">
        <f t="shared" si="135"/>
        <v>0</v>
      </c>
      <c r="R348" s="604">
        <f t="shared" si="136"/>
        <v>0</v>
      </c>
      <c r="S348" s="604">
        <f t="shared" si="137"/>
        <v>0</v>
      </c>
      <c r="T348" s="604">
        <f t="shared" si="138"/>
        <v>0</v>
      </c>
      <c r="U348" s="604">
        <f t="shared" si="139"/>
        <v>0</v>
      </c>
      <c r="V348" s="604">
        <f t="shared" si="140"/>
        <v>0</v>
      </c>
      <c r="W348" s="604">
        <f t="shared" si="141"/>
        <v>0</v>
      </c>
      <c r="X348" s="746">
        <v>0</v>
      </c>
      <c r="Y348" s="746">
        <f t="shared" si="142"/>
        <v>0</v>
      </c>
    </row>
    <row r="349" spans="2:25">
      <c r="B349" s="598" t="s">
        <v>2595</v>
      </c>
      <c r="C349" s="604" t="s">
        <v>1107</v>
      </c>
      <c r="D349" s="745">
        <v>2006</v>
      </c>
      <c r="E349" s="604" t="s">
        <v>1340</v>
      </c>
      <c r="F349" s="738">
        <v>0.4</v>
      </c>
      <c r="G349" s="739">
        <v>1450</v>
      </c>
      <c r="H349" s="741">
        <v>1450</v>
      </c>
      <c r="I349" s="742">
        <f t="shared" si="128"/>
        <v>0</v>
      </c>
      <c r="J349" s="740">
        <f t="shared" si="129"/>
        <v>0</v>
      </c>
      <c r="K349" s="739">
        <f t="shared" si="130"/>
        <v>1450</v>
      </c>
      <c r="L349" s="860">
        <f t="shared" si="131"/>
        <v>0</v>
      </c>
      <c r="M349" s="740">
        <f t="shared" si="143"/>
        <v>0</v>
      </c>
      <c r="N349" s="604">
        <f t="shared" si="132"/>
        <v>0</v>
      </c>
      <c r="O349" s="604">
        <f t="shared" si="133"/>
        <v>0</v>
      </c>
      <c r="P349" s="604">
        <f t="shared" si="134"/>
        <v>0</v>
      </c>
      <c r="Q349" s="604">
        <f t="shared" si="135"/>
        <v>0</v>
      </c>
      <c r="R349" s="604">
        <f t="shared" si="136"/>
        <v>0</v>
      </c>
      <c r="S349" s="604">
        <f t="shared" si="137"/>
        <v>0</v>
      </c>
      <c r="T349" s="604">
        <f t="shared" si="138"/>
        <v>0</v>
      </c>
      <c r="U349" s="604">
        <f t="shared" si="139"/>
        <v>0</v>
      </c>
      <c r="V349" s="604">
        <f t="shared" si="140"/>
        <v>0</v>
      </c>
      <c r="W349" s="604">
        <f t="shared" si="141"/>
        <v>0</v>
      </c>
      <c r="X349" s="746">
        <v>0</v>
      </c>
      <c r="Y349" s="746">
        <f t="shared" si="142"/>
        <v>0</v>
      </c>
    </row>
    <row r="350" spans="2:25">
      <c r="B350" s="598" t="s">
        <v>2595</v>
      </c>
      <c r="C350" s="604" t="s">
        <v>1107</v>
      </c>
      <c r="D350" s="745">
        <v>2006</v>
      </c>
      <c r="E350" s="604" t="s">
        <v>1341</v>
      </c>
      <c r="F350" s="738">
        <v>0.4</v>
      </c>
      <c r="G350" s="739">
        <v>2600</v>
      </c>
      <c r="H350" s="741">
        <v>2600</v>
      </c>
      <c r="I350" s="742">
        <f t="shared" si="128"/>
        <v>0</v>
      </c>
      <c r="J350" s="740">
        <f t="shared" si="129"/>
        <v>0</v>
      </c>
      <c r="K350" s="739">
        <f t="shared" si="130"/>
        <v>2600</v>
      </c>
      <c r="L350" s="860">
        <f t="shared" si="131"/>
        <v>0</v>
      </c>
      <c r="M350" s="740">
        <f t="shared" si="143"/>
        <v>0</v>
      </c>
      <c r="N350" s="604">
        <f t="shared" si="132"/>
        <v>0</v>
      </c>
      <c r="O350" s="604">
        <f t="shared" si="133"/>
        <v>0</v>
      </c>
      <c r="P350" s="604">
        <f t="shared" si="134"/>
        <v>0</v>
      </c>
      <c r="Q350" s="604">
        <f t="shared" si="135"/>
        <v>0</v>
      </c>
      <c r="R350" s="604">
        <f t="shared" si="136"/>
        <v>0</v>
      </c>
      <c r="S350" s="604">
        <f t="shared" si="137"/>
        <v>0</v>
      </c>
      <c r="T350" s="604">
        <f t="shared" si="138"/>
        <v>0</v>
      </c>
      <c r="U350" s="604">
        <f t="shared" si="139"/>
        <v>0</v>
      </c>
      <c r="V350" s="604">
        <f t="shared" si="140"/>
        <v>0</v>
      </c>
      <c r="W350" s="604">
        <f t="shared" si="141"/>
        <v>0</v>
      </c>
      <c r="X350" s="746">
        <v>0</v>
      </c>
      <c r="Y350" s="746">
        <f t="shared" si="142"/>
        <v>0</v>
      </c>
    </row>
    <row r="351" spans="2:25">
      <c r="B351" s="598" t="s">
        <v>2595</v>
      </c>
      <c r="C351" s="604" t="s">
        <v>1107</v>
      </c>
      <c r="D351" s="745">
        <v>2006</v>
      </c>
      <c r="E351" s="604" t="s">
        <v>1342</v>
      </c>
      <c r="F351" s="738">
        <v>0.4</v>
      </c>
      <c r="G351" s="739">
        <v>552.58000000000004</v>
      </c>
      <c r="H351" s="741">
        <v>552.58000000000004</v>
      </c>
      <c r="I351" s="742">
        <f t="shared" si="128"/>
        <v>0</v>
      </c>
      <c r="J351" s="740">
        <f t="shared" si="129"/>
        <v>0</v>
      </c>
      <c r="K351" s="739">
        <f t="shared" si="130"/>
        <v>552.58000000000004</v>
      </c>
      <c r="L351" s="860">
        <f t="shared" si="131"/>
        <v>0</v>
      </c>
      <c r="M351" s="740">
        <f t="shared" si="143"/>
        <v>0</v>
      </c>
      <c r="N351" s="604">
        <f t="shared" si="132"/>
        <v>0</v>
      </c>
      <c r="O351" s="604">
        <f t="shared" si="133"/>
        <v>0</v>
      </c>
      <c r="P351" s="604">
        <f t="shared" si="134"/>
        <v>0</v>
      </c>
      <c r="Q351" s="604">
        <f t="shared" si="135"/>
        <v>0</v>
      </c>
      <c r="R351" s="604">
        <f t="shared" si="136"/>
        <v>0</v>
      </c>
      <c r="S351" s="604">
        <f t="shared" si="137"/>
        <v>0</v>
      </c>
      <c r="T351" s="604">
        <f t="shared" si="138"/>
        <v>0</v>
      </c>
      <c r="U351" s="604">
        <f t="shared" si="139"/>
        <v>0</v>
      </c>
      <c r="V351" s="604">
        <f t="shared" si="140"/>
        <v>0</v>
      </c>
      <c r="W351" s="604">
        <f t="shared" si="141"/>
        <v>0</v>
      </c>
      <c r="X351" s="746">
        <v>0</v>
      </c>
      <c r="Y351" s="746">
        <f t="shared" si="142"/>
        <v>0</v>
      </c>
    </row>
    <row r="352" spans="2:25">
      <c r="B352" s="598" t="s">
        <v>2595</v>
      </c>
      <c r="C352" s="604" t="s">
        <v>1107</v>
      </c>
      <c r="D352" s="745">
        <v>2006</v>
      </c>
      <c r="E352" s="604" t="s">
        <v>1343</v>
      </c>
      <c r="F352" s="738">
        <v>0.4</v>
      </c>
      <c r="G352" s="739">
        <v>3850</v>
      </c>
      <c r="H352" s="741">
        <v>3850</v>
      </c>
      <c r="I352" s="742">
        <f t="shared" si="128"/>
        <v>0</v>
      </c>
      <c r="J352" s="740">
        <f t="shared" si="129"/>
        <v>0</v>
      </c>
      <c r="K352" s="739">
        <f t="shared" si="130"/>
        <v>3850</v>
      </c>
      <c r="L352" s="860">
        <f t="shared" si="131"/>
        <v>0</v>
      </c>
      <c r="M352" s="740">
        <f t="shared" si="143"/>
        <v>0</v>
      </c>
      <c r="N352" s="604">
        <f t="shared" si="132"/>
        <v>0</v>
      </c>
      <c r="O352" s="604">
        <f t="shared" si="133"/>
        <v>0</v>
      </c>
      <c r="P352" s="604">
        <f t="shared" si="134"/>
        <v>0</v>
      </c>
      <c r="Q352" s="604">
        <f t="shared" si="135"/>
        <v>0</v>
      </c>
      <c r="R352" s="604">
        <f t="shared" si="136"/>
        <v>0</v>
      </c>
      <c r="S352" s="604">
        <f t="shared" si="137"/>
        <v>0</v>
      </c>
      <c r="T352" s="604">
        <f t="shared" si="138"/>
        <v>0</v>
      </c>
      <c r="U352" s="604">
        <f t="shared" si="139"/>
        <v>0</v>
      </c>
      <c r="V352" s="604">
        <f t="shared" si="140"/>
        <v>0</v>
      </c>
      <c r="W352" s="604">
        <f t="shared" si="141"/>
        <v>0</v>
      </c>
      <c r="X352" s="746">
        <v>0</v>
      </c>
      <c r="Y352" s="746">
        <f t="shared" si="142"/>
        <v>0</v>
      </c>
    </row>
    <row r="353" spans="2:25">
      <c r="B353" s="598" t="s">
        <v>2595</v>
      </c>
      <c r="C353" s="604" t="s">
        <v>1107</v>
      </c>
      <c r="D353" s="745">
        <v>2006</v>
      </c>
      <c r="E353" s="604" t="s">
        <v>1343</v>
      </c>
      <c r="F353" s="738">
        <v>0.4</v>
      </c>
      <c r="G353" s="739">
        <v>3850</v>
      </c>
      <c r="H353" s="741">
        <v>3850</v>
      </c>
      <c r="I353" s="742">
        <f t="shared" si="128"/>
        <v>0</v>
      </c>
      <c r="J353" s="740">
        <f t="shared" si="129"/>
        <v>0</v>
      </c>
      <c r="K353" s="739">
        <f t="shared" si="130"/>
        <v>3850</v>
      </c>
      <c r="L353" s="860">
        <f t="shared" si="131"/>
        <v>0</v>
      </c>
      <c r="M353" s="740">
        <f t="shared" si="143"/>
        <v>0</v>
      </c>
      <c r="N353" s="604">
        <f t="shared" si="132"/>
        <v>0</v>
      </c>
      <c r="O353" s="604">
        <f t="shared" si="133"/>
        <v>0</v>
      </c>
      <c r="P353" s="604">
        <f t="shared" si="134"/>
        <v>0</v>
      </c>
      <c r="Q353" s="604">
        <f t="shared" si="135"/>
        <v>0</v>
      </c>
      <c r="R353" s="604">
        <f t="shared" si="136"/>
        <v>0</v>
      </c>
      <c r="S353" s="604">
        <f t="shared" si="137"/>
        <v>0</v>
      </c>
      <c r="T353" s="604">
        <f t="shared" si="138"/>
        <v>0</v>
      </c>
      <c r="U353" s="604">
        <f t="shared" si="139"/>
        <v>0</v>
      </c>
      <c r="V353" s="604">
        <f t="shared" si="140"/>
        <v>0</v>
      </c>
      <c r="W353" s="604">
        <f t="shared" si="141"/>
        <v>0</v>
      </c>
      <c r="X353" s="746">
        <v>0</v>
      </c>
      <c r="Y353" s="746">
        <f t="shared" si="142"/>
        <v>0</v>
      </c>
    </row>
    <row r="354" spans="2:25">
      <c r="B354" s="598" t="s">
        <v>2595</v>
      </c>
      <c r="C354" s="604" t="s">
        <v>1107</v>
      </c>
      <c r="D354" s="745">
        <v>2006</v>
      </c>
      <c r="E354" s="604" t="s">
        <v>1344</v>
      </c>
      <c r="F354" s="738">
        <v>0.4</v>
      </c>
      <c r="G354" s="739">
        <v>1550</v>
      </c>
      <c r="H354" s="741">
        <v>1550</v>
      </c>
      <c r="I354" s="742">
        <f t="shared" si="128"/>
        <v>0</v>
      </c>
      <c r="J354" s="740">
        <f t="shared" si="129"/>
        <v>0</v>
      </c>
      <c r="K354" s="739">
        <f t="shared" si="130"/>
        <v>1550</v>
      </c>
      <c r="L354" s="860">
        <f t="shared" si="131"/>
        <v>0</v>
      </c>
      <c r="M354" s="740">
        <f t="shared" si="143"/>
        <v>0</v>
      </c>
      <c r="N354" s="604">
        <f t="shared" si="132"/>
        <v>0</v>
      </c>
      <c r="O354" s="604">
        <f t="shared" si="133"/>
        <v>0</v>
      </c>
      <c r="P354" s="604">
        <f t="shared" si="134"/>
        <v>0</v>
      </c>
      <c r="Q354" s="604">
        <f t="shared" si="135"/>
        <v>0</v>
      </c>
      <c r="R354" s="604">
        <f t="shared" si="136"/>
        <v>0</v>
      </c>
      <c r="S354" s="604">
        <f t="shared" si="137"/>
        <v>0</v>
      </c>
      <c r="T354" s="604">
        <f t="shared" si="138"/>
        <v>0</v>
      </c>
      <c r="U354" s="604">
        <f t="shared" si="139"/>
        <v>0</v>
      </c>
      <c r="V354" s="604">
        <f t="shared" si="140"/>
        <v>0</v>
      </c>
      <c r="W354" s="604">
        <f t="shared" si="141"/>
        <v>0</v>
      </c>
      <c r="X354" s="746">
        <v>0</v>
      </c>
      <c r="Y354" s="746">
        <f t="shared" si="142"/>
        <v>0</v>
      </c>
    </row>
    <row r="355" spans="2:25">
      <c r="B355" s="598" t="s">
        <v>2595</v>
      </c>
      <c r="C355" s="604" t="s">
        <v>1107</v>
      </c>
      <c r="D355" s="745">
        <v>2006</v>
      </c>
      <c r="E355" s="604" t="s">
        <v>1345</v>
      </c>
      <c r="F355" s="738">
        <v>0.4</v>
      </c>
      <c r="G355" s="739">
        <v>2600</v>
      </c>
      <c r="H355" s="741">
        <v>2600</v>
      </c>
      <c r="I355" s="742">
        <f t="shared" si="128"/>
        <v>0</v>
      </c>
      <c r="J355" s="740">
        <f t="shared" si="129"/>
        <v>0</v>
      </c>
      <c r="K355" s="739">
        <f t="shared" si="130"/>
        <v>2600</v>
      </c>
      <c r="L355" s="860">
        <f t="shared" si="131"/>
        <v>0</v>
      </c>
      <c r="M355" s="740">
        <f t="shared" si="143"/>
        <v>0</v>
      </c>
      <c r="N355" s="604">
        <f t="shared" si="132"/>
        <v>0</v>
      </c>
      <c r="O355" s="604">
        <f t="shared" si="133"/>
        <v>0</v>
      </c>
      <c r="P355" s="604">
        <f t="shared" si="134"/>
        <v>0</v>
      </c>
      <c r="Q355" s="604">
        <f t="shared" si="135"/>
        <v>0</v>
      </c>
      <c r="R355" s="604">
        <f t="shared" si="136"/>
        <v>0</v>
      </c>
      <c r="S355" s="604">
        <f t="shared" si="137"/>
        <v>0</v>
      </c>
      <c r="T355" s="604">
        <f t="shared" si="138"/>
        <v>0</v>
      </c>
      <c r="U355" s="604">
        <f t="shared" si="139"/>
        <v>0</v>
      </c>
      <c r="V355" s="604">
        <f t="shared" si="140"/>
        <v>0</v>
      </c>
      <c r="W355" s="604">
        <f t="shared" si="141"/>
        <v>0</v>
      </c>
      <c r="X355" s="746">
        <v>0</v>
      </c>
      <c r="Y355" s="746">
        <f t="shared" si="142"/>
        <v>0</v>
      </c>
    </row>
    <row r="356" spans="2:25">
      <c r="B356" s="598" t="s">
        <v>2595</v>
      </c>
      <c r="C356" s="604" t="s">
        <v>1107</v>
      </c>
      <c r="D356" s="745">
        <v>2006</v>
      </c>
      <c r="E356" s="604" t="s">
        <v>1346</v>
      </c>
      <c r="F356" s="738">
        <v>0.4</v>
      </c>
      <c r="G356" s="739">
        <v>7300</v>
      </c>
      <c r="H356" s="741">
        <v>7300</v>
      </c>
      <c r="I356" s="742">
        <f t="shared" si="128"/>
        <v>0</v>
      </c>
      <c r="J356" s="740">
        <f t="shared" si="129"/>
        <v>0</v>
      </c>
      <c r="K356" s="739">
        <f t="shared" si="130"/>
        <v>7300</v>
      </c>
      <c r="L356" s="860">
        <f t="shared" si="131"/>
        <v>0</v>
      </c>
      <c r="M356" s="740">
        <f t="shared" si="143"/>
        <v>0</v>
      </c>
      <c r="N356" s="604">
        <f t="shared" si="132"/>
        <v>0</v>
      </c>
      <c r="O356" s="604">
        <f t="shared" si="133"/>
        <v>0</v>
      </c>
      <c r="P356" s="604">
        <f t="shared" si="134"/>
        <v>0</v>
      </c>
      <c r="Q356" s="604">
        <f t="shared" si="135"/>
        <v>0</v>
      </c>
      <c r="R356" s="604">
        <f t="shared" si="136"/>
        <v>0</v>
      </c>
      <c r="S356" s="604">
        <f t="shared" si="137"/>
        <v>0</v>
      </c>
      <c r="T356" s="604">
        <f t="shared" si="138"/>
        <v>0</v>
      </c>
      <c r="U356" s="604">
        <f t="shared" si="139"/>
        <v>0</v>
      </c>
      <c r="V356" s="604">
        <f t="shared" si="140"/>
        <v>0</v>
      </c>
      <c r="W356" s="604">
        <f t="shared" si="141"/>
        <v>0</v>
      </c>
      <c r="X356" s="746">
        <v>0</v>
      </c>
      <c r="Y356" s="746">
        <f t="shared" si="142"/>
        <v>0</v>
      </c>
    </row>
    <row r="357" spans="2:25">
      <c r="B357" s="598" t="s">
        <v>2595</v>
      </c>
      <c r="C357" s="604" t="s">
        <v>1107</v>
      </c>
      <c r="D357" s="745">
        <v>2006</v>
      </c>
      <c r="E357" s="604" t="s">
        <v>1346</v>
      </c>
      <c r="F357" s="738">
        <v>0.4</v>
      </c>
      <c r="G357" s="739">
        <v>3900</v>
      </c>
      <c r="H357" s="741">
        <v>3900</v>
      </c>
      <c r="I357" s="742">
        <f t="shared" si="128"/>
        <v>0</v>
      </c>
      <c r="J357" s="740">
        <f t="shared" si="129"/>
        <v>0</v>
      </c>
      <c r="K357" s="739">
        <f t="shared" si="130"/>
        <v>3900</v>
      </c>
      <c r="L357" s="860">
        <f t="shared" si="131"/>
        <v>0</v>
      </c>
      <c r="M357" s="740">
        <f t="shared" si="143"/>
        <v>0</v>
      </c>
      <c r="N357" s="604">
        <f t="shared" si="132"/>
        <v>0</v>
      </c>
      <c r="O357" s="604">
        <f t="shared" si="133"/>
        <v>0</v>
      </c>
      <c r="P357" s="604">
        <f t="shared" si="134"/>
        <v>0</v>
      </c>
      <c r="Q357" s="604">
        <f t="shared" si="135"/>
        <v>0</v>
      </c>
      <c r="R357" s="604">
        <f t="shared" si="136"/>
        <v>0</v>
      </c>
      <c r="S357" s="604">
        <f t="shared" si="137"/>
        <v>0</v>
      </c>
      <c r="T357" s="604">
        <f t="shared" si="138"/>
        <v>0</v>
      </c>
      <c r="U357" s="604">
        <f t="shared" si="139"/>
        <v>0</v>
      </c>
      <c r="V357" s="604">
        <f t="shared" si="140"/>
        <v>0</v>
      </c>
      <c r="W357" s="604">
        <f t="shared" si="141"/>
        <v>0</v>
      </c>
      <c r="X357" s="746">
        <v>0</v>
      </c>
      <c r="Y357" s="746">
        <f t="shared" si="142"/>
        <v>0</v>
      </c>
    </row>
    <row r="358" spans="2:25">
      <c r="B358" s="598" t="s">
        <v>2595</v>
      </c>
      <c r="C358" s="604" t="s">
        <v>1107</v>
      </c>
      <c r="D358" s="745">
        <v>2006</v>
      </c>
      <c r="E358" s="604" t="s">
        <v>1347</v>
      </c>
      <c r="F358" s="738">
        <v>0.4</v>
      </c>
      <c r="G358" s="739">
        <v>1450</v>
      </c>
      <c r="H358" s="741">
        <v>1450</v>
      </c>
      <c r="I358" s="742">
        <f t="shared" si="128"/>
        <v>0</v>
      </c>
      <c r="J358" s="740">
        <f t="shared" si="129"/>
        <v>0</v>
      </c>
      <c r="K358" s="739">
        <f t="shared" si="130"/>
        <v>1450</v>
      </c>
      <c r="L358" s="860">
        <f t="shared" si="131"/>
        <v>0</v>
      </c>
      <c r="M358" s="740">
        <f t="shared" si="143"/>
        <v>0</v>
      </c>
      <c r="N358" s="604">
        <f t="shared" si="132"/>
        <v>0</v>
      </c>
      <c r="O358" s="604">
        <f t="shared" si="133"/>
        <v>0</v>
      </c>
      <c r="P358" s="604">
        <f t="shared" si="134"/>
        <v>0</v>
      </c>
      <c r="Q358" s="604">
        <f t="shared" si="135"/>
        <v>0</v>
      </c>
      <c r="R358" s="604">
        <f t="shared" si="136"/>
        <v>0</v>
      </c>
      <c r="S358" s="604">
        <f t="shared" si="137"/>
        <v>0</v>
      </c>
      <c r="T358" s="604">
        <f t="shared" si="138"/>
        <v>0</v>
      </c>
      <c r="U358" s="604">
        <f t="shared" si="139"/>
        <v>0</v>
      </c>
      <c r="V358" s="604">
        <f t="shared" si="140"/>
        <v>0</v>
      </c>
      <c r="W358" s="604">
        <f t="shared" si="141"/>
        <v>0</v>
      </c>
      <c r="X358" s="746">
        <v>0</v>
      </c>
      <c r="Y358" s="746">
        <f t="shared" si="142"/>
        <v>0</v>
      </c>
    </row>
    <row r="359" spans="2:25">
      <c r="B359" s="598" t="s">
        <v>2595</v>
      </c>
      <c r="C359" s="604" t="s">
        <v>1107</v>
      </c>
      <c r="D359" s="745">
        <v>2006</v>
      </c>
      <c r="E359" s="604" t="s">
        <v>1348</v>
      </c>
      <c r="F359" s="738">
        <v>0.4</v>
      </c>
      <c r="G359" s="739">
        <v>3000</v>
      </c>
      <c r="H359" s="741">
        <v>3000</v>
      </c>
      <c r="I359" s="742">
        <f t="shared" si="128"/>
        <v>0</v>
      </c>
      <c r="J359" s="740">
        <f t="shared" si="129"/>
        <v>0</v>
      </c>
      <c r="K359" s="739">
        <f t="shared" si="130"/>
        <v>3000</v>
      </c>
      <c r="L359" s="860">
        <f t="shared" si="131"/>
        <v>0</v>
      </c>
      <c r="M359" s="740">
        <f t="shared" si="143"/>
        <v>0</v>
      </c>
      <c r="N359" s="604">
        <f t="shared" si="132"/>
        <v>0</v>
      </c>
      <c r="O359" s="604">
        <f t="shared" si="133"/>
        <v>0</v>
      </c>
      <c r="P359" s="604">
        <f t="shared" si="134"/>
        <v>0</v>
      </c>
      <c r="Q359" s="604">
        <f t="shared" si="135"/>
        <v>0</v>
      </c>
      <c r="R359" s="604">
        <f t="shared" si="136"/>
        <v>0</v>
      </c>
      <c r="S359" s="604">
        <f t="shared" si="137"/>
        <v>0</v>
      </c>
      <c r="T359" s="604">
        <f t="shared" si="138"/>
        <v>0</v>
      </c>
      <c r="U359" s="604">
        <f t="shared" si="139"/>
        <v>0</v>
      </c>
      <c r="V359" s="604">
        <f t="shared" si="140"/>
        <v>0</v>
      </c>
      <c r="W359" s="604">
        <f t="shared" si="141"/>
        <v>0</v>
      </c>
      <c r="X359" s="746">
        <v>0</v>
      </c>
      <c r="Y359" s="746">
        <f t="shared" si="142"/>
        <v>0</v>
      </c>
    </row>
    <row r="360" spans="2:25">
      <c r="B360" s="598" t="s">
        <v>2595</v>
      </c>
      <c r="C360" s="604" t="s">
        <v>1107</v>
      </c>
      <c r="D360" s="745">
        <v>2006</v>
      </c>
      <c r="E360" s="604" t="s">
        <v>1349</v>
      </c>
      <c r="F360" s="738">
        <v>0.4</v>
      </c>
      <c r="G360" s="739">
        <v>1200</v>
      </c>
      <c r="H360" s="741">
        <v>1200</v>
      </c>
      <c r="I360" s="742">
        <f t="shared" si="128"/>
        <v>0</v>
      </c>
      <c r="J360" s="740">
        <f t="shared" si="129"/>
        <v>0</v>
      </c>
      <c r="K360" s="739">
        <f t="shared" si="130"/>
        <v>1200</v>
      </c>
      <c r="L360" s="860">
        <f t="shared" si="131"/>
        <v>0</v>
      </c>
      <c r="M360" s="740">
        <f t="shared" si="143"/>
        <v>0</v>
      </c>
      <c r="N360" s="604">
        <f t="shared" si="132"/>
        <v>0</v>
      </c>
      <c r="O360" s="604">
        <f t="shared" si="133"/>
        <v>0</v>
      </c>
      <c r="P360" s="604">
        <f t="shared" si="134"/>
        <v>0</v>
      </c>
      <c r="Q360" s="604">
        <f t="shared" si="135"/>
        <v>0</v>
      </c>
      <c r="R360" s="604">
        <f t="shared" si="136"/>
        <v>0</v>
      </c>
      <c r="S360" s="604">
        <f t="shared" si="137"/>
        <v>0</v>
      </c>
      <c r="T360" s="604">
        <f t="shared" si="138"/>
        <v>0</v>
      </c>
      <c r="U360" s="604">
        <f t="shared" si="139"/>
        <v>0</v>
      </c>
      <c r="V360" s="604">
        <f t="shared" si="140"/>
        <v>0</v>
      </c>
      <c r="W360" s="604">
        <f t="shared" si="141"/>
        <v>0</v>
      </c>
      <c r="X360" s="746">
        <v>0</v>
      </c>
      <c r="Y360" s="746">
        <f t="shared" si="142"/>
        <v>0</v>
      </c>
    </row>
    <row r="361" spans="2:25">
      <c r="B361" s="598" t="s">
        <v>2595</v>
      </c>
      <c r="C361" s="604" t="s">
        <v>1107</v>
      </c>
      <c r="D361" s="745">
        <v>2006</v>
      </c>
      <c r="E361" s="604" t="s">
        <v>1350</v>
      </c>
      <c r="F361" s="738">
        <v>0.4</v>
      </c>
      <c r="G361" s="739">
        <v>610</v>
      </c>
      <c r="H361" s="741">
        <v>610</v>
      </c>
      <c r="I361" s="742">
        <f t="shared" si="128"/>
        <v>0</v>
      </c>
      <c r="J361" s="740">
        <f t="shared" si="129"/>
        <v>0</v>
      </c>
      <c r="K361" s="739">
        <f t="shared" si="130"/>
        <v>610</v>
      </c>
      <c r="L361" s="860">
        <f t="shared" si="131"/>
        <v>0</v>
      </c>
      <c r="M361" s="740">
        <f t="shared" si="143"/>
        <v>0</v>
      </c>
      <c r="N361" s="604">
        <f t="shared" si="132"/>
        <v>0</v>
      </c>
      <c r="O361" s="604">
        <f t="shared" si="133"/>
        <v>0</v>
      </c>
      <c r="P361" s="604">
        <f t="shared" si="134"/>
        <v>0</v>
      </c>
      <c r="Q361" s="604">
        <f t="shared" si="135"/>
        <v>0</v>
      </c>
      <c r="R361" s="604">
        <f t="shared" si="136"/>
        <v>0</v>
      </c>
      <c r="S361" s="604">
        <f t="shared" si="137"/>
        <v>0</v>
      </c>
      <c r="T361" s="604">
        <f t="shared" si="138"/>
        <v>0</v>
      </c>
      <c r="U361" s="604">
        <f t="shared" si="139"/>
        <v>0</v>
      </c>
      <c r="V361" s="604">
        <f t="shared" si="140"/>
        <v>0</v>
      </c>
      <c r="W361" s="604">
        <f t="shared" si="141"/>
        <v>0</v>
      </c>
      <c r="X361" s="746">
        <v>0</v>
      </c>
      <c r="Y361" s="746">
        <f t="shared" si="142"/>
        <v>0</v>
      </c>
    </row>
    <row r="362" spans="2:25">
      <c r="B362" s="598" t="s">
        <v>2595</v>
      </c>
      <c r="C362" s="604" t="s">
        <v>1107</v>
      </c>
      <c r="D362" s="745">
        <v>2006</v>
      </c>
      <c r="E362" s="604" t="s">
        <v>1349</v>
      </c>
      <c r="F362" s="738">
        <v>0.4</v>
      </c>
      <c r="G362" s="739">
        <v>1200</v>
      </c>
      <c r="H362" s="741">
        <v>1200</v>
      </c>
      <c r="I362" s="742">
        <f t="shared" si="128"/>
        <v>0</v>
      </c>
      <c r="J362" s="740">
        <f t="shared" si="129"/>
        <v>0</v>
      </c>
      <c r="K362" s="739">
        <f t="shared" si="130"/>
        <v>1200</v>
      </c>
      <c r="L362" s="860">
        <f t="shared" si="131"/>
        <v>0</v>
      </c>
      <c r="M362" s="740">
        <f t="shared" si="143"/>
        <v>0</v>
      </c>
      <c r="N362" s="604">
        <f t="shared" si="132"/>
        <v>0</v>
      </c>
      <c r="O362" s="604">
        <f t="shared" si="133"/>
        <v>0</v>
      </c>
      <c r="P362" s="604">
        <f t="shared" si="134"/>
        <v>0</v>
      </c>
      <c r="Q362" s="604">
        <f t="shared" si="135"/>
        <v>0</v>
      </c>
      <c r="R362" s="604">
        <f t="shared" si="136"/>
        <v>0</v>
      </c>
      <c r="S362" s="604">
        <f t="shared" si="137"/>
        <v>0</v>
      </c>
      <c r="T362" s="604">
        <f t="shared" si="138"/>
        <v>0</v>
      </c>
      <c r="U362" s="604">
        <f t="shared" si="139"/>
        <v>0</v>
      </c>
      <c r="V362" s="604">
        <f t="shared" si="140"/>
        <v>0</v>
      </c>
      <c r="W362" s="604">
        <f t="shared" si="141"/>
        <v>0</v>
      </c>
      <c r="X362" s="746">
        <v>0</v>
      </c>
      <c r="Y362" s="746">
        <f t="shared" si="142"/>
        <v>0</v>
      </c>
    </row>
    <row r="363" spans="2:25">
      <c r="B363" s="598" t="s">
        <v>2595</v>
      </c>
      <c r="C363" s="604" t="s">
        <v>1107</v>
      </c>
      <c r="D363" s="745">
        <v>2006</v>
      </c>
      <c r="E363" s="604" t="s">
        <v>1349</v>
      </c>
      <c r="F363" s="738">
        <v>0.4</v>
      </c>
      <c r="G363" s="739">
        <v>1200</v>
      </c>
      <c r="H363" s="741">
        <v>1200</v>
      </c>
      <c r="I363" s="742">
        <f t="shared" si="128"/>
        <v>0</v>
      </c>
      <c r="J363" s="740">
        <f t="shared" si="129"/>
        <v>0</v>
      </c>
      <c r="K363" s="739">
        <f t="shared" si="130"/>
        <v>1200</v>
      </c>
      <c r="L363" s="860">
        <f t="shared" si="131"/>
        <v>0</v>
      </c>
      <c r="M363" s="740">
        <f t="shared" si="143"/>
        <v>0</v>
      </c>
      <c r="N363" s="604">
        <f t="shared" si="132"/>
        <v>0</v>
      </c>
      <c r="O363" s="604">
        <f t="shared" si="133"/>
        <v>0</v>
      </c>
      <c r="P363" s="604">
        <f t="shared" si="134"/>
        <v>0</v>
      </c>
      <c r="Q363" s="604">
        <f t="shared" si="135"/>
        <v>0</v>
      </c>
      <c r="R363" s="604">
        <f t="shared" si="136"/>
        <v>0</v>
      </c>
      <c r="S363" s="604">
        <f t="shared" si="137"/>
        <v>0</v>
      </c>
      <c r="T363" s="604">
        <f t="shared" si="138"/>
        <v>0</v>
      </c>
      <c r="U363" s="604">
        <f t="shared" si="139"/>
        <v>0</v>
      </c>
      <c r="V363" s="604">
        <f t="shared" si="140"/>
        <v>0</v>
      </c>
      <c r="W363" s="604">
        <f t="shared" si="141"/>
        <v>0</v>
      </c>
      <c r="X363" s="746">
        <v>0</v>
      </c>
      <c r="Y363" s="746">
        <f t="shared" si="142"/>
        <v>0</v>
      </c>
    </row>
    <row r="364" spans="2:25">
      <c r="B364" s="598" t="s">
        <v>2595</v>
      </c>
      <c r="C364" s="604" t="s">
        <v>1107</v>
      </c>
      <c r="D364" s="745">
        <v>2006</v>
      </c>
      <c r="E364" s="604" t="s">
        <v>1351</v>
      </c>
      <c r="F364" s="738">
        <v>0.4</v>
      </c>
      <c r="G364" s="739">
        <v>2200</v>
      </c>
      <c r="H364" s="741">
        <v>2200</v>
      </c>
      <c r="I364" s="742">
        <f t="shared" si="128"/>
        <v>0</v>
      </c>
      <c r="J364" s="740">
        <f t="shared" si="129"/>
        <v>0</v>
      </c>
      <c r="K364" s="739">
        <f t="shared" si="130"/>
        <v>2200</v>
      </c>
      <c r="L364" s="860">
        <f t="shared" si="131"/>
        <v>0</v>
      </c>
      <c r="M364" s="740">
        <f t="shared" si="143"/>
        <v>0</v>
      </c>
      <c r="N364" s="604">
        <f t="shared" si="132"/>
        <v>0</v>
      </c>
      <c r="O364" s="604">
        <f t="shared" si="133"/>
        <v>0</v>
      </c>
      <c r="P364" s="604">
        <f t="shared" si="134"/>
        <v>0</v>
      </c>
      <c r="Q364" s="604">
        <f t="shared" si="135"/>
        <v>0</v>
      </c>
      <c r="R364" s="604">
        <f t="shared" si="136"/>
        <v>0</v>
      </c>
      <c r="S364" s="604">
        <f t="shared" si="137"/>
        <v>0</v>
      </c>
      <c r="T364" s="604">
        <f t="shared" si="138"/>
        <v>0</v>
      </c>
      <c r="U364" s="604">
        <f t="shared" si="139"/>
        <v>0</v>
      </c>
      <c r="V364" s="604">
        <f t="shared" si="140"/>
        <v>0</v>
      </c>
      <c r="W364" s="604">
        <f t="shared" si="141"/>
        <v>0</v>
      </c>
      <c r="X364" s="746">
        <v>0</v>
      </c>
      <c r="Y364" s="746">
        <f t="shared" si="142"/>
        <v>0</v>
      </c>
    </row>
    <row r="365" spans="2:25">
      <c r="B365" s="598" t="s">
        <v>2595</v>
      </c>
      <c r="C365" s="604" t="s">
        <v>1107</v>
      </c>
      <c r="D365" s="745">
        <v>2006</v>
      </c>
      <c r="E365" s="604" t="s">
        <v>1352</v>
      </c>
      <c r="F365" s="738">
        <v>0.4</v>
      </c>
      <c r="G365" s="739">
        <v>4800</v>
      </c>
      <c r="H365" s="741">
        <v>4800</v>
      </c>
      <c r="I365" s="742">
        <f t="shared" si="128"/>
        <v>0</v>
      </c>
      <c r="J365" s="740">
        <f t="shared" si="129"/>
        <v>0</v>
      </c>
      <c r="K365" s="739">
        <f t="shared" si="130"/>
        <v>4800</v>
      </c>
      <c r="L365" s="860">
        <f t="shared" si="131"/>
        <v>0</v>
      </c>
      <c r="M365" s="740">
        <f t="shared" si="143"/>
        <v>0</v>
      </c>
      <c r="N365" s="604">
        <f t="shared" si="132"/>
        <v>0</v>
      </c>
      <c r="O365" s="604">
        <f t="shared" si="133"/>
        <v>0</v>
      </c>
      <c r="P365" s="604">
        <f t="shared" si="134"/>
        <v>0</v>
      </c>
      <c r="Q365" s="604">
        <f t="shared" si="135"/>
        <v>0</v>
      </c>
      <c r="R365" s="604">
        <f t="shared" si="136"/>
        <v>0</v>
      </c>
      <c r="S365" s="604">
        <f t="shared" si="137"/>
        <v>0</v>
      </c>
      <c r="T365" s="604">
        <f t="shared" si="138"/>
        <v>0</v>
      </c>
      <c r="U365" s="604">
        <f t="shared" si="139"/>
        <v>0</v>
      </c>
      <c r="V365" s="604">
        <f t="shared" si="140"/>
        <v>0</v>
      </c>
      <c r="W365" s="604">
        <f t="shared" si="141"/>
        <v>0</v>
      </c>
      <c r="X365" s="746">
        <v>0</v>
      </c>
      <c r="Y365" s="746">
        <f t="shared" si="142"/>
        <v>0</v>
      </c>
    </row>
    <row r="366" spans="2:25">
      <c r="B366" s="598" t="s">
        <v>2595</v>
      </c>
      <c r="C366" s="604" t="s">
        <v>1107</v>
      </c>
      <c r="D366" s="745">
        <v>2006</v>
      </c>
      <c r="E366" s="604" t="s">
        <v>1353</v>
      </c>
      <c r="F366" s="738">
        <v>0.4</v>
      </c>
      <c r="G366" s="739">
        <v>3900</v>
      </c>
      <c r="H366" s="741">
        <v>3900</v>
      </c>
      <c r="I366" s="742">
        <f t="shared" si="128"/>
        <v>0</v>
      </c>
      <c r="J366" s="740">
        <f t="shared" si="129"/>
        <v>0</v>
      </c>
      <c r="K366" s="739">
        <f t="shared" si="130"/>
        <v>3900</v>
      </c>
      <c r="L366" s="860">
        <f t="shared" si="131"/>
        <v>0</v>
      </c>
      <c r="M366" s="740">
        <f t="shared" si="143"/>
        <v>0</v>
      </c>
      <c r="N366" s="604">
        <f t="shared" si="132"/>
        <v>0</v>
      </c>
      <c r="O366" s="604">
        <f t="shared" si="133"/>
        <v>0</v>
      </c>
      <c r="P366" s="604">
        <f t="shared" si="134"/>
        <v>0</v>
      </c>
      <c r="Q366" s="604">
        <f t="shared" si="135"/>
        <v>0</v>
      </c>
      <c r="R366" s="604">
        <f t="shared" si="136"/>
        <v>0</v>
      </c>
      <c r="S366" s="604">
        <f t="shared" si="137"/>
        <v>0</v>
      </c>
      <c r="T366" s="604">
        <f t="shared" si="138"/>
        <v>0</v>
      </c>
      <c r="U366" s="604">
        <f t="shared" si="139"/>
        <v>0</v>
      </c>
      <c r="V366" s="604">
        <f t="shared" si="140"/>
        <v>0</v>
      </c>
      <c r="W366" s="604">
        <f t="shared" si="141"/>
        <v>0</v>
      </c>
      <c r="X366" s="746">
        <v>0</v>
      </c>
      <c r="Y366" s="746">
        <f t="shared" si="142"/>
        <v>0</v>
      </c>
    </row>
    <row r="367" spans="2:25">
      <c r="B367" s="598" t="s">
        <v>2595</v>
      </c>
      <c r="C367" s="604" t="s">
        <v>1107</v>
      </c>
      <c r="D367" s="745">
        <v>2007</v>
      </c>
      <c r="E367" s="604" t="s">
        <v>1354</v>
      </c>
      <c r="F367" s="738">
        <v>0.4</v>
      </c>
      <c r="G367" s="739">
        <v>1150</v>
      </c>
      <c r="H367" s="741">
        <v>1150</v>
      </c>
      <c r="I367" s="742">
        <f t="shared" ref="I367:I430" si="144">+G367-H367</f>
        <v>0</v>
      </c>
      <c r="J367" s="740">
        <f t="shared" ref="J367:J430" si="145">IF(I367=0,0,G367*F367)</f>
        <v>0</v>
      </c>
      <c r="K367" s="739">
        <f t="shared" ref="K367:K430" si="146">+H367+J367</f>
        <v>1150</v>
      </c>
      <c r="L367" s="860">
        <f t="shared" ref="L367:L430" si="147">+G367-K367</f>
        <v>0</v>
      </c>
      <c r="M367" s="740">
        <f t="shared" si="143"/>
        <v>0</v>
      </c>
      <c r="N367" s="604">
        <f t="shared" si="132"/>
        <v>0</v>
      </c>
      <c r="O367" s="604">
        <f t="shared" si="133"/>
        <v>0</v>
      </c>
      <c r="P367" s="604">
        <f t="shared" si="134"/>
        <v>0</v>
      </c>
      <c r="Q367" s="604">
        <f t="shared" si="135"/>
        <v>0</v>
      </c>
      <c r="R367" s="604">
        <f t="shared" si="136"/>
        <v>0</v>
      </c>
      <c r="S367" s="604">
        <f t="shared" si="137"/>
        <v>0</v>
      </c>
      <c r="T367" s="604">
        <f t="shared" si="138"/>
        <v>0</v>
      </c>
      <c r="U367" s="604">
        <f t="shared" si="139"/>
        <v>0</v>
      </c>
      <c r="V367" s="604">
        <f t="shared" si="140"/>
        <v>0</v>
      </c>
      <c r="W367" s="604">
        <f t="shared" si="141"/>
        <v>0</v>
      </c>
      <c r="X367" s="746">
        <v>0</v>
      </c>
      <c r="Y367" s="746">
        <f t="shared" si="142"/>
        <v>0</v>
      </c>
    </row>
    <row r="368" spans="2:25">
      <c r="B368" s="598" t="s">
        <v>2595</v>
      </c>
      <c r="C368" s="604" t="s">
        <v>1107</v>
      </c>
      <c r="D368" s="745">
        <v>2007</v>
      </c>
      <c r="E368" s="604" t="s">
        <v>1355</v>
      </c>
      <c r="F368" s="738">
        <v>0.4</v>
      </c>
      <c r="G368" s="739">
        <v>700</v>
      </c>
      <c r="H368" s="741">
        <v>700</v>
      </c>
      <c r="I368" s="742">
        <f t="shared" si="144"/>
        <v>0</v>
      </c>
      <c r="J368" s="740">
        <f t="shared" si="145"/>
        <v>0</v>
      </c>
      <c r="K368" s="739">
        <f t="shared" si="146"/>
        <v>700</v>
      </c>
      <c r="L368" s="860">
        <f t="shared" si="147"/>
        <v>0</v>
      </c>
      <c r="M368" s="740">
        <f t="shared" si="143"/>
        <v>0</v>
      </c>
      <c r="N368" s="604">
        <f t="shared" si="132"/>
        <v>0</v>
      </c>
      <c r="O368" s="604">
        <f t="shared" si="133"/>
        <v>0</v>
      </c>
      <c r="P368" s="604">
        <f t="shared" si="134"/>
        <v>0</v>
      </c>
      <c r="Q368" s="604">
        <f t="shared" si="135"/>
        <v>0</v>
      </c>
      <c r="R368" s="604">
        <f t="shared" si="136"/>
        <v>0</v>
      </c>
      <c r="S368" s="604">
        <f t="shared" si="137"/>
        <v>0</v>
      </c>
      <c r="T368" s="604">
        <f t="shared" si="138"/>
        <v>0</v>
      </c>
      <c r="U368" s="604">
        <f t="shared" si="139"/>
        <v>0</v>
      </c>
      <c r="V368" s="604">
        <f t="shared" si="140"/>
        <v>0</v>
      </c>
      <c r="W368" s="604">
        <f t="shared" si="141"/>
        <v>0</v>
      </c>
      <c r="X368" s="746">
        <v>0</v>
      </c>
      <c r="Y368" s="746">
        <f t="shared" si="142"/>
        <v>0</v>
      </c>
    </row>
    <row r="369" spans="2:25">
      <c r="B369" s="598" t="s">
        <v>2595</v>
      </c>
      <c r="C369" s="604" t="s">
        <v>1107</v>
      </c>
      <c r="D369" s="745">
        <v>2007</v>
      </c>
      <c r="E369" s="604" t="s">
        <v>1356</v>
      </c>
      <c r="F369" s="738">
        <v>0.4</v>
      </c>
      <c r="G369" s="739">
        <v>590</v>
      </c>
      <c r="H369" s="741">
        <v>590</v>
      </c>
      <c r="I369" s="742">
        <f t="shared" si="144"/>
        <v>0</v>
      </c>
      <c r="J369" s="740">
        <f t="shared" si="145"/>
        <v>0</v>
      </c>
      <c r="K369" s="739">
        <f t="shared" si="146"/>
        <v>590</v>
      </c>
      <c r="L369" s="860">
        <f t="shared" si="147"/>
        <v>0</v>
      </c>
      <c r="M369" s="740">
        <f t="shared" si="143"/>
        <v>0</v>
      </c>
      <c r="N369" s="604">
        <f t="shared" si="132"/>
        <v>0</v>
      </c>
      <c r="O369" s="604">
        <f t="shared" si="133"/>
        <v>0</v>
      </c>
      <c r="P369" s="604">
        <f t="shared" si="134"/>
        <v>0</v>
      </c>
      <c r="Q369" s="604">
        <f t="shared" si="135"/>
        <v>0</v>
      </c>
      <c r="R369" s="604">
        <f t="shared" si="136"/>
        <v>0</v>
      </c>
      <c r="S369" s="604">
        <f t="shared" si="137"/>
        <v>0</v>
      </c>
      <c r="T369" s="604">
        <f t="shared" si="138"/>
        <v>0</v>
      </c>
      <c r="U369" s="604">
        <f t="shared" si="139"/>
        <v>0</v>
      </c>
      <c r="V369" s="604">
        <f t="shared" si="140"/>
        <v>0</v>
      </c>
      <c r="W369" s="604">
        <f t="shared" si="141"/>
        <v>0</v>
      </c>
      <c r="X369" s="746">
        <v>0</v>
      </c>
      <c r="Y369" s="746">
        <f t="shared" si="142"/>
        <v>0</v>
      </c>
    </row>
    <row r="370" spans="2:25">
      <c r="B370" s="598" t="s">
        <v>2595</v>
      </c>
      <c r="C370" s="604" t="s">
        <v>1107</v>
      </c>
      <c r="D370" s="745">
        <v>2007</v>
      </c>
      <c r="E370" s="604" t="s">
        <v>1357</v>
      </c>
      <c r="F370" s="738">
        <v>0.4</v>
      </c>
      <c r="G370" s="739">
        <v>790</v>
      </c>
      <c r="H370" s="741">
        <v>790</v>
      </c>
      <c r="I370" s="742">
        <f t="shared" si="144"/>
        <v>0</v>
      </c>
      <c r="J370" s="740">
        <f t="shared" si="145"/>
        <v>0</v>
      </c>
      <c r="K370" s="739">
        <f t="shared" si="146"/>
        <v>790</v>
      </c>
      <c r="L370" s="860">
        <f t="shared" si="147"/>
        <v>0</v>
      </c>
      <c r="M370" s="740">
        <f t="shared" si="143"/>
        <v>0</v>
      </c>
      <c r="N370" s="604">
        <f t="shared" si="132"/>
        <v>0</v>
      </c>
      <c r="O370" s="604">
        <f t="shared" si="133"/>
        <v>0</v>
      </c>
      <c r="P370" s="604">
        <f t="shared" si="134"/>
        <v>0</v>
      </c>
      <c r="Q370" s="604">
        <f t="shared" si="135"/>
        <v>0</v>
      </c>
      <c r="R370" s="604">
        <f t="shared" si="136"/>
        <v>0</v>
      </c>
      <c r="S370" s="604">
        <f t="shared" si="137"/>
        <v>0</v>
      </c>
      <c r="T370" s="604">
        <f t="shared" si="138"/>
        <v>0</v>
      </c>
      <c r="U370" s="604">
        <f t="shared" si="139"/>
        <v>0</v>
      </c>
      <c r="V370" s="604">
        <f t="shared" si="140"/>
        <v>0</v>
      </c>
      <c r="W370" s="604">
        <f t="shared" si="141"/>
        <v>0</v>
      </c>
      <c r="X370" s="746">
        <v>0</v>
      </c>
      <c r="Y370" s="746">
        <f t="shared" si="142"/>
        <v>0</v>
      </c>
    </row>
    <row r="371" spans="2:25">
      <c r="B371" s="598" t="s">
        <v>2595</v>
      </c>
      <c r="C371" s="604" t="s">
        <v>1107</v>
      </c>
      <c r="D371" s="745">
        <v>2007</v>
      </c>
      <c r="E371" s="604" t="s">
        <v>1358</v>
      </c>
      <c r="F371" s="738">
        <v>0.4</v>
      </c>
      <c r="G371" s="739">
        <v>1250</v>
      </c>
      <c r="H371" s="741">
        <v>1250</v>
      </c>
      <c r="I371" s="742">
        <f t="shared" si="144"/>
        <v>0</v>
      </c>
      <c r="J371" s="740">
        <f t="shared" si="145"/>
        <v>0</v>
      </c>
      <c r="K371" s="739">
        <f t="shared" si="146"/>
        <v>1250</v>
      </c>
      <c r="L371" s="860">
        <f t="shared" si="147"/>
        <v>0</v>
      </c>
      <c r="M371" s="740">
        <f t="shared" si="143"/>
        <v>0</v>
      </c>
      <c r="N371" s="604">
        <f t="shared" si="132"/>
        <v>0</v>
      </c>
      <c r="O371" s="604">
        <f t="shared" si="133"/>
        <v>0</v>
      </c>
      <c r="P371" s="604">
        <f t="shared" si="134"/>
        <v>0</v>
      </c>
      <c r="Q371" s="604">
        <f t="shared" si="135"/>
        <v>0</v>
      </c>
      <c r="R371" s="604">
        <f t="shared" si="136"/>
        <v>0</v>
      </c>
      <c r="S371" s="604">
        <f t="shared" si="137"/>
        <v>0</v>
      </c>
      <c r="T371" s="604">
        <f t="shared" si="138"/>
        <v>0</v>
      </c>
      <c r="U371" s="604">
        <f t="shared" si="139"/>
        <v>0</v>
      </c>
      <c r="V371" s="604">
        <f t="shared" si="140"/>
        <v>0</v>
      </c>
      <c r="W371" s="604">
        <f t="shared" si="141"/>
        <v>0</v>
      </c>
      <c r="X371" s="746">
        <v>0</v>
      </c>
      <c r="Y371" s="746">
        <f t="shared" si="142"/>
        <v>0</v>
      </c>
    </row>
    <row r="372" spans="2:25">
      <c r="B372" s="598" t="s">
        <v>2595</v>
      </c>
      <c r="C372" s="604" t="s">
        <v>1107</v>
      </c>
      <c r="D372" s="745">
        <v>2007</v>
      </c>
      <c r="E372" s="604" t="s">
        <v>1359</v>
      </c>
      <c r="F372" s="738">
        <v>0.4</v>
      </c>
      <c r="G372" s="739">
        <v>925</v>
      </c>
      <c r="H372" s="741">
        <v>925</v>
      </c>
      <c r="I372" s="742">
        <f t="shared" si="144"/>
        <v>0</v>
      </c>
      <c r="J372" s="740">
        <f t="shared" si="145"/>
        <v>0</v>
      </c>
      <c r="K372" s="739">
        <f t="shared" si="146"/>
        <v>925</v>
      </c>
      <c r="L372" s="860">
        <f t="shared" si="147"/>
        <v>0</v>
      </c>
      <c r="M372" s="740">
        <f t="shared" si="143"/>
        <v>0</v>
      </c>
      <c r="N372" s="604">
        <f t="shared" si="132"/>
        <v>0</v>
      </c>
      <c r="O372" s="604">
        <f t="shared" si="133"/>
        <v>0</v>
      </c>
      <c r="P372" s="604">
        <f t="shared" si="134"/>
        <v>0</v>
      </c>
      <c r="Q372" s="604">
        <f t="shared" si="135"/>
        <v>0</v>
      </c>
      <c r="R372" s="604">
        <f t="shared" si="136"/>
        <v>0</v>
      </c>
      <c r="S372" s="604">
        <f t="shared" si="137"/>
        <v>0</v>
      </c>
      <c r="T372" s="604">
        <f t="shared" si="138"/>
        <v>0</v>
      </c>
      <c r="U372" s="604">
        <f t="shared" si="139"/>
        <v>0</v>
      </c>
      <c r="V372" s="604">
        <f t="shared" si="140"/>
        <v>0</v>
      </c>
      <c r="W372" s="604">
        <f t="shared" si="141"/>
        <v>0</v>
      </c>
      <c r="X372" s="746">
        <v>0</v>
      </c>
      <c r="Y372" s="746">
        <f t="shared" si="142"/>
        <v>0</v>
      </c>
    </row>
    <row r="373" spans="2:25">
      <c r="B373" s="598" t="s">
        <v>2595</v>
      </c>
      <c r="C373" s="604" t="s">
        <v>1107</v>
      </c>
      <c r="D373" s="745">
        <v>2007</v>
      </c>
      <c r="E373" s="604" t="s">
        <v>1360</v>
      </c>
      <c r="F373" s="738">
        <v>0.4</v>
      </c>
      <c r="G373" s="739">
        <v>1900</v>
      </c>
      <c r="H373" s="741">
        <v>1900</v>
      </c>
      <c r="I373" s="742">
        <f t="shared" si="144"/>
        <v>0</v>
      </c>
      <c r="J373" s="740">
        <f t="shared" si="145"/>
        <v>0</v>
      </c>
      <c r="K373" s="739">
        <f t="shared" si="146"/>
        <v>1900</v>
      </c>
      <c r="L373" s="860">
        <f t="shared" si="147"/>
        <v>0</v>
      </c>
      <c r="M373" s="740">
        <f t="shared" si="143"/>
        <v>0</v>
      </c>
      <c r="N373" s="604">
        <f t="shared" si="132"/>
        <v>0</v>
      </c>
      <c r="O373" s="604">
        <f t="shared" si="133"/>
        <v>0</v>
      </c>
      <c r="P373" s="604">
        <f t="shared" si="134"/>
        <v>0</v>
      </c>
      <c r="Q373" s="604">
        <f t="shared" si="135"/>
        <v>0</v>
      </c>
      <c r="R373" s="604">
        <f t="shared" si="136"/>
        <v>0</v>
      </c>
      <c r="S373" s="604">
        <f t="shared" si="137"/>
        <v>0</v>
      </c>
      <c r="T373" s="604">
        <f t="shared" si="138"/>
        <v>0</v>
      </c>
      <c r="U373" s="604">
        <f t="shared" si="139"/>
        <v>0</v>
      </c>
      <c r="V373" s="604">
        <f t="shared" si="140"/>
        <v>0</v>
      </c>
      <c r="W373" s="604">
        <f t="shared" si="141"/>
        <v>0</v>
      </c>
      <c r="X373" s="746">
        <v>0</v>
      </c>
      <c r="Y373" s="746">
        <f t="shared" si="142"/>
        <v>0</v>
      </c>
    </row>
    <row r="374" spans="2:25">
      <c r="B374" s="598" t="s">
        <v>2595</v>
      </c>
      <c r="C374" s="604" t="s">
        <v>1107</v>
      </c>
      <c r="D374" s="745">
        <v>2007</v>
      </c>
      <c r="E374" s="604" t="s">
        <v>1361</v>
      </c>
      <c r="F374" s="738">
        <v>0.4</v>
      </c>
      <c r="G374" s="739">
        <v>5206.3100000000004</v>
      </c>
      <c r="H374" s="741">
        <v>5206.3100000000004</v>
      </c>
      <c r="I374" s="742">
        <f t="shared" si="144"/>
        <v>0</v>
      </c>
      <c r="J374" s="740">
        <f t="shared" si="145"/>
        <v>0</v>
      </c>
      <c r="K374" s="739">
        <f t="shared" si="146"/>
        <v>5206.3100000000004</v>
      </c>
      <c r="L374" s="860">
        <f t="shared" si="147"/>
        <v>0</v>
      </c>
      <c r="M374" s="740">
        <f t="shared" si="143"/>
        <v>0</v>
      </c>
      <c r="N374" s="604">
        <f t="shared" si="132"/>
        <v>0</v>
      </c>
      <c r="O374" s="604">
        <f t="shared" si="133"/>
        <v>0</v>
      </c>
      <c r="P374" s="604">
        <f t="shared" si="134"/>
        <v>0</v>
      </c>
      <c r="Q374" s="604">
        <f t="shared" si="135"/>
        <v>0</v>
      </c>
      <c r="R374" s="604">
        <f t="shared" si="136"/>
        <v>0</v>
      </c>
      <c r="S374" s="604">
        <f t="shared" si="137"/>
        <v>0</v>
      </c>
      <c r="T374" s="604">
        <f t="shared" si="138"/>
        <v>0</v>
      </c>
      <c r="U374" s="604">
        <f t="shared" si="139"/>
        <v>0</v>
      </c>
      <c r="V374" s="604">
        <f t="shared" si="140"/>
        <v>0</v>
      </c>
      <c r="W374" s="604">
        <f t="shared" si="141"/>
        <v>0</v>
      </c>
      <c r="X374" s="746">
        <v>0</v>
      </c>
      <c r="Y374" s="746">
        <f t="shared" si="142"/>
        <v>0</v>
      </c>
    </row>
    <row r="375" spans="2:25">
      <c r="B375" s="598" t="s">
        <v>2595</v>
      </c>
      <c r="C375" s="604" t="s">
        <v>1107</v>
      </c>
      <c r="D375" s="745">
        <v>2007</v>
      </c>
      <c r="E375" s="604" t="s">
        <v>1362</v>
      </c>
      <c r="F375" s="738">
        <v>0.4</v>
      </c>
      <c r="G375" s="739">
        <v>3800</v>
      </c>
      <c r="H375" s="741">
        <v>3800</v>
      </c>
      <c r="I375" s="742">
        <f t="shared" si="144"/>
        <v>0</v>
      </c>
      <c r="J375" s="740">
        <f t="shared" si="145"/>
        <v>0</v>
      </c>
      <c r="K375" s="739">
        <f t="shared" si="146"/>
        <v>3800</v>
      </c>
      <c r="L375" s="860">
        <f t="shared" si="147"/>
        <v>0</v>
      </c>
      <c r="M375" s="740">
        <f t="shared" si="143"/>
        <v>0</v>
      </c>
      <c r="N375" s="604">
        <f t="shared" si="132"/>
        <v>0</v>
      </c>
      <c r="O375" s="604">
        <f t="shared" si="133"/>
        <v>0</v>
      </c>
      <c r="P375" s="604">
        <f t="shared" si="134"/>
        <v>0</v>
      </c>
      <c r="Q375" s="604">
        <f t="shared" si="135"/>
        <v>0</v>
      </c>
      <c r="R375" s="604">
        <f t="shared" si="136"/>
        <v>0</v>
      </c>
      <c r="S375" s="604">
        <f t="shared" si="137"/>
        <v>0</v>
      </c>
      <c r="T375" s="604">
        <f t="shared" si="138"/>
        <v>0</v>
      </c>
      <c r="U375" s="604">
        <f t="shared" si="139"/>
        <v>0</v>
      </c>
      <c r="V375" s="604">
        <f t="shared" si="140"/>
        <v>0</v>
      </c>
      <c r="W375" s="604">
        <f t="shared" si="141"/>
        <v>0</v>
      </c>
      <c r="X375" s="746">
        <v>0</v>
      </c>
      <c r="Y375" s="746">
        <f t="shared" si="142"/>
        <v>0</v>
      </c>
    </row>
    <row r="376" spans="2:25">
      <c r="B376" s="598" t="s">
        <v>2595</v>
      </c>
      <c r="C376" s="604" t="s">
        <v>1107</v>
      </c>
      <c r="D376" s="745">
        <v>2007</v>
      </c>
      <c r="E376" s="604" t="s">
        <v>1363</v>
      </c>
      <c r="F376" s="738">
        <v>0.4</v>
      </c>
      <c r="G376" s="739">
        <v>1528</v>
      </c>
      <c r="H376" s="741">
        <v>1528</v>
      </c>
      <c r="I376" s="742">
        <f t="shared" si="144"/>
        <v>0</v>
      </c>
      <c r="J376" s="740">
        <f t="shared" si="145"/>
        <v>0</v>
      </c>
      <c r="K376" s="739">
        <f t="shared" si="146"/>
        <v>1528</v>
      </c>
      <c r="L376" s="860">
        <f t="shared" si="147"/>
        <v>0</v>
      </c>
      <c r="M376" s="740">
        <f t="shared" si="143"/>
        <v>0</v>
      </c>
      <c r="N376" s="604">
        <f t="shared" si="132"/>
        <v>0</v>
      </c>
      <c r="O376" s="604">
        <f t="shared" si="133"/>
        <v>0</v>
      </c>
      <c r="P376" s="604">
        <f t="shared" si="134"/>
        <v>0</v>
      </c>
      <c r="Q376" s="604">
        <f t="shared" si="135"/>
        <v>0</v>
      </c>
      <c r="R376" s="604">
        <f t="shared" si="136"/>
        <v>0</v>
      </c>
      <c r="S376" s="604">
        <f t="shared" si="137"/>
        <v>0</v>
      </c>
      <c r="T376" s="604">
        <f t="shared" si="138"/>
        <v>0</v>
      </c>
      <c r="U376" s="604">
        <f t="shared" si="139"/>
        <v>0</v>
      </c>
      <c r="V376" s="604">
        <f t="shared" si="140"/>
        <v>0</v>
      </c>
      <c r="W376" s="604">
        <f t="shared" si="141"/>
        <v>0</v>
      </c>
      <c r="X376" s="746">
        <v>0</v>
      </c>
      <c r="Y376" s="746">
        <f t="shared" si="142"/>
        <v>0</v>
      </c>
    </row>
    <row r="377" spans="2:25">
      <c r="B377" s="598" t="s">
        <v>2595</v>
      </c>
      <c r="C377" s="604" t="s">
        <v>1107</v>
      </c>
      <c r="D377" s="745">
        <v>2007</v>
      </c>
      <c r="E377" s="604" t="s">
        <v>1364</v>
      </c>
      <c r="F377" s="738">
        <v>0.4</v>
      </c>
      <c r="G377" s="739">
        <v>2808</v>
      </c>
      <c r="H377" s="741">
        <v>2808</v>
      </c>
      <c r="I377" s="742">
        <f t="shared" si="144"/>
        <v>0</v>
      </c>
      <c r="J377" s="740">
        <f t="shared" si="145"/>
        <v>0</v>
      </c>
      <c r="K377" s="739">
        <f t="shared" si="146"/>
        <v>2808</v>
      </c>
      <c r="L377" s="860">
        <f t="shared" si="147"/>
        <v>0</v>
      </c>
      <c r="M377" s="740">
        <f t="shared" si="143"/>
        <v>0</v>
      </c>
      <c r="N377" s="604">
        <f t="shared" si="132"/>
        <v>0</v>
      </c>
      <c r="O377" s="604">
        <f t="shared" si="133"/>
        <v>0</v>
      </c>
      <c r="P377" s="604">
        <f t="shared" si="134"/>
        <v>0</v>
      </c>
      <c r="Q377" s="604">
        <f t="shared" si="135"/>
        <v>0</v>
      </c>
      <c r="R377" s="604">
        <f t="shared" si="136"/>
        <v>0</v>
      </c>
      <c r="S377" s="604">
        <f t="shared" si="137"/>
        <v>0</v>
      </c>
      <c r="T377" s="604">
        <f t="shared" si="138"/>
        <v>0</v>
      </c>
      <c r="U377" s="604">
        <f t="shared" si="139"/>
        <v>0</v>
      </c>
      <c r="V377" s="604">
        <f t="shared" si="140"/>
        <v>0</v>
      </c>
      <c r="W377" s="604">
        <f t="shared" si="141"/>
        <v>0</v>
      </c>
      <c r="X377" s="746">
        <v>0</v>
      </c>
      <c r="Y377" s="746">
        <f t="shared" si="142"/>
        <v>0</v>
      </c>
    </row>
    <row r="378" spans="2:25">
      <c r="B378" s="598" t="s">
        <v>2595</v>
      </c>
      <c r="C378" s="604" t="s">
        <v>1107</v>
      </c>
      <c r="D378" s="745">
        <v>2007</v>
      </c>
      <c r="E378" s="604" t="s">
        <v>1365</v>
      </c>
      <c r="F378" s="738">
        <v>0.4</v>
      </c>
      <c r="G378" s="739">
        <v>3250</v>
      </c>
      <c r="H378" s="741">
        <v>3250</v>
      </c>
      <c r="I378" s="742">
        <f t="shared" si="144"/>
        <v>0</v>
      </c>
      <c r="J378" s="740">
        <f t="shared" si="145"/>
        <v>0</v>
      </c>
      <c r="K378" s="739">
        <f t="shared" si="146"/>
        <v>3250</v>
      </c>
      <c r="L378" s="860">
        <f t="shared" si="147"/>
        <v>0</v>
      </c>
      <c r="M378" s="740">
        <f t="shared" si="143"/>
        <v>0</v>
      </c>
      <c r="N378" s="604">
        <f t="shared" si="132"/>
        <v>0</v>
      </c>
      <c r="O378" s="604">
        <f t="shared" si="133"/>
        <v>0</v>
      </c>
      <c r="P378" s="604">
        <f t="shared" si="134"/>
        <v>0</v>
      </c>
      <c r="Q378" s="604">
        <f t="shared" si="135"/>
        <v>0</v>
      </c>
      <c r="R378" s="604">
        <f t="shared" si="136"/>
        <v>0</v>
      </c>
      <c r="S378" s="604">
        <f t="shared" si="137"/>
        <v>0</v>
      </c>
      <c r="T378" s="604">
        <f t="shared" si="138"/>
        <v>0</v>
      </c>
      <c r="U378" s="604">
        <f t="shared" si="139"/>
        <v>0</v>
      </c>
      <c r="V378" s="604">
        <f t="shared" si="140"/>
        <v>0</v>
      </c>
      <c r="W378" s="604">
        <f t="shared" si="141"/>
        <v>0</v>
      </c>
      <c r="X378" s="746">
        <v>0</v>
      </c>
      <c r="Y378" s="746">
        <f t="shared" si="142"/>
        <v>0</v>
      </c>
    </row>
    <row r="379" spans="2:25">
      <c r="B379" s="598" t="s">
        <v>2595</v>
      </c>
      <c r="C379" s="604" t="s">
        <v>1107</v>
      </c>
      <c r="D379" s="745">
        <v>2007</v>
      </c>
      <c r="E379" s="604" t="s">
        <v>1366</v>
      </c>
      <c r="F379" s="738">
        <v>0.4</v>
      </c>
      <c r="G379" s="739">
        <v>2901</v>
      </c>
      <c r="H379" s="741">
        <v>2901</v>
      </c>
      <c r="I379" s="742">
        <f t="shared" si="144"/>
        <v>0</v>
      </c>
      <c r="J379" s="740">
        <f t="shared" si="145"/>
        <v>0</v>
      </c>
      <c r="K379" s="739">
        <f t="shared" si="146"/>
        <v>2901</v>
      </c>
      <c r="L379" s="860">
        <f t="shared" si="147"/>
        <v>0</v>
      </c>
      <c r="M379" s="740">
        <f t="shared" si="143"/>
        <v>0</v>
      </c>
      <c r="N379" s="604">
        <f t="shared" si="132"/>
        <v>0</v>
      </c>
      <c r="O379" s="604">
        <f t="shared" si="133"/>
        <v>0</v>
      </c>
      <c r="P379" s="604">
        <f t="shared" si="134"/>
        <v>0</v>
      </c>
      <c r="Q379" s="604">
        <f t="shared" si="135"/>
        <v>0</v>
      </c>
      <c r="R379" s="604">
        <f t="shared" si="136"/>
        <v>0</v>
      </c>
      <c r="S379" s="604">
        <f t="shared" si="137"/>
        <v>0</v>
      </c>
      <c r="T379" s="604">
        <f t="shared" si="138"/>
        <v>0</v>
      </c>
      <c r="U379" s="604">
        <f t="shared" si="139"/>
        <v>0</v>
      </c>
      <c r="V379" s="604">
        <f t="shared" si="140"/>
        <v>0</v>
      </c>
      <c r="W379" s="604">
        <f t="shared" si="141"/>
        <v>0</v>
      </c>
      <c r="X379" s="746">
        <v>0</v>
      </c>
      <c r="Y379" s="746">
        <f t="shared" si="142"/>
        <v>0</v>
      </c>
    </row>
    <row r="380" spans="2:25">
      <c r="B380" s="598" t="s">
        <v>2595</v>
      </c>
      <c r="C380" s="604" t="s">
        <v>1107</v>
      </c>
      <c r="D380" s="745">
        <v>2012</v>
      </c>
      <c r="E380" s="604"/>
      <c r="F380" s="738">
        <v>0.4</v>
      </c>
      <c r="G380" s="739">
        <v>616.79999999999995</v>
      </c>
      <c r="H380" s="741">
        <v>616.79999999999995</v>
      </c>
      <c r="I380" s="742">
        <f t="shared" si="144"/>
        <v>0</v>
      </c>
      <c r="J380" s="740">
        <f t="shared" si="145"/>
        <v>0</v>
      </c>
      <c r="K380" s="739">
        <f t="shared" si="146"/>
        <v>616.79999999999995</v>
      </c>
      <c r="L380" s="860">
        <f t="shared" si="147"/>
        <v>0</v>
      </c>
      <c r="M380" s="740">
        <f t="shared" si="143"/>
        <v>0</v>
      </c>
      <c r="N380" s="604">
        <f t="shared" si="132"/>
        <v>0</v>
      </c>
      <c r="O380" s="604">
        <f t="shared" si="133"/>
        <v>0</v>
      </c>
      <c r="P380" s="604">
        <f t="shared" si="134"/>
        <v>0</v>
      </c>
      <c r="Q380" s="604">
        <f t="shared" si="135"/>
        <v>0</v>
      </c>
      <c r="R380" s="604">
        <f t="shared" si="136"/>
        <v>0</v>
      </c>
      <c r="S380" s="604">
        <f t="shared" si="137"/>
        <v>0</v>
      </c>
      <c r="T380" s="604">
        <f t="shared" si="138"/>
        <v>0</v>
      </c>
      <c r="U380" s="604">
        <f t="shared" si="139"/>
        <v>0</v>
      </c>
      <c r="V380" s="604">
        <f t="shared" si="140"/>
        <v>0</v>
      </c>
      <c r="W380" s="604">
        <f t="shared" si="141"/>
        <v>0</v>
      </c>
      <c r="X380" s="746">
        <v>0</v>
      </c>
      <c r="Y380" s="746">
        <f t="shared" si="142"/>
        <v>0</v>
      </c>
    </row>
    <row r="381" spans="2:25">
      <c r="B381" s="598" t="s">
        <v>2595</v>
      </c>
      <c r="C381" s="604" t="s">
        <v>1107</v>
      </c>
      <c r="D381" s="745">
        <v>2013</v>
      </c>
      <c r="E381" s="604"/>
      <c r="F381" s="738">
        <v>0.4</v>
      </c>
      <c r="G381" s="739">
        <v>2900</v>
      </c>
      <c r="H381" s="741">
        <v>2900</v>
      </c>
      <c r="I381" s="742">
        <f t="shared" si="144"/>
        <v>0</v>
      </c>
      <c r="J381" s="740">
        <f t="shared" si="145"/>
        <v>0</v>
      </c>
      <c r="K381" s="739">
        <f t="shared" si="146"/>
        <v>2900</v>
      </c>
      <c r="L381" s="860">
        <f t="shared" si="147"/>
        <v>0</v>
      </c>
      <c r="M381" s="740">
        <f t="shared" si="143"/>
        <v>0</v>
      </c>
      <c r="N381" s="604">
        <f t="shared" si="132"/>
        <v>0</v>
      </c>
      <c r="O381" s="604">
        <f t="shared" si="133"/>
        <v>0</v>
      </c>
      <c r="P381" s="604">
        <f t="shared" si="134"/>
        <v>0</v>
      </c>
      <c r="Q381" s="604">
        <f t="shared" si="135"/>
        <v>0</v>
      </c>
      <c r="R381" s="604">
        <f t="shared" si="136"/>
        <v>0</v>
      </c>
      <c r="S381" s="604">
        <f t="shared" si="137"/>
        <v>0</v>
      </c>
      <c r="T381" s="604">
        <f t="shared" si="138"/>
        <v>0</v>
      </c>
      <c r="U381" s="604">
        <f t="shared" si="139"/>
        <v>0</v>
      </c>
      <c r="V381" s="604">
        <f t="shared" si="140"/>
        <v>0</v>
      </c>
      <c r="W381" s="604">
        <f t="shared" si="141"/>
        <v>0</v>
      </c>
      <c r="X381" s="746">
        <v>0</v>
      </c>
      <c r="Y381" s="746">
        <f t="shared" si="142"/>
        <v>0</v>
      </c>
    </row>
    <row r="382" spans="2:25">
      <c r="B382" s="598" t="s">
        <v>2595</v>
      </c>
      <c r="C382" s="604" t="s">
        <v>1107</v>
      </c>
      <c r="D382" s="745">
        <v>2007</v>
      </c>
      <c r="E382" s="604" t="s">
        <v>1367</v>
      </c>
      <c r="F382" s="738">
        <v>0.4</v>
      </c>
      <c r="G382" s="739">
        <v>1200</v>
      </c>
      <c r="H382" s="741">
        <v>1200</v>
      </c>
      <c r="I382" s="742">
        <f t="shared" si="144"/>
        <v>0</v>
      </c>
      <c r="J382" s="740">
        <f t="shared" si="145"/>
        <v>0</v>
      </c>
      <c r="K382" s="739">
        <f t="shared" si="146"/>
        <v>1200</v>
      </c>
      <c r="L382" s="860">
        <f t="shared" si="147"/>
        <v>0</v>
      </c>
      <c r="M382" s="740">
        <f t="shared" si="143"/>
        <v>0</v>
      </c>
      <c r="N382" s="604">
        <f t="shared" si="132"/>
        <v>0</v>
      </c>
      <c r="O382" s="604">
        <f t="shared" si="133"/>
        <v>0</v>
      </c>
      <c r="P382" s="604">
        <f t="shared" si="134"/>
        <v>0</v>
      </c>
      <c r="Q382" s="604">
        <f t="shared" si="135"/>
        <v>0</v>
      </c>
      <c r="R382" s="604">
        <f t="shared" si="136"/>
        <v>0</v>
      </c>
      <c r="S382" s="604">
        <f t="shared" si="137"/>
        <v>0</v>
      </c>
      <c r="T382" s="604">
        <f t="shared" si="138"/>
        <v>0</v>
      </c>
      <c r="U382" s="604">
        <f t="shared" si="139"/>
        <v>0</v>
      </c>
      <c r="V382" s="604">
        <f t="shared" si="140"/>
        <v>0</v>
      </c>
      <c r="W382" s="604">
        <f t="shared" si="141"/>
        <v>0</v>
      </c>
      <c r="X382" s="746">
        <v>0</v>
      </c>
      <c r="Y382" s="746">
        <f t="shared" si="142"/>
        <v>0</v>
      </c>
    </row>
    <row r="383" spans="2:25">
      <c r="B383" s="598" t="s">
        <v>2595</v>
      </c>
      <c r="C383" s="604" t="s">
        <v>1107</v>
      </c>
      <c r="D383" s="745">
        <v>2007</v>
      </c>
      <c r="E383" s="604" t="s">
        <v>1368</v>
      </c>
      <c r="F383" s="738">
        <v>0.4</v>
      </c>
      <c r="G383" s="739">
        <v>3750</v>
      </c>
      <c r="H383" s="741">
        <v>3750</v>
      </c>
      <c r="I383" s="742">
        <f t="shared" si="144"/>
        <v>0</v>
      </c>
      <c r="J383" s="740">
        <f t="shared" si="145"/>
        <v>0</v>
      </c>
      <c r="K383" s="739">
        <f t="shared" si="146"/>
        <v>3750</v>
      </c>
      <c r="L383" s="860">
        <f t="shared" si="147"/>
        <v>0</v>
      </c>
      <c r="M383" s="740">
        <f t="shared" si="143"/>
        <v>0</v>
      </c>
      <c r="N383" s="604">
        <f t="shared" si="132"/>
        <v>0</v>
      </c>
      <c r="O383" s="604">
        <f t="shared" si="133"/>
        <v>0</v>
      </c>
      <c r="P383" s="604">
        <f t="shared" si="134"/>
        <v>0</v>
      </c>
      <c r="Q383" s="604">
        <f t="shared" si="135"/>
        <v>0</v>
      </c>
      <c r="R383" s="604">
        <f t="shared" si="136"/>
        <v>0</v>
      </c>
      <c r="S383" s="604">
        <f t="shared" si="137"/>
        <v>0</v>
      </c>
      <c r="T383" s="604">
        <f t="shared" si="138"/>
        <v>0</v>
      </c>
      <c r="U383" s="604">
        <f t="shared" si="139"/>
        <v>0</v>
      </c>
      <c r="V383" s="604">
        <f t="shared" si="140"/>
        <v>0</v>
      </c>
      <c r="W383" s="604">
        <f t="shared" si="141"/>
        <v>0</v>
      </c>
      <c r="X383" s="746">
        <v>0</v>
      </c>
      <c r="Y383" s="746">
        <f t="shared" si="142"/>
        <v>0</v>
      </c>
    </row>
    <row r="384" spans="2:25">
      <c r="B384" s="598" t="s">
        <v>2595</v>
      </c>
      <c r="C384" s="604" t="s">
        <v>1107</v>
      </c>
      <c r="D384" s="745">
        <v>2007</v>
      </c>
      <c r="E384" s="604" t="s">
        <v>1369</v>
      </c>
      <c r="F384" s="738">
        <v>0.4</v>
      </c>
      <c r="G384" s="739">
        <v>7000</v>
      </c>
      <c r="H384" s="741">
        <v>7000</v>
      </c>
      <c r="I384" s="742">
        <f t="shared" si="144"/>
        <v>0</v>
      </c>
      <c r="J384" s="740">
        <f t="shared" si="145"/>
        <v>0</v>
      </c>
      <c r="K384" s="739">
        <f t="shared" si="146"/>
        <v>7000</v>
      </c>
      <c r="L384" s="860">
        <f t="shared" si="147"/>
        <v>0</v>
      </c>
      <c r="M384" s="740">
        <f t="shared" si="143"/>
        <v>0</v>
      </c>
      <c r="N384" s="604">
        <f t="shared" si="132"/>
        <v>0</v>
      </c>
      <c r="O384" s="604">
        <f t="shared" si="133"/>
        <v>0</v>
      </c>
      <c r="P384" s="604">
        <f t="shared" si="134"/>
        <v>0</v>
      </c>
      <c r="Q384" s="604">
        <f t="shared" si="135"/>
        <v>0</v>
      </c>
      <c r="R384" s="604">
        <f t="shared" si="136"/>
        <v>0</v>
      </c>
      <c r="S384" s="604">
        <f t="shared" si="137"/>
        <v>0</v>
      </c>
      <c r="T384" s="604">
        <f t="shared" si="138"/>
        <v>0</v>
      </c>
      <c r="U384" s="604">
        <f t="shared" si="139"/>
        <v>0</v>
      </c>
      <c r="V384" s="604">
        <f t="shared" si="140"/>
        <v>0</v>
      </c>
      <c r="W384" s="604">
        <f t="shared" si="141"/>
        <v>0</v>
      </c>
      <c r="X384" s="746">
        <v>0</v>
      </c>
      <c r="Y384" s="746">
        <f t="shared" si="142"/>
        <v>0</v>
      </c>
    </row>
    <row r="385" spans="2:25">
      <c r="B385" s="598" t="s">
        <v>2595</v>
      </c>
      <c r="C385" s="604" t="s">
        <v>1107</v>
      </c>
      <c r="D385" s="745">
        <v>2008</v>
      </c>
      <c r="E385" s="604" t="s">
        <v>1370</v>
      </c>
      <c r="F385" s="738">
        <v>0.4</v>
      </c>
      <c r="G385" s="739">
        <v>3250</v>
      </c>
      <c r="H385" s="741">
        <v>3250</v>
      </c>
      <c r="I385" s="742">
        <f t="shared" si="144"/>
        <v>0</v>
      </c>
      <c r="J385" s="740">
        <f t="shared" si="145"/>
        <v>0</v>
      </c>
      <c r="K385" s="739">
        <f t="shared" si="146"/>
        <v>3250</v>
      </c>
      <c r="L385" s="860">
        <f t="shared" si="147"/>
        <v>0</v>
      </c>
      <c r="M385" s="740">
        <f t="shared" si="143"/>
        <v>0</v>
      </c>
      <c r="N385" s="604">
        <f t="shared" si="132"/>
        <v>0</v>
      </c>
      <c r="O385" s="604">
        <f t="shared" si="133"/>
        <v>0</v>
      </c>
      <c r="P385" s="604">
        <f t="shared" si="134"/>
        <v>0</v>
      </c>
      <c r="Q385" s="604">
        <f t="shared" si="135"/>
        <v>0</v>
      </c>
      <c r="R385" s="604">
        <f t="shared" si="136"/>
        <v>0</v>
      </c>
      <c r="S385" s="604">
        <f t="shared" si="137"/>
        <v>0</v>
      </c>
      <c r="T385" s="604">
        <f t="shared" si="138"/>
        <v>0</v>
      </c>
      <c r="U385" s="604">
        <f t="shared" si="139"/>
        <v>0</v>
      </c>
      <c r="V385" s="604">
        <f t="shared" si="140"/>
        <v>0</v>
      </c>
      <c r="W385" s="604">
        <f t="shared" si="141"/>
        <v>0</v>
      </c>
      <c r="X385" s="746">
        <v>0</v>
      </c>
      <c r="Y385" s="746">
        <f t="shared" si="142"/>
        <v>0</v>
      </c>
    </row>
    <row r="386" spans="2:25">
      <c r="B386" s="598" t="s">
        <v>2595</v>
      </c>
      <c r="C386" s="604" t="s">
        <v>1107</v>
      </c>
      <c r="D386" s="745">
        <v>2008</v>
      </c>
      <c r="E386" s="604" t="s">
        <v>1371</v>
      </c>
      <c r="F386" s="738">
        <v>0.4</v>
      </c>
      <c r="G386" s="739">
        <v>7800</v>
      </c>
      <c r="H386" s="741">
        <v>7800</v>
      </c>
      <c r="I386" s="742">
        <f t="shared" si="144"/>
        <v>0</v>
      </c>
      <c r="J386" s="740">
        <f t="shared" si="145"/>
        <v>0</v>
      </c>
      <c r="K386" s="739">
        <f t="shared" si="146"/>
        <v>7800</v>
      </c>
      <c r="L386" s="860">
        <f t="shared" si="147"/>
        <v>0</v>
      </c>
      <c r="M386" s="740">
        <f t="shared" si="143"/>
        <v>0</v>
      </c>
      <c r="N386" s="604">
        <f t="shared" si="132"/>
        <v>0</v>
      </c>
      <c r="O386" s="604">
        <f t="shared" si="133"/>
        <v>0</v>
      </c>
      <c r="P386" s="604">
        <f t="shared" si="134"/>
        <v>0</v>
      </c>
      <c r="Q386" s="604">
        <f t="shared" si="135"/>
        <v>0</v>
      </c>
      <c r="R386" s="604">
        <f t="shared" si="136"/>
        <v>0</v>
      </c>
      <c r="S386" s="604">
        <f t="shared" si="137"/>
        <v>0</v>
      </c>
      <c r="T386" s="604">
        <f t="shared" si="138"/>
        <v>0</v>
      </c>
      <c r="U386" s="604">
        <f t="shared" si="139"/>
        <v>0</v>
      </c>
      <c r="V386" s="604">
        <f t="shared" si="140"/>
        <v>0</v>
      </c>
      <c r="W386" s="604">
        <f t="shared" si="141"/>
        <v>0</v>
      </c>
      <c r="X386" s="746">
        <v>0</v>
      </c>
      <c r="Y386" s="746">
        <f t="shared" si="142"/>
        <v>0</v>
      </c>
    </row>
    <row r="387" spans="2:25">
      <c r="B387" s="598" t="s">
        <v>2595</v>
      </c>
      <c r="C387" s="604" t="s">
        <v>1107</v>
      </c>
      <c r="D387" s="745">
        <v>2008</v>
      </c>
      <c r="E387" s="604" t="s">
        <v>1372</v>
      </c>
      <c r="F387" s="738">
        <v>0.4</v>
      </c>
      <c r="G387" s="739">
        <v>1300</v>
      </c>
      <c r="H387" s="741">
        <v>1300</v>
      </c>
      <c r="I387" s="742">
        <f t="shared" si="144"/>
        <v>0</v>
      </c>
      <c r="J387" s="740">
        <f t="shared" si="145"/>
        <v>0</v>
      </c>
      <c r="K387" s="739">
        <f t="shared" si="146"/>
        <v>1300</v>
      </c>
      <c r="L387" s="860">
        <f t="shared" si="147"/>
        <v>0</v>
      </c>
      <c r="M387" s="740">
        <f t="shared" si="143"/>
        <v>0</v>
      </c>
      <c r="N387" s="604">
        <f t="shared" si="132"/>
        <v>0</v>
      </c>
      <c r="O387" s="604">
        <f t="shared" si="133"/>
        <v>0</v>
      </c>
      <c r="P387" s="604">
        <f t="shared" si="134"/>
        <v>0</v>
      </c>
      <c r="Q387" s="604">
        <f t="shared" si="135"/>
        <v>0</v>
      </c>
      <c r="R387" s="604">
        <f t="shared" si="136"/>
        <v>0</v>
      </c>
      <c r="S387" s="604">
        <f t="shared" si="137"/>
        <v>0</v>
      </c>
      <c r="T387" s="604">
        <f t="shared" si="138"/>
        <v>0</v>
      </c>
      <c r="U387" s="604">
        <f t="shared" si="139"/>
        <v>0</v>
      </c>
      <c r="V387" s="604">
        <f t="shared" si="140"/>
        <v>0</v>
      </c>
      <c r="W387" s="604">
        <f t="shared" si="141"/>
        <v>0</v>
      </c>
      <c r="X387" s="746">
        <v>0</v>
      </c>
      <c r="Y387" s="746">
        <f t="shared" si="142"/>
        <v>0</v>
      </c>
    </row>
    <row r="388" spans="2:25">
      <c r="B388" s="598" t="s">
        <v>2595</v>
      </c>
      <c r="C388" s="604" t="s">
        <v>1107</v>
      </c>
      <c r="D388" s="745">
        <v>2008</v>
      </c>
      <c r="E388" s="604" t="s">
        <v>1372</v>
      </c>
      <c r="F388" s="738">
        <v>0.4</v>
      </c>
      <c r="G388" s="739">
        <v>1300</v>
      </c>
      <c r="H388" s="741">
        <v>1300</v>
      </c>
      <c r="I388" s="742">
        <f t="shared" si="144"/>
        <v>0</v>
      </c>
      <c r="J388" s="740">
        <f t="shared" si="145"/>
        <v>0</v>
      </c>
      <c r="K388" s="739">
        <f t="shared" si="146"/>
        <v>1300</v>
      </c>
      <c r="L388" s="860">
        <f t="shared" si="147"/>
        <v>0</v>
      </c>
      <c r="M388" s="740">
        <f t="shared" si="143"/>
        <v>0</v>
      </c>
      <c r="N388" s="604">
        <f t="shared" si="132"/>
        <v>0</v>
      </c>
      <c r="O388" s="604">
        <f t="shared" si="133"/>
        <v>0</v>
      </c>
      <c r="P388" s="604">
        <f t="shared" si="134"/>
        <v>0</v>
      </c>
      <c r="Q388" s="604">
        <f t="shared" si="135"/>
        <v>0</v>
      </c>
      <c r="R388" s="604">
        <f t="shared" si="136"/>
        <v>0</v>
      </c>
      <c r="S388" s="604">
        <f t="shared" si="137"/>
        <v>0</v>
      </c>
      <c r="T388" s="604">
        <f t="shared" si="138"/>
        <v>0</v>
      </c>
      <c r="U388" s="604">
        <f t="shared" si="139"/>
        <v>0</v>
      </c>
      <c r="V388" s="604">
        <f t="shared" si="140"/>
        <v>0</v>
      </c>
      <c r="W388" s="604">
        <f t="shared" si="141"/>
        <v>0</v>
      </c>
      <c r="X388" s="746">
        <v>0</v>
      </c>
      <c r="Y388" s="746">
        <f t="shared" si="142"/>
        <v>0</v>
      </c>
    </row>
    <row r="389" spans="2:25">
      <c r="B389" s="598" t="s">
        <v>2595</v>
      </c>
      <c r="C389" s="604" t="s">
        <v>1107</v>
      </c>
      <c r="D389" s="745">
        <v>2008</v>
      </c>
      <c r="E389" s="604" t="s">
        <v>1373</v>
      </c>
      <c r="F389" s="738">
        <v>0.4</v>
      </c>
      <c r="G389" s="739">
        <v>856.12</v>
      </c>
      <c r="H389" s="741">
        <v>856.12</v>
      </c>
      <c r="I389" s="742">
        <f t="shared" si="144"/>
        <v>0</v>
      </c>
      <c r="J389" s="740">
        <f t="shared" si="145"/>
        <v>0</v>
      </c>
      <c r="K389" s="739">
        <f t="shared" si="146"/>
        <v>856.12</v>
      </c>
      <c r="L389" s="860">
        <f t="shared" si="147"/>
        <v>0</v>
      </c>
      <c r="M389" s="740">
        <f t="shared" si="143"/>
        <v>0</v>
      </c>
      <c r="N389" s="604">
        <f t="shared" si="132"/>
        <v>0</v>
      </c>
      <c r="O389" s="604">
        <f t="shared" si="133"/>
        <v>0</v>
      </c>
      <c r="P389" s="604">
        <f t="shared" si="134"/>
        <v>0</v>
      </c>
      <c r="Q389" s="604">
        <f t="shared" si="135"/>
        <v>0</v>
      </c>
      <c r="R389" s="604">
        <f t="shared" si="136"/>
        <v>0</v>
      </c>
      <c r="S389" s="604">
        <f t="shared" si="137"/>
        <v>0</v>
      </c>
      <c r="T389" s="604">
        <f t="shared" si="138"/>
        <v>0</v>
      </c>
      <c r="U389" s="604">
        <f t="shared" si="139"/>
        <v>0</v>
      </c>
      <c r="V389" s="604">
        <f t="shared" si="140"/>
        <v>0</v>
      </c>
      <c r="W389" s="604">
        <f t="shared" si="141"/>
        <v>0</v>
      </c>
      <c r="X389" s="746">
        <v>0</v>
      </c>
      <c r="Y389" s="746">
        <f t="shared" si="142"/>
        <v>0</v>
      </c>
    </row>
    <row r="390" spans="2:25">
      <c r="B390" s="598" t="s">
        <v>2595</v>
      </c>
      <c r="C390" s="604" t="s">
        <v>1107</v>
      </c>
      <c r="D390" s="745">
        <v>2008</v>
      </c>
      <c r="E390" s="604" t="s">
        <v>1374</v>
      </c>
      <c r="F390" s="738">
        <v>0.4</v>
      </c>
      <c r="G390" s="739">
        <v>1000</v>
      </c>
      <c r="H390" s="741">
        <v>1000</v>
      </c>
      <c r="I390" s="742">
        <f t="shared" si="144"/>
        <v>0</v>
      </c>
      <c r="J390" s="740">
        <f t="shared" si="145"/>
        <v>0</v>
      </c>
      <c r="K390" s="739">
        <f t="shared" si="146"/>
        <v>1000</v>
      </c>
      <c r="L390" s="860">
        <f t="shared" si="147"/>
        <v>0</v>
      </c>
      <c r="M390" s="740">
        <f t="shared" si="143"/>
        <v>0</v>
      </c>
      <c r="N390" s="604">
        <f t="shared" si="132"/>
        <v>0</v>
      </c>
      <c r="O390" s="604">
        <f t="shared" si="133"/>
        <v>0</v>
      </c>
      <c r="P390" s="604">
        <f t="shared" si="134"/>
        <v>0</v>
      </c>
      <c r="Q390" s="604">
        <f t="shared" si="135"/>
        <v>0</v>
      </c>
      <c r="R390" s="604">
        <f t="shared" si="136"/>
        <v>0</v>
      </c>
      <c r="S390" s="604">
        <f t="shared" si="137"/>
        <v>0</v>
      </c>
      <c r="T390" s="604">
        <f t="shared" si="138"/>
        <v>0</v>
      </c>
      <c r="U390" s="604">
        <f t="shared" si="139"/>
        <v>0</v>
      </c>
      <c r="V390" s="604">
        <f t="shared" si="140"/>
        <v>0</v>
      </c>
      <c r="W390" s="604">
        <f t="shared" si="141"/>
        <v>0</v>
      </c>
      <c r="X390" s="746">
        <v>0</v>
      </c>
      <c r="Y390" s="746">
        <f t="shared" si="142"/>
        <v>0</v>
      </c>
    </row>
    <row r="391" spans="2:25">
      <c r="B391" s="598" t="s">
        <v>2595</v>
      </c>
      <c r="C391" s="604" t="s">
        <v>1107</v>
      </c>
      <c r="D391" s="745">
        <v>2008</v>
      </c>
      <c r="E391" s="604" t="s">
        <v>1375</v>
      </c>
      <c r="F391" s="738">
        <v>0.4</v>
      </c>
      <c r="G391" s="739">
        <v>3200</v>
      </c>
      <c r="H391" s="741">
        <v>3200</v>
      </c>
      <c r="I391" s="742">
        <f t="shared" si="144"/>
        <v>0</v>
      </c>
      <c r="J391" s="740">
        <f t="shared" si="145"/>
        <v>0</v>
      </c>
      <c r="K391" s="739">
        <f t="shared" si="146"/>
        <v>3200</v>
      </c>
      <c r="L391" s="860">
        <f t="shared" si="147"/>
        <v>0</v>
      </c>
      <c r="M391" s="740">
        <f t="shared" si="143"/>
        <v>0</v>
      </c>
      <c r="N391" s="604">
        <f t="shared" si="132"/>
        <v>0</v>
      </c>
      <c r="O391" s="604">
        <f t="shared" si="133"/>
        <v>0</v>
      </c>
      <c r="P391" s="604">
        <f t="shared" si="134"/>
        <v>0</v>
      </c>
      <c r="Q391" s="604">
        <f t="shared" si="135"/>
        <v>0</v>
      </c>
      <c r="R391" s="604">
        <f t="shared" si="136"/>
        <v>0</v>
      </c>
      <c r="S391" s="604">
        <f t="shared" si="137"/>
        <v>0</v>
      </c>
      <c r="T391" s="604">
        <f t="shared" si="138"/>
        <v>0</v>
      </c>
      <c r="U391" s="604">
        <f t="shared" si="139"/>
        <v>0</v>
      </c>
      <c r="V391" s="604">
        <f t="shared" si="140"/>
        <v>0</v>
      </c>
      <c r="W391" s="604">
        <f t="shared" si="141"/>
        <v>0</v>
      </c>
      <c r="X391" s="746">
        <v>0</v>
      </c>
      <c r="Y391" s="746">
        <f t="shared" si="142"/>
        <v>0</v>
      </c>
    </row>
    <row r="392" spans="2:25">
      <c r="B392" s="598" t="s">
        <v>2595</v>
      </c>
      <c r="C392" s="604" t="s">
        <v>1107</v>
      </c>
      <c r="D392" s="745">
        <v>2008</v>
      </c>
      <c r="E392" s="604" t="s">
        <v>1376</v>
      </c>
      <c r="F392" s="738">
        <v>0.4</v>
      </c>
      <c r="G392" s="739">
        <v>4000</v>
      </c>
      <c r="H392" s="741">
        <v>4000</v>
      </c>
      <c r="I392" s="742">
        <f t="shared" si="144"/>
        <v>0</v>
      </c>
      <c r="J392" s="740">
        <f t="shared" si="145"/>
        <v>0</v>
      </c>
      <c r="K392" s="739">
        <f t="shared" si="146"/>
        <v>4000</v>
      </c>
      <c r="L392" s="860">
        <f t="shared" si="147"/>
        <v>0</v>
      </c>
      <c r="M392" s="740">
        <f t="shared" si="143"/>
        <v>0</v>
      </c>
      <c r="N392" s="604">
        <f t="shared" ref="N392:N455" si="148">+IF(L392-M392&gt;0,G392*F392,0)</f>
        <v>0</v>
      </c>
      <c r="O392" s="604">
        <f t="shared" ref="O392:O455" si="149">+IF(L392-SUM(M392:N392)&gt;0,G392*F392,0)</f>
        <v>0</v>
      </c>
      <c r="P392" s="604">
        <f t="shared" ref="P392:P455" si="150">+IF(L392-SUM(M392:O392)&gt;0,G392*F392,0)</f>
        <v>0</v>
      </c>
      <c r="Q392" s="604">
        <f t="shared" ref="Q392:Q455" si="151">+IF(L392-SUM(M392:P392)&gt;0,G392*F392,0)</f>
        <v>0</v>
      </c>
      <c r="R392" s="604">
        <f t="shared" ref="R392:R455" si="152">+IF(L392-SUM(M392:Q392)&gt;0,G392*F392,0)</f>
        <v>0</v>
      </c>
      <c r="S392" s="604">
        <f t="shared" ref="S392:S455" si="153">+IF(L392-SUM(M392:R392)&gt;0,G392*F392,0)</f>
        <v>0</v>
      </c>
      <c r="T392" s="604">
        <f t="shared" ref="T392:T455" si="154">+IF(L392-SUM(M392:S392)&gt;0,G392*F392,0)</f>
        <v>0</v>
      </c>
      <c r="U392" s="604">
        <f t="shared" ref="U392:U455" si="155">+IF(L392-SUM(M392:T392)&gt;0,G392*F392,0)</f>
        <v>0</v>
      </c>
      <c r="V392" s="604">
        <f t="shared" ref="V392:V455" si="156">+IF(L392-SUM(M392:U392)&gt;0,G392*F392,0)</f>
        <v>0</v>
      </c>
      <c r="W392" s="604">
        <f t="shared" ref="W392:W455" si="157">+IF(L392-SUM(M392:V392)&gt;0,G392*F392,0)</f>
        <v>0</v>
      </c>
      <c r="X392" s="746">
        <v>0</v>
      </c>
      <c r="Y392" s="746">
        <f t="shared" ref="Y392:Y455" si="158">+SUM(M392:W392)-L392</f>
        <v>0</v>
      </c>
    </row>
    <row r="393" spans="2:25">
      <c r="B393" s="598" t="s">
        <v>2595</v>
      </c>
      <c r="C393" s="604" t="s">
        <v>1107</v>
      </c>
      <c r="D393" s="745">
        <v>2008</v>
      </c>
      <c r="E393" s="604" t="s">
        <v>1377</v>
      </c>
      <c r="F393" s="738">
        <v>0.4</v>
      </c>
      <c r="G393" s="739">
        <v>5000</v>
      </c>
      <c r="H393" s="741">
        <v>5000</v>
      </c>
      <c r="I393" s="742">
        <f t="shared" si="144"/>
        <v>0</v>
      </c>
      <c r="J393" s="740">
        <f t="shared" si="145"/>
        <v>0</v>
      </c>
      <c r="K393" s="739">
        <f t="shared" si="146"/>
        <v>5000</v>
      </c>
      <c r="L393" s="860">
        <f t="shared" si="147"/>
        <v>0</v>
      </c>
      <c r="M393" s="740">
        <f t="shared" si="143"/>
        <v>0</v>
      </c>
      <c r="N393" s="604">
        <f t="shared" si="148"/>
        <v>0</v>
      </c>
      <c r="O393" s="604">
        <f t="shared" si="149"/>
        <v>0</v>
      </c>
      <c r="P393" s="604">
        <f t="shared" si="150"/>
        <v>0</v>
      </c>
      <c r="Q393" s="604">
        <f t="shared" si="151"/>
        <v>0</v>
      </c>
      <c r="R393" s="604">
        <f t="shared" si="152"/>
        <v>0</v>
      </c>
      <c r="S393" s="604">
        <f t="shared" si="153"/>
        <v>0</v>
      </c>
      <c r="T393" s="604">
        <f t="shared" si="154"/>
        <v>0</v>
      </c>
      <c r="U393" s="604">
        <f t="shared" si="155"/>
        <v>0</v>
      </c>
      <c r="V393" s="604">
        <f t="shared" si="156"/>
        <v>0</v>
      </c>
      <c r="W393" s="604">
        <f t="shared" si="157"/>
        <v>0</v>
      </c>
      <c r="X393" s="746">
        <v>0</v>
      </c>
      <c r="Y393" s="746">
        <f t="shared" si="158"/>
        <v>0</v>
      </c>
    </row>
    <row r="394" spans="2:25">
      <c r="B394" s="598" t="s">
        <v>2595</v>
      </c>
      <c r="C394" s="604" t="s">
        <v>1107</v>
      </c>
      <c r="D394" s="745">
        <v>2008</v>
      </c>
      <c r="E394" s="604" t="s">
        <v>1378</v>
      </c>
      <c r="F394" s="738">
        <v>0.4</v>
      </c>
      <c r="G394" s="739">
        <v>1370</v>
      </c>
      <c r="H394" s="741">
        <v>1370</v>
      </c>
      <c r="I394" s="742">
        <f t="shared" si="144"/>
        <v>0</v>
      </c>
      <c r="J394" s="740">
        <f t="shared" si="145"/>
        <v>0</v>
      </c>
      <c r="K394" s="739">
        <f t="shared" si="146"/>
        <v>1370</v>
      </c>
      <c r="L394" s="860">
        <f t="shared" si="147"/>
        <v>0</v>
      </c>
      <c r="M394" s="740">
        <f t="shared" si="143"/>
        <v>0</v>
      </c>
      <c r="N394" s="604">
        <f t="shared" si="148"/>
        <v>0</v>
      </c>
      <c r="O394" s="604">
        <f t="shared" si="149"/>
        <v>0</v>
      </c>
      <c r="P394" s="604">
        <f t="shared" si="150"/>
        <v>0</v>
      </c>
      <c r="Q394" s="604">
        <f t="shared" si="151"/>
        <v>0</v>
      </c>
      <c r="R394" s="604">
        <f t="shared" si="152"/>
        <v>0</v>
      </c>
      <c r="S394" s="604">
        <f t="shared" si="153"/>
        <v>0</v>
      </c>
      <c r="T394" s="604">
        <f t="shared" si="154"/>
        <v>0</v>
      </c>
      <c r="U394" s="604">
        <f t="shared" si="155"/>
        <v>0</v>
      </c>
      <c r="V394" s="604">
        <f t="shared" si="156"/>
        <v>0</v>
      </c>
      <c r="W394" s="604">
        <f t="shared" si="157"/>
        <v>0</v>
      </c>
      <c r="X394" s="746">
        <v>0</v>
      </c>
      <c r="Y394" s="746">
        <f t="shared" si="158"/>
        <v>0</v>
      </c>
    </row>
    <row r="395" spans="2:25">
      <c r="B395" s="598" t="s">
        <v>2595</v>
      </c>
      <c r="C395" s="604" t="s">
        <v>1107</v>
      </c>
      <c r="D395" s="745">
        <v>2008</v>
      </c>
      <c r="E395" s="604" t="s">
        <v>1379</v>
      </c>
      <c r="F395" s="738">
        <v>0.4</v>
      </c>
      <c r="G395" s="739">
        <v>1443</v>
      </c>
      <c r="H395" s="741">
        <v>1443</v>
      </c>
      <c r="I395" s="742">
        <f t="shared" si="144"/>
        <v>0</v>
      </c>
      <c r="J395" s="740">
        <f t="shared" si="145"/>
        <v>0</v>
      </c>
      <c r="K395" s="739">
        <f t="shared" si="146"/>
        <v>1443</v>
      </c>
      <c r="L395" s="860">
        <f t="shared" si="147"/>
        <v>0</v>
      </c>
      <c r="M395" s="740">
        <f t="shared" ref="M395:M458" si="159">+IF(L395=0,0,G395*F395)</f>
        <v>0</v>
      </c>
      <c r="N395" s="604">
        <f t="shared" si="148"/>
        <v>0</v>
      </c>
      <c r="O395" s="604">
        <f t="shared" si="149"/>
        <v>0</v>
      </c>
      <c r="P395" s="604">
        <f t="shared" si="150"/>
        <v>0</v>
      </c>
      <c r="Q395" s="604">
        <f t="shared" si="151"/>
        <v>0</v>
      </c>
      <c r="R395" s="604">
        <f t="shared" si="152"/>
        <v>0</v>
      </c>
      <c r="S395" s="604">
        <f t="shared" si="153"/>
        <v>0</v>
      </c>
      <c r="T395" s="604">
        <f t="shared" si="154"/>
        <v>0</v>
      </c>
      <c r="U395" s="604">
        <f t="shared" si="155"/>
        <v>0</v>
      </c>
      <c r="V395" s="604">
        <f t="shared" si="156"/>
        <v>0</v>
      </c>
      <c r="W395" s="604">
        <f t="shared" si="157"/>
        <v>0</v>
      </c>
      <c r="X395" s="746">
        <v>0</v>
      </c>
      <c r="Y395" s="746">
        <f t="shared" si="158"/>
        <v>0</v>
      </c>
    </row>
    <row r="396" spans="2:25">
      <c r="B396" s="598" t="s">
        <v>2595</v>
      </c>
      <c r="C396" s="604" t="s">
        <v>1107</v>
      </c>
      <c r="D396" s="745">
        <v>2008</v>
      </c>
      <c r="E396" s="604" t="s">
        <v>1380</v>
      </c>
      <c r="F396" s="738">
        <v>0.4</v>
      </c>
      <c r="G396" s="739">
        <v>6250</v>
      </c>
      <c r="H396" s="741">
        <v>6250</v>
      </c>
      <c r="I396" s="742">
        <f t="shared" si="144"/>
        <v>0</v>
      </c>
      <c r="J396" s="740">
        <f t="shared" si="145"/>
        <v>0</v>
      </c>
      <c r="K396" s="739">
        <f t="shared" si="146"/>
        <v>6250</v>
      </c>
      <c r="L396" s="860">
        <f t="shared" si="147"/>
        <v>0</v>
      </c>
      <c r="M396" s="740">
        <f t="shared" si="159"/>
        <v>0</v>
      </c>
      <c r="N396" s="604">
        <f t="shared" si="148"/>
        <v>0</v>
      </c>
      <c r="O396" s="604">
        <f t="shared" si="149"/>
        <v>0</v>
      </c>
      <c r="P396" s="604">
        <f t="shared" si="150"/>
        <v>0</v>
      </c>
      <c r="Q396" s="604">
        <f t="shared" si="151"/>
        <v>0</v>
      </c>
      <c r="R396" s="604">
        <f t="shared" si="152"/>
        <v>0</v>
      </c>
      <c r="S396" s="604">
        <f t="shared" si="153"/>
        <v>0</v>
      </c>
      <c r="T396" s="604">
        <f t="shared" si="154"/>
        <v>0</v>
      </c>
      <c r="U396" s="604">
        <f t="shared" si="155"/>
        <v>0</v>
      </c>
      <c r="V396" s="604">
        <f t="shared" si="156"/>
        <v>0</v>
      </c>
      <c r="W396" s="604">
        <f t="shared" si="157"/>
        <v>0</v>
      </c>
      <c r="X396" s="746">
        <v>0</v>
      </c>
      <c r="Y396" s="746">
        <f t="shared" si="158"/>
        <v>0</v>
      </c>
    </row>
    <row r="397" spans="2:25">
      <c r="B397" s="598" t="s">
        <v>2595</v>
      </c>
      <c r="C397" s="604" t="s">
        <v>1107</v>
      </c>
      <c r="D397" s="745">
        <v>2008</v>
      </c>
      <c r="E397" s="604" t="s">
        <v>1381</v>
      </c>
      <c r="F397" s="738">
        <v>0.4</v>
      </c>
      <c r="G397" s="739">
        <v>1050</v>
      </c>
      <c r="H397" s="741">
        <v>1050</v>
      </c>
      <c r="I397" s="742">
        <f t="shared" si="144"/>
        <v>0</v>
      </c>
      <c r="J397" s="740">
        <f t="shared" si="145"/>
        <v>0</v>
      </c>
      <c r="K397" s="739">
        <f t="shared" si="146"/>
        <v>1050</v>
      </c>
      <c r="L397" s="860">
        <f t="shared" si="147"/>
        <v>0</v>
      </c>
      <c r="M397" s="740">
        <f t="shared" si="159"/>
        <v>0</v>
      </c>
      <c r="N397" s="604">
        <f t="shared" si="148"/>
        <v>0</v>
      </c>
      <c r="O397" s="604">
        <f t="shared" si="149"/>
        <v>0</v>
      </c>
      <c r="P397" s="604">
        <f t="shared" si="150"/>
        <v>0</v>
      </c>
      <c r="Q397" s="604">
        <f t="shared" si="151"/>
        <v>0</v>
      </c>
      <c r="R397" s="604">
        <f t="shared" si="152"/>
        <v>0</v>
      </c>
      <c r="S397" s="604">
        <f t="shared" si="153"/>
        <v>0</v>
      </c>
      <c r="T397" s="604">
        <f t="shared" si="154"/>
        <v>0</v>
      </c>
      <c r="U397" s="604">
        <f t="shared" si="155"/>
        <v>0</v>
      </c>
      <c r="V397" s="604">
        <f t="shared" si="156"/>
        <v>0</v>
      </c>
      <c r="W397" s="604">
        <f t="shared" si="157"/>
        <v>0</v>
      </c>
      <c r="X397" s="746">
        <v>0</v>
      </c>
      <c r="Y397" s="746">
        <f t="shared" si="158"/>
        <v>0</v>
      </c>
    </row>
    <row r="398" spans="2:25">
      <c r="B398" s="598" t="s">
        <v>2595</v>
      </c>
      <c r="C398" s="604" t="s">
        <v>1107</v>
      </c>
      <c r="D398" s="745">
        <v>2008</v>
      </c>
      <c r="E398" s="604" t="s">
        <v>1382</v>
      </c>
      <c r="F398" s="738">
        <v>0.4</v>
      </c>
      <c r="G398" s="739">
        <v>4100</v>
      </c>
      <c r="H398" s="741">
        <v>4100</v>
      </c>
      <c r="I398" s="742">
        <f t="shared" si="144"/>
        <v>0</v>
      </c>
      <c r="J398" s="740">
        <f t="shared" si="145"/>
        <v>0</v>
      </c>
      <c r="K398" s="739">
        <f t="shared" si="146"/>
        <v>4100</v>
      </c>
      <c r="L398" s="860">
        <f t="shared" si="147"/>
        <v>0</v>
      </c>
      <c r="M398" s="740">
        <f t="shared" si="159"/>
        <v>0</v>
      </c>
      <c r="N398" s="604">
        <f t="shared" si="148"/>
        <v>0</v>
      </c>
      <c r="O398" s="604">
        <f t="shared" si="149"/>
        <v>0</v>
      </c>
      <c r="P398" s="604">
        <f t="shared" si="150"/>
        <v>0</v>
      </c>
      <c r="Q398" s="604">
        <f t="shared" si="151"/>
        <v>0</v>
      </c>
      <c r="R398" s="604">
        <f t="shared" si="152"/>
        <v>0</v>
      </c>
      <c r="S398" s="604">
        <f t="shared" si="153"/>
        <v>0</v>
      </c>
      <c r="T398" s="604">
        <f t="shared" si="154"/>
        <v>0</v>
      </c>
      <c r="U398" s="604">
        <f t="shared" si="155"/>
        <v>0</v>
      </c>
      <c r="V398" s="604">
        <f t="shared" si="156"/>
        <v>0</v>
      </c>
      <c r="W398" s="604">
        <f t="shared" si="157"/>
        <v>0</v>
      </c>
      <c r="X398" s="746">
        <v>0</v>
      </c>
      <c r="Y398" s="746">
        <f t="shared" si="158"/>
        <v>0</v>
      </c>
    </row>
    <row r="399" spans="2:25">
      <c r="B399" s="598" t="s">
        <v>2595</v>
      </c>
      <c r="C399" s="604" t="s">
        <v>1107</v>
      </c>
      <c r="D399" s="745">
        <v>2008</v>
      </c>
      <c r="E399" s="604" t="s">
        <v>1383</v>
      </c>
      <c r="F399" s="738">
        <v>0.4</v>
      </c>
      <c r="G399" s="739">
        <v>700</v>
      </c>
      <c r="H399" s="741">
        <v>700</v>
      </c>
      <c r="I399" s="742">
        <f t="shared" si="144"/>
        <v>0</v>
      </c>
      <c r="J399" s="740">
        <f t="shared" si="145"/>
        <v>0</v>
      </c>
      <c r="K399" s="739">
        <f t="shared" si="146"/>
        <v>700</v>
      </c>
      <c r="L399" s="860">
        <f t="shared" si="147"/>
        <v>0</v>
      </c>
      <c r="M399" s="740">
        <f t="shared" si="159"/>
        <v>0</v>
      </c>
      <c r="N399" s="604">
        <f t="shared" si="148"/>
        <v>0</v>
      </c>
      <c r="O399" s="604">
        <f t="shared" si="149"/>
        <v>0</v>
      </c>
      <c r="P399" s="604">
        <f t="shared" si="150"/>
        <v>0</v>
      </c>
      <c r="Q399" s="604">
        <f t="shared" si="151"/>
        <v>0</v>
      </c>
      <c r="R399" s="604">
        <f t="shared" si="152"/>
        <v>0</v>
      </c>
      <c r="S399" s="604">
        <f t="shared" si="153"/>
        <v>0</v>
      </c>
      <c r="T399" s="604">
        <f t="shared" si="154"/>
        <v>0</v>
      </c>
      <c r="U399" s="604">
        <f t="shared" si="155"/>
        <v>0</v>
      </c>
      <c r="V399" s="604">
        <f t="shared" si="156"/>
        <v>0</v>
      </c>
      <c r="W399" s="604">
        <f t="shared" si="157"/>
        <v>0</v>
      </c>
      <c r="X399" s="746">
        <v>0</v>
      </c>
      <c r="Y399" s="746">
        <f t="shared" si="158"/>
        <v>0</v>
      </c>
    </row>
    <row r="400" spans="2:25">
      <c r="B400" s="598" t="s">
        <v>2595</v>
      </c>
      <c r="C400" s="604" t="s">
        <v>1107</v>
      </c>
      <c r="D400" s="745">
        <v>2008</v>
      </c>
      <c r="E400" s="604" t="s">
        <v>1384</v>
      </c>
      <c r="F400" s="738">
        <v>0.4</v>
      </c>
      <c r="G400" s="739">
        <v>5000</v>
      </c>
      <c r="H400" s="741">
        <v>5000</v>
      </c>
      <c r="I400" s="742">
        <f t="shared" si="144"/>
        <v>0</v>
      </c>
      <c r="J400" s="740">
        <f t="shared" si="145"/>
        <v>0</v>
      </c>
      <c r="K400" s="739">
        <f t="shared" si="146"/>
        <v>5000</v>
      </c>
      <c r="L400" s="860">
        <f t="shared" si="147"/>
        <v>0</v>
      </c>
      <c r="M400" s="740">
        <f t="shared" si="159"/>
        <v>0</v>
      </c>
      <c r="N400" s="604">
        <f t="shared" si="148"/>
        <v>0</v>
      </c>
      <c r="O400" s="604">
        <f t="shared" si="149"/>
        <v>0</v>
      </c>
      <c r="P400" s="604">
        <f t="shared" si="150"/>
        <v>0</v>
      </c>
      <c r="Q400" s="604">
        <f t="shared" si="151"/>
        <v>0</v>
      </c>
      <c r="R400" s="604">
        <f t="shared" si="152"/>
        <v>0</v>
      </c>
      <c r="S400" s="604">
        <f t="shared" si="153"/>
        <v>0</v>
      </c>
      <c r="T400" s="604">
        <f t="shared" si="154"/>
        <v>0</v>
      </c>
      <c r="U400" s="604">
        <f t="shared" si="155"/>
        <v>0</v>
      </c>
      <c r="V400" s="604">
        <f t="shared" si="156"/>
        <v>0</v>
      </c>
      <c r="W400" s="604">
        <f t="shared" si="157"/>
        <v>0</v>
      </c>
      <c r="X400" s="746">
        <v>0</v>
      </c>
      <c r="Y400" s="746">
        <f t="shared" si="158"/>
        <v>0</v>
      </c>
    </row>
    <row r="401" spans="2:25">
      <c r="B401" s="598" t="s">
        <v>2595</v>
      </c>
      <c r="C401" s="604" t="s">
        <v>1107</v>
      </c>
      <c r="D401" s="745">
        <v>2008</v>
      </c>
      <c r="E401" s="604" t="s">
        <v>1385</v>
      </c>
      <c r="F401" s="738">
        <v>0.4</v>
      </c>
      <c r="G401" s="739">
        <v>8200</v>
      </c>
      <c r="H401" s="741">
        <v>8200</v>
      </c>
      <c r="I401" s="742">
        <f t="shared" si="144"/>
        <v>0</v>
      </c>
      <c r="J401" s="740">
        <f t="shared" si="145"/>
        <v>0</v>
      </c>
      <c r="K401" s="739">
        <f t="shared" si="146"/>
        <v>8200</v>
      </c>
      <c r="L401" s="860">
        <f t="shared" si="147"/>
        <v>0</v>
      </c>
      <c r="M401" s="740">
        <f t="shared" si="159"/>
        <v>0</v>
      </c>
      <c r="N401" s="604">
        <f t="shared" si="148"/>
        <v>0</v>
      </c>
      <c r="O401" s="604">
        <f t="shared" si="149"/>
        <v>0</v>
      </c>
      <c r="P401" s="604">
        <f t="shared" si="150"/>
        <v>0</v>
      </c>
      <c r="Q401" s="604">
        <f t="shared" si="151"/>
        <v>0</v>
      </c>
      <c r="R401" s="604">
        <f t="shared" si="152"/>
        <v>0</v>
      </c>
      <c r="S401" s="604">
        <f t="shared" si="153"/>
        <v>0</v>
      </c>
      <c r="T401" s="604">
        <f t="shared" si="154"/>
        <v>0</v>
      </c>
      <c r="U401" s="604">
        <f t="shared" si="155"/>
        <v>0</v>
      </c>
      <c r="V401" s="604">
        <f t="shared" si="156"/>
        <v>0</v>
      </c>
      <c r="W401" s="604">
        <f t="shared" si="157"/>
        <v>0</v>
      </c>
      <c r="X401" s="746">
        <v>0</v>
      </c>
      <c r="Y401" s="746">
        <f t="shared" si="158"/>
        <v>0</v>
      </c>
    </row>
    <row r="402" spans="2:25">
      <c r="B402" s="598" t="s">
        <v>2595</v>
      </c>
      <c r="C402" s="604" t="s">
        <v>1107</v>
      </c>
      <c r="D402" s="745">
        <v>2008</v>
      </c>
      <c r="E402" s="604" t="s">
        <v>1382</v>
      </c>
      <c r="F402" s="738">
        <v>0.4</v>
      </c>
      <c r="G402" s="739">
        <v>4100</v>
      </c>
      <c r="H402" s="741">
        <v>4100</v>
      </c>
      <c r="I402" s="742">
        <f t="shared" si="144"/>
        <v>0</v>
      </c>
      <c r="J402" s="740">
        <f t="shared" si="145"/>
        <v>0</v>
      </c>
      <c r="K402" s="739">
        <f t="shared" si="146"/>
        <v>4100</v>
      </c>
      <c r="L402" s="860">
        <f t="shared" si="147"/>
        <v>0</v>
      </c>
      <c r="M402" s="740">
        <f t="shared" si="159"/>
        <v>0</v>
      </c>
      <c r="N402" s="604">
        <f t="shared" si="148"/>
        <v>0</v>
      </c>
      <c r="O402" s="604">
        <f t="shared" si="149"/>
        <v>0</v>
      </c>
      <c r="P402" s="604">
        <f t="shared" si="150"/>
        <v>0</v>
      </c>
      <c r="Q402" s="604">
        <f t="shared" si="151"/>
        <v>0</v>
      </c>
      <c r="R402" s="604">
        <f t="shared" si="152"/>
        <v>0</v>
      </c>
      <c r="S402" s="604">
        <f t="shared" si="153"/>
        <v>0</v>
      </c>
      <c r="T402" s="604">
        <f t="shared" si="154"/>
        <v>0</v>
      </c>
      <c r="U402" s="604">
        <f t="shared" si="155"/>
        <v>0</v>
      </c>
      <c r="V402" s="604">
        <f t="shared" si="156"/>
        <v>0</v>
      </c>
      <c r="W402" s="604">
        <f t="shared" si="157"/>
        <v>0</v>
      </c>
      <c r="X402" s="746">
        <v>0</v>
      </c>
      <c r="Y402" s="746">
        <f t="shared" si="158"/>
        <v>0</v>
      </c>
    </row>
    <row r="403" spans="2:25">
      <c r="B403" s="598" t="s">
        <v>2595</v>
      </c>
      <c r="C403" s="604" t="s">
        <v>1107</v>
      </c>
      <c r="D403" s="745">
        <v>2008</v>
      </c>
      <c r="E403" s="604" t="s">
        <v>1386</v>
      </c>
      <c r="F403" s="738">
        <v>0.4</v>
      </c>
      <c r="G403" s="739">
        <v>9000</v>
      </c>
      <c r="H403" s="741">
        <v>9000</v>
      </c>
      <c r="I403" s="742">
        <f t="shared" si="144"/>
        <v>0</v>
      </c>
      <c r="J403" s="740">
        <f t="shared" si="145"/>
        <v>0</v>
      </c>
      <c r="K403" s="739">
        <f t="shared" si="146"/>
        <v>9000</v>
      </c>
      <c r="L403" s="860">
        <f t="shared" si="147"/>
        <v>0</v>
      </c>
      <c r="M403" s="740">
        <f t="shared" si="159"/>
        <v>0</v>
      </c>
      <c r="N403" s="604">
        <f t="shared" si="148"/>
        <v>0</v>
      </c>
      <c r="O403" s="604">
        <f t="shared" si="149"/>
        <v>0</v>
      </c>
      <c r="P403" s="604">
        <f t="shared" si="150"/>
        <v>0</v>
      </c>
      <c r="Q403" s="604">
        <f t="shared" si="151"/>
        <v>0</v>
      </c>
      <c r="R403" s="604">
        <f t="shared" si="152"/>
        <v>0</v>
      </c>
      <c r="S403" s="604">
        <f t="shared" si="153"/>
        <v>0</v>
      </c>
      <c r="T403" s="604">
        <f t="shared" si="154"/>
        <v>0</v>
      </c>
      <c r="U403" s="604">
        <f t="shared" si="155"/>
        <v>0</v>
      </c>
      <c r="V403" s="604">
        <f t="shared" si="156"/>
        <v>0</v>
      </c>
      <c r="W403" s="604">
        <f t="shared" si="157"/>
        <v>0</v>
      </c>
      <c r="X403" s="746">
        <v>0</v>
      </c>
      <c r="Y403" s="746">
        <f t="shared" si="158"/>
        <v>0</v>
      </c>
    </row>
    <row r="404" spans="2:25">
      <c r="B404" s="598" t="s">
        <v>2595</v>
      </c>
      <c r="C404" s="604" t="s">
        <v>1107</v>
      </c>
      <c r="D404" s="745">
        <v>2008</v>
      </c>
      <c r="E404" s="604" t="s">
        <v>1387</v>
      </c>
      <c r="F404" s="738">
        <v>0.4</v>
      </c>
      <c r="G404" s="739">
        <v>2850</v>
      </c>
      <c r="H404" s="741">
        <v>2850</v>
      </c>
      <c r="I404" s="742">
        <f t="shared" si="144"/>
        <v>0</v>
      </c>
      <c r="J404" s="740">
        <f t="shared" si="145"/>
        <v>0</v>
      </c>
      <c r="K404" s="739">
        <f t="shared" si="146"/>
        <v>2850</v>
      </c>
      <c r="L404" s="860">
        <f t="shared" si="147"/>
        <v>0</v>
      </c>
      <c r="M404" s="740">
        <f t="shared" si="159"/>
        <v>0</v>
      </c>
      <c r="N404" s="604">
        <f t="shared" si="148"/>
        <v>0</v>
      </c>
      <c r="O404" s="604">
        <f t="shared" si="149"/>
        <v>0</v>
      </c>
      <c r="P404" s="604">
        <f t="shared" si="150"/>
        <v>0</v>
      </c>
      <c r="Q404" s="604">
        <f t="shared" si="151"/>
        <v>0</v>
      </c>
      <c r="R404" s="604">
        <f t="shared" si="152"/>
        <v>0</v>
      </c>
      <c r="S404" s="604">
        <f t="shared" si="153"/>
        <v>0</v>
      </c>
      <c r="T404" s="604">
        <f t="shared" si="154"/>
        <v>0</v>
      </c>
      <c r="U404" s="604">
        <f t="shared" si="155"/>
        <v>0</v>
      </c>
      <c r="V404" s="604">
        <f t="shared" si="156"/>
        <v>0</v>
      </c>
      <c r="W404" s="604">
        <f t="shared" si="157"/>
        <v>0</v>
      </c>
      <c r="X404" s="746">
        <v>0</v>
      </c>
      <c r="Y404" s="746">
        <f t="shared" si="158"/>
        <v>0</v>
      </c>
    </row>
    <row r="405" spans="2:25">
      <c r="B405" s="598" t="s">
        <v>2595</v>
      </c>
      <c r="C405" s="604" t="s">
        <v>1107</v>
      </c>
      <c r="D405" s="745">
        <v>2008</v>
      </c>
      <c r="E405" s="604" t="s">
        <v>1388</v>
      </c>
      <c r="F405" s="738">
        <v>0.4</v>
      </c>
      <c r="G405" s="739">
        <v>1684.36</v>
      </c>
      <c r="H405" s="741">
        <v>1684.36</v>
      </c>
      <c r="I405" s="742">
        <f t="shared" si="144"/>
        <v>0</v>
      </c>
      <c r="J405" s="740">
        <f t="shared" si="145"/>
        <v>0</v>
      </c>
      <c r="K405" s="739">
        <f t="shared" si="146"/>
        <v>1684.36</v>
      </c>
      <c r="L405" s="860">
        <f t="shared" si="147"/>
        <v>0</v>
      </c>
      <c r="M405" s="740">
        <f t="shared" si="159"/>
        <v>0</v>
      </c>
      <c r="N405" s="604">
        <f t="shared" si="148"/>
        <v>0</v>
      </c>
      <c r="O405" s="604">
        <f t="shared" si="149"/>
        <v>0</v>
      </c>
      <c r="P405" s="604">
        <f t="shared" si="150"/>
        <v>0</v>
      </c>
      <c r="Q405" s="604">
        <f t="shared" si="151"/>
        <v>0</v>
      </c>
      <c r="R405" s="604">
        <f t="shared" si="152"/>
        <v>0</v>
      </c>
      <c r="S405" s="604">
        <f t="shared" si="153"/>
        <v>0</v>
      </c>
      <c r="T405" s="604">
        <f t="shared" si="154"/>
        <v>0</v>
      </c>
      <c r="U405" s="604">
        <f t="shared" si="155"/>
        <v>0</v>
      </c>
      <c r="V405" s="604">
        <f t="shared" si="156"/>
        <v>0</v>
      </c>
      <c r="W405" s="604">
        <f t="shared" si="157"/>
        <v>0</v>
      </c>
      <c r="X405" s="746">
        <v>0</v>
      </c>
      <c r="Y405" s="746">
        <f t="shared" si="158"/>
        <v>0</v>
      </c>
    </row>
    <row r="406" spans="2:25">
      <c r="B406" s="598" t="s">
        <v>2595</v>
      </c>
      <c r="C406" s="604" t="s">
        <v>1107</v>
      </c>
      <c r="D406" s="745">
        <v>2009</v>
      </c>
      <c r="E406" s="604" t="s">
        <v>1389</v>
      </c>
      <c r="F406" s="738">
        <v>0.4</v>
      </c>
      <c r="G406" s="739">
        <v>1900</v>
      </c>
      <c r="H406" s="741">
        <v>1900</v>
      </c>
      <c r="I406" s="742">
        <f t="shared" si="144"/>
        <v>0</v>
      </c>
      <c r="J406" s="740">
        <f t="shared" si="145"/>
        <v>0</v>
      </c>
      <c r="K406" s="739">
        <f t="shared" si="146"/>
        <v>1900</v>
      </c>
      <c r="L406" s="860">
        <f t="shared" si="147"/>
        <v>0</v>
      </c>
      <c r="M406" s="740">
        <f t="shared" si="159"/>
        <v>0</v>
      </c>
      <c r="N406" s="604">
        <f t="shared" si="148"/>
        <v>0</v>
      </c>
      <c r="O406" s="604">
        <f t="shared" si="149"/>
        <v>0</v>
      </c>
      <c r="P406" s="604">
        <f t="shared" si="150"/>
        <v>0</v>
      </c>
      <c r="Q406" s="604">
        <f t="shared" si="151"/>
        <v>0</v>
      </c>
      <c r="R406" s="604">
        <f t="shared" si="152"/>
        <v>0</v>
      </c>
      <c r="S406" s="604">
        <f t="shared" si="153"/>
        <v>0</v>
      </c>
      <c r="T406" s="604">
        <f t="shared" si="154"/>
        <v>0</v>
      </c>
      <c r="U406" s="604">
        <f t="shared" si="155"/>
        <v>0</v>
      </c>
      <c r="V406" s="604">
        <f t="shared" si="156"/>
        <v>0</v>
      </c>
      <c r="W406" s="604">
        <f t="shared" si="157"/>
        <v>0</v>
      </c>
      <c r="X406" s="746">
        <v>0</v>
      </c>
      <c r="Y406" s="746">
        <f t="shared" si="158"/>
        <v>0</v>
      </c>
    </row>
    <row r="407" spans="2:25">
      <c r="B407" s="598" t="s">
        <v>2595</v>
      </c>
      <c r="C407" s="604" t="s">
        <v>1107</v>
      </c>
      <c r="D407" s="745">
        <v>2009</v>
      </c>
      <c r="E407" s="604" t="s">
        <v>1390</v>
      </c>
      <c r="F407" s="738">
        <v>0.4</v>
      </c>
      <c r="G407" s="739">
        <v>886.5</v>
      </c>
      <c r="H407" s="741">
        <v>886.5</v>
      </c>
      <c r="I407" s="742">
        <f t="shared" si="144"/>
        <v>0</v>
      </c>
      <c r="J407" s="740">
        <f t="shared" si="145"/>
        <v>0</v>
      </c>
      <c r="K407" s="739">
        <f t="shared" si="146"/>
        <v>886.5</v>
      </c>
      <c r="L407" s="860">
        <f t="shared" si="147"/>
        <v>0</v>
      </c>
      <c r="M407" s="740">
        <f t="shared" si="159"/>
        <v>0</v>
      </c>
      <c r="N407" s="604">
        <f t="shared" si="148"/>
        <v>0</v>
      </c>
      <c r="O407" s="604">
        <f t="shared" si="149"/>
        <v>0</v>
      </c>
      <c r="P407" s="604">
        <f t="shared" si="150"/>
        <v>0</v>
      </c>
      <c r="Q407" s="604">
        <f t="shared" si="151"/>
        <v>0</v>
      </c>
      <c r="R407" s="604">
        <f t="shared" si="152"/>
        <v>0</v>
      </c>
      <c r="S407" s="604">
        <f t="shared" si="153"/>
        <v>0</v>
      </c>
      <c r="T407" s="604">
        <f t="shared" si="154"/>
        <v>0</v>
      </c>
      <c r="U407" s="604">
        <f t="shared" si="155"/>
        <v>0</v>
      </c>
      <c r="V407" s="604">
        <f t="shared" si="156"/>
        <v>0</v>
      </c>
      <c r="W407" s="604">
        <f t="shared" si="157"/>
        <v>0</v>
      </c>
      <c r="X407" s="746">
        <v>0</v>
      </c>
      <c r="Y407" s="746">
        <f t="shared" si="158"/>
        <v>0</v>
      </c>
    </row>
    <row r="408" spans="2:25">
      <c r="B408" s="598" t="s">
        <v>2595</v>
      </c>
      <c r="C408" s="604" t="s">
        <v>1107</v>
      </c>
      <c r="D408" s="745">
        <v>2009</v>
      </c>
      <c r="E408" s="604" t="s">
        <v>1391</v>
      </c>
      <c r="F408" s="738">
        <v>0.4</v>
      </c>
      <c r="G408" s="739">
        <v>713</v>
      </c>
      <c r="H408" s="741">
        <v>713</v>
      </c>
      <c r="I408" s="742">
        <f t="shared" si="144"/>
        <v>0</v>
      </c>
      <c r="J408" s="740">
        <f t="shared" si="145"/>
        <v>0</v>
      </c>
      <c r="K408" s="739">
        <f t="shared" si="146"/>
        <v>713</v>
      </c>
      <c r="L408" s="860">
        <f t="shared" si="147"/>
        <v>0</v>
      </c>
      <c r="M408" s="740">
        <f t="shared" si="159"/>
        <v>0</v>
      </c>
      <c r="N408" s="604">
        <f t="shared" si="148"/>
        <v>0</v>
      </c>
      <c r="O408" s="604">
        <f t="shared" si="149"/>
        <v>0</v>
      </c>
      <c r="P408" s="604">
        <f t="shared" si="150"/>
        <v>0</v>
      </c>
      <c r="Q408" s="604">
        <f t="shared" si="151"/>
        <v>0</v>
      </c>
      <c r="R408" s="604">
        <f t="shared" si="152"/>
        <v>0</v>
      </c>
      <c r="S408" s="604">
        <f t="shared" si="153"/>
        <v>0</v>
      </c>
      <c r="T408" s="604">
        <f t="shared" si="154"/>
        <v>0</v>
      </c>
      <c r="U408" s="604">
        <f t="shared" si="155"/>
        <v>0</v>
      </c>
      <c r="V408" s="604">
        <f t="shared" si="156"/>
        <v>0</v>
      </c>
      <c r="W408" s="604">
        <f t="shared" si="157"/>
        <v>0</v>
      </c>
      <c r="X408" s="746">
        <v>0</v>
      </c>
      <c r="Y408" s="746">
        <f t="shared" si="158"/>
        <v>0</v>
      </c>
    </row>
    <row r="409" spans="2:25">
      <c r="B409" s="598" t="s">
        <v>2595</v>
      </c>
      <c r="C409" s="604" t="s">
        <v>1107</v>
      </c>
      <c r="D409" s="745">
        <v>2009</v>
      </c>
      <c r="E409" s="604" t="s">
        <v>1392</v>
      </c>
      <c r="F409" s="738">
        <v>0.4</v>
      </c>
      <c r="G409" s="739">
        <v>827.5</v>
      </c>
      <c r="H409" s="741">
        <v>827.5</v>
      </c>
      <c r="I409" s="742">
        <f t="shared" si="144"/>
        <v>0</v>
      </c>
      <c r="J409" s="740">
        <f t="shared" si="145"/>
        <v>0</v>
      </c>
      <c r="K409" s="739">
        <f t="shared" si="146"/>
        <v>827.5</v>
      </c>
      <c r="L409" s="860">
        <f t="shared" si="147"/>
        <v>0</v>
      </c>
      <c r="M409" s="740">
        <f t="shared" si="159"/>
        <v>0</v>
      </c>
      <c r="N409" s="604">
        <f t="shared" si="148"/>
        <v>0</v>
      </c>
      <c r="O409" s="604">
        <f t="shared" si="149"/>
        <v>0</v>
      </c>
      <c r="P409" s="604">
        <f t="shared" si="150"/>
        <v>0</v>
      </c>
      <c r="Q409" s="604">
        <f t="shared" si="151"/>
        <v>0</v>
      </c>
      <c r="R409" s="604">
        <f t="shared" si="152"/>
        <v>0</v>
      </c>
      <c r="S409" s="604">
        <f t="shared" si="153"/>
        <v>0</v>
      </c>
      <c r="T409" s="604">
        <f t="shared" si="154"/>
        <v>0</v>
      </c>
      <c r="U409" s="604">
        <f t="shared" si="155"/>
        <v>0</v>
      </c>
      <c r="V409" s="604">
        <f t="shared" si="156"/>
        <v>0</v>
      </c>
      <c r="W409" s="604">
        <f t="shared" si="157"/>
        <v>0</v>
      </c>
      <c r="X409" s="746">
        <v>0</v>
      </c>
      <c r="Y409" s="746">
        <f t="shared" si="158"/>
        <v>0</v>
      </c>
    </row>
    <row r="410" spans="2:25">
      <c r="B410" s="598" t="s">
        <v>2595</v>
      </c>
      <c r="C410" s="604" t="s">
        <v>1107</v>
      </c>
      <c r="D410" s="745">
        <v>2009</v>
      </c>
      <c r="E410" s="604" t="s">
        <v>1393</v>
      </c>
      <c r="F410" s="738">
        <v>0.4</v>
      </c>
      <c r="G410" s="739">
        <v>801</v>
      </c>
      <c r="H410" s="741">
        <v>801</v>
      </c>
      <c r="I410" s="742">
        <f t="shared" si="144"/>
        <v>0</v>
      </c>
      <c r="J410" s="740">
        <f t="shared" si="145"/>
        <v>0</v>
      </c>
      <c r="K410" s="739">
        <f t="shared" si="146"/>
        <v>801</v>
      </c>
      <c r="L410" s="860">
        <f t="shared" si="147"/>
        <v>0</v>
      </c>
      <c r="M410" s="740">
        <f t="shared" si="159"/>
        <v>0</v>
      </c>
      <c r="N410" s="604">
        <f t="shared" si="148"/>
        <v>0</v>
      </c>
      <c r="O410" s="604">
        <f t="shared" si="149"/>
        <v>0</v>
      </c>
      <c r="P410" s="604">
        <f t="shared" si="150"/>
        <v>0</v>
      </c>
      <c r="Q410" s="604">
        <f t="shared" si="151"/>
        <v>0</v>
      </c>
      <c r="R410" s="604">
        <f t="shared" si="152"/>
        <v>0</v>
      </c>
      <c r="S410" s="604">
        <f t="shared" si="153"/>
        <v>0</v>
      </c>
      <c r="T410" s="604">
        <f t="shared" si="154"/>
        <v>0</v>
      </c>
      <c r="U410" s="604">
        <f t="shared" si="155"/>
        <v>0</v>
      </c>
      <c r="V410" s="604">
        <f t="shared" si="156"/>
        <v>0</v>
      </c>
      <c r="W410" s="604">
        <f t="shared" si="157"/>
        <v>0</v>
      </c>
      <c r="X410" s="746">
        <v>0</v>
      </c>
      <c r="Y410" s="746">
        <f t="shared" si="158"/>
        <v>0</v>
      </c>
    </row>
    <row r="411" spans="2:25">
      <c r="B411" s="598" t="s">
        <v>2595</v>
      </c>
      <c r="C411" s="604" t="s">
        <v>1107</v>
      </c>
      <c r="D411" s="745">
        <v>2009</v>
      </c>
      <c r="E411" s="604" t="s">
        <v>1394</v>
      </c>
      <c r="F411" s="738">
        <v>0.4</v>
      </c>
      <c r="G411" s="739">
        <v>520</v>
      </c>
      <c r="H411" s="741">
        <v>520</v>
      </c>
      <c r="I411" s="742">
        <f t="shared" si="144"/>
        <v>0</v>
      </c>
      <c r="J411" s="740">
        <f t="shared" si="145"/>
        <v>0</v>
      </c>
      <c r="K411" s="739">
        <f t="shared" si="146"/>
        <v>520</v>
      </c>
      <c r="L411" s="860">
        <f t="shared" si="147"/>
        <v>0</v>
      </c>
      <c r="M411" s="740">
        <f t="shared" si="159"/>
        <v>0</v>
      </c>
      <c r="N411" s="604">
        <f t="shared" si="148"/>
        <v>0</v>
      </c>
      <c r="O411" s="604">
        <f t="shared" si="149"/>
        <v>0</v>
      </c>
      <c r="P411" s="604">
        <f t="shared" si="150"/>
        <v>0</v>
      </c>
      <c r="Q411" s="604">
        <f t="shared" si="151"/>
        <v>0</v>
      </c>
      <c r="R411" s="604">
        <f t="shared" si="152"/>
        <v>0</v>
      </c>
      <c r="S411" s="604">
        <f t="shared" si="153"/>
        <v>0</v>
      </c>
      <c r="T411" s="604">
        <f t="shared" si="154"/>
        <v>0</v>
      </c>
      <c r="U411" s="604">
        <f t="shared" si="155"/>
        <v>0</v>
      </c>
      <c r="V411" s="604">
        <f t="shared" si="156"/>
        <v>0</v>
      </c>
      <c r="W411" s="604">
        <f t="shared" si="157"/>
        <v>0</v>
      </c>
      <c r="X411" s="746">
        <v>0</v>
      </c>
      <c r="Y411" s="746">
        <f t="shared" si="158"/>
        <v>0</v>
      </c>
    </row>
    <row r="412" spans="2:25">
      <c r="B412" s="598" t="s">
        <v>2595</v>
      </c>
      <c r="C412" s="604" t="s">
        <v>1107</v>
      </c>
      <c r="D412" s="745">
        <v>2009</v>
      </c>
      <c r="E412" s="604" t="s">
        <v>1395</v>
      </c>
      <c r="F412" s="738">
        <v>0.4</v>
      </c>
      <c r="G412" s="739">
        <v>2880</v>
      </c>
      <c r="H412" s="741">
        <v>2880</v>
      </c>
      <c r="I412" s="742">
        <f t="shared" si="144"/>
        <v>0</v>
      </c>
      <c r="J412" s="740">
        <f t="shared" si="145"/>
        <v>0</v>
      </c>
      <c r="K412" s="739">
        <f t="shared" si="146"/>
        <v>2880</v>
      </c>
      <c r="L412" s="860">
        <f t="shared" si="147"/>
        <v>0</v>
      </c>
      <c r="M412" s="740">
        <f t="shared" si="159"/>
        <v>0</v>
      </c>
      <c r="N412" s="604">
        <f t="shared" si="148"/>
        <v>0</v>
      </c>
      <c r="O412" s="604">
        <f t="shared" si="149"/>
        <v>0</v>
      </c>
      <c r="P412" s="604">
        <f t="shared" si="150"/>
        <v>0</v>
      </c>
      <c r="Q412" s="604">
        <f t="shared" si="151"/>
        <v>0</v>
      </c>
      <c r="R412" s="604">
        <f t="shared" si="152"/>
        <v>0</v>
      </c>
      <c r="S412" s="604">
        <f t="shared" si="153"/>
        <v>0</v>
      </c>
      <c r="T412" s="604">
        <f t="shared" si="154"/>
        <v>0</v>
      </c>
      <c r="U412" s="604">
        <f t="shared" si="155"/>
        <v>0</v>
      </c>
      <c r="V412" s="604">
        <f t="shared" si="156"/>
        <v>0</v>
      </c>
      <c r="W412" s="604">
        <f t="shared" si="157"/>
        <v>0</v>
      </c>
      <c r="X412" s="746">
        <v>0</v>
      </c>
      <c r="Y412" s="746">
        <f t="shared" si="158"/>
        <v>0</v>
      </c>
    </row>
    <row r="413" spans="2:25">
      <c r="B413" s="598" t="s">
        <v>2595</v>
      </c>
      <c r="C413" s="604" t="s">
        <v>1107</v>
      </c>
      <c r="D413" s="745">
        <v>2009</v>
      </c>
      <c r="E413" s="604" t="s">
        <v>1396</v>
      </c>
      <c r="F413" s="738">
        <v>0.4</v>
      </c>
      <c r="G413" s="739">
        <v>1050</v>
      </c>
      <c r="H413" s="741">
        <v>1050</v>
      </c>
      <c r="I413" s="742">
        <f t="shared" si="144"/>
        <v>0</v>
      </c>
      <c r="J413" s="740">
        <f t="shared" si="145"/>
        <v>0</v>
      </c>
      <c r="K413" s="739">
        <f t="shared" si="146"/>
        <v>1050</v>
      </c>
      <c r="L413" s="860">
        <f t="shared" si="147"/>
        <v>0</v>
      </c>
      <c r="M413" s="740">
        <f t="shared" si="159"/>
        <v>0</v>
      </c>
      <c r="N413" s="604">
        <f t="shared" si="148"/>
        <v>0</v>
      </c>
      <c r="O413" s="604">
        <f t="shared" si="149"/>
        <v>0</v>
      </c>
      <c r="P413" s="604">
        <f t="shared" si="150"/>
        <v>0</v>
      </c>
      <c r="Q413" s="604">
        <f t="shared" si="151"/>
        <v>0</v>
      </c>
      <c r="R413" s="604">
        <f t="shared" si="152"/>
        <v>0</v>
      </c>
      <c r="S413" s="604">
        <f t="shared" si="153"/>
        <v>0</v>
      </c>
      <c r="T413" s="604">
        <f t="shared" si="154"/>
        <v>0</v>
      </c>
      <c r="U413" s="604">
        <f t="shared" si="155"/>
        <v>0</v>
      </c>
      <c r="V413" s="604">
        <f t="shared" si="156"/>
        <v>0</v>
      </c>
      <c r="W413" s="604">
        <f t="shared" si="157"/>
        <v>0</v>
      </c>
      <c r="X413" s="746">
        <v>0</v>
      </c>
      <c r="Y413" s="746">
        <f t="shared" si="158"/>
        <v>0</v>
      </c>
    </row>
    <row r="414" spans="2:25">
      <c r="B414" s="598" t="s">
        <v>2595</v>
      </c>
      <c r="C414" s="604" t="s">
        <v>1107</v>
      </c>
      <c r="D414" s="745">
        <v>2009</v>
      </c>
      <c r="E414" s="604" t="s">
        <v>1397</v>
      </c>
      <c r="F414" s="738">
        <v>0.4</v>
      </c>
      <c r="G414" s="739">
        <v>760</v>
      </c>
      <c r="H414" s="741">
        <v>760</v>
      </c>
      <c r="I414" s="742">
        <f t="shared" si="144"/>
        <v>0</v>
      </c>
      <c r="J414" s="740">
        <f t="shared" si="145"/>
        <v>0</v>
      </c>
      <c r="K414" s="739">
        <f t="shared" si="146"/>
        <v>760</v>
      </c>
      <c r="L414" s="860">
        <f t="shared" si="147"/>
        <v>0</v>
      </c>
      <c r="M414" s="740">
        <f t="shared" si="159"/>
        <v>0</v>
      </c>
      <c r="N414" s="604">
        <f t="shared" si="148"/>
        <v>0</v>
      </c>
      <c r="O414" s="604">
        <f t="shared" si="149"/>
        <v>0</v>
      </c>
      <c r="P414" s="604">
        <f t="shared" si="150"/>
        <v>0</v>
      </c>
      <c r="Q414" s="604">
        <f t="shared" si="151"/>
        <v>0</v>
      </c>
      <c r="R414" s="604">
        <f t="shared" si="152"/>
        <v>0</v>
      </c>
      <c r="S414" s="604">
        <f t="shared" si="153"/>
        <v>0</v>
      </c>
      <c r="T414" s="604">
        <f t="shared" si="154"/>
        <v>0</v>
      </c>
      <c r="U414" s="604">
        <f t="shared" si="155"/>
        <v>0</v>
      </c>
      <c r="V414" s="604">
        <f t="shared" si="156"/>
        <v>0</v>
      </c>
      <c r="W414" s="604">
        <f t="shared" si="157"/>
        <v>0</v>
      </c>
      <c r="X414" s="746">
        <v>0</v>
      </c>
      <c r="Y414" s="746">
        <f t="shared" si="158"/>
        <v>0</v>
      </c>
    </row>
    <row r="415" spans="2:25">
      <c r="B415" s="598" t="s">
        <v>2595</v>
      </c>
      <c r="C415" s="604" t="s">
        <v>1107</v>
      </c>
      <c r="D415" s="745">
        <v>2009</v>
      </c>
      <c r="E415" s="604" t="s">
        <v>1398</v>
      </c>
      <c r="F415" s="738">
        <v>0.4</v>
      </c>
      <c r="G415" s="739">
        <v>3700</v>
      </c>
      <c r="H415" s="741">
        <v>3700</v>
      </c>
      <c r="I415" s="742">
        <f t="shared" si="144"/>
        <v>0</v>
      </c>
      <c r="J415" s="740">
        <f t="shared" si="145"/>
        <v>0</v>
      </c>
      <c r="K415" s="739">
        <f t="shared" si="146"/>
        <v>3700</v>
      </c>
      <c r="L415" s="860">
        <f t="shared" si="147"/>
        <v>0</v>
      </c>
      <c r="M415" s="740">
        <f t="shared" si="159"/>
        <v>0</v>
      </c>
      <c r="N415" s="604">
        <f t="shared" si="148"/>
        <v>0</v>
      </c>
      <c r="O415" s="604">
        <f t="shared" si="149"/>
        <v>0</v>
      </c>
      <c r="P415" s="604">
        <f t="shared" si="150"/>
        <v>0</v>
      </c>
      <c r="Q415" s="604">
        <f t="shared" si="151"/>
        <v>0</v>
      </c>
      <c r="R415" s="604">
        <f t="shared" si="152"/>
        <v>0</v>
      </c>
      <c r="S415" s="604">
        <f t="shared" si="153"/>
        <v>0</v>
      </c>
      <c r="T415" s="604">
        <f t="shared" si="154"/>
        <v>0</v>
      </c>
      <c r="U415" s="604">
        <f t="shared" si="155"/>
        <v>0</v>
      </c>
      <c r="V415" s="604">
        <f t="shared" si="156"/>
        <v>0</v>
      </c>
      <c r="W415" s="604">
        <f t="shared" si="157"/>
        <v>0</v>
      </c>
      <c r="X415" s="746">
        <v>0</v>
      </c>
      <c r="Y415" s="746">
        <f t="shared" si="158"/>
        <v>0</v>
      </c>
    </row>
    <row r="416" spans="2:25">
      <c r="B416" s="598" t="s">
        <v>2595</v>
      </c>
      <c r="C416" s="604" t="s">
        <v>1107</v>
      </c>
      <c r="D416" s="745">
        <v>2021</v>
      </c>
      <c r="E416" s="604"/>
      <c r="F416" s="738">
        <v>0.4</v>
      </c>
      <c r="G416" s="739">
        <v>-3700</v>
      </c>
      <c r="H416" s="741">
        <v>-3700</v>
      </c>
      <c r="I416" s="742">
        <f t="shared" si="144"/>
        <v>0</v>
      </c>
      <c r="J416" s="740">
        <f t="shared" si="145"/>
        <v>0</v>
      </c>
      <c r="K416" s="739">
        <f t="shared" si="146"/>
        <v>-3700</v>
      </c>
      <c r="L416" s="860">
        <f t="shared" si="147"/>
        <v>0</v>
      </c>
      <c r="M416" s="740">
        <f t="shared" si="159"/>
        <v>0</v>
      </c>
      <c r="N416" s="604">
        <f t="shared" si="148"/>
        <v>0</v>
      </c>
      <c r="O416" s="604">
        <f t="shared" si="149"/>
        <v>0</v>
      </c>
      <c r="P416" s="604">
        <f t="shared" si="150"/>
        <v>0</v>
      </c>
      <c r="Q416" s="604">
        <f t="shared" si="151"/>
        <v>0</v>
      </c>
      <c r="R416" s="604">
        <f t="shared" si="152"/>
        <v>0</v>
      </c>
      <c r="S416" s="604">
        <f t="shared" si="153"/>
        <v>0</v>
      </c>
      <c r="T416" s="604">
        <f t="shared" si="154"/>
        <v>0</v>
      </c>
      <c r="U416" s="604">
        <f t="shared" si="155"/>
        <v>0</v>
      </c>
      <c r="V416" s="604">
        <f t="shared" si="156"/>
        <v>0</v>
      </c>
      <c r="W416" s="604">
        <f t="shared" si="157"/>
        <v>0</v>
      </c>
      <c r="X416" s="746">
        <v>0</v>
      </c>
      <c r="Y416" s="746">
        <f t="shared" si="158"/>
        <v>0</v>
      </c>
    </row>
    <row r="417" spans="2:25">
      <c r="B417" s="598" t="s">
        <v>2595</v>
      </c>
      <c r="C417" s="604" t="s">
        <v>1107</v>
      </c>
      <c r="D417" s="745">
        <v>2009</v>
      </c>
      <c r="E417" s="604" t="s">
        <v>1398</v>
      </c>
      <c r="F417" s="738">
        <v>0.4</v>
      </c>
      <c r="G417" s="739">
        <v>3700</v>
      </c>
      <c r="H417" s="741">
        <v>3700</v>
      </c>
      <c r="I417" s="742">
        <f t="shared" si="144"/>
        <v>0</v>
      </c>
      <c r="J417" s="740">
        <f t="shared" si="145"/>
        <v>0</v>
      </c>
      <c r="K417" s="739">
        <f t="shared" si="146"/>
        <v>3700</v>
      </c>
      <c r="L417" s="860">
        <f t="shared" si="147"/>
        <v>0</v>
      </c>
      <c r="M417" s="740">
        <f t="shared" si="159"/>
        <v>0</v>
      </c>
      <c r="N417" s="604">
        <f t="shared" si="148"/>
        <v>0</v>
      </c>
      <c r="O417" s="604">
        <f t="shared" si="149"/>
        <v>0</v>
      </c>
      <c r="P417" s="604">
        <f t="shared" si="150"/>
        <v>0</v>
      </c>
      <c r="Q417" s="604">
        <f t="shared" si="151"/>
        <v>0</v>
      </c>
      <c r="R417" s="604">
        <f t="shared" si="152"/>
        <v>0</v>
      </c>
      <c r="S417" s="604">
        <f t="shared" si="153"/>
        <v>0</v>
      </c>
      <c r="T417" s="604">
        <f t="shared" si="154"/>
        <v>0</v>
      </c>
      <c r="U417" s="604">
        <f t="shared" si="155"/>
        <v>0</v>
      </c>
      <c r="V417" s="604">
        <f t="shared" si="156"/>
        <v>0</v>
      </c>
      <c r="W417" s="604">
        <f t="shared" si="157"/>
        <v>0</v>
      </c>
      <c r="X417" s="746">
        <v>0</v>
      </c>
      <c r="Y417" s="746">
        <f t="shared" si="158"/>
        <v>0</v>
      </c>
    </row>
    <row r="418" spans="2:25">
      <c r="B418" s="598" t="s">
        <v>2595</v>
      </c>
      <c r="C418" s="604" t="s">
        <v>1107</v>
      </c>
      <c r="D418" s="745">
        <v>2021</v>
      </c>
      <c r="E418" s="604"/>
      <c r="F418" s="738">
        <v>0.4</v>
      </c>
      <c r="G418" s="739">
        <v>-3700</v>
      </c>
      <c r="H418" s="741">
        <v>-3700</v>
      </c>
      <c r="I418" s="742">
        <f t="shared" si="144"/>
        <v>0</v>
      </c>
      <c r="J418" s="740">
        <f t="shared" si="145"/>
        <v>0</v>
      </c>
      <c r="K418" s="739">
        <f t="shared" si="146"/>
        <v>-3700</v>
      </c>
      <c r="L418" s="860">
        <f t="shared" si="147"/>
        <v>0</v>
      </c>
      <c r="M418" s="740">
        <f t="shared" si="159"/>
        <v>0</v>
      </c>
      <c r="N418" s="604">
        <f t="shared" si="148"/>
        <v>0</v>
      </c>
      <c r="O418" s="604">
        <f t="shared" si="149"/>
        <v>0</v>
      </c>
      <c r="P418" s="604">
        <f t="shared" si="150"/>
        <v>0</v>
      </c>
      <c r="Q418" s="604">
        <f t="shared" si="151"/>
        <v>0</v>
      </c>
      <c r="R418" s="604">
        <f t="shared" si="152"/>
        <v>0</v>
      </c>
      <c r="S418" s="604">
        <f t="shared" si="153"/>
        <v>0</v>
      </c>
      <c r="T418" s="604">
        <f t="shared" si="154"/>
        <v>0</v>
      </c>
      <c r="U418" s="604">
        <f t="shared" si="155"/>
        <v>0</v>
      </c>
      <c r="V418" s="604">
        <f t="shared" si="156"/>
        <v>0</v>
      </c>
      <c r="W418" s="604">
        <f t="shared" si="157"/>
        <v>0</v>
      </c>
      <c r="X418" s="746">
        <v>0</v>
      </c>
      <c r="Y418" s="746">
        <f t="shared" si="158"/>
        <v>0</v>
      </c>
    </row>
    <row r="419" spans="2:25">
      <c r="B419" s="598" t="s">
        <v>2595</v>
      </c>
      <c r="C419" s="604" t="s">
        <v>1107</v>
      </c>
      <c r="D419" s="745">
        <v>2009</v>
      </c>
      <c r="E419" s="604" t="s">
        <v>1399</v>
      </c>
      <c r="F419" s="738">
        <v>0.4</v>
      </c>
      <c r="G419" s="739">
        <v>8000</v>
      </c>
      <c r="H419" s="741">
        <v>8000</v>
      </c>
      <c r="I419" s="742">
        <f t="shared" si="144"/>
        <v>0</v>
      </c>
      <c r="J419" s="740">
        <f t="shared" si="145"/>
        <v>0</v>
      </c>
      <c r="K419" s="739">
        <f t="shared" si="146"/>
        <v>8000</v>
      </c>
      <c r="L419" s="860">
        <f t="shared" si="147"/>
        <v>0</v>
      </c>
      <c r="M419" s="740">
        <f t="shared" si="159"/>
        <v>0</v>
      </c>
      <c r="N419" s="604">
        <f t="shared" si="148"/>
        <v>0</v>
      </c>
      <c r="O419" s="604">
        <f t="shared" si="149"/>
        <v>0</v>
      </c>
      <c r="P419" s="604">
        <f t="shared" si="150"/>
        <v>0</v>
      </c>
      <c r="Q419" s="604">
        <f t="shared" si="151"/>
        <v>0</v>
      </c>
      <c r="R419" s="604">
        <f t="shared" si="152"/>
        <v>0</v>
      </c>
      <c r="S419" s="604">
        <f t="shared" si="153"/>
        <v>0</v>
      </c>
      <c r="T419" s="604">
        <f t="shared" si="154"/>
        <v>0</v>
      </c>
      <c r="U419" s="604">
        <f t="shared" si="155"/>
        <v>0</v>
      </c>
      <c r="V419" s="604">
        <f t="shared" si="156"/>
        <v>0</v>
      </c>
      <c r="W419" s="604">
        <f t="shared" si="157"/>
        <v>0</v>
      </c>
      <c r="X419" s="746">
        <v>0</v>
      </c>
      <c r="Y419" s="746">
        <f t="shared" si="158"/>
        <v>0</v>
      </c>
    </row>
    <row r="420" spans="2:25">
      <c r="B420" s="598" t="s">
        <v>2595</v>
      </c>
      <c r="C420" s="604" t="s">
        <v>1107</v>
      </c>
      <c r="D420" s="745">
        <v>2009</v>
      </c>
      <c r="E420" s="604" t="s">
        <v>1400</v>
      </c>
      <c r="F420" s="738">
        <v>0.4</v>
      </c>
      <c r="G420" s="739">
        <v>2450</v>
      </c>
      <c r="H420" s="741">
        <v>2450</v>
      </c>
      <c r="I420" s="742">
        <f t="shared" si="144"/>
        <v>0</v>
      </c>
      <c r="J420" s="740">
        <f t="shared" si="145"/>
        <v>0</v>
      </c>
      <c r="K420" s="739">
        <f t="shared" si="146"/>
        <v>2450</v>
      </c>
      <c r="L420" s="860">
        <f t="shared" si="147"/>
        <v>0</v>
      </c>
      <c r="M420" s="740">
        <f t="shared" si="159"/>
        <v>0</v>
      </c>
      <c r="N420" s="604">
        <f t="shared" si="148"/>
        <v>0</v>
      </c>
      <c r="O420" s="604">
        <f t="shared" si="149"/>
        <v>0</v>
      </c>
      <c r="P420" s="604">
        <f t="shared" si="150"/>
        <v>0</v>
      </c>
      <c r="Q420" s="604">
        <f t="shared" si="151"/>
        <v>0</v>
      </c>
      <c r="R420" s="604">
        <f t="shared" si="152"/>
        <v>0</v>
      </c>
      <c r="S420" s="604">
        <f t="shared" si="153"/>
        <v>0</v>
      </c>
      <c r="T420" s="604">
        <f t="shared" si="154"/>
        <v>0</v>
      </c>
      <c r="U420" s="604">
        <f t="shared" si="155"/>
        <v>0</v>
      </c>
      <c r="V420" s="604">
        <f t="shared" si="156"/>
        <v>0</v>
      </c>
      <c r="W420" s="604">
        <f t="shared" si="157"/>
        <v>0</v>
      </c>
      <c r="X420" s="746">
        <v>0</v>
      </c>
      <c r="Y420" s="746">
        <f t="shared" si="158"/>
        <v>0</v>
      </c>
    </row>
    <row r="421" spans="2:25">
      <c r="B421" s="598" t="s">
        <v>2595</v>
      </c>
      <c r="C421" s="604" t="s">
        <v>1107</v>
      </c>
      <c r="D421" s="745">
        <v>2009</v>
      </c>
      <c r="E421" s="604" t="s">
        <v>1401</v>
      </c>
      <c r="F421" s="738">
        <v>0.4</v>
      </c>
      <c r="G421" s="739">
        <v>4000</v>
      </c>
      <c r="H421" s="741">
        <v>4000</v>
      </c>
      <c r="I421" s="742">
        <f t="shared" si="144"/>
        <v>0</v>
      </c>
      <c r="J421" s="740">
        <f t="shared" si="145"/>
        <v>0</v>
      </c>
      <c r="K421" s="739">
        <f t="shared" si="146"/>
        <v>4000</v>
      </c>
      <c r="L421" s="860">
        <f t="shared" si="147"/>
        <v>0</v>
      </c>
      <c r="M421" s="740">
        <f t="shared" si="159"/>
        <v>0</v>
      </c>
      <c r="N421" s="604">
        <f t="shared" si="148"/>
        <v>0</v>
      </c>
      <c r="O421" s="604">
        <f t="shared" si="149"/>
        <v>0</v>
      </c>
      <c r="P421" s="604">
        <f t="shared" si="150"/>
        <v>0</v>
      </c>
      <c r="Q421" s="604">
        <f t="shared" si="151"/>
        <v>0</v>
      </c>
      <c r="R421" s="604">
        <f t="shared" si="152"/>
        <v>0</v>
      </c>
      <c r="S421" s="604">
        <f t="shared" si="153"/>
        <v>0</v>
      </c>
      <c r="T421" s="604">
        <f t="shared" si="154"/>
        <v>0</v>
      </c>
      <c r="U421" s="604">
        <f t="shared" si="155"/>
        <v>0</v>
      </c>
      <c r="V421" s="604">
        <f t="shared" si="156"/>
        <v>0</v>
      </c>
      <c r="W421" s="604">
        <f t="shared" si="157"/>
        <v>0</v>
      </c>
      <c r="X421" s="746">
        <v>0</v>
      </c>
      <c r="Y421" s="746">
        <f t="shared" si="158"/>
        <v>0</v>
      </c>
    </row>
    <row r="422" spans="2:25">
      <c r="B422" s="598" t="s">
        <v>2595</v>
      </c>
      <c r="C422" s="604" t="s">
        <v>1107</v>
      </c>
      <c r="D422" s="745">
        <v>2009</v>
      </c>
      <c r="E422" s="604" t="s">
        <v>1402</v>
      </c>
      <c r="F422" s="738">
        <v>0.4</v>
      </c>
      <c r="G422" s="739">
        <v>3000</v>
      </c>
      <c r="H422" s="741">
        <v>3000</v>
      </c>
      <c r="I422" s="742">
        <f t="shared" si="144"/>
        <v>0</v>
      </c>
      <c r="J422" s="740">
        <f t="shared" si="145"/>
        <v>0</v>
      </c>
      <c r="K422" s="739">
        <f t="shared" si="146"/>
        <v>3000</v>
      </c>
      <c r="L422" s="860">
        <f t="shared" si="147"/>
        <v>0</v>
      </c>
      <c r="M422" s="740">
        <f t="shared" si="159"/>
        <v>0</v>
      </c>
      <c r="N422" s="604">
        <f t="shared" si="148"/>
        <v>0</v>
      </c>
      <c r="O422" s="604">
        <f t="shared" si="149"/>
        <v>0</v>
      </c>
      <c r="P422" s="604">
        <f t="shared" si="150"/>
        <v>0</v>
      </c>
      <c r="Q422" s="604">
        <f t="shared" si="151"/>
        <v>0</v>
      </c>
      <c r="R422" s="604">
        <f t="shared" si="152"/>
        <v>0</v>
      </c>
      <c r="S422" s="604">
        <f t="shared" si="153"/>
        <v>0</v>
      </c>
      <c r="T422" s="604">
        <f t="shared" si="154"/>
        <v>0</v>
      </c>
      <c r="U422" s="604">
        <f t="shared" si="155"/>
        <v>0</v>
      </c>
      <c r="V422" s="604">
        <f t="shared" si="156"/>
        <v>0</v>
      </c>
      <c r="W422" s="604">
        <f t="shared" si="157"/>
        <v>0</v>
      </c>
      <c r="X422" s="746">
        <v>0</v>
      </c>
      <c r="Y422" s="746">
        <f t="shared" si="158"/>
        <v>0</v>
      </c>
    </row>
    <row r="423" spans="2:25">
      <c r="B423" s="598" t="s">
        <v>2595</v>
      </c>
      <c r="C423" s="604" t="s">
        <v>1107</v>
      </c>
      <c r="D423" s="745">
        <v>2009</v>
      </c>
      <c r="E423" s="604" t="s">
        <v>1403</v>
      </c>
      <c r="F423" s="738">
        <v>0.4</v>
      </c>
      <c r="G423" s="739">
        <v>960</v>
      </c>
      <c r="H423" s="741">
        <v>960</v>
      </c>
      <c r="I423" s="742">
        <f t="shared" si="144"/>
        <v>0</v>
      </c>
      <c r="J423" s="740">
        <f t="shared" si="145"/>
        <v>0</v>
      </c>
      <c r="K423" s="739">
        <f t="shared" si="146"/>
        <v>960</v>
      </c>
      <c r="L423" s="860">
        <f t="shared" si="147"/>
        <v>0</v>
      </c>
      <c r="M423" s="740">
        <f t="shared" si="159"/>
        <v>0</v>
      </c>
      <c r="N423" s="604">
        <f t="shared" si="148"/>
        <v>0</v>
      </c>
      <c r="O423" s="604">
        <f t="shared" si="149"/>
        <v>0</v>
      </c>
      <c r="P423" s="604">
        <f t="shared" si="150"/>
        <v>0</v>
      </c>
      <c r="Q423" s="604">
        <f t="shared" si="151"/>
        <v>0</v>
      </c>
      <c r="R423" s="604">
        <f t="shared" si="152"/>
        <v>0</v>
      </c>
      <c r="S423" s="604">
        <f t="shared" si="153"/>
        <v>0</v>
      </c>
      <c r="T423" s="604">
        <f t="shared" si="154"/>
        <v>0</v>
      </c>
      <c r="U423" s="604">
        <f t="shared" si="155"/>
        <v>0</v>
      </c>
      <c r="V423" s="604">
        <f t="shared" si="156"/>
        <v>0</v>
      </c>
      <c r="W423" s="604">
        <f t="shared" si="157"/>
        <v>0</v>
      </c>
      <c r="X423" s="746">
        <v>0</v>
      </c>
      <c r="Y423" s="746">
        <f t="shared" si="158"/>
        <v>0</v>
      </c>
    </row>
    <row r="424" spans="2:25">
      <c r="B424" s="598" t="s">
        <v>2595</v>
      </c>
      <c r="C424" s="604" t="s">
        <v>1107</v>
      </c>
      <c r="D424" s="745">
        <v>2009</v>
      </c>
      <c r="E424" s="604" t="s">
        <v>1404</v>
      </c>
      <c r="F424" s="738">
        <v>0.4</v>
      </c>
      <c r="G424" s="739">
        <v>3000</v>
      </c>
      <c r="H424" s="741">
        <v>3000</v>
      </c>
      <c r="I424" s="742">
        <f t="shared" si="144"/>
        <v>0</v>
      </c>
      <c r="J424" s="740">
        <f t="shared" si="145"/>
        <v>0</v>
      </c>
      <c r="K424" s="739">
        <f t="shared" si="146"/>
        <v>3000</v>
      </c>
      <c r="L424" s="860">
        <f t="shared" si="147"/>
        <v>0</v>
      </c>
      <c r="M424" s="740">
        <f t="shared" si="159"/>
        <v>0</v>
      </c>
      <c r="N424" s="604">
        <f t="shared" si="148"/>
        <v>0</v>
      </c>
      <c r="O424" s="604">
        <f t="shared" si="149"/>
        <v>0</v>
      </c>
      <c r="P424" s="604">
        <f t="shared" si="150"/>
        <v>0</v>
      </c>
      <c r="Q424" s="604">
        <f t="shared" si="151"/>
        <v>0</v>
      </c>
      <c r="R424" s="604">
        <f t="shared" si="152"/>
        <v>0</v>
      </c>
      <c r="S424" s="604">
        <f t="shared" si="153"/>
        <v>0</v>
      </c>
      <c r="T424" s="604">
        <f t="shared" si="154"/>
        <v>0</v>
      </c>
      <c r="U424" s="604">
        <f t="shared" si="155"/>
        <v>0</v>
      </c>
      <c r="V424" s="604">
        <f t="shared" si="156"/>
        <v>0</v>
      </c>
      <c r="W424" s="604">
        <f t="shared" si="157"/>
        <v>0</v>
      </c>
      <c r="X424" s="746">
        <v>0</v>
      </c>
      <c r="Y424" s="746">
        <f t="shared" si="158"/>
        <v>0</v>
      </c>
    </row>
    <row r="425" spans="2:25">
      <c r="B425" s="598" t="s">
        <v>2595</v>
      </c>
      <c r="C425" s="604" t="s">
        <v>1107</v>
      </c>
      <c r="D425" s="745">
        <v>2009</v>
      </c>
      <c r="E425" s="604" t="s">
        <v>1405</v>
      </c>
      <c r="F425" s="738">
        <v>0.4</v>
      </c>
      <c r="G425" s="739">
        <v>2000</v>
      </c>
      <c r="H425" s="741">
        <v>2000</v>
      </c>
      <c r="I425" s="742">
        <f t="shared" si="144"/>
        <v>0</v>
      </c>
      <c r="J425" s="740">
        <f t="shared" si="145"/>
        <v>0</v>
      </c>
      <c r="K425" s="739">
        <f t="shared" si="146"/>
        <v>2000</v>
      </c>
      <c r="L425" s="860">
        <f t="shared" si="147"/>
        <v>0</v>
      </c>
      <c r="M425" s="740">
        <f t="shared" si="159"/>
        <v>0</v>
      </c>
      <c r="N425" s="604">
        <f t="shared" si="148"/>
        <v>0</v>
      </c>
      <c r="O425" s="604">
        <f t="shared" si="149"/>
        <v>0</v>
      </c>
      <c r="P425" s="604">
        <f t="shared" si="150"/>
        <v>0</v>
      </c>
      <c r="Q425" s="604">
        <f t="shared" si="151"/>
        <v>0</v>
      </c>
      <c r="R425" s="604">
        <f t="shared" si="152"/>
        <v>0</v>
      </c>
      <c r="S425" s="604">
        <f t="shared" si="153"/>
        <v>0</v>
      </c>
      <c r="T425" s="604">
        <f t="shared" si="154"/>
        <v>0</v>
      </c>
      <c r="U425" s="604">
        <f t="shared" si="155"/>
        <v>0</v>
      </c>
      <c r="V425" s="604">
        <f t="shared" si="156"/>
        <v>0</v>
      </c>
      <c r="W425" s="604">
        <f t="shared" si="157"/>
        <v>0</v>
      </c>
      <c r="X425" s="746">
        <v>0</v>
      </c>
      <c r="Y425" s="746">
        <f t="shared" si="158"/>
        <v>0</v>
      </c>
    </row>
    <row r="426" spans="2:25">
      <c r="B426" s="598" t="s">
        <v>2595</v>
      </c>
      <c r="C426" s="604" t="s">
        <v>1107</v>
      </c>
      <c r="D426" s="745">
        <v>2009</v>
      </c>
      <c r="E426" s="604" t="s">
        <v>1406</v>
      </c>
      <c r="F426" s="738">
        <v>0.4</v>
      </c>
      <c r="G426" s="739">
        <v>1950</v>
      </c>
      <c r="H426" s="741">
        <v>1950</v>
      </c>
      <c r="I426" s="742">
        <f t="shared" si="144"/>
        <v>0</v>
      </c>
      <c r="J426" s="740">
        <f t="shared" si="145"/>
        <v>0</v>
      </c>
      <c r="K426" s="739">
        <f t="shared" si="146"/>
        <v>1950</v>
      </c>
      <c r="L426" s="860">
        <f t="shared" si="147"/>
        <v>0</v>
      </c>
      <c r="M426" s="740">
        <f t="shared" si="159"/>
        <v>0</v>
      </c>
      <c r="N426" s="604">
        <f t="shared" si="148"/>
        <v>0</v>
      </c>
      <c r="O426" s="604">
        <f t="shared" si="149"/>
        <v>0</v>
      </c>
      <c r="P426" s="604">
        <f t="shared" si="150"/>
        <v>0</v>
      </c>
      <c r="Q426" s="604">
        <f t="shared" si="151"/>
        <v>0</v>
      </c>
      <c r="R426" s="604">
        <f t="shared" si="152"/>
        <v>0</v>
      </c>
      <c r="S426" s="604">
        <f t="shared" si="153"/>
        <v>0</v>
      </c>
      <c r="T426" s="604">
        <f t="shared" si="154"/>
        <v>0</v>
      </c>
      <c r="U426" s="604">
        <f t="shared" si="155"/>
        <v>0</v>
      </c>
      <c r="V426" s="604">
        <f t="shared" si="156"/>
        <v>0</v>
      </c>
      <c r="W426" s="604">
        <f t="shared" si="157"/>
        <v>0</v>
      </c>
      <c r="X426" s="746">
        <v>0</v>
      </c>
      <c r="Y426" s="746">
        <f t="shared" si="158"/>
        <v>0</v>
      </c>
    </row>
    <row r="427" spans="2:25">
      <c r="B427" s="598" t="s">
        <v>2595</v>
      </c>
      <c r="C427" s="604" t="s">
        <v>1107</v>
      </c>
      <c r="D427" s="745">
        <v>2009</v>
      </c>
      <c r="E427" s="604" t="s">
        <v>1407</v>
      </c>
      <c r="F427" s="738">
        <v>0.4</v>
      </c>
      <c r="G427" s="739">
        <v>6145.04</v>
      </c>
      <c r="H427" s="741">
        <v>6145.04</v>
      </c>
      <c r="I427" s="742">
        <f t="shared" si="144"/>
        <v>0</v>
      </c>
      <c r="J427" s="740">
        <f t="shared" si="145"/>
        <v>0</v>
      </c>
      <c r="K427" s="739">
        <f t="shared" si="146"/>
        <v>6145.04</v>
      </c>
      <c r="L427" s="860">
        <f t="shared" si="147"/>
        <v>0</v>
      </c>
      <c r="M427" s="740">
        <f t="shared" si="159"/>
        <v>0</v>
      </c>
      <c r="N427" s="604">
        <f t="shared" si="148"/>
        <v>0</v>
      </c>
      <c r="O427" s="604">
        <f t="shared" si="149"/>
        <v>0</v>
      </c>
      <c r="P427" s="604">
        <f t="shared" si="150"/>
        <v>0</v>
      </c>
      <c r="Q427" s="604">
        <f t="shared" si="151"/>
        <v>0</v>
      </c>
      <c r="R427" s="604">
        <f t="shared" si="152"/>
        <v>0</v>
      </c>
      <c r="S427" s="604">
        <f t="shared" si="153"/>
        <v>0</v>
      </c>
      <c r="T427" s="604">
        <f t="shared" si="154"/>
        <v>0</v>
      </c>
      <c r="U427" s="604">
        <f t="shared" si="155"/>
        <v>0</v>
      </c>
      <c r="V427" s="604">
        <f t="shared" si="156"/>
        <v>0</v>
      </c>
      <c r="W427" s="604">
        <f t="shared" si="157"/>
        <v>0</v>
      </c>
      <c r="X427" s="746">
        <v>0</v>
      </c>
      <c r="Y427" s="746">
        <f t="shared" si="158"/>
        <v>0</v>
      </c>
    </row>
    <row r="428" spans="2:25">
      <c r="B428" s="598" t="s">
        <v>2595</v>
      </c>
      <c r="C428" s="604" t="s">
        <v>1107</v>
      </c>
      <c r="D428" s="745">
        <v>2009</v>
      </c>
      <c r="E428" s="604" t="s">
        <v>1408</v>
      </c>
      <c r="F428" s="738">
        <v>0.4</v>
      </c>
      <c r="G428" s="739">
        <v>3300</v>
      </c>
      <c r="H428" s="741">
        <v>3300</v>
      </c>
      <c r="I428" s="742">
        <f t="shared" si="144"/>
        <v>0</v>
      </c>
      <c r="J428" s="740">
        <f t="shared" si="145"/>
        <v>0</v>
      </c>
      <c r="K428" s="739">
        <f t="shared" si="146"/>
        <v>3300</v>
      </c>
      <c r="L428" s="860">
        <f t="shared" si="147"/>
        <v>0</v>
      </c>
      <c r="M428" s="740">
        <f t="shared" si="159"/>
        <v>0</v>
      </c>
      <c r="N428" s="604">
        <f t="shared" si="148"/>
        <v>0</v>
      </c>
      <c r="O428" s="604">
        <f t="shared" si="149"/>
        <v>0</v>
      </c>
      <c r="P428" s="604">
        <f t="shared" si="150"/>
        <v>0</v>
      </c>
      <c r="Q428" s="604">
        <f t="shared" si="151"/>
        <v>0</v>
      </c>
      <c r="R428" s="604">
        <f t="shared" si="152"/>
        <v>0</v>
      </c>
      <c r="S428" s="604">
        <f t="shared" si="153"/>
        <v>0</v>
      </c>
      <c r="T428" s="604">
        <f t="shared" si="154"/>
        <v>0</v>
      </c>
      <c r="U428" s="604">
        <f t="shared" si="155"/>
        <v>0</v>
      </c>
      <c r="V428" s="604">
        <f t="shared" si="156"/>
        <v>0</v>
      </c>
      <c r="W428" s="604">
        <f t="shared" si="157"/>
        <v>0</v>
      </c>
      <c r="X428" s="746">
        <v>0</v>
      </c>
      <c r="Y428" s="746">
        <f t="shared" si="158"/>
        <v>0</v>
      </c>
    </row>
    <row r="429" spans="2:25">
      <c r="B429" s="598" t="s">
        <v>2595</v>
      </c>
      <c r="C429" s="604" t="s">
        <v>1107</v>
      </c>
      <c r="D429" s="745">
        <v>2009</v>
      </c>
      <c r="E429" s="604" t="s">
        <v>1409</v>
      </c>
      <c r="F429" s="738">
        <v>0.4</v>
      </c>
      <c r="G429" s="739">
        <v>40000</v>
      </c>
      <c r="H429" s="741">
        <v>40000</v>
      </c>
      <c r="I429" s="742">
        <f t="shared" si="144"/>
        <v>0</v>
      </c>
      <c r="J429" s="740">
        <f t="shared" si="145"/>
        <v>0</v>
      </c>
      <c r="K429" s="739">
        <f t="shared" si="146"/>
        <v>40000</v>
      </c>
      <c r="L429" s="860">
        <f t="shared" si="147"/>
        <v>0</v>
      </c>
      <c r="M429" s="740">
        <f t="shared" si="159"/>
        <v>0</v>
      </c>
      <c r="N429" s="604">
        <f t="shared" si="148"/>
        <v>0</v>
      </c>
      <c r="O429" s="604">
        <f t="shared" si="149"/>
        <v>0</v>
      </c>
      <c r="P429" s="604">
        <f t="shared" si="150"/>
        <v>0</v>
      </c>
      <c r="Q429" s="604">
        <f t="shared" si="151"/>
        <v>0</v>
      </c>
      <c r="R429" s="604">
        <f t="shared" si="152"/>
        <v>0</v>
      </c>
      <c r="S429" s="604">
        <f t="shared" si="153"/>
        <v>0</v>
      </c>
      <c r="T429" s="604">
        <f t="shared" si="154"/>
        <v>0</v>
      </c>
      <c r="U429" s="604">
        <f t="shared" si="155"/>
        <v>0</v>
      </c>
      <c r="V429" s="604">
        <f t="shared" si="156"/>
        <v>0</v>
      </c>
      <c r="W429" s="604">
        <f t="shared" si="157"/>
        <v>0</v>
      </c>
      <c r="X429" s="746">
        <v>0</v>
      </c>
      <c r="Y429" s="746">
        <f t="shared" si="158"/>
        <v>0</v>
      </c>
    </row>
    <row r="430" spans="2:25">
      <c r="B430" s="598" t="s">
        <v>2595</v>
      </c>
      <c r="C430" s="604" t="s">
        <v>1107</v>
      </c>
      <c r="D430" s="745">
        <v>2009</v>
      </c>
      <c r="E430" s="604" t="s">
        <v>1410</v>
      </c>
      <c r="F430" s="738">
        <v>0.4</v>
      </c>
      <c r="G430" s="739">
        <v>5000</v>
      </c>
      <c r="H430" s="741">
        <v>5000</v>
      </c>
      <c r="I430" s="742">
        <f t="shared" si="144"/>
        <v>0</v>
      </c>
      <c r="J430" s="740">
        <f t="shared" si="145"/>
        <v>0</v>
      </c>
      <c r="K430" s="739">
        <f t="shared" si="146"/>
        <v>5000</v>
      </c>
      <c r="L430" s="860">
        <f t="shared" si="147"/>
        <v>0</v>
      </c>
      <c r="M430" s="740">
        <f t="shared" si="159"/>
        <v>0</v>
      </c>
      <c r="N430" s="604">
        <f t="shared" si="148"/>
        <v>0</v>
      </c>
      <c r="O430" s="604">
        <f t="shared" si="149"/>
        <v>0</v>
      </c>
      <c r="P430" s="604">
        <f t="shared" si="150"/>
        <v>0</v>
      </c>
      <c r="Q430" s="604">
        <f t="shared" si="151"/>
        <v>0</v>
      </c>
      <c r="R430" s="604">
        <f t="shared" si="152"/>
        <v>0</v>
      </c>
      <c r="S430" s="604">
        <f t="shared" si="153"/>
        <v>0</v>
      </c>
      <c r="T430" s="604">
        <f t="shared" si="154"/>
        <v>0</v>
      </c>
      <c r="U430" s="604">
        <f t="shared" si="155"/>
        <v>0</v>
      </c>
      <c r="V430" s="604">
        <f t="shared" si="156"/>
        <v>0</v>
      </c>
      <c r="W430" s="604">
        <f t="shared" si="157"/>
        <v>0</v>
      </c>
      <c r="X430" s="746">
        <v>0</v>
      </c>
      <c r="Y430" s="746">
        <f t="shared" si="158"/>
        <v>0</v>
      </c>
    </row>
    <row r="431" spans="2:25">
      <c r="B431" s="598" t="s">
        <v>2595</v>
      </c>
      <c r="C431" s="604" t="s">
        <v>1107</v>
      </c>
      <c r="D431" s="745">
        <v>2009</v>
      </c>
      <c r="E431" s="604" t="s">
        <v>1411</v>
      </c>
      <c r="F431" s="738">
        <v>0.4</v>
      </c>
      <c r="G431" s="739">
        <v>4300</v>
      </c>
      <c r="H431" s="741">
        <v>4300</v>
      </c>
      <c r="I431" s="742">
        <f t="shared" ref="I431:I494" si="160">+G431-H431</f>
        <v>0</v>
      </c>
      <c r="J431" s="740">
        <f t="shared" ref="J431:J494" si="161">IF(I431=0,0,G431*F431)</f>
        <v>0</v>
      </c>
      <c r="K431" s="739">
        <f t="shared" ref="K431:K494" si="162">+H431+J431</f>
        <v>4300</v>
      </c>
      <c r="L431" s="860">
        <f t="shared" ref="L431:L494" si="163">+G431-K431</f>
        <v>0</v>
      </c>
      <c r="M431" s="740">
        <f t="shared" si="159"/>
        <v>0</v>
      </c>
      <c r="N431" s="604">
        <f t="shared" si="148"/>
        <v>0</v>
      </c>
      <c r="O431" s="604">
        <f t="shared" si="149"/>
        <v>0</v>
      </c>
      <c r="P431" s="604">
        <f t="shared" si="150"/>
        <v>0</v>
      </c>
      <c r="Q431" s="604">
        <f t="shared" si="151"/>
        <v>0</v>
      </c>
      <c r="R431" s="604">
        <f t="shared" si="152"/>
        <v>0</v>
      </c>
      <c r="S431" s="604">
        <f t="shared" si="153"/>
        <v>0</v>
      </c>
      <c r="T431" s="604">
        <f t="shared" si="154"/>
        <v>0</v>
      </c>
      <c r="U431" s="604">
        <f t="shared" si="155"/>
        <v>0</v>
      </c>
      <c r="V431" s="604">
        <f t="shared" si="156"/>
        <v>0</v>
      </c>
      <c r="W431" s="604">
        <f t="shared" si="157"/>
        <v>0</v>
      </c>
      <c r="X431" s="746">
        <v>0</v>
      </c>
      <c r="Y431" s="746">
        <f t="shared" si="158"/>
        <v>0</v>
      </c>
    </row>
    <row r="432" spans="2:25">
      <c r="B432" s="598" t="s">
        <v>2595</v>
      </c>
      <c r="C432" s="604" t="s">
        <v>1107</v>
      </c>
      <c r="D432" s="745">
        <v>2009</v>
      </c>
      <c r="E432" s="604" t="s">
        <v>1412</v>
      </c>
      <c r="F432" s="738">
        <v>0.4</v>
      </c>
      <c r="G432" s="739">
        <v>510.75</v>
      </c>
      <c r="H432" s="741">
        <v>510.75</v>
      </c>
      <c r="I432" s="742">
        <f t="shared" si="160"/>
        <v>0</v>
      </c>
      <c r="J432" s="740">
        <f t="shared" si="161"/>
        <v>0</v>
      </c>
      <c r="K432" s="739">
        <f t="shared" si="162"/>
        <v>510.75</v>
      </c>
      <c r="L432" s="860">
        <f t="shared" si="163"/>
        <v>0</v>
      </c>
      <c r="M432" s="740">
        <f t="shared" si="159"/>
        <v>0</v>
      </c>
      <c r="N432" s="604">
        <f t="shared" si="148"/>
        <v>0</v>
      </c>
      <c r="O432" s="604">
        <f t="shared" si="149"/>
        <v>0</v>
      </c>
      <c r="P432" s="604">
        <f t="shared" si="150"/>
        <v>0</v>
      </c>
      <c r="Q432" s="604">
        <f t="shared" si="151"/>
        <v>0</v>
      </c>
      <c r="R432" s="604">
        <f t="shared" si="152"/>
        <v>0</v>
      </c>
      <c r="S432" s="604">
        <f t="shared" si="153"/>
        <v>0</v>
      </c>
      <c r="T432" s="604">
        <f t="shared" si="154"/>
        <v>0</v>
      </c>
      <c r="U432" s="604">
        <f t="shared" si="155"/>
        <v>0</v>
      </c>
      <c r="V432" s="604">
        <f t="shared" si="156"/>
        <v>0</v>
      </c>
      <c r="W432" s="604">
        <f t="shared" si="157"/>
        <v>0</v>
      </c>
      <c r="X432" s="746">
        <v>0</v>
      </c>
      <c r="Y432" s="746">
        <f t="shared" si="158"/>
        <v>0</v>
      </c>
    </row>
    <row r="433" spans="2:25">
      <c r="B433" s="598" t="s">
        <v>2595</v>
      </c>
      <c r="C433" s="604" t="s">
        <v>1107</v>
      </c>
      <c r="D433" s="745">
        <v>2009</v>
      </c>
      <c r="E433" s="604" t="s">
        <v>1413</v>
      </c>
      <c r="F433" s="738">
        <v>0.4</v>
      </c>
      <c r="G433" s="739">
        <v>1600</v>
      </c>
      <c r="H433" s="741">
        <v>1600</v>
      </c>
      <c r="I433" s="742">
        <f t="shared" si="160"/>
        <v>0</v>
      </c>
      <c r="J433" s="740">
        <f t="shared" si="161"/>
        <v>0</v>
      </c>
      <c r="K433" s="739">
        <f t="shared" si="162"/>
        <v>1600</v>
      </c>
      <c r="L433" s="860">
        <f t="shared" si="163"/>
        <v>0</v>
      </c>
      <c r="M433" s="740">
        <f t="shared" si="159"/>
        <v>0</v>
      </c>
      <c r="N433" s="604">
        <f t="shared" si="148"/>
        <v>0</v>
      </c>
      <c r="O433" s="604">
        <f t="shared" si="149"/>
        <v>0</v>
      </c>
      <c r="P433" s="604">
        <f t="shared" si="150"/>
        <v>0</v>
      </c>
      <c r="Q433" s="604">
        <f t="shared" si="151"/>
        <v>0</v>
      </c>
      <c r="R433" s="604">
        <f t="shared" si="152"/>
        <v>0</v>
      </c>
      <c r="S433" s="604">
        <f t="shared" si="153"/>
        <v>0</v>
      </c>
      <c r="T433" s="604">
        <f t="shared" si="154"/>
        <v>0</v>
      </c>
      <c r="U433" s="604">
        <f t="shared" si="155"/>
        <v>0</v>
      </c>
      <c r="V433" s="604">
        <f t="shared" si="156"/>
        <v>0</v>
      </c>
      <c r="W433" s="604">
        <f t="shared" si="157"/>
        <v>0</v>
      </c>
      <c r="X433" s="746">
        <v>0</v>
      </c>
      <c r="Y433" s="746">
        <f t="shared" si="158"/>
        <v>0</v>
      </c>
    </row>
    <row r="434" spans="2:25">
      <c r="B434" s="598" t="s">
        <v>2595</v>
      </c>
      <c r="C434" s="604" t="s">
        <v>1107</v>
      </c>
      <c r="D434" s="745">
        <v>2009</v>
      </c>
      <c r="E434" s="604" t="s">
        <v>1413</v>
      </c>
      <c r="F434" s="738">
        <v>0.4</v>
      </c>
      <c r="G434" s="739">
        <v>1600</v>
      </c>
      <c r="H434" s="741">
        <v>1600</v>
      </c>
      <c r="I434" s="742">
        <f t="shared" si="160"/>
        <v>0</v>
      </c>
      <c r="J434" s="740">
        <f t="shared" si="161"/>
        <v>0</v>
      </c>
      <c r="K434" s="739">
        <f t="shared" si="162"/>
        <v>1600</v>
      </c>
      <c r="L434" s="860">
        <f t="shared" si="163"/>
        <v>0</v>
      </c>
      <c r="M434" s="740">
        <f t="shared" si="159"/>
        <v>0</v>
      </c>
      <c r="N434" s="604">
        <f t="shared" si="148"/>
        <v>0</v>
      </c>
      <c r="O434" s="604">
        <f t="shared" si="149"/>
        <v>0</v>
      </c>
      <c r="P434" s="604">
        <f t="shared" si="150"/>
        <v>0</v>
      </c>
      <c r="Q434" s="604">
        <f t="shared" si="151"/>
        <v>0</v>
      </c>
      <c r="R434" s="604">
        <f t="shared" si="152"/>
        <v>0</v>
      </c>
      <c r="S434" s="604">
        <f t="shared" si="153"/>
        <v>0</v>
      </c>
      <c r="T434" s="604">
        <f t="shared" si="154"/>
        <v>0</v>
      </c>
      <c r="U434" s="604">
        <f t="shared" si="155"/>
        <v>0</v>
      </c>
      <c r="V434" s="604">
        <f t="shared" si="156"/>
        <v>0</v>
      </c>
      <c r="W434" s="604">
        <f t="shared" si="157"/>
        <v>0</v>
      </c>
      <c r="X434" s="746">
        <v>0</v>
      </c>
      <c r="Y434" s="746">
        <f t="shared" si="158"/>
        <v>0</v>
      </c>
    </row>
    <row r="435" spans="2:25">
      <c r="B435" s="598" t="s">
        <v>2595</v>
      </c>
      <c r="C435" s="604" t="s">
        <v>1107</v>
      </c>
      <c r="D435" s="745">
        <v>2009</v>
      </c>
      <c r="E435" s="604" t="s">
        <v>1414</v>
      </c>
      <c r="F435" s="738">
        <v>0.4</v>
      </c>
      <c r="G435" s="739">
        <v>4100</v>
      </c>
      <c r="H435" s="741">
        <v>4100</v>
      </c>
      <c r="I435" s="742">
        <f t="shared" si="160"/>
        <v>0</v>
      </c>
      <c r="J435" s="740">
        <f t="shared" si="161"/>
        <v>0</v>
      </c>
      <c r="K435" s="739">
        <f t="shared" si="162"/>
        <v>4100</v>
      </c>
      <c r="L435" s="860">
        <f t="shared" si="163"/>
        <v>0</v>
      </c>
      <c r="M435" s="740">
        <f t="shared" si="159"/>
        <v>0</v>
      </c>
      <c r="N435" s="604">
        <f t="shared" si="148"/>
        <v>0</v>
      </c>
      <c r="O435" s="604">
        <f t="shared" si="149"/>
        <v>0</v>
      </c>
      <c r="P435" s="604">
        <f t="shared" si="150"/>
        <v>0</v>
      </c>
      <c r="Q435" s="604">
        <f t="shared" si="151"/>
        <v>0</v>
      </c>
      <c r="R435" s="604">
        <f t="shared" si="152"/>
        <v>0</v>
      </c>
      <c r="S435" s="604">
        <f t="shared" si="153"/>
        <v>0</v>
      </c>
      <c r="T435" s="604">
        <f t="shared" si="154"/>
        <v>0</v>
      </c>
      <c r="U435" s="604">
        <f t="shared" si="155"/>
        <v>0</v>
      </c>
      <c r="V435" s="604">
        <f t="shared" si="156"/>
        <v>0</v>
      </c>
      <c r="W435" s="604">
        <f t="shared" si="157"/>
        <v>0</v>
      </c>
      <c r="X435" s="746">
        <v>0</v>
      </c>
      <c r="Y435" s="746">
        <f t="shared" si="158"/>
        <v>0</v>
      </c>
    </row>
    <row r="436" spans="2:25">
      <c r="B436" s="598" t="s">
        <v>2595</v>
      </c>
      <c r="C436" s="604" t="s">
        <v>1107</v>
      </c>
      <c r="D436" s="745">
        <v>2010</v>
      </c>
      <c r="E436" s="604" t="s">
        <v>1415</v>
      </c>
      <c r="F436" s="738">
        <v>0.4</v>
      </c>
      <c r="G436" s="739">
        <v>2400</v>
      </c>
      <c r="H436" s="741">
        <v>2400</v>
      </c>
      <c r="I436" s="742">
        <f t="shared" si="160"/>
        <v>0</v>
      </c>
      <c r="J436" s="740">
        <f t="shared" si="161"/>
        <v>0</v>
      </c>
      <c r="K436" s="739">
        <f t="shared" si="162"/>
        <v>2400</v>
      </c>
      <c r="L436" s="860">
        <f t="shared" si="163"/>
        <v>0</v>
      </c>
      <c r="M436" s="740">
        <f t="shared" si="159"/>
        <v>0</v>
      </c>
      <c r="N436" s="604">
        <f t="shared" si="148"/>
        <v>0</v>
      </c>
      <c r="O436" s="604">
        <f t="shared" si="149"/>
        <v>0</v>
      </c>
      <c r="P436" s="604">
        <f t="shared" si="150"/>
        <v>0</v>
      </c>
      <c r="Q436" s="604">
        <f t="shared" si="151"/>
        <v>0</v>
      </c>
      <c r="R436" s="604">
        <f t="shared" si="152"/>
        <v>0</v>
      </c>
      <c r="S436" s="604">
        <f t="shared" si="153"/>
        <v>0</v>
      </c>
      <c r="T436" s="604">
        <f t="shared" si="154"/>
        <v>0</v>
      </c>
      <c r="U436" s="604">
        <f t="shared" si="155"/>
        <v>0</v>
      </c>
      <c r="V436" s="604">
        <f t="shared" si="156"/>
        <v>0</v>
      </c>
      <c r="W436" s="604">
        <f t="shared" si="157"/>
        <v>0</v>
      </c>
      <c r="X436" s="746">
        <v>0</v>
      </c>
      <c r="Y436" s="746">
        <f t="shared" si="158"/>
        <v>0</v>
      </c>
    </row>
    <row r="437" spans="2:25">
      <c r="B437" s="598" t="s">
        <v>2595</v>
      </c>
      <c r="C437" s="604" t="s">
        <v>1107</v>
      </c>
      <c r="D437" s="745">
        <v>2010</v>
      </c>
      <c r="E437" s="604" t="s">
        <v>1416</v>
      </c>
      <c r="F437" s="738">
        <v>0.4</v>
      </c>
      <c r="G437" s="739">
        <v>7000</v>
      </c>
      <c r="H437" s="741">
        <v>7000</v>
      </c>
      <c r="I437" s="742">
        <f t="shared" si="160"/>
        <v>0</v>
      </c>
      <c r="J437" s="740">
        <f t="shared" si="161"/>
        <v>0</v>
      </c>
      <c r="K437" s="739">
        <f t="shared" si="162"/>
        <v>7000</v>
      </c>
      <c r="L437" s="860">
        <f t="shared" si="163"/>
        <v>0</v>
      </c>
      <c r="M437" s="740">
        <f t="shared" si="159"/>
        <v>0</v>
      </c>
      <c r="N437" s="604">
        <f t="shared" si="148"/>
        <v>0</v>
      </c>
      <c r="O437" s="604">
        <f t="shared" si="149"/>
        <v>0</v>
      </c>
      <c r="P437" s="604">
        <f t="shared" si="150"/>
        <v>0</v>
      </c>
      <c r="Q437" s="604">
        <f t="shared" si="151"/>
        <v>0</v>
      </c>
      <c r="R437" s="604">
        <f t="shared" si="152"/>
        <v>0</v>
      </c>
      <c r="S437" s="604">
        <f t="shared" si="153"/>
        <v>0</v>
      </c>
      <c r="T437" s="604">
        <f t="shared" si="154"/>
        <v>0</v>
      </c>
      <c r="U437" s="604">
        <f t="shared" si="155"/>
        <v>0</v>
      </c>
      <c r="V437" s="604">
        <f t="shared" si="156"/>
        <v>0</v>
      </c>
      <c r="W437" s="604">
        <f t="shared" si="157"/>
        <v>0</v>
      </c>
      <c r="X437" s="746">
        <v>0</v>
      </c>
      <c r="Y437" s="746">
        <f t="shared" si="158"/>
        <v>0</v>
      </c>
    </row>
    <row r="438" spans="2:25">
      <c r="B438" s="598" t="s">
        <v>2595</v>
      </c>
      <c r="C438" s="604" t="s">
        <v>1107</v>
      </c>
      <c r="D438" s="745">
        <v>2010</v>
      </c>
      <c r="E438" s="604" t="s">
        <v>873</v>
      </c>
      <c r="F438" s="738">
        <v>0.4</v>
      </c>
      <c r="G438" s="739">
        <v>4750</v>
      </c>
      <c r="H438" s="741">
        <v>4750</v>
      </c>
      <c r="I438" s="742">
        <f t="shared" si="160"/>
        <v>0</v>
      </c>
      <c r="J438" s="740">
        <f t="shared" si="161"/>
        <v>0</v>
      </c>
      <c r="K438" s="739">
        <f t="shared" si="162"/>
        <v>4750</v>
      </c>
      <c r="L438" s="860">
        <f t="shared" si="163"/>
        <v>0</v>
      </c>
      <c r="M438" s="740">
        <f t="shared" si="159"/>
        <v>0</v>
      </c>
      <c r="N438" s="604">
        <f t="shared" si="148"/>
        <v>0</v>
      </c>
      <c r="O438" s="604">
        <f t="shared" si="149"/>
        <v>0</v>
      </c>
      <c r="P438" s="604">
        <f t="shared" si="150"/>
        <v>0</v>
      </c>
      <c r="Q438" s="604">
        <f t="shared" si="151"/>
        <v>0</v>
      </c>
      <c r="R438" s="604">
        <f t="shared" si="152"/>
        <v>0</v>
      </c>
      <c r="S438" s="604">
        <f t="shared" si="153"/>
        <v>0</v>
      </c>
      <c r="T438" s="604">
        <f t="shared" si="154"/>
        <v>0</v>
      </c>
      <c r="U438" s="604">
        <f t="shared" si="155"/>
        <v>0</v>
      </c>
      <c r="V438" s="604">
        <f t="shared" si="156"/>
        <v>0</v>
      </c>
      <c r="W438" s="604">
        <f t="shared" si="157"/>
        <v>0</v>
      </c>
      <c r="X438" s="746">
        <v>0</v>
      </c>
      <c r="Y438" s="746">
        <f t="shared" si="158"/>
        <v>0</v>
      </c>
    </row>
    <row r="439" spans="2:25">
      <c r="B439" s="598" t="s">
        <v>2595</v>
      </c>
      <c r="C439" s="604" t="s">
        <v>1107</v>
      </c>
      <c r="D439" s="745">
        <v>2010</v>
      </c>
      <c r="E439" s="604" t="s">
        <v>1417</v>
      </c>
      <c r="F439" s="738">
        <v>0.4</v>
      </c>
      <c r="G439" s="739">
        <v>700</v>
      </c>
      <c r="H439" s="741">
        <v>700</v>
      </c>
      <c r="I439" s="742">
        <f t="shared" si="160"/>
        <v>0</v>
      </c>
      <c r="J439" s="740">
        <f t="shared" si="161"/>
        <v>0</v>
      </c>
      <c r="K439" s="739">
        <f t="shared" si="162"/>
        <v>700</v>
      </c>
      <c r="L439" s="860">
        <f t="shared" si="163"/>
        <v>0</v>
      </c>
      <c r="M439" s="740">
        <f t="shared" si="159"/>
        <v>0</v>
      </c>
      <c r="N439" s="604">
        <f t="shared" si="148"/>
        <v>0</v>
      </c>
      <c r="O439" s="604">
        <f t="shared" si="149"/>
        <v>0</v>
      </c>
      <c r="P439" s="604">
        <f t="shared" si="150"/>
        <v>0</v>
      </c>
      <c r="Q439" s="604">
        <f t="shared" si="151"/>
        <v>0</v>
      </c>
      <c r="R439" s="604">
        <f t="shared" si="152"/>
        <v>0</v>
      </c>
      <c r="S439" s="604">
        <f t="shared" si="153"/>
        <v>0</v>
      </c>
      <c r="T439" s="604">
        <f t="shared" si="154"/>
        <v>0</v>
      </c>
      <c r="U439" s="604">
        <f t="shared" si="155"/>
        <v>0</v>
      </c>
      <c r="V439" s="604">
        <f t="shared" si="156"/>
        <v>0</v>
      </c>
      <c r="W439" s="604">
        <f t="shared" si="157"/>
        <v>0</v>
      </c>
      <c r="X439" s="746">
        <v>0</v>
      </c>
      <c r="Y439" s="746">
        <f t="shared" si="158"/>
        <v>0</v>
      </c>
    </row>
    <row r="440" spans="2:25">
      <c r="B440" s="598" t="s">
        <v>2595</v>
      </c>
      <c r="C440" s="604" t="s">
        <v>1107</v>
      </c>
      <c r="D440" s="745">
        <v>2010</v>
      </c>
      <c r="E440" s="604" t="s">
        <v>1418</v>
      </c>
      <c r="F440" s="738">
        <v>0.4</v>
      </c>
      <c r="G440" s="739">
        <v>1680</v>
      </c>
      <c r="H440" s="741">
        <v>1680</v>
      </c>
      <c r="I440" s="742">
        <f t="shared" si="160"/>
        <v>0</v>
      </c>
      <c r="J440" s="740">
        <f t="shared" si="161"/>
        <v>0</v>
      </c>
      <c r="K440" s="739">
        <f t="shared" si="162"/>
        <v>1680</v>
      </c>
      <c r="L440" s="860">
        <f t="shared" si="163"/>
        <v>0</v>
      </c>
      <c r="M440" s="740">
        <f t="shared" si="159"/>
        <v>0</v>
      </c>
      <c r="N440" s="604">
        <f t="shared" si="148"/>
        <v>0</v>
      </c>
      <c r="O440" s="604">
        <f t="shared" si="149"/>
        <v>0</v>
      </c>
      <c r="P440" s="604">
        <f t="shared" si="150"/>
        <v>0</v>
      </c>
      <c r="Q440" s="604">
        <f t="shared" si="151"/>
        <v>0</v>
      </c>
      <c r="R440" s="604">
        <f t="shared" si="152"/>
        <v>0</v>
      </c>
      <c r="S440" s="604">
        <f t="shared" si="153"/>
        <v>0</v>
      </c>
      <c r="T440" s="604">
        <f t="shared" si="154"/>
        <v>0</v>
      </c>
      <c r="U440" s="604">
        <f t="shared" si="155"/>
        <v>0</v>
      </c>
      <c r="V440" s="604">
        <f t="shared" si="156"/>
        <v>0</v>
      </c>
      <c r="W440" s="604">
        <f t="shared" si="157"/>
        <v>0</v>
      </c>
      <c r="X440" s="746">
        <v>0</v>
      </c>
      <c r="Y440" s="746">
        <f t="shared" si="158"/>
        <v>0</v>
      </c>
    </row>
    <row r="441" spans="2:25">
      <c r="B441" s="598" t="s">
        <v>2595</v>
      </c>
      <c r="C441" s="604" t="s">
        <v>1107</v>
      </c>
      <c r="D441" s="745">
        <v>2010</v>
      </c>
      <c r="E441" s="604" t="s">
        <v>1308</v>
      </c>
      <c r="F441" s="738">
        <v>0.4</v>
      </c>
      <c r="G441" s="739">
        <v>6950</v>
      </c>
      <c r="H441" s="741">
        <v>6950</v>
      </c>
      <c r="I441" s="742">
        <f t="shared" si="160"/>
        <v>0</v>
      </c>
      <c r="J441" s="740">
        <f t="shared" si="161"/>
        <v>0</v>
      </c>
      <c r="K441" s="739">
        <f t="shared" si="162"/>
        <v>6950</v>
      </c>
      <c r="L441" s="860">
        <f t="shared" si="163"/>
        <v>0</v>
      </c>
      <c r="M441" s="740">
        <f t="shared" si="159"/>
        <v>0</v>
      </c>
      <c r="N441" s="604">
        <f t="shared" si="148"/>
        <v>0</v>
      </c>
      <c r="O441" s="604">
        <f t="shared" si="149"/>
        <v>0</v>
      </c>
      <c r="P441" s="604">
        <f t="shared" si="150"/>
        <v>0</v>
      </c>
      <c r="Q441" s="604">
        <f t="shared" si="151"/>
        <v>0</v>
      </c>
      <c r="R441" s="604">
        <f t="shared" si="152"/>
        <v>0</v>
      </c>
      <c r="S441" s="604">
        <f t="shared" si="153"/>
        <v>0</v>
      </c>
      <c r="T441" s="604">
        <f t="shared" si="154"/>
        <v>0</v>
      </c>
      <c r="U441" s="604">
        <f t="shared" si="155"/>
        <v>0</v>
      </c>
      <c r="V441" s="604">
        <f t="shared" si="156"/>
        <v>0</v>
      </c>
      <c r="W441" s="604">
        <f t="shared" si="157"/>
        <v>0</v>
      </c>
      <c r="X441" s="746">
        <v>0</v>
      </c>
      <c r="Y441" s="746">
        <f t="shared" si="158"/>
        <v>0</v>
      </c>
    </row>
    <row r="442" spans="2:25">
      <c r="B442" s="598" t="s">
        <v>2595</v>
      </c>
      <c r="C442" s="604" t="s">
        <v>1107</v>
      </c>
      <c r="D442" s="745">
        <v>2010</v>
      </c>
      <c r="E442" s="604" t="s">
        <v>1419</v>
      </c>
      <c r="F442" s="738">
        <v>0.4</v>
      </c>
      <c r="G442" s="739">
        <v>2100</v>
      </c>
      <c r="H442" s="741">
        <v>2100</v>
      </c>
      <c r="I442" s="742">
        <f t="shared" si="160"/>
        <v>0</v>
      </c>
      <c r="J442" s="740">
        <f t="shared" si="161"/>
        <v>0</v>
      </c>
      <c r="K442" s="739">
        <f t="shared" si="162"/>
        <v>2100</v>
      </c>
      <c r="L442" s="860">
        <f t="shared" si="163"/>
        <v>0</v>
      </c>
      <c r="M442" s="740">
        <f t="shared" si="159"/>
        <v>0</v>
      </c>
      <c r="N442" s="604">
        <f t="shared" si="148"/>
        <v>0</v>
      </c>
      <c r="O442" s="604">
        <f t="shared" si="149"/>
        <v>0</v>
      </c>
      <c r="P442" s="604">
        <f t="shared" si="150"/>
        <v>0</v>
      </c>
      <c r="Q442" s="604">
        <f t="shared" si="151"/>
        <v>0</v>
      </c>
      <c r="R442" s="604">
        <f t="shared" si="152"/>
        <v>0</v>
      </c>
      <c r="S442" s="604">
        <f t="shared" si="153"/>
        <v>0</v>
      </c>
      <c r="T442" s="604">
        <f t="shared" si="154"/>
        <v>0</v>
      </c>
      <c r="U442" s="604">
        <f t="shared" si="155"/>
        <v>0</v>
      </c>
      <c r="V442" s="604">
        <f t="shared" si="156"/>
        <v>0</v>
      </c>
      <c r="W442" s="604">
        <f t="shared" si="157"/>
        <v>0</v>
      </c>
      <c r="X442" s="746">
        <v>0</v>
      </c>
      <c r="Y442" s="746">
        <f t="shared" si="158"/>
        <v>0</v>
      </c>
    </row>
    <row r="443" spans="2:25">
      <c r="B443" s="598" t="s">
        <v>2595</v>
      </c>
      <c r="C443" s="604" t="s">
        <v>1107</v>
      </c>
      <c r="D443" s="745">
        <v>2010</v>
      </c>
      <c r="E443" s="604" t="s">
        <v>1420</v>
      </c>
      <c r="F443" s="738">
        <v>0.4</v>
      </c>
      <c r="G443" s="739">
        <v>1800</v>
      </c>
      <c r="H443" s="741">
        <v>1800</v>
      </c>
      <c r="I443" s="742">
        <f t="shared" si="160"/>
        <v>0</v>
      </c>
      <c r="J443" s="740">
        <f t="shared" si="161"/>
        <v>0</v>
      </c>
      <c r="K443" s="739">
        <f t="shared" si="162"/>
        <v>1800</v>
      </c>
      <c r="L443" s="860">
        <f t="shared" si="163"/>
        <v>0</v>
      </c>
      <c r="M443" s="740">
        <f t="shared" si="159"/>
        <v>0</v>
      </c>
      <c r="N443" s="604">
        <f t="shared" si="148"/>
        <v>0</v>
      </c>
      <c r="O443" s="604">
        <f t="shared" si="149"/>
        <v>0</v>
      </c>
      <c r="P443" s="604">
        <f t="shared" si="150"/>
        <v>0</v>
      </c>
      <c r="Q443" s="604">
        <f t="shared" si="151"/>
        <v>0</v>
      </c>
      <c r="R443" s="604">
        <f t="shared" si="152"/>
        <v>0</v>
      </c>
      <c r="S443" s="604">
        <f t="shared" si="153"/>
        <v>0</v>
      </c>
      <c r="T443" s="604">
        <f t="shared" si="154"/>
        <v>0</v>
      </c>
      <c r="U443" s="604">
        <f t="shared" si="155"/>
        <v>0</v>
      </c>
      <c r="V443" s="604">
        <f t="shared" si="156"/>
        <v>0</v>
      </c>
      <c r="W443" s="604">
        <f t="shared" si="157"/>
        <v>0</v>
      </c>
      <c r="X443" s="746">
        <v>0</v>
      </c>
      <c r="Y443" s="746">
        <f t="shared" si="158"/>
        <v>0</v>
      </c>
    </row>
    <row r="444" spans="2:25">
      <c r="B444" s="598" t="s">
        <v>2595</v>
      </c>
      <c r="C444" s="604" t="s">
        <v>1107</v>
      </c>
      <c r="D444" s="745">
        <v>2010</v>
      </c>
      <c r="E444" s="604" t="s">
        <v>1421</v>
      </c>
      <c r="F444" s="738">
        <v>0.4</v>
      </c>
      <c r="G444" s="739">
        <v>2550</v>
      </c>
      <c r="H444" s="741">
        <v>2550</v>
      </c>
      <c r="I444" s="742">
        <f t="shared" si="160"/>
        <v>0</v>
      </c>
      <c r="J444" s="740">
        <f t="shared" si="161"/>
        <v>0</v>
      </c>
      <c r="K444" s="739">
        <f t="shared" si="162"/>
        <v>2550</v>
      </c>
      <c r="L444" s="860">
        <f t="shared" si="163"/>
        <v>0</v>
      </c>
      <c r="M444" s="740">
        <f t="shared" si="159"/>
        <v>0</v>
      </c>
      <c r="N444" s="604">
        <f t="shared" si="148"/>
        <v>0</v>
      </c>
      <c r="O444" s="604">
        <f t="shared" si="149"/>
        <v>0</v>
      </c>
      <c r="P444" s="604">
        <f t="shared" si="150"/>
        <v>0</v>
      </c>
      <c r="Q444" s="604">
        <f t="shared" si="151"/>
        <v>0</v>
      </c>
      <c r="R444" s="604">
        <f t="shared" si="152"/>
        <v>0</v>
      </c>
      <c r="S444" s="604">
        <f t="shared" si="153"/>
        <v>0</v>
      </c>
      <c r="T444" s="604">
        <f t="shared" si="154"/>
        <v>0</v>
      </c>
      <c r="U444" s="604">
        <f t="shared" si="155"/>
        <v>0</v>
      </c>
      <c r="V444" s="604">
        <f t="shared" si="156"/>
        <v>0</v>
      </c>
      <c r="W444" s="604">
        <f t="shared" si="157"/>
        <v>0</v>
      </c>
      <c r="X444" s="746">
        <v>0</v>
      </c>
      <c r="Y444" s="746">
        <f t="shared" si="158"/>
        <v>0</v>
      </c>
    </row>
    <row r="445" spans="2:25">
      <c r="B445" s="598" t="s">
        <v>2595</v>
      </c>
      <c r="C445" s="604" t="s">
        <v>1107</v>
      </c>
      <c r="D445" s="745">
        <v>2010</v>
      </c>
      <c r="E445" s="604" t="s">
        <v>1422</v>
      </c>
      <c r="F445" s="738">
        <v>0.4</v>
      </c>
      <c r="G445" s="739">
        <v>3500</v>
      </c>
      <c r="H445" s="741">
        <v>3500</v>
      </c>
      <c r="I445" s="742">
        <f t="shared" si="160"/>
        <v>0</v>
      </c>
      <c r="J445" s="740">
        <f t="shared" si="161"/>
        <v>0</v>
      </c>
      <c r="K445" s="739">
        <f t="shared" si="162"/>
        <v>3500</v>
      </c>
      <c r="L445" s="860">
        <f t="shared" si="163"/>
        <v>0</v>
      </c>
      <c r="M445" s="740">
        <f t="shared" si="159"/>
        <v>0</v>
      </c>
      <c r="N445" s="604">
        <f t="shared" si="148"/>
        <v>0</v>
      </c>
      <c r="O445" s="604">
        <f t="shared" si="149"/>
        <v>0</v>
      </c>
      <c r="P445" s="604">
        <f t="shared" si="150"/>
        <v>0</v>
      </c>
      <c r="Q445" s="604">
        <f t="shared" si="151"/>
        <v>0</v>
      </c>
      <c r="R445" s="604">
        <f t="shared" si="152"/>
        <v>0</v>
      </c>
      <c r="S445" s="604">
        <f t="shared" si="153"/>
        <v>0</v>
      </c>
      <c r="T445" s="604">
        <f t="shared" si="154"/>
        <v>0</v>
      </c>
      <c r="U445" s="604">
        <f t="shared" si="155"/>
        <v>0</v>
      </c>
      <c r="V445" s="604">
        <f t="shared" si="156"/>
        <v>0</v>
      </c>
      <c r="W445" s="604">
        <f t="shared" si="157"/>
        <v>0</v>
      </c>
      <c r="X445" s="746">
        <v>0</v>
      </c>
      <c r="Y445" s="746">
        <f t="shared" si="158"/>
        <v>0</v>
      </c>
    </row>
    <row r="446" spans="2:25">
      <c r="B446" s="598" t="s">
        <v>2595</v>
      </c>
      <c r="C446" s="604" t="s">
        <v>1107</v>
      </c>
      <c r="D446" s="745">
        <v>2010</v>
      </c>
      <c r="E446" s="604" t="s">
        <v>1423</v>
      </c>
      <c r="F446" s="738">
        <v>0.4</v>
      </c>
      <c r="G446" s="739">
        <v>2480</v>
      </c>
      <c r="H446" s="741">
        <v>2480</v>
      </c>
      <c r="I446" s="742">
        <f t="shared" si="160"/>
        <v>0</v>
      </c>
      <c r="J446" s="740">
        <f t="shared" si="161"/>
        <v>0</v>
      </c>
      <c r="K446" s="739">
        <f t="shared" si="162"/>
        <v>2480</v>
      </c>
      <c r="L446" s="860">
        <f t="shared" si="163"/>
        <v>0</v>
      </c>
      <c r="M446" s="740">
        <f t="shared" si="159"/>
        <v>0</v>
      </c>
      <c r="N446" s="604">
        <f t="shared" si="148"/>
        <v>0</v>
      </c>
      <c r="O446" s="604">
        <f t="shared" si="149"/>
        <v>0</v>
      </c>
      <c r="P446" s="604">
        <f t="shared" si="150"/>
        <v>0</v>
      </c>
      <c r="Q446" s="604">
        <f t="shared" si="151"/>
        <v>0</v>
      </c>
      <c r="R446" s="604">
        <f t="shared" si="152"/>
        <v>0</v>
      </c>
      <c r="S446" s="604">
        <f t="shared" si="153"/>
        <v>0</v>
      </c>
      <c r="T446" s="604">
        <f t="shared" si="154"/>
        <v>0</v>
      </c>
      <c r="U446" s="604">
        <f t="shared" si="155"/>
        <v>0</v>
      </c>
      <c r="V446" s="604">
        <f t="shared" si="156"/>
        <v>0</v>
      </c>
      <c r="W446" s="604">
        <f t="shared" si="157"/>
        <v>0</v>
      </c>
      <c r="X446" s="746">
        <v>0</v>
      </c>
      <c r="Y446" s="746">
        <f t="shared" si="158"/>
        <v>0</v>
      </c>
    </row>
    <row r="447" spans="2:25">
      <c r="B447" s="598" t="s">
        <v>2595</v>
      </c>
      <c r="C447" s="604" t="s">
        <v>1107</v>
      </c>
      <c r="D447" s="745">
        <v>2010</v>
      </c>
      <c r="E447" s="604" t="s">
        <v>1415</v>
      </c>
      <c r="F447" s="738">
        <v>0.4</v>
      </c>
      <c r="G447" s="739">
        <v>2300</v>
      </c>
      <c r="H447" s="741">
        <v>2300</v>
      </c>
      <c r="I447" s="742">
        <f t="shared" si="160"/>
        <v>0</v>
      </c>
      <c r="J447" s="740">
        <f t="shared" si="161"/>
        <v>0</v>
      </c>
      <c r="K447" s="739">
        <f t="shared" si="162"/>
        <v>2300</v>
      </c>
      <c r="L447" s="860">
        <f t="shared" si="163"/>
        <v>0</v>
      </c>
      <c r="M447" s="740">
        <f t="shared" si="159"/>
        <v>0</v>
      </c>
      <c r="N447" s="604">
        <f t="shared" si="148"/>
        <v>0</v>
      </c>
      <c r="O447" s="604">
        <f t="shared" si="149"/>
        <v>0</v>
      </c>
      <c r="P447" s="604">
        <f t="shared" si="150"/>
        <v>0</v>
      </c>
      <c r="Q447" s="604">
        <f t="shared" si="151"/>
        <v>0</v>
      </c>
      <c r="R447" s="604">
        <f t="shared" si="152"/>
        <v>0</v>
      </c>
      <c r="S447" s="604">
        <f t="shared" si="153"/>
        <v>0</v>
      </c>
      <c r="T447" s="604">
        <f t="shared" si="154"/>
        <v>0</v>
      </c>
      <c r="U447" s="604">
        <f t="shared" si="155"/>
        <v>0</v>
      </c>
      <c r="V447" s="604">
        <f t="shared" si="156"/>
        <v>0</v>
      </c>
      <c r="W447" s="604">
        <f t="shared" si="157"/>
        <v>0</v>
      </c>
      <c r="X447" s="746">
        <v>0</v>
      </c>
      <c r="Y447" s="746">
        <f t="shared" si="158"/>
        <v>0</v>
      </c>
    </row>
    <row r="448" spans="2:25">
      <c r="B448" s="598" t="s">
        <v>2595</v>
      </c>
      <c r="C448" s="604" t="s">
        <v>1107</v>
      </c>
      <c r="D448" s="745">
        <v>2010</v>
      </c>
      <c r="E448" s="604" t="s">
        <v>1424</v>
      </c>
      <c r="F448" s="738">
        <v>0.4</v>
      </c>
      <c r="G448" s="739">
        <v>1293.47</v>
      </c>
      <c r="H448" s="741">
        <v>1293.47</v>
      </c>
      <c r="I448" s="742">
        <f t="shared" si="160"/>
        <v>0</v>
      </c>
      <c r="J448" s="740">
        <f t="shared" si="161"/>
        <v>0</v>
      </c>
      <c r="K448" s="739">
        <f t="shared" si="162"/>
        <v>1293.47</v>
      </c>
      <c r="L448" s="860">
        <f t="shared" si="163"/>
        <v>0</v>
      </c>
      <c r="M448" s="740">
        <f t="shared" si="159"/>
        <v>0</v>
      </c>
      <c r="N448" s="604">
        <f t="shared" si="148"/>
        <v>0</v>
      </c>
      <c r="O448" s="604">
        <f t="shared" si="149"/>
        <v>0</v>
      </c>
      <c r="P448" s="604">
        <f t="shared" si="150"/>
        <v>0</v>
      </c>
      <c r="Q448" s="604">
        <f t="shared" si="151"/>
        <v>0</v>
      </c>
      <c r="R448" s="604">
        <f t="shared" si="152"/>
        <v>0</v>
      </c>
      <c r="S448" s="604">
        <f t="shared" si="153"/>
        <v>0</v>
      </c>
      <c r="T448" s="604">
        <f t="shared" si="154"/>
        <v>0</v>
      </c>
      <c r="U448" s="604">
        <f t="shared" si="155"/>
        <v>0</v>
      </c>
      <c r="V448" s="604">
        <f t="shared" si="156"/>
        <v>0</v>
      </c>
      <c r="W448" s="604">
        <f t="shared" si="157"/>
        <v>0</v>
      </c>
      <c r="X448" s="746">
        <v>0</v>
      </c>
      <c r="Y448" s="746">
        <f t="shared" si="158"/>
        <v>0</v>
      </c>
    </row>
    <row r="449" spans="2:25">
      <c r="B449" s="598" t="s">
        <v>2595</v>
      </c>
      <c r="C449" s="604" t="s">
        <v>1107</v>
      </c>
      <c r="D449" s="745">
        <v>2010</v>
      </c>
      <c r="E449" s="604" t="s">
        <v>1425</v>
      </c>
      <c r="F449" s="738">
        <v>0.4</v>
      </c>
      <c r="G449" s="739">
        <v>1500</v>
      </c>
      <c r="H449" s="741">
        <v>1500</v>
      </c>
      <c r="I449" s="742">
        <f t="shared" si="160"/>
        <v>0</v>
      </c>
      <c r="J449" s="740">
        <f t="shared" si="161"/>
        <v>0</v>
      </c>
      <c r="K449" s="739">
        <f t="shared" si="162"/>
        <v>1500</v>
      </c>
      <c r="L449" s="860">
        <f t="shared" si="163"/>
        <v>0</v>
      </c>
      <c r="M449" s="740">
        <f t="shared" si="159"/>
        <v>0</v>
      </c>
      <c r="N449" s="604">
        <f t="shared" si="148"/>
        <v>0</v>
      </c>
      <c r="O449" s="604">
        <f t="shared" si="149"/>
        <v>0</v>
      </c>
      <c r="P449" s="604">
        <f t="shared" si="150"/>
        <v>0</v>
      </c>
      <c r="Q449" s="604">
        <f t="shared" si="151"/>
        <v>0</v>
      </c>
      <c r="R449" s="604">
        <f t="shared" si="152"/>
        <v>0</v>
      </c>
      <c r="S449" s="604">
        <f t="shared" si="153"/>
        <v>0</v>
      </c>
      <c r="T449" s="604">
        <f t="shared" si="154"/>
        <v>0</v>
      </c>
      <c r="U449" s="604">
        <f t="shared" si="155"/>
        <v>0</v>
      </c>
      <c r="V449" s="604">
        <f t="shared" si="156"/>
        <v>0</v>
      </c>
      <c r="W449" s="604">
        <f t="shared" si="157"/>
        <v>0</v>
      </c>
      <c r="X449" s="746">
        <v>0</v>
      </c>
      <c r="Y449" s="746">
        <f t="shared" si="158"/>
        <v>0</v>
      </c>
    </row>
    <row r="450" spans="2:25">
      <c r="B450" s="598" t="s">
        <v>2595</v>
      </c>
      <c r="C450" s="604" t="s">
        <v>1107</v>
      </c>
      <c r="D450" s="745">
        <v>2010</v>
      </c>
      <c r="E450" s="604" t="s">
        <v>1426</v>
      </c>
      <c r="F450" s="738">
        <v>0.4</v>
      </c>
      <c r="G450" s="739">
        <v>1350</v>
      </c>
      <c r="H450" s="741">
        <v>1350</v>
      </c>
      <c r="I450" s="742">
        <f t="shared" si="160"/>
        <v>0</v>
      </c>
      <c r="J450" s="740">
        <f t="shared" si="161"/>
        <v>0</v>
      </c>
      <c r="K450" s="739">
        <f t="shared" si="162"/>
        <v>1350</v>
      </c>
      <c r="L450" s="860">
        <f t="shared" si="163"/>
        <v>0</v>
      </c>
      <c r="M450" s="740">
        <f t="shared" si="159"/>
        <v>0</v>
      </c>
      <c r="N450" s="604">
        <f t="shared" si="148"/>
        <v>0</v>
      </c>
      <c r="O450" s="604">
        <f t="shared" si="149"/>
        <v>0</v>
      </c>
      <c r="P450" s="604">
        <f t="shared" si="150"/>
        <v>0</v>
      </c>
      <c r="Q450" s="604">
        <f t="shared" si="151"/>
        <v>0</v>
      </c>
      <c r="R450" s="604">
        <f t="shared" si="152"/>
        <v>0</v>
      </c>
      <c r="S450" s="604">
        <f t="shared" si="153"/>
        <v>0</v>
      </c>
      <c r="T450" s="604">
        <f t="shared" si="154"/>
        <v>0</v>
      </c>
      <c r="U450" s="604">
        <f t="shared" si="155"/>
        <v>0</v>
      </c>
      <c r="V450" s="604">
        <f t="shared" si="156"/>
        <v>0</v>
      </c>
      <c r="W450" s="604">
        <f t="shared" si="157"/>
        <v>0</v>
      </c>
      <c r="X450" s="746">
        <v>0</v>
      </c>
      <c r="Y450" s="746">
        <f t="shared" si="158"/>
        <v>0</v>
      </c>
    </row>
    <row r="451" spans="2:25">
      <c r="B451" s="598" t="s">
        <v>2595</v>
      </c>
      <c r="C451" s="604" t="s">
        <v>1107</v>
      </c>
      <c r="D451" s="745">
        <v>2010</v>
      </c>
      <c r="E451" s="604" t="s">
        <v>1426</v>
      </c>
      <c r="F451" s="738">
        <v>0.4</v>
      </c>
      <c r="G451" s="739">
        <v>1350</v>
      </c>
      <c r="H451" s="741">
        <v>1350</v>
      </c>
      <c r="I451" s="742">
        <f t="shared" si="160"/>
        <v>0</v>
      </c>
      <c r="J451" s="740">
        <f t="shared" si="161"/>
        <v>0</v>
      </c>
      <c r="K451" s="739">
        <f t="shared" si="162"/>
        <v>1350</v>
      </c>
      <c r="L451" s="860">
        <f t="shared" si="163"/>
        <v>0</v>
      </c>
      <c r="M451" s="740">
        <f t="shared" si="159"/>
        <v>0</v>
      </c>
      <c r="N451" s="604">
        <f t="shared" si="148"/>
        <v>0</v>
      </c>
      <c r="O451" s="604">
        <f t="shared" si="149"/>
        <v>0</v>
      </c>
      <c r="P451" s="604">
        <f t="shared" si="150"/>
        <v>0</v>
      </c>
      <c r="Q451" s="604">
        <f t="shared" si="151"/>
        <v>0</v>
      </c>
      <c r="R451" s="604">
        <f t="shared" si="152"/>
        <v>0</v>
      </c>
      <c r="S451" s="604">
        <f t="shared" si="153"/>
        <v>0</v>
      </c>
      <c r="T451" s="604">
        <f t="shared" si="154"/>
        <v>0</v>
      </c>
      <c r="U451" s="604">
        <f t="shared" si="155"/>
        <v>0</v>
      </c>
      <c r="V451" s="604">
        <f t="shared" si="156"/>
        <v>0</v>
      </c>
      <c r="W451" s="604">
        <f t="shared" si="157"/>
        <v>0</v>
      </c>
      <c r="X451" s="746">
        <v>0</v>
      </c>
      <c r="Y451" s="746">
        <f t="shared" si="158"/>
        <v>0</v>
      </c>
    </row>
    <row r="452" spans="2:25">
      <c r="B452" s="598" t="s">
        <v>2595</v>
      </c>
      <c r="C452" s="604" t="s">
        <v>1107</v>
      </c>
      <c r="D452" s="745">
        <v>2010</v>
      </c>
      <c r="E452" s="604" t="s">
        <v>1426</v>
      </c>
      <c r="F452" s="738">
        <v>0.4</v>
      </c>
      <c r="G452" s="739">
        <v>1350</v>
      </c>
      <c r="H452" s="741">
        <v>1350</v>
      </c>
      <c r="I452" s="742">
        <f t="shared" si="160"/>
        <v>0</v>
      </c>
      <c r="J452" s="740">
        <f t="shared" si="161"/>
        <v>0</v>
      </c>
      <c r="K452" s="739">
        <f t="shared" si="162"/>
        <v>1350</v>
      </c>
      <c r="L452" s="860">
        <f t="shared" si="163"/>
        <v>0</v>
      </c>
      <c r="M452" s="740">
        <f t="shared" si="159"/>
        <v>0</v>
      </c>
      <c r="N452" s="604">
        <f t="shared" si="148"/>
        <v>0</v>
      </c>
      <c r="O452" s="604">
        <f t="shared" si="149"/>
        <v>0</v>
      </c>
      <c r="P452" s="604">
        <f t="shared" si="150"/>
        <v>0</v>
      </c>
      <c r="Q452" s="604">
        <f t="shared" si="151"/>
        <v>0</v>
      </c>
      <c r="R452" s="604">
        <f t="shared" si="152"/>
        <v>0</v>
      </c>
      <c r="S452" s="604">
        <f t="shared" si="153"/>
        <v>0</v>
      </c>
      <c r="T452" s="604">
        <f t="shared" si="154"/>
        <v>0</v>
      </c>
      <c r="U452" s="604">
        <f t="shared" si="155"/>
        <v>0</v>
      </c>
      <c r="V452" s="604">
        <f t="shared" si="156"/>
        <v>0</v>
      </c>
      <c r="W452" s="604">
        <f t="shared" si="157"/>
        <v>0</v>
      </c>
      <c r="X452" s="746">
        <v>0</v>
      </c>
      <c r="Y452" s="746">
        <f t="shared" si="158"/>
        <v>0</v>
      </c>
    </row>
    <row r="453" spans="2:25">
      <c r="B453" s="598" t="s">
        <v>2595</v>
      </c>
      <c r="C453" s="604" t="s">
        <v>1107</v>
      </c>
      <c r="D453" s="745">
        <v>2010</v>
      </c>
      <c r="E453" s="604" t="s">
        <v>1427</v>
      </c>
      <c r="F453" s="738">
        <v>0.4</v>
      </c>
      <c r="G453" s="739">
        <v>3900</v>
      </c>
      <c r="H453" s="741">
        <v>3900</v>
      </c>
      <c r="I453" s="742">
        <f t="shared" si="160"/>
        <v>0</v>
      </c>
      <c r="J453" s="740">
        <f t="shared" si="161"/>
        <v>0</v>
      </c>
      <c r="K453" s="739">
        <f t="shared" si="162"/>
        <v>3900</v>
      </c>
      <c r="L453" s="860">
        <f t="shared" si="163"/>
        <v>0</v>
      </c>
      <c r="M453" s="740">
        <f t="shared" si="159"/>
        <v>0</v>
      </c>
      <c r="N453" s="604">
        <f t="shared" si="148"/>
        <v>0</v>
      </c>
      <c r="O453" s="604">
        <f t="shared" si="149"/>
        <v>0</v>
      </c>
      <c r="P453" s="604">
        <f t="shared" si="150"/>
        <v>0</v>
      </c>
      <c r="Q453" s="604">
        <f t="shared" si="151"/>
        <v>0</v>
      </c>
      <c r="R453" s="604">
        <f t="shared" si="152"/>
        <v>0</v>
      </c>
      <c r="S453" s="604">
        <f t="shared" si="153"/>
        <v>0</v>
      </c>
      <c r="T453" s="604">
        <f t="shared" si="154"/>
        <v>0</v>
      </c>
      <c r="U453" s="604">
        <f t="shared" si="155"/>
        <v>0</v>
      </c>
      <c r="V453" s="604">
        <f t="shared" si="156"/>
        <v>0</v>
      </c>
      <c r="W453" s="604">
        <f t="shared" si="157"/>
        <v>0</v>
      </c>
      <c r="X453" s="746">
        <v>0</v>
      </c>
      <c r="Y453" s="746">
        <f t="shared" si="158"/>
        <v>0</v>
      </c>
    </row>
    <row r="454" spans="2:25">
      <c r="B454" s="598" t="s">
        <v>2595</v>
      </c>
      <c r="C454" s="604" t="s">
        <v>1107</v>
      </c>
      <c r="D454" s="745">
        <v>2010</v>
      </c>
      <c r="E454" s="604" t="s">
        <v>1428</v>
      </c>
      <c r="F454" s="738">
        <v>0.4</v>
      </c>
      <c r="G454" s="739">
        <v>2000</v>
      </c>
      <c r="H454" s="741">
        <v>2000</v>
      </c>
      <c r="I454" s="742">
        <f t="shared" si="160"/>
        <v>0</v>
      </c>
      <c r="J454" s="740">
        <f t="shared" si="161"/>
        <v>0</v>
      </c>
      <c r="K454" s="739">
        <f t="shared" si="162"/>
        <v>2000</v>
      </c>
      <c r="L454" s="860">
        <f t="shared" si="163"/>
        <v>0</v>
      </c>
      <c r="M454" s="740">
        <f t="shared" si="159"/>
        <v>0</v>
      </c>
      <c r="N454" s="604">
        <f t="shared" si="148"/>
        <v>0</v>
      </c>
      <c r="O454" s="604">
        <f t="shared" si="149"/>
        <v>0</v>
      </c>
      <c r="P454" s="604">
        <f t="shared" si="150"/>
        <v>0</v>
      </c>
      <c r="Q454" s="604">
        <f t="shared" si="151"/>
        <v>0</v>
      </c>
      <c r="R454" s="604">
        <f t="shared" si="152"/>
        <v>0</v>
      </c>
      <c r="S454" s="604">
        <f t="shared" si="153"/>
        <v>0</v>
      </c>
      <c r="T454" s="604">
        <f t="shared" si="154"/>
        <v>0</v>
      </c>
      <c r="U454" s="604">
        <f t="shared" si="155"/>
        <v>0</v>
      </c>
      <c r="V454" s="604">
        <f t="shared" si="156"/>
        <v>0</v>
      </c>
      <c r="W454" s="604">
        <f t="shared" si="157"/>
        <v>0</v>
      </c>
      <c r="X454" s="746">
        <v>0</v>
      </c>
      <c r="Y454" s="746">
        <f t="shared" si="158"/>
        <v>0</v>
      </c>
    </row>
    <row r="455" spans="2:25">
      <c r="B455" s="598" t="s">
        <v>2595</v>
      </c>
      <c r="C455" s="604" t="s">
        <v>1107</v>
      </c>
      <c r="D455" s="745">
        <v>2010</v>
      </c>
      <c r="E455" s="604" t="s">
        <v>1428</v>
      </c>
      <c r="F455" s="738">
        <v>0.4</v>
      </c>
      <c r="G455" s="739">
        <v>2000</v>
      </c>
      <c r="H455" s="741">
        <v>2000</v>
      </c>
      <c r="I455" s="742">
        <f t="shared" si="160"/>
        <v>0</v>
      </c>
      <c r="J455" s="740">
        <f t="shared" si="161"/>
        <v>0</v>
      </c>
      <c r="K455" s="739">
        <f t="shared" si="162"/>
        <v>2000</v>
      </c>
      <c r="L455" s="860">
        <f t="shared" si="163"/>
        <v>0</v>
      </c>
      <c r="M455" s="740">
        <f t="shared" si="159"/>
        <v>0</v>
      </c>
      <c r="N455" s="604">
        <f t="shared" si="148"/>
        <v>0</v>
      </c>
      <c r="O455" s="604">
        <f t="shared" si="149"/>
        <v>0</v>
      </c>
      <c r="P455" s="604">
        <f t="shared" si="150"/>
        <v>0</v>
      </c>
      <c r="Q455" s="604">
        <f t="shared" si="151"/>
        <v>0</v>
      </c>
      <c r="R455" s="604">
        <f t="shared" si="152"/>
        <v>0</v>
      </c>
      <c r="S455" s="604">
        <f t="shared" si="153"/>
        <v>0</v>
      </c>
      <c r="T455" s="604">
        <f t="shared" si="154"/>
        <v>0</v>
      </c>
      <c r="U455" s="604">
        <f t="shared" si="155"/>
        <v>0</v>
      </c>
      <c r="V455" s="604">
        <f t="shared" si="156"/>
        <v>0</v>
      </c>
      <c r="W455" s="604">
        <f t="shared" si="157"/>
        <v>0</v>
      </c>
      <c r="X455" s="746">
        <v>0</v>
      </c>
      <c r="Y455" s="746">
        <f t="shared" si="158"/>
        <v>0</v>
      </c>
    </row>
    <row r="456" spans="2:25">
      <c r="B456" s="598" t="s">
        <v>2595</v>
      </c>
      <c r="C456" s="604" t="s">
        <v>1107</v>
      </c>
      <c r="D456" s="745">
        <v>2010</v>
      </c>
      <c r="E456" s="604" t="s">
        <v>1429</v>
      </c>
      <c r="F456" s="738">
        <v>0.4</v>
      </c>
      <c r="G456" s="739">
        <v>1400</v>
      </c>
      <c r="H456" s="741">
        <v>1400</v>
      </c>
      <c r="I456" s="742">
        <f t="shared" si="160"/>
        <v>0</v>
      </c>
      <c r="J456" s="740">
        <f t="shared" si="161"/>
        <v>0</v>
      </c>
      <c r="K456" s="739">
        <f t="shared" si="162"/>
        <v>1400</v>
      </c>
      <c r="L456" s="860">
        <f t="shared" si="163"/>
        <v>0</v>
      </c>
      <c r="M456" s="740">
        <f t="shared" si="159"/>
        <v>0</v>
      </c>
      <c r="N456" s="604">
        <f t="shared" ref="N456:N519" si="164">+IF(L456-M456&gt;0,G456*F456,0)</f>
        <v>0</v>
      </c>
      <c r="O456" s="604">
        <f t="shared" ref="O456:O519" si="165">+IF(L456-SUM(M456:N456)&gt;0,G456*F456,0)</f>
        <v>0</v>
      </c>
      <c r="P456" s="604">
        <f t="shared" ref="P456:P519" si="166">+IF(L456-SUM(M456:O456)&gt;0,G456*F456,0)</f>
        <v>0</v>
      </c>
      <c r="Q456" s="604">
        <f t="shared" ref="Q456:Q519" si="167">+IF(L456-SUM(M456:P456)&gt;0,G456*F456,0)</f>
        <v>0</v>
      </c>
      <c r="R456" s="604">
        <f t="shared" ref="R456:R519" si="168">+IF(L456-SUM(M456:Q456)&gt;0,G456*F456,0)</f>
        <v>0</v>
      </c>
      <c r="S456" s="604">
        <f t="shared" ref="S456:S519" si="169">+IF(L456-SUM(M456:R456)&gt;0,G456*F456,0)</f>
        <v>0</v>
      </c>
      <c r="T456" s="604">
        <f t="shared" ref="T456:T519" si="170">+IF(L456-SUM(M456:S456)&gt;0,G456*F456,0)</f>
        <v>0</v>
      </c>
      <c r="U456" s="604">
        <f t="shared" ref="U456:U519" si="171">+IF(L456-SUM(M456:T456)&gt;0,G456*F456,0)</f>
        <v>0</v>
      </c>
      <c r="V456" s="604">
        <f t="shared" ref="V456:V519" si="172">+IF(L456-SUM(M456:U456)&gt;0,G456*F456,0)</f>
        <v>0</v>
      </c>
      <c r="W456" s="604">
        <f t="shared" ref="W456:W519" si="173">+IF(L456-SUM(M456:V456)&gt;0,G456*F456,0)</f>
        <v>0</v>
      </c>
      <c r="X456" s="746">
        <v>0</v>
      </c>
      <c r="Y456" s="746">
        <f t="shared" ref="Y456:Y519" si="174">+SUM(M456:W456)-L456</f>
        <v>0</v>
      </c>
    </row>
    <row r="457" spans="2:25">
      <c r="B457" s="598" t="s">
        <v>2595</v>
      </c>
      <c r="C457" s="604" t="s">
        <v>1107</v>
      </c>
      <c r="D457" s="745">
        <v>2011</v>
      </c>
      <c r="E457" s="604" t="s">
        <v>1430</v>
      </c>
      <c r="F457" s="738">
        <v>0.4</v>
      </c>
      <c r="G457" s="739">
        <v>3400</v>
      </c>
      <c r="H457" s="741">
        <v>3400</v>
      </c>
      <c r="I457" s="742">
        <f t="shared" si="160"/>
        <v>0</v>
      </c>
      <c r="J457" s="740">
        <f t="shared" si="161"/>
        <v>0</v>
      </c>
      <c r="K457" s="739">
        <f t="shared" si="162"/>
        <v>3400</v>
      </c>
      <c r="L457" s="860">
        <f t="shared" si="163"/>
        <v>0</v>
      </c>
      <c r="M457" s="740">
        <f t="shared" si="159"/>
        <v>0</v>
      </c>
      <c r="N457" s="604">
        <f t="shared" si="164"/>
        <v>0</v>
      </c>
      <c r="O457" s="604">
        <f t="shared" si="165"/>
        <v>0</v>
      </c>
      <c r="P457" s="604">
        <f t="shared" si="166"/>
        <v>0</v>
      </c>
      <c r="Q457" s="604">
        <f t="shared" si="167"/>
        <v>0</v>
      </c>
      <c r="R457" s="604">
        <f t="shared" si="168"/>
        <v>0</v>
      </c>
      <c r="S457" s="604">
        <f t="shared" si="169"/>
        <v>0</v>
      </c>
      <c r="T457" s="604">
        <f t="shared" si="170"/>
        <v>0</v>
      </c>
      <c r="U457" s="604">
        <f t="shared" si="171"/>
        <v>0</v>
      </c>
      <c r="V457" s="604">
        <f t="shared" si="172"/>
        <v>0</v>
      </c>
      <c r="W457" s="604">
        <f t="shared" si="173"/>
        <v>0</v>
      </c>
      <c r="X457" s="746">
        <v>0</v>
      </c>
      <c r="Y457" s="746">
        <f t="shared" si="174"/>
        <v>0</v>
      </c>
    </row>
    <row r="458" spans="2:25">
      <c r="B458" s="598" t="s">
        <v>2595</v>
      </c>
      <c r="C458" s="604" t="s">
        <v>1107</v>
      </c>
      <c r="D458" s="745">
        <v>2011</v>
      </c>
      <c r="E458" s="604" t="s">
        <v>1431</v>
      </c>
      <c r="F458" s="738">
        <v>0.4</v>
      </c>
      <c r="G458" s="739">
        <v>2604</v>
      </c>
      <c r="H458" s="741">
        <v>2604</v>
      </c>
      <c r="I458" s="742">
        <f t="shared" si="160"/>
        <v>0</v>
      </c>
      <c r="J458" s="740">
        <f t="shared" si="161"/>
        <v>0</v>
      </c>
      <c r="K458" s="739">
        <f t="shared" si="162"/>
        <v>2604</v>
      </c>
      <c r="L458" s="860">
        <f t="shared" si="163"/>
        <v>0</v>
      </c>
      <c r="M458" s="740">
        <f t="shared" si="159"/>
        <v>0</v>
      </c>
      <c r="N458" s="604">
        <f t="shared" si="164"/>
        <v>0</v>
      </c>
      <c r="O458" s="604">
        <f t="shared" si="165"/>
        <v>0</v>
      </c>
      <c r="P458" s="604">
        <f t="shared" si="166"/>
        <v>0</v>
      </c>
      <c r="Q458" s="604">
        <f t="shared" si="167"/>
        <v>0</v>
      </c>
      <c r="R458" s="604">
        <f t="shared" si="168"/>
        <v>0</v>
      </c>
      <c r="S458" s="604">
        <f t="shared" si="169"/>
        <v>0</v>
      </c>
      <c r="T458" s="604">
        <f t="shared" si="170"/>
        <v>0</v>
      </c>
      <c r="U458" s="604">
        <f t="shared" si="171"/>
        <v>0</v>
      </c>
      <c r="V458" s="604">
        <f t="shared" si="172"/>
        <v>0</v>
      </c>
      <c r="W458" s="604">
        <f t="shared" si="173"/>
        <v>0</v>
      </c>
      <c r="X458" s="746">
        <v>0</v>
      </c>
      <c r="Y458" s="746">
        <f t="shared" si="174"/>
        <v>0</v>
      </c>
    </row>
    <row r="459" spans="2:25">
      <c r="B459" s="598" t="s">
        <v>2595</v>
      </c>
      <c r="C459" s="604" t="s">
        <v>1107</v>
      </c>
      <c r="D459" s="745">
        <v>2011</v>
      </c>
      <c r="E459" s="604" t="s">
        <v>1432</v>
      </c>
      <c r="F459" s="738">
        <v>0.4</v>
      </c>
      <c r="G459" s="739">
        <v>5500</v>
      </c>
      <c r="H459" s="741">
        <v>5500</v>
      </c>
      <c r="I459" s="742">
        <f t="shared" si="160"/>
        <v>0</v>
      </c>
      <c r="J459" s="740">
        <f t="shared" si="161"/>
        <v>0</v>
      </c>
      <c r="K459" s="739">
        <f t="shared" si="162"/>
        <v>5500</v>
      </c>
      <c r="L459" s="860">
        <f t="shared" si="163"/>
        <v>0</v>
      </c>
      <c r="M459" s="740">
        <f t="shared" ref="M459:M522" si="175">+IF(L459=0,0,G459*F459)</f>
        <v>0</v>
      </c>
      <c r="N459" s="604">
        <f t="shared" si="164"/>
        <v>0</v>
      </c>
      <c r="O459" s="604">
        <f t="shared" si="165"/>
        <v>0</v>
      </c>
      <c r="P459" s="604">
        <f t="shared" si="166"/>
        <v>0</v>
      </c>
      <c r="Q459" s="604">
        <f t="shared" si="167"/>
        <v>0</v>
      </c>
      <c r="R459" s="604">
        <f t="shared" si="168"/>
        <v>0</v>
      </c>
      <c r="S459" s="604">
        <f t="shared" si="169"/>
        <v>0</v>
      </c>
      <c r="T459" s="604">
        <f t="shared" si="170"/>
        <v>0</v>
      </c>
      <c r="U459" s="604">
        <f t="shared" si="171"/>
        <v>0</v>
      </c>
      <c r="V459" s="604">
        <f t="shared" si="172"/>
        <v>0</v>
      </c>
      <c r="W459" s="604">
        <f t="shared" si="173"/>
        <v>0</v>
      </c>
      <c r="X459" s="746">
        <v>0</v>
      </c>
      <c r="Y459" s="746">
        <f t="shared" si="174"/>
        <v>0</v>
      </c>
    </row>
    <row r="460" spans="2:25">
      <c r="B460" s="598" t="s">
        <v>2595</v>
      </c>
      <c r="C460" s="604" t="s">
        <v>1107</v>
      </c>
      <c r="D460" s="745">
        <v>2011</v>
      </c>
      <c r="E460" s="604" t="s">
        <v>1433</v>
      </c>
      <c r="F460" s="738">
        <v>0.4</v>
      </c>
      <c r="G460" s="739">
        <v>4080</v>
      </c>
      <c r="H460" s="741">
        <v>4080</v>
      </c>
      <c r="I460" s="742">
        <f t="shared" si="160"/>
        <v>0</v>
      </c>
      <c r="J460" s="740">
        <f t="shared" si="161"/>
        <v>0</v>
      </c>
      <c r="K460" s="739">
        <f t="shared" si="162"/>
        <v>4080</v>
      </c>
      <c r="L460" s="860">
        <f t="shared" si="163"/>
        <v>0</v>
      </c>
      <c r="M460" s="740">
        <f t="shared" si="175"/>
        <v>0</v>
      </c>
      <c r="N460" s="604">
        <f t="shared" si="164"/>
        <v>0</v>
      </c>
      <c r="O460" s="604">
        <f t="shared" si="165"/>
        <v>0</v>
      </c>
      <c r="P460" s="604">
        <f t="shared" si="166"/>
        <v>0</v>
      </c>
      <c r="Q460" s="604">
        <f t="shared" si="167"/>
        <v>0</v>
      </c>
      <c r="R460" s="604">
        <f t="shared" si="168"/>
        <v>0</v>
      </c>
      <c r="S460" s="604">
        <f t="shared" si="169"/>
        <v>0</v>
      </c>
      <c r="T460" s="604">
        <f t="shared" si="170"/>
        <v>0</v>
      </c>
      <c r="U460" s="604">
        <f t="shared" si="171"/>
        <v>0</v>
      </c>
      <c r="V460" s="604">
        <f t="shared" si="172"/>
        <v>0</v>
      </c>
      <c r="W460" s="604">
        <f t="shared" si="173"/>
        <v>0</v>
      </c>
      <c r="X460" s="746">
        <v>0</v>
      </c>
      <c r="Y460" s="746">
        <f t="shared" si="174"/>
        <v>0</v>
      </c>
    </row>
    <row r="461" spans="2:25">
      <c r="B461" s="598" t="s">
        <v>2595</v>
      </c>
      <c r="C461" s="604" t="s">
        <v>1107</v>
      </c>
      <c r="D461" s="745">
        <v>2011</v>
      </c>
      <c r="E461" s="604" t="s">
        <v>1434</v>
      </c>
      <c r="F461" s="738">
        <v>0.4</v>
      </c>
      <c r="G461" s="739">
        <v>788</v>
      </c>
      <c r="H461" s="741">
        <v>788</v>
      </c>
      <c r="I461" s="742">
        <f t="shared" si="160"/>
        <v>0</v>
      </c>
      <c r="J461" s="740">
        <f t="shared" si="161"/>
        <v>0</v>
      </c>
      <c r="K461" s="739">
        <f t="shared" si="162"/>
        <v>788</v>
      </c>
      <c r="L461" s="860">
        <f t="shared" si="163"/>
        <v>0</v>
      </c>
      <c r="M461" s="740">
        <f t="shared" si="175"/>
        <v>0</v>
      </c>
      <c r="N461" s="604">
        <f t="shared" si="164"/>
        <v>0</v>
      </c>
      <c r="O461" s="604">
        <f t="shared" si="165"/>
        <v>0</v>
      </c>
      <c r="P461" s="604">
        <f t="shared" si="166"/>
        <v>0</v>
      </c>
      <c r="Q461" s="604">
        <f t="shared" si="167"/>
        <v>0</v>
      </c>
      <c r="R461" s="604">
        <f t="shared" si="168"/>
        <v>0</v>
      </c>
      <c r="S461" s="604">
        <f t="shared" si="169"/>
        <v>0</v>
      </c>
      <c r="T461" s="604">
        <f t="shared" si="170"/>
        <v>0</v>
      </c>
      <c r="U461" s="604">
        <f t="shared" si="171"/>
        <v>0</v>
      </c>
      <c r="V461" s="604">
        <f t="shared" si="172"/>
        <v>0</v>
      </c>
      <c r="W461" s="604">
        <f t="shared" si="173"/>
        <v>0</v>
      </c>
      <c r="X461" s="746">
        <v>0</v>
      </c>
      <c r="Y461" s="746">
        <f t="shared" si="174"/>
        <v>0</v>
      </c>
    </row>
    <row r="462" spans="2:25">
      <c r="B462" s="598" t="s">
        <v>2595</v>
      </c>
      <c r="C462" s="604" t="s">
        <v>1107</v>
      </c>
      <c r="D462" s="745">
        <v>2011</v>
      </c>
      <c r="E462" s="604" t="s">
        <v>1435</v>
      </c>
      <c r="F462" s="738">
        <v>0.4</v>
      </c>
      <c r="G462" s="739">
        <v>1000</v>
      </c>
      <c r="H462" s="741">
        <v>1000</v>
      </c>
      <c r="I462" s="742">
        <f t="shared" si="160"/>
        <v>0</v>
      </c>
      <c r="J462" s="740">
        <f t="shared" si="161"/>
        <v>0</v>
      </c>
      <c r="K462" s="739">
        <f t="shared" si="162"/>
        <v>1000</v>
      </c>
      <c r="L462" s="860">
        <f t="shared" si="163"/>
        <v>0</v>
      </c>
      <c r="M462" s="740">
        <f t="shared" si="175"/>
        <v>0</v>
      </c>
      <c r="N462" s="604">
        <f t="shared" si="164"/>
        <v>0</v>
      </c>
      <c r="O462" s="604">
        <f t="shared" si="165"/>
        <v>0</v>
      </c>
      <c r="P462" s="604">
        <f t="shared" si="166"/>
        <v>0</v>
      </c>
      <c r="Q462" s="604">
        <f t="shared" si="167"/>
        <v>0</v>
      </c>
      <c r="R462" s="604">
        <f t="shared" si="168"/>
        <v>0</v>
      </c>
      <c r="S462" s="604">
        <f t="shared" si="169"/>
        <v>0</v>
      </c>
      <c r="T462" s="604">
        <f t="shared" si="170"/>
        <v>0</v>
      </c>
      <c r="U462" s="604">
        <f t="shared" si="171"/>
        <v>0</v>
      </c>
      <c r="V462" s="604">
        <f t="shared" si="172"/>
        <v>0</v>
      </c>
      <c r="W462" s="604">
        <f t="shared" si="173"/>
        <v>0</v>
      </c>
      <c r="X462" s="746">
        <v>0</v>
      </c>
      <c r="Y462" s="746">
        <f t="shared" si="174"/>
        <v>0</v>
      </c>
    </row>
    <row r="463" spans="2:25">
      <c r="B463" s="598" t="s">
        <v>2595</v>
      </c>
      <c r="C463" s="604" t="s">
        <v>1107</v>
      </c>
      <c r="D463" s="745">
        <v>2011</v>
      </c>
      <c r="E463" s="604" t="s">
        <v>1436</v>
      </c>
      <c r="F463" s="738">
        <v>0.4</v>
      </c>
      <c r="G463" s="739">
        <v>3289</v>
      </c>
      <c r="H463" s="741">
        <v>3289</v>
      </c>
      <c r="I463" s="742">
        <f t="shared" si="160"/>
        <v>0</v>
      </c>
      <c r="J463" s="740">
        <f t="shared" si="161"/>
        <v>0</v>
      </c>
      <c r="K463" s="739">
        <f t="shared" si="162"/>
        <v>3289</v>
      </c>
      <c r="L463" s="860">
        <f t="shared" si="163"/>
        <v>0</v>
      </c>
      <c r="M463" s="740">
        <f t="shared" si="175"/>
        <v>0</v>
      </c>
      <c r="N463" s="604">
        <f t="shared" si="164"/>
        <v>0</v>
      </c>
      <c r="O463" s="604">
        <f t="shared" si="165"/>
        <v>0</v>
      </c>
      <c r="P463" s="604">
        <f t="shared" si="166"/>
        <v>0</v>
      </c>
      <c r="Q463" s="604">
        <f t="shared" si="167"/>
        <v>0</v>
      </c>
      <c r="R463" s="604">
        <f t="shared" si="168"/>
        <v>0</v>
      </c>
      <c r="S463" s="604">
        <f t="shared" si="169"/>
        <v>0</v>
      </c>
      <c r="T463" s="604">
        <f t="shared" si="170"/>
        <v>0</v>
      </c>
      <c r="U463" s="604">
        <f t="shared" si="171"/>
        <v>0</v>
      </c>
      <c r="V463" s="604">
        <f t="shared" si="172"/>
        <v>0</v>
      </c>
      <c r="W463" s="604">
        <f t="shared" si="173"/>
        <v>0</v>
      </c>
      <c r="X463" s="746">
        <v>0</v>
      </c>
      <c r="Y463" s="746">
        <f t="shared" si="174"/>
        <v>0</v>
      </c>
    </row>
    <row r="464" spans="2:25">
      <c r="B464" s="598" t="s">
        <v>2595</v>
      </c>
      <c r="C464" s="604" t="s">
        <v>1107</v>
      </c>
      <c r="D464" s="745">
        <v>2011</v>
      </c>
      <c r="E464" s="604" t="s">
        <v>1437</v>
      </c>
      <c r="F464" s="738">
        <v>0.4</v>
      </c>
      <c r="G464" s="739">
        <v>4250</v>
      </c>
      <c r="H464" s="741">
        <v>4250</v>
      </c>
      <c r="I464" s="742">
        <f t="shared" si="160"/>
        <v>0</v>
      </c>
      <c r="J464" s="740">
        <f t="shared" si="161"/>
        <v>0</v>
      </c>
      <c r="K464" s="739">
        <f t="shared" si="162"/>
        <v>4250</v>
      </c>
      <c r="L464" s="860">
        <f t="shared" si="163"/>
        <v>0</v>
      </c>
      <c r="M464" s="740">
        <f t="shared" si="175"/>
        <v>0</v>
      </c>
      <c r="N464" s="604">
        <f t="shared" si="164"/>
        <v>0</v>
      </c>
      <c r="O464" s="604">
        <f t="shared" si="165"/>
        <v>0</v>
      </c>
      <c r="P464" s="604">
        <f t="shared" si="166"/>
        <v>0</v>
      </c>
      <c r="Q464" s="604">
        <f t="shared" si="167"/>
        <v>0</v>
      </c>
      <c r="R464" s="604">
        <f t="shared" si="168"/>
        <v>0</v>
      </c>
      <c r="S464" s="604">
        <f t="shared" si="169"/>
        <v>0</v>
      </c>
      <c r="T464" s="604">
        <f t="shared" si="170"/>
        <v>0</v>
      </c>
      <c r="U464" s="604">
        <f t="shared" si="171"/>
        <v>0</v>
      </c>
      <c r="V464" s="604">
        <f t="shared" si="172"/>
        <v>0</v>
      </c>
      <c r="W464" s="604">
        <f t="shared" si="173"/>
        <v>0</v>
      </c>
      <c r="X464" s="746">
        <v>0</v>
      </c>
      <c r="Y464" s="746">
        <f t="shared" si="174"/>
        <v>0</v>
      </c>
    </row>
    <row r="465" spans="2:25">
      <c r="B465" s="598" t="s">
        <v>2595</v>
      </c>
      <c r="C465" s="604" t="s">
        <v>1107</v>
      </c>
      <c r="D465" s="745">
        <v>2011</v>
      </c>
      <c r="E465" s="604" t="s">
        <v>1438</v>
      </c>
      <c r="F465" s="738">
        <v>0.4</v>
      </c>
      <c r="G465" s="739">
        <v>2400</v>
      </c>
      <c r="H465" s="741">
        <v>2400</v>
      </c>
      <c r="I465" s="742">
        <f t="shared" si="160"/>
        <v>0</v>
      </c>
      <c r="J465" s="740">
        <f t="shared" si="161"/>
        <v>0</v>
      </c>
      <c r="K465" s="739">
        <f t="shared" si="162"/>
        <v>2400</v>
      </c>
      <c r="L465" s="860">
        <f t="shared" si="163"/>
        <v>0</v>
      </c>
      <c r="M465" s="740">
        <f t="shared" si="175"/>
        <v>0</v>
      </c>
      <c r="N465" s="604">
        <f t="shared" si="164"/>
        <v>0</v>
      </c>
      <c r="O465" s="604">
        <f t="shared" si="165"/>
        <v>0</v>
      </c>
      <c r="P465" s="604">
        <f t="shared" si="166"/>
        <v>0</v>
      </c>
      <c r="Q465" s="604">
        <f t="shared" si="167"/>
        <v>0</v>
      </c>
      <c r="R465" s="604">
        <f t="shared" si="168"/>
        <v>0</v>
      </c>
      <c r="S465" s="604">
        <f t="shared" si="169"/>
        <v>0</v>
      </c>
      <c r="T465" s="604">
        <f t="shared" si="170"/>
        <v>0</v>
      </c>
      <c r="U465" s="604">
        <f t="shared" si="171"/>
        <v>0</v>
      </c>
      <c r="V465" s="604">
        <f t="shared" si="172"/>
        <v>0</v>
      </c>
      <c r="W465" s="604">
        <f t="shared" si="173"/>
        <v>0</v>
      </c>
      <c r="X465" s="746">
        <v>0</v>
      </c>
      <c r="Y465" s="746">
        <f t="shared" si="174"/>
        <v>0</v>
      </c>
    </row>
    <row r="466" spans="2:25">
      <c r="B466" s="598" t="s">
        <v>2595</v>
      </c>
      <c r="C466" s="604" t="s">
        <v>1107</v>
      </c>
      <c r="D466" s="745">
        <v>2011</v>
      </c>
      <c r="E466" s="604" t="s">
        <v>1439</v>
      </c>
      <c r="F466" s="738">
        <v>0.4</v>
      </c>
      <c r="G466" s="739">
        <v>2200</v>
      </c>
      <c r="H466" s="741">
        <v>2200</v>
      </c>
      <c r="I466" s="742">
        <f t="shared" si="160"/>
        <v>0</v>
      </c>
      <c r="J466" s="740">
        <f t="shared" si="161"/>
        <v>0</v>
      </c>
      <c r="K466" s="739">
        <f t="shared" si="162"/>
        <v>2200</v>
      </c>
      <c r="L466" s="860">
        <f t="shared" si="163"/>
        <v>0</v>
      </c>
      <c r="M466" s="740">
        <f t="shared" si="175"/>
        <v>0</v>
      </c>
      <c r="N466" s="604">
        <f t="shared" si="164"/>
        <v>0</v>
      </c>
      <c r="O466" s="604">
        <f t="shared" si="165"/>
        <v>0</v>
      </c>
      <c r="P466" s="604">
        <f t="shared" si="166"/>
        <v>0</v>
      </c>
      <c r="Q466" s="604">
        <f t="shared" si="167"/>
        <v>0</v>
      </c>
      <c r="R466" s="604">
        <f t="shared" si="168"/>
        <v>0</v>
      </c>
      <c r="S466" s="604">
        <f t="shared" si="169"/>
        <v>0</v>
      </c>
      <c r="T466" s="604">
        <f t="shared" si="170"/>
        <v>0</v>
      </c>
      <c r="U466" s="604">
        <f t="shared" si="171"/>
        <v>0</v>
      </c>
      <c r="V466" s="604">
        <f t="shared" si="172"/>
        <v>0</v>
      </c>
      <c r="W466" s="604">
        <f t="shared" si="173"/>
        <v>0</v>
      </c>
      <c r="X466" s="746">
        <v>0</v>
      </c>
      <c r="Y466" s="746">
        <f t="shared" si="174"/>
        <v>0</v>
      </c>
    </row>
    <row r="467" spans="2:25">
      <c r="B467" s="598" t="s">
        <v>2595</v>
      </c>
      <c r="C467" s="604" t="s">
        <v>1107</v>
      </c>
      <c r="D467" s="745">
        <v>2011</v>
      </c>
      <c r="E467" s="604" t="s">
        <v>1440</v>
      </c>
      <c r="F467" s="738">
        <v>0.4</v>
      </c>
      <c r="G467" s="739">
        <v>5200</v>
      </c>
      <c r="H467" s="741">
        <v>5200</v>
      </c>
      <c r="I467" s="742">
        <f t="shared" si="160"/>
        <v>0</v>
      </c>
      <c r="J467" s="740">
        <f t="shared" si="161"/>
        <v>0</v>
      </c>
      <c r="K467" s="739">
        <f t="shared" si="162"/>
        <v>5200</v>
      </c>
      <c r="L467" s="860">
        <f t="shared" si="163"/>
        <v>0</v>
      </c>
      <c r="M467" s="740">
        <f t="shared" si="175"/>
        <v>0</v>
      </c>
      <c r="N467" s="604">
        <f t="shared" si="164"/>
        <v>0</v>
      </c>
      <c r="O467" s="604">
        <f t="shared" si="165"/>
        <v>0</v>
      </c>
      <c r="P467" s="604">
        <f t="shared" si="166"/>
        <v>0</v>
      </c>
      <c r="Q467" s="604">
        <f t="shared" si="167"/>
        <v>0</v>
      </c>
      <c r="R467" s="604">
        <f t="shared" si="168"/>
        <v>0</v>
      </c>
      <c r="S467" s="604">
        <f t="shared" si="169"/>
        <v>0</v>
      </c>
      <c r="T467" s="604">
        <f t="shared" si="170"/>
        <v>0</v>
      </c>
      <c r="U467" s="604">
        <f t="shared" si="171"/>
        <v>0</v>
      </c>
      <c r="V467" s="604">
        <f t="shared" si="172"/>
        <v>0</v>
      </c>
      <c r="W467" s="604">
        <f t="shared" si="173"/>
        <v>0</v>
      </c>
      <c r="X467" s="746">
        <v>0</v>
      </c>
      <c r="Y467" s="746">
        <f t="shared" si="174"/>
        <v>0</v>
      </c>
    </row>
    <row r="468" spans="2:25">
      <c r="B468" s="598" t="s">
        <v>2595</v>
      </c>
      <c r="C468" s="604" t="s">
        <v>1107</v>
      </c>
      <c r="D468" s="745">
        <v>2011</v>
      </c>
      <c r="E468" s="604" t="s">
        <v>1441</v>
      </c>
      <c r="F468" s="738">
        <v>0.4</v>
      </c>
      <c r="G468" s="739">
        <v>4042</v>
      </c>
      <c r="H468" s="741">
        <v>4042</v>
      </c>
      <c r="I468" s="742">
        <f t="shared" si="160"/>
        <v>0</v>
      </c>
      <c r="J468" s="740">
        <f t="shared" si="161"/>
        <v>0</v>
      </c>
      <c r="K468" s="739">
        <f t="shared" si="162"/>
        <v>4042</v>
      </c>
      <c r="L468" s="860">
        <f t="shared" si="163"/>
        <v>0</v>
      </c>
      <c r="M468" s="740">
        <f t="shared" si="175"/>
        <v>0</v>
      </c>
      <c r="N468" s="604">
        <f t="shared" si="164"/>
        <v>0</v>
      </c>
      <c r="O468" s="604">
        <f t="shared" si="165"/>
        <v>0</v>
      </c>
      <c r="P468" s="604">
        <f t="shared" si="166"/>
        <v>0</v>
      </c>
      <c r="Q468" s="604">
        <f t="shared" si="167"/>
        <v>0</v>
      </c>
      <c r="R468" s="604">
        <f t="shared" si="168"/>
        <v>0</v>
      </c>
      <c r="S468" s="604">
        <f t="shared" si="169"/>
        <v>0</v>
      </c>
      <c r="T468" s="604">
        <f t="shared" si="170"/>
        <v>0</v>
      </c>
      <c r="U468" s="604">
        <f t="shared" si="171"/>
        <v>0</v>
      </c>
      <c r="V468" s="604">
        <f t="shared" si="172"/>
        <v>0</v>
      </c>
      <c r="W468" s="604">
        <f t="shared" si="173"/>
        <v>0</v>
      </c>
      <c r="X468" s="746">
        <v>0</v>
      </c>
      <c r="Y468" s="746">
        <f t="shared" si="174"/>
        <v>0</v>
      </c>
    </row>
    <row r="469" spans="2:25">
      <c r="B469" s="598" t="s">
        <v>2595</v>
      </c>
      <c r="C469" s="604" t="s">
        <v>1107</v>
      </c>
      <c r="D469" s="745">
        <v>2011</v>
      </c>
      <c r="E469" s="604" t="s">
        <v>1442</v>
      </c>
      <c r="F469" s="738">
        <v>0.4</v>
      </c>
      <c r="G469" s="739">
        <v>1190</v>
      </c>
      <c r="H469" s="741">
        <v>1190</v>
      </c>
      <c r="I469" s="742">
        <f t="shared" si="160"/>
        <v>0</v>
      </c>
      <c r="J469" s="740">
        <f t="shared" si="161"/>
        <v>0</v>
      </c>
      <c r="K469" s="739">
        <f t="shared" si="162"/>
        <v>1190</v>
      </c>
      <c r="L469" s="860">
        <f t="shared" si="163"/>
        <v>0</v>
      </c>
      <c r="M469" s="740">
        <f t="shared" si="175"/>
        <v>0</v>
      </c>
      <c r="N469" s="604">
        <f t="shared" si="164"/>
        <v>0</v>
      </c>
      <c r="O469" s="604">
        <f t="shared" si="165"/>
        <v>0</v>
      </c>
      <c r="P469" s="604">
        <f t="shared" si="166"/>
        <v>0</v>
      </c>
      <c r="Q469" s="604">
        <f t="shared" si="167"/>
        <v>0</v>
      </c>
      <c r="R469" s="604">
        <f t="shared" si="168"/>
        <v>0</v>
      </c>
      <c r="S469" s="604">
        <f t="shared" si="169"/>
        <v>0</v>
      </c>
      <c r="T469" s="604">
        <f t="shared" si="170"/>
        <v>0</v>
      </c>
      <c r="U469" s="604">
        <f t="shared" si="171"/>
        <v>0</v>
      </c>
      <c r="V469" s="604">
        <f t="shared" si="172"/>
        <v>0</v>
      </c>
      <c r="W469" s="604">
        <f t="shared" si="173"/>
        <v>0</v>
      </c>
      <c r="X469" s="746">
        <v>0</v>
      </c>
      <c r="Y469" s="746">
        <f t="shared" si="174"/>
        <v>0</v>
      </c>
    </row>
    <row r="470" spans="2:25">
      <c r="B470" s="598" t="s">
        <v>2595</v>
      </c>
      <c r="C470" s="604" t="s">
        <v>1107</v>
      </c>
      <c r="D470" s="745">
        <v>2011</v>
      </c>
      <c r="E470" s="604" t="s">
        <v>1443</v>
      </c>
      <c r="F470" s="738">
        <v>0.4</v>
      </c>
      <c r="G470" s="739">
        <v>3391</v>
      </c>
      <c r="H470" s="741">
        <v>3391</v>
      </c>
      <c r="I470" s="742">
        <f t="shared" si="160"/>
        <v>0</v>
      </c>
      <c r="J470" s="740">
        <f t="shared" si="161"/>
        <v>0</v>
      </c>
      <c r="K470" s="739">
        <f t="shared" si="162"/>
        <v>3391</v>
      </c>
      <c r="L470" s="860">
        <f t="shared" si="163"/>
        <v>0</v>
      </c>
      <c r="M470" s="740">
        <f t="shared" si="175"/>
        <v>0</v>
      </c>
      <c r="N470" s="604">
        <f t="shared" si="164"/>
        <v>0</v>
      </c>
      <c r="O470" s="604">
        <f t="shared" si="165"/>
        <v>0</v>
      </c>
      <c r="P470" s="604">
        <f t="shared" si="166"/>
        <v>0</v>
      </c>
      <c r="Q470" s="604">
        <f t="shared" si="167"/>
        <v>0</v>
      </c>
      <c r="R470" s="604">
        <f t="shared" si="168"/>
        <v>0</v>
      </c>
      <c r="S470" s="604">
        <f t="shared" si="169"/>
        <v>0</v>
      </c>
      <c r="T470" s="604">
        <f t="shared" si="170"/>
        <v>0</v>
      </c>
      <c r="U470" s="604">
        <f t="shared" si="171"/>
        <v>0</v>
      </c>
      <c r="V470" s="604">
        <f t="shared" si="172"/>
        <v>0</v>
      </c>
      <c r="W470" s="604">
        <f t="shared" si="173"/>
        <v>0</v>
      </c>
      <c r="X470" s="746">
        <v>0</v>
      </c>
      <c r="Y470" s="746">
        <f t="shared" si="174"/>
        <v>0</v>
      </c>
    </row>
    <row r="471" spans="2:25">
      <c r="B471" s="598" t="s">
        <v>2595</v>
      </c>
      <c r="C471" s="604" t="s">
        <v>1107</v>
      </c>
      <c r="D471" s="745">
        <v>2011</v>
      </c>
      <c r="E471" s="604" t="s">
        <v>1444</v>
      </c>
      <c r="F471" s="738">
        <v>0.4</v>
      </c>
      <c r="G471" s="739">
        <v>8500</v>
      </c>
      <c r="H471" s="741">
        <v>8500</v>
      </c>
      <c r="I471" s="742">
        <f t="shared" si="160"/>
        <v>0</v>
      </c>
      <c r="J471" s="740">
        <f t="shared" si="161"/>
        <v>0</v>
      </c>
      <c r="K471" s="739">
        <f t="shared" si="162"/>
        <v>8500</v>
      </c>
      <c r="L471" s="860">
        <f t="shared" si="163"/>
        <v>0</v>
      </c>
      <c r="M471" s="740">
        <f t="shared" si="175"/>
        <v>0</v>
      </c>
      <c r="N471" s="604">
        <f t="shared" si="164"/>
        <v>0</v>
      </c>
      <c r="O471" s="604">
        <f t="shared" si="165"/>
        <v>0</v>
      </c>
      <c r="P471" s="604">
        <f t="shared" si="166"/>
        <v>0</v>
      </c>
      <c r="Q471" s="604">
        <f t="shared" si="167"/>
        <v>0</v>
      </c>
      <c r="R471" s="604">
        <f t="shared" si="168"/>
        <v>0</v>
      </c>
      <c r="S471" s="604">
        <f t="shared" si="169"/>
        <v>0</v>
      </c>
      <c r="T471" s="604">
        <f t="shared" si="170"/>
        <v>0</v>
      </c>
      <c r="U471" s="604">
        <f t="shared" si="171"/>
        <v>0</v>
      </c>
      <c r="V471" s="604">
        <f t="shared" si="172"/>
        <v>0</v>
      </c>
      <c r="W471" s="604">
        <f t="shared" si="173"/>
        <v>0</v>
      </c>
      <c r="X471" s="746">
        <v>0</v>
      </c>
      <c r="Y471" s="746">
        <f t="shared" si="174"/>
        <v>0</v>
      </c>
    </row>
    <row r="472" spans="2:25">
      <c r="B472" s="598" t="s">
        <v>2595</v>
      </c>
      <c r="C472" s="604" t="s">
        <v>1107</v>
      </c>
      <c r="D472" s="745">
        <v>2011</v>
      </c>
      <c r="E472" s="604" t="s">
        <v>1445</v>
      </c>
      <c r="F472" s="738">
        <v>0.4</v>
      </c>
      <c r="G472" s="739">
        <v>4350</v>
      </c>
      <c r="H472" s="741">
        <v>4350</v>
      </c>
      <c r="I472" s="742">
        <f t="shared" si="160"/>
        <v>0</v>
      </c>
      <c r="J472" s="740">
        <f t="shared" si="161"/>
        <v>0</v>
      </c>
      <c r="K472" s="739">
        <f t="shared" si="162"/>
        <v>4350</v>
      </c>
      <c r="L472" s="860">
        <f t="shared" si="163"/>
        <v>0</v>
      </c>
      <c r="M472" s="740">
        <f t="shared" si="175"/>
        <v>0</v>
      </c>
      <c r="N472" s="604">
        <f t="shared" si="164"/>
        <v>0</v>
      </c>
      <c r="O472" s="604">
        <f t="shared" si="165"/>
        <v>0</v>
      </c>
      <c r="P472" s="604">
        <f t="shared" si="166"/>
        <v>0</v>
      </c>
      <c r="Q472" s="604">
        <f t="shared" si="167"/>
        <v>0</v>
      </c>
      <c r="R472" s="604">
        <f t="shared" si="168"/>
        <v>0</v>
      </c>
      <c r="S472" s="604">
        <f t="shared" si="169"/>
        <v>0</v>
      </c>
      <c r="T472" s="604">
        <f t="shared" si="170"/>
        <v>0</v>
      </c>
      <c r="U472" s="604">
        <f t="shared" si="171"/>
        <v>0</v>
      </c>
      <c r="V472" s="604">
        <f t="shared" si="172"/>
        <v>0</v>
      </c>
      <c r="W472" s="604">
        <f t="shared" si="173"/>
        <v>0</v>
      </c>
      <c r="X472" s="746">
        <v>0</v>
      </c>
      <c r="Y472" s="746">
        <f t="shared" si="174"/>
        <v>0</v>
      </c>
    </row>
    <row r="473" spans="2:25">
      <c r="B473" s="598" t="s">
        <v>2595</v>
      </c>
      <c r="C473" s="604" t="s">
        <v>1107</v>
      </c>
      <c r="D473" s="745">
        <v>2011</v>
      </c>
      <c r="E473" s="604" t="s">
        <v>1446</v>
      </c>
      <c r="F473" s="738">
        <v>0.4</v>
      </c>
      <c r="G473" s="739">
        <v>3168.39</v>
      </c>
      <c r="H473" s="741">
        <v>3168.39</v>
      </c>
      <c r="I473" s="742">
        <f t="shared" si="160"/>
        <v>0</v>
      </c>
      <c r="J473" s="740">
        <f t="shared" si="161"/>
        <v>0</v>
      </c>
      <c r="K473" s="739">
        <f t="shared" si="162"/>
        <v>3168.39</v>
      </c>
      <c r="L473" s="860">
        <f t="shared" si="163"/>
        <v>0</v>
      </c>
      <c r="M473" s="740">
        <f t="shared" si="175"/>
        <v>0</v>
      </c>
      <c r="N473" s="604">
        <f t="shared" si="164"/>
        <v>0</v>
      </c>
      <c r="O473" s="604">
        <f t="shared" si="165"/>
        <v>0</v>
      </c>
      <c r="P473" s="604">
        <f t="shared" si="166"/>
        <v>0</v>
      </c>
      <c r="Q473" s="604">
        <f t="shared" si="167"/>
        <v>0</v>
      </c>
      <c r="R473" s="604">
        <f t="shared" si="168"/>
        <v>0</v>
      </c>
      <c r="S473" s="604">
        <f t="shared" si="169"/>
        <v>0</v>
      </c>
      <c r="T473" s="604">
        <f t="shared" si="170"/>
        <v>0</v>
      </c>
      <c r="U473" s="604">
        <f t="shared" si="171"/>
        <v>0</v>
      </c>
      <c r="V473" s="604">
        <f t="shared" si="172"/>
        <v>0</v>
      </c>
      <c r="W473" s="604">
        <f t="shared" si="173"/>
        <v>0</v>
      </c>
      <c r="X473" s="746">
        <v>0</v>
      </c>
      <c r="Y473" s="746">
        <f t="shared" si="174"/>
        <v>0</v>
      </c>
    </row>
    <row r="474" spans="2:25">
      <c r="B474" s="598" t="s">
        <v>2595</v>
      </c>
      <c r="C474" s="604" t="s">
        <v>1107</v>
      </c>
      <c r="D474" s="745">
        <v>2011</v>
      </c>
      <c r="E474" s="604" t="s">
        <v>1447</v>
      </c>
      <c r="F474" s="738">
        <v>0.4</v>
      </c>
      <c r="G474" s="739">
        <v>1200</v>
      </c>
      <c r="H474" s="741">
        <v>1200</v>
      </c>
      <c r="I474" s="742">
        <f t="shared" si="160"/>
        <v>0</v>
      </c>
      <c r="J474" s="740">
        <f t="shared" si="161"/>
        <v>0</v>
      </c>
      <c r="K474" s="739">
        <f t="shared" si="162"/>
        <v>1200</v>
      </c>
      <c r="L474" s="860">
        <f t="shared" si="163"/>
        <v>0</v>
      </c>
      <c r="M474" s="740">
        <f t="shared" si="175"/>
        <v>0</v>
      </c>
      <c r="N474" s="604">
        <f t="shared" si="164"/>
        <v>0</v>
      </c>
      <c r="O474" s="604">
        <f t="shared" si="165"/>
        <v>0</v>
      </c>
      <c r="P474" s="604">
        <f t="shared" si="166"/>
        <v>0</v>
      </c>
      <c r="Q474" s="604">
        <f t="shared" si="167"/>
        <v>0</v>
      </c>
      <c r="R474" s="604">
        <f t="shared" si="168"/>
        <v>0</v>
      </c>
      <c r="S474" s="604">
        <f t="shared" si="169"/>
        <v>0</v>
      </c>
      <c r="T474" s="604">
        <f t="shared" si="170"/>
        <v>0</v>
      </c>
      <c r="U474" s="604">
        <f t="shared" si="171"/>
        <v>0</v>
      </c>
      <c r="V474" s="604">
        <f t="shared" si="172"/>
        <v>0</v>
      </c>
      <c r="W474" s="604">
        <f t="shared" si="173"/>
        <v>0</v>
      </c>
      <c r="X474" s="746">
        <v>0</v>
      </c>
      <c r="Y474" s="746">
        <f t="shared" si="174"/>
        <v>0</v>
      </c>
    </row>
    <row r="475" spans="2:25">
      <c r="B475" s="598" t="s">
        <v>2595</v>
      </c>
      <c r="C475" s="604" t="s">
        <v>1107</v>
      </c>
      <c r="D475" s="745">
        <v>2011</v>
      </c>
      <c r="E475" s="604" t="s">
        <v>1448</v>
      </c>
      <c r="F475" s="738">
        <v>0.4</v>
      </c>
      <c r="G475" s="739">
        <v>2350</v>
      </c>
      <c r="H475" s="741">
        <v>2350</v>
      </c>
      <c r="I475" s="742">
        <f t="shared" si="160"/>
        <v>0</v>
      </c>
      <c r="J475" s="740">
        <f t="shared" si="161"/>
        <v>0</v>
      </c>
      <c r="K475" s="739">
        <f t="shared" si="162"/>
        <v>2350</v>
      </c>
      <c r="L475" s="860">
        <f t="shared" si="163"/>
        <v>0</v>
      </c>
      <c r="M475" s="740">
        <f t="shared" si="175"/>
        <v>0</v>
      </c>
      <c r="N475" s="604">
        <f t="shared" si="164"/>
        <v>0</v>
      </c>
      <c r="O475" s="604">
        <f t="shared" si="165"/>
        <v>0</v>
      </c>
      <c r="P475" s="604">
        <f t="shared" si="166"/>
        <v>0</v>
      </c>
      <c r="Q475" s="604">
        <f t="shared" si="167"/>
        <v>0</v>
      </c>
      <c r="R475" s="604">
        <f t="shared" si="168"/>
        <v>0</v>
      </c>
      <c r="S475" s="604">
        <f t="shared" si="169"/>
        <v>0</v>
      </c>
      <c r="T475" s="604">
        <f t="shared" si="170"/>
        <v>0</v>
      </c>
      <c r="U475" s="604">
        <f t="shared" si="171"/>
        <v>0</v>
      </c>
      <c r="V475" s="604">
        <f t="shared" si="172"/>
        <v>0</v>
      </c>
      <c r="W475" s="604">
        <f t="shared" si="173"/>
        <v>0</v>
      </c>
      <c r="X475" s="746">
        <v>0</v>
      </c>
      <c r="Y475" s="746">
        <f t="shared" si="174"/>
        <v>0</v>
      </c>
    </row>
    <row r="476" spans="2:25">
      <c r="B476" s="598" t="s">
        <v>2595</v>
      </c>
      <c r="C476" s="604" t="s">
        <v>1107</v>
      </c>
      <c r="D476" s="745">
        <v>2011</v>
      </c>
      <c r="E476" s="604" t="s">
        <v>1449</v>
      </c>
      <c r="F476" s="738">
        <v>0.4</v>
      </c>
      <c r="G476" s="739">
        <v>3300</v>
      </c>
      <c r="H476" s="741">
        <v>3300</v>
      </c>
      <c r="I476" s="742">
        <f t="shared" si="160"/>
        <v>0</v>
      </c>
      <c r="J476" s="740">
        <f t="shared" si="161"/>
        <v>0</v>
      </c>
      <c r="K476" s="739">
        <f t="shared" si="162"/>
        <v>3300</v>
      </c>
      <c r="L476" s="860">
        <f t="shared" si="163"/>
        <v>0</v>
      </c>
      <c r="M476" s="740">
        <f t="shared" si="175"/>
        <v>0</v>
      </c>
      <c r="N476" s="604">
        <f t="shared" si="164"/>
        <v>0</v>
      </c>
      <c r="O476" s="604">
        <f t="shared" si="165"/>
        <v>0</v>
      </c>
      <c r="P476" s="604">
        <f t="shared" si="166"/>
        <v>0</v>
      </c>
      <c r="Q476" s="604">
        <f t="shared" si="167"/>
        <v>0</v>
      </c>
      <c r="R476" s="604">
        <f t="shared" si="168"/>
        <v>0</v>
      </c>
      <c r="S476" s="604">
        <f t="shared" si="169"/>
        <v>0</v>
      </c>
      <c r="T476" s="604">
        <f t="shared" si="170"/>
        <v>0</v>
      </c>
      <c r="U476" s="604">
        <f t="shared" si="171"/>
        <v>0</v>
      </c>
      <c r="V476" s="604">
        <f t="shared" si="172"/>
        <v>0</v>
      </c>
      <c r="W476" s="604">
        <f t="shared" si="173"/>
        <v>0</v>
      </c>
      <c r="X476" s="746">
        <v>0</v>
      </c>
      <c r="Y476" s="746">
        <f t="shared" si="174"/>
        <v>0</v>
      </c>
    </row>
    <row r="477" spans="2:25">
      <c r="B477" s="598" t="s">
        <v>2595</v>
      </c>
      <c r="C477" s="604" t="s">
        <v>1107</v>
      </c>
      <c r="D477" s="745">
        <v>2011</v>
      </c>
      <c r="E477" s="604" t="s">
        <v>1450</v>
      </c>
      <c r="F477" s="738">
        <v>0.4</v>
      </c>
      <c r="G477" s="739">
        <v>3000</v>
      </c>
      <c r="H477" s="741">
        <v>3000</v>
      </c>
      <c r="I477" s="742">
        <f t="shared" si="160"/>
        <v>0</v>
      </c>
      <c r="J477" s="740">
        <f t="shared" si="161"/>
        <v>0</v>
      </c>
      <c r="K477" s="739">
        <f t="shared" si="162"/>
        <v>3000</v>
      </c>
      <c r="L477" s="860">
        <f t="shared" si="163"/>
        <v>0</v>
      </c>
      <c r="M477" s="740">
        <f t="shared" si="175"/>
        <v>0</v>
      </c>
      <c r="N477" s="604">
        <f t="shared" si="164"/>
        <v>0</v>
      </c>
      <c r="O477" s="604">
        <f t="shared" si="165"/>
        <v>0</v>
      </c>
      <c r="P477" s="604">
        <f t="shared" si="166"/>
        <v>0</v>
      </c>
      <c r="Q477" s="604">
        <f t="shared" si="167"/>
        <v>0</v>
      </c>
      <c r="R477" s="604">
        <f t="shared" si="168"/>
        <v>0</v>
      </c>
      <c r="S477" s="604">
        <f t="shared" si="169"/>
        <v>0</v>
      </c>
      <c r="T477" s="604">
        <f t="shared" si="170"/>
        <v>0</v>
      </c>
      <c r="U477" s="604">
        <f t="shared" si="171"/>
        <v>0</v>
      </c>
      <c r="V477" s="604">
        <f t="shared" si="172"/>
        <v>0</v>
      </c>
      <c r="W477" s="604">
        <f t="shared" si="173"/>
        <v>0</v>
      </c>
      <c r="X477" s="746">
        <v>0</v>
      </c>
      <c r="Y477" s="746">
        <f t="shared" si="174"/>
        <v>0</v>
      </c>
    </row>
    <row r="478" spans="2:25">
      <c r="B478" s="598" t="s">
        <v>2595</v>
      </c>
      <c r="C478" s="604" t="s">
        <v>1107</v>
      </c>
      <c r="D478" s="745">
        <v>2011</v>
      </c>
      <c r="E478" s="604" t="s">
        <v>1451</v>
      </c>
      <c r="F478" s="738">
        <v>0.4</v>
      </c>
      <c r="G478" s="739">
        <v>2400</v>
      </c>
      <c r="H478" s="741">
        <v>2400</v>
      </c>
      <c r="I478" s="742">
        <f t="shared" si="160"/>
        <v>0</v>
      </c>
      <c r="J478" s="740">
        <f t="shared" si="161"/>
        <v>0</v>
      </c>
      <c r="K478" s="739">
        <f t="shared" si="162"/>
        <v>2400</v>
      </c>
      <c r="L478" s="860">
        <f t="shared" si="163"/>
        <v>0</v>
      </c>
      <c r="M478" s="740">
        <f t="shared" si="175"/>
        <v>0</v>
      </c>
      <c r="N478" s="604">
        <f t="shared" si="164"/>
        <v>0</v>
      </c>
      <c r="O478" s="604">
        <f t="shared" si="165"/>
        <v>0</v>
      </c>
      <c r="P478" s="604">
        <f t="shared" si="166"/>
        <v>0</v>
      </c>
      <c r="Q478" s="604">
        <f t="shared" si="167"/>
        <v>0</v>
      </c>
      <c r="R478" s="604">
        <f t="shared" si="168"/>
        <v>0</v>
      </c>
      <c r="S478" s="604">
        <f t="shared" si="169"/>
        <v>0</v>
      </c>
      <c r="T478" s="604">
        <f t="shared" si="170"/>
        <v>0</v>
      </c>
      <c r="U478" s="604">
        <f t="shared" si="171"/>
        <v>0</v>
      </c>
      <c r="V478" s="604">
        <f t="shared" si="172"/>
        <v>0</v>
      </c>
      <c r="W478" s="604">
        <f t="shared" si="173"/>
        <v>0</v>
      </c>
      <c r="X478" s="746">
        <v>0</v>
      </c>
      <c r="Y478" s="746">
        <f t="shared" si="174"/>
        <v>0</v>
      </c>
    </row>
    <row r="479" spans="2:25">
      <c r="B479" s="598" t="s">
        <v>2595</v>
      </c>
      <c r="C479" s="604" t="s">
        <v>1107</v>
      </c>
      <c r="D479" s="745">
        <v>2012</v>
      </c>
      <c r="E479" s="604" t="s">
        <v>1452</v>
      </c>
      <c r="F479" s="738">
        <v>0.4</v>
      </c>
      <c r="G479" s="739">
        <v>1100</v>
      </c>
      <c r="H479" s="741">
        <v>1100</v>
      </c>
      <c r="I479" s="742">
        <f t="shared" si="160"/>
        <v>0</v>
      </c>
      <c r="J479" s="740">
        <f t="shared" si="161"/>
        <v>0</v>
      </c>
      <c r="K479" s="739">
        <f t="shared" si="162"/>
        <v>1100</v>
      </c>
      <c r="L479" s="860">
        <f t="shared" si="163"/>
        <v>0</v>
      </c>
      <c r="M479" s="740">
        <f t="shared" si="175"/>
        <v>0</v>
      </c>
      <c r="N479" s="604">
        <f t="shared" si="164"/>
        <v>0</v>
      </c>
      <c r="O479" s="604">
        <f t="shared" si="165"/>
        <v>0</v>
      </c>
      <c r="P479" s="604">
        <f t="shared" si="166"/>
        <v>0</v>
      </c>
      <c r="Q479" s="604">
        <f t="shared" si="167"/>
        <v>0</v>
      </c>
      <c r="R479" s="604">
        <f t="shared" si="168"/>
        <v>0</v>
      </c>
      <c r="S479" s="604">
        <f t="shared" si="169"/>
        <v>0</v>
      </c>
      <c r="T479" s="604">
        <f t="shared" si="170"/>
        <v>0</v>
      </c>
      <c r="U479" s="604">
        <f t="shared" si="171"/>
        <v>0</v>
      </c>
      <c r="V479" s="604">
        <f t="shared" si="172"/>
        <v>0</v>
      </c>
      <c r="W479" s="604">
        <f t="shared" si="173"/>
        <v>0</v>
      </c>
      <c r="X479" s="746">
        <v>0</v>
      </c>
      <c r="Y479" s="746">
        <f t="shared" si="174"/>
        <v>0</v>
      </c>
    </row>
    <row r="480" spans="2:25">
      <c r="B480" s="598" t="s">
        <v>2595</v>
      </c>
      <c r="C480" s="604" t="s">
        <v>1107</v>
      </c>
      <c r="D480" s="745">
        <v>2012</v>
      </c>
      <c r="E480" s="604" t="s">
        <v>1453</v>
      </c>
      <c r="F480" s="738">
        <v>0.4</v>
      </c>
      <c r="G480" s="739">
        <v>1200</v>
      </c>
      <c r="H480" s="741">
        <v>1200</v>
      </c>
      <c r="I480" s="742">
        <f t="shared" si="160"/>
        <v>0</v>
      </c>
      <c r="J480" s="740">
        <f t="shared" si="161"/>
        <v>0</v>
      </c>
      <c r="K480" s="739">
        <f t="shared" si="162"/>
        <v>1200</v>
      </c>
      <c r="L480" s="860">
        <f t="shared" si="163"/>
        <v>0</v>
      </c>
      <c r="M480" s="740">
        <f t="shared" si="175"/>
        <v>0</v>
      </c>
      <c r="N480" s="604">
        <f t="shared" si="164"/>
        <v>0</v>
      </c>
      <c r="O480" s="604">
        <f t="shared" si="165"/>
        <v>0</v>
      </c>
      <c r="P480" s="604">
        <f t="shared" si="166"/>
        <v>0</v>
      </c>
      <c r="Q480" s="604">
        <f t="shared" si="167"/>
        <v>0</v>
      </c>
      <c r="R480" s="604">
        <f t="shared" si="168"/>
        <v>0</v>
      </c>
      <c r="S480" s="604">
        <f t="shared" si="169"/>
        <v>0</v>
      </c>
      <c r="T480" s="604">
        <f t="shared" si="170"/>
        <v>0</v>
      </c>
      <c r="U480" s="604">
        <f t="shared" si="171"/>
        <v>0</v>
      </c>
      <c r="V480" s="604">
        <f t="shared" si="172"/>
        <v>0</v>
      </c>
      <c r="W480" s="604">
        <f t="shared" si="173"/>
        <v>0</v>
      </c>
      <c r="X480" s="746">
        <v>0</v>
      </c>
      <c r="Y480" s="746">
        <f t="shared" si="174"/>
        <v>0</v>
      </c>
    </row>
    <row r="481" spans="2:25">
      <c r="B481" s="598" t="s">
        <v>2595</v>
      </c>
      <c r="C481" s="604" t="s">
        <v>1107</v>
      </c>
      <c r="D481" s="745">
        <v>2012</v>
      </c>
      <c r="E481" s="604" t="s">
        <v>1454</v>
      </c>
      <c r="F481" s="738">
        <v>0.4</v>
      </c>
      <c r="G481" s="739">
        <v>2000</v>
      </c>
      <c r="H481" s="741">
        <v>2000</v>
      </c>
      <c r="I481" s="742">
        <f t="shared" si="160"/>
        <v>0</v>
      </c>
      <c r="J481" s="740">
        <f t="shared" si="161"/>
        <v>0</v>
      </c>
      <c r="K481" s="739">
        <f t="shared" si="162"/>
        <v>2000</v>
      </c>
      <c r="L481" s="860">
        <f t="shared" si="163"/>
        <v>0</v>
      </c>
      <c r="M481" s="740">
        <f t="shared" si="175"/>
        <v>0</v>
      </c>
      <c r="N481" s="604">
        <f t="shared" si="164"/>
        <v>0</v>
      </c>
      <c r="O481" s="604">
        <f t="shared" si="165"/>
        <v>0</v>
      </c>
      <c r="P481" s="604">
        <f t="shared" si="166"/>
        <v>0</v>
      </c>
      <c r="Q481" s="604">
        <f t="shared" si="167"/>
        <v>0</v>
      </c>
      <c r="R481" s="604">
        <f t="shared" si="168"/>
        <v>0</v>
      </c>
      <c r="S481" s="604">
        <f t="shared" si="169"/>
        <v>0</v>
      </c>
      <c r="T481" s="604">
        <f t="shared" si="170"/>
        <v>0</v>
      </c>
      <c r="U481" s="604">
        <f t="shared" si="171"/>
        <v>0</v>
      </c>
      <c r="V481" s="604">
        <f t="shared" si="172"/>
        <v>0</v>
      </c>
      <c r="W481" s="604">
        <f t="shared" si="173"/>
        <v>0</v>
      </c>
      <c r="X481" s="746">
        <v>0</v>
      </c>
      <c r="Y481" s="746">
        <f t="shared" si="174"/>
        <v>0</v>
      </c>
    </row>
    <row r="482" spans="2:25">
      <c r="B482" s="598" t="s">
        <v>2595</v>
      </c>
      <c r="C482" s="604" t="s">
        <v>1107</v>
      </c>
      <c r="D482" s="745">
        <v>2012</v>
      </c>
      <c r="E482" s="604" t="s">
        <v>1455</v>
      </c>
      <c r="F482" s="738">
        <v>0.4</v>
      </c>
      <c r="G482" s="739">
        <v>2000</v>
      </c>
      <c r="H482" s="741">
        <v>2000</v>
      </c>
      <c r="I482" s="742">
        <f t="shared" si="160"/>
        <v>0</v>
      </c>
      <c r="J482" s="740">
        <f t="shared" si="161"/>
        <v>0</v>
      </c>
      <c r="K482" s="739">
        <f t="shared" si="162"/>
        <v>2000</v>
      </c>
      <c r="L482" s="860">
        <f t="shared" si="163"/>
        <v>0</v>
      </c>
      <c r="M482" s="740">
        <f t="shared" si="175"/>
        <v>0</v>
      </c>
      <c r="N482" s="604">
        <f t="shared" si="164"/>
        <v>0</v>
      </c>
      <c r="O482" s="604">
        <f t="shared" si="165"/>
        <v>0</v>
      </c>
      <c r="P482" s="604">
        <f t="shared" si="166"/>
        <v>0</v>
      </c>
      <c r="Q482" s="604">
        <f t="shared" si="167"/>
        <v>0</v>
      </c>
      <c r="R482" s="604">
        <f t="shared" si="168"/>
        <v>0</v>
      </c>
      <c r="S482" s="604">
        <f t="shared" si="169"/>
        <v>0</v>
      </c>
      <c r="T482" s="604">
        <f t="shared" si="170"/>
        <v>0</v>
      </c>
      <c r="U482" s="604">
        <f t="shared" si="171"/>
        <v>0</v>
      </c>
      <c r="V482" s="604">
        <f t="shared" si="172"/>
        <v>0</v>
      </c>
      <c r="W482" s="604">
        <f t="shared" si="173"/>
        <v>0</v>
      </c>
      <c r="X482" s="746">
        <v>0</v>
      </c>
      <c r="Y482" s="746">
        <f t="shared" si="174"/>
        <v>0</v>
      </c>
    </row>
    <row r="483" spans="2:25">
      <c r="B483" s="598" t="s">
        <v>2595</v>
      </c>
      <c r="C483" s="604" t="s">
        <v>1107</v>
      </c>
      <c r="D483" s="745">
        <v>2012</v>
      </c>
      <c r="E483" s="604" t="s">
        <v>1456</v>
      </c>
      <c r="F483" s="738">
        <v>0.4</v>
      </c>
      <c r="G483" s="739">
        <v>600</v>
      </c>
      <c r="H483" s="741">
        <v>600</v>
      </c>
      <c r="I483" s="742">
        <f t="shared" si="160"/>
        <v>0</v>
      </c>
      <c r="J483" s="740">
        <f t="shared" si="161"/>
        <v>0</v>
      </c>
      <c r="K483" s="739">
        <f t="shared" si="162"/>
        <v>600</v>
      </c>
      <c r="L483" s="860">
        <f t="shared" si="163"/>
        <v>0</v>
      </c>
      <c r="M483" s="740">
        <f t="shared" si="175"/>
        <v>0</v>
      </c>
      <c r="N483" s="604">
        <f t="shared" si="164"/>
        <v>0</v>
      </c>
      <c r="O483" s="604">
        <f t="shared" si="165"/>
        <v>0</v>
      </c>
      <c r="P483" s="604">
        <f t="shared" si="166"/>
        <v>0</v>
      </c>
      <c r="Q483" s="604">
        <f t="shared" si="167"/>
        <v>0</v>
      </c>
      <c r="R483" s="604">
        <f t="shared" si="168"/>
        <v>0</v>
      </c>
      <c r="S483" s="604">
        <f t="shared" si="169"/>
        <v>0</v>
      </c>
      <c r="T483" s="604">
        <f t="shared" si="170"/>
        <v>0</v>
      </c>
      <c r="U483" s="604">
        <f t="shared" si="171"/>
        <v>0</v>
      </c>
      <c r="V483" s="604">
        <f t="shared" si="172"/>
        <v>0</v>
      </c>
      <c r="W483" s="604">
        <f t="shared" si="173"/>
        <v>0</v>
      </c>
      <c r="X483" s="746">
        <v>0</v>
      </c>
      <c r="Y483" s="746">
        <f t="shared" si="174"/>
        <v>0</v>
      </c>
    </row>
    <row r="484" spans="2:25">
      <c r="B484" s="598" t="s">
        <v>2595</v>
      </c>
      <c r="C484" s="604" t="s">
        <v>1107</v>
      </c>
      <c r="D484" s="745">
        <v>2012</v>
      </c>
      <c r="E484" s="604" t="s">
        <v>1457</v>
      </c>
      <c r="F484" s="738">
        <v>0.4</v>
      </c>
      <c r="G484" s="739">
        <v>600</v>
      </c>
      <c r="H484" s="741">
        <v>600</v>
      </c>
      <c r="I484" s="742">
        <f t="shared" si="160"/>
        <v>0</v>
      </c>
      <c r="J484" s="740">
        <f t="shared" si="161"/>
        <v>0</v>
      </c>
      <c r="K484" s="739">
        <f t="shared" si="162"/>
        <v>600</v>
      </c>
      <c r="L484" s="860">
        <f t="shared" si="163"/>
        <v>0</v>
      </c>
      <c r="M484" s="740">
        <f t="shared" si="175"/>
        <v>0</v>
      </c>
      <c r="N484" s="604">
        <f t="shared" si="164"/>
        <v>0</v>
      </c>
      <c r="O484" s="604">
        <f t="shared" si="165"/>
        <v>0</v>
      </c>
      <c r="P484" s="604">
        <f t="shared" si="166"/>
        <v>0</v>
      </c>
      <c r="Q484" s="604">
        <f t="shared" si="167"/>
        <v>0</v>
      </c>
      <c r="R484" s="604">
        <f t="shared" si="168"/>
        <v>0</v>
      </c>
      <c r="S484" s="604">
        <f t="shared" si="169"/>
        <v>0</v>
      </c>
      <c r="T484" s="604">
        <f t="shared" si="170"/>
        <v>0</v>
      </c>
      <c r="U484" s="604">
        <f t="shared" si="171"/>
        <v>0</v>
      </c>
      <c r="V484" s="604">
        <f t="shared" si="172"/>
        <v>0</v>
      </c>
      <c r="W484" s="604">
        <f t="shared" si="173"/>
        <v>0</v>
      </c>
      <c r="X484" s="746">
        <v>0</v>
      </c>
      <c r="Y484" s="746">
        <f t="shared" si="174"/>
        <v>0</v>
      </c>
    </row>
    <row r="485" spans="2:25">
      <c r="B485" s="598" t="s">
        <v>2595</v>
      </c>
      <c r="C485" s="604" t="s">
        <v>1107</v>
      </c>
      <c r="D485" s="745">
        <v>2012</v>
      </c>
      <c r="E485" s="604" t="s">
        <v>1458</v>
      </c>
      <c r="F485" s="738">
        <v>0.4</v>
      </c>
      <c r="G485" s="739">
        <v>1000</v>
      </c>
      <c r="H485" s="741">
        <v>1000</v>
      </c>
      <c r="I485" s="742">
        <f t="shared" si="160"/>
        <v>0</v>
      </c>
      <c r="J485" s="740">
        <f t="shared" si="161"/>
        <v>0</v>
      </c>
      <c r="K485" s="739">
        <f t="shared" si="162"/>
        <v>1000</v>
      </c>
      <c r="L485" s="860">
        <f t="shared" si="163"/>
        <v>0</v>
      </c>
      <c r="M485" s="740">
        <f t="shared" si="175"/>
        <v>0</v>
      </c>
      <c r="N485" s="604">
        <f t="shared" si="164"/>
        <v>0</v>
      </c>
      <c r="O485" s="604">
        <f t="shared" si="165"/>
        <v>0</v>
      </c>
      <c r="P485" s="604">
        <f t="shared" si="166"/>
        <v>0</v>
      </c>
      <c r="Q485" s="604">
        <f t="shared" si="167"/>
        <v>0</v>
      </c>
      <c r="R485" s="604">
        <f t="shared" si="168"/>
        <v>0</v>
      </c>
      <c r="S485" s="604">
        <f t="shared" si="169"/>
        <v>0</v>
      </c>
      <c r="T485" s="604">
        <f t="shared" si="170"/>
        <v>0</v>
      </c>
      <c r="U485" s="604">
        <f t="shared" si="171"/>
        <v>0</v>
      </c>
      <c r="V485" s="604">
        <f t="shared" si="172"/>
        <v>0</v>
      </c>
      <c r="W485" s="604">
        <f t="shared" si="173"/>
        <v>0</v>
      </c>
      <c r="X485" s="746">
        <v>0</v>
      </c>
      <c r="Y485" s="746">
        <f t="shared" si="174"/>
        <v>0</v>
      </c>
    </row>
    <row r="486" spans="2:25">
      <c r="B486" s="598" t="s">
        <v>2595</v>
      </c>
      <c r="C486" s="604" t="s">
        <v>1107</v>
      </c>
      <c r="D486" s="745">
        <v>2012</v>
      </c>
      <c r="E486" s="604" t="s">
        <v>1459</v>
      </c>
      <c r="F486" s="738">
        <v>0.4</v>
      </c>
      <c r="G486" s="739">
        <v>2000</v>
      </c>
      <c r="H486" s="741">
        <v>2000</v>
      </c>
      <c r="I486" s="742">
        <f t="shared" si="160"/>
        <v>0</v>
      </c>
      <c r="J486" s="740">
        <f t="shared" si="161"/>
        <v>0</v>
      </c>
      <c r="K486" s="739">
        <f t="shared" si="162"/>
        <v>2000</v>
      </c>
      <c r="L486" s="860">
        <f t="shared" si="163"/>
        <v>0</v>
      </c>
      <c r="M486" s="740">
        <f t="shared" si="175"/>
        <v>0</v>
      </c>
      <c r="N486" s="604">
        <f t="shared" si="164"/>
        <v>0</v>
      </c>
      <c r="O486" s="604">
        <f t="shared" si="165"/>
        <v>0</v>
      </c>
      <c r="P486" s="604">
        <f t="shared" si="166"/>
        <v>0</v>
      </c>
      <c r="Q486" s="604">
        <f t="shared" si="167"/>
        <v>0</v>
      </c>
      <c r="R486" s="604">
        <f t="shared" si="168"/>
        <v>0</v>
      </c>
      <c r="S486" s="604">
        <f t="shared" si="169"/>
        <v>0</v>
      </c>
      <c r="T486" s="604">
        <f t="shared" si="170"/>
        <v>0</v>
      </c>
      <c r="U486" s="604">
        <f t="shared" si="171"/>
        <v>0</v>
      </c>
      <c r="V486" s="604">
        <f t="shared" si="172"/>
        <v>0</v>
      </c>
      <c r="W486" s="604">
        <f t="shared" si="173"/>
        <v>0</v>
      </c>
      <c r="X486" s="746">
        <v>0</v>
      </c>
      <c r="Y486" s="746">
        <f t="shared" si="174"/>
        <v>0</v>
      </c>
    </row>
    <row r="487" spans="2:25">
      <c r="B487" s="598" t="s">
        <v>2595</v>
      </c>
      <c r="C487" s="604" t="s">
        <v>1107</v>
      </c>
      <c r="D487" s="745">
        <v>2012</v>
      </c>
      <c r="E487" s="604" t="s">
        <v>1460</v>
      </c>
      <c r="F487" s="738">
        <v>0.4</v>
      </c>
      <c r="G487" s="739">
        <v>1100</v>
      </c>
      <c r="H487" s="741">
        <v>1100</v>
      </c>
      <c r="I487" s="742">
        <f t="shared" si="160"/>
        <v>0</v>
      </c>
      <c r="J487" s="740">
        <f t="shared" si="161"/>
        <v>0</v>
      </c>
      <c r="K487" s="739">
        <f t="shared" si="162"/>
        <v>1100</v>
      </c>
      <c r="L487" s="860">
        <f t="shared" si="163"/>
        <v>0</v>
      </c>
      <c r="M487" s="740">
        <f t="shared" si="175"/>
        <v>0</v>
      </c>
      <c r="N487" s="604">
        <f t="shared" si="164"/>
        <v>0</v>
      </c>
      <c r="O487" s="604">
        <f t="shared" si="165"/>
        <v>0</v>
      </c>
      <c r="P487" s="604">
        <f t="shared" si="166"/>
        <v>0</v>
      </c>
      <c r="Q487" s="604">
        <f t="shared" si="167"/>
        <v>0</v>
      </c>
      <c r="R487" s="604">
        <f t="shared" si="168"/>
        <v>0</v>
      </c>
      <c r="S487" s="604">
        <f t="shared" si="169"/>
        <v>0</v>
      </c>
      <c r="T487" s="604">
        <f t="shared" si="170"/>
        <v>0</v>
      </c>
      <c r="U487" s="604">
        <f t="shared" si="171"/>
        <v>0</v>
      </c>
      <c r="V487" s="604">
        <f t="shared" si="172"/>
        <v>0</v>
      </c>
      <c r="W487" s="604">
        <f t="shared" si="173"/>
        <v>0</v>
      </c>
      <c r="X487" s="746">
        <v>0</v>
      </c>
      <c r="Y487" s="746">
        <f t="shared" si="174"/>
        <v>0</v>
      </c>
    </row>
    <row r="488" spans="2:25">
      <c r="B488" s="598" t="s">
        <v>2595</v>
      </c>
      <c r="C488" s="604" t="s">
        <v>1107</v>
      </c>
      <c r="D488" s="745">
        <v>2012</v>
      </c>
      <c r="E488" s="604" t="s">
        <v>1461</v>
      </c>
      <c r="F488" s="738">
        <v>0.4</v>
      </c>
      <c r="G488" s="739">
        <v>1100</v>
      </c>
      <c r="H488" s="741">
        <v>1100</v>
      </c>
      <c r="I488" s="742">
        <f t="shared" si="160"/>
        <v>0</v>
      </c>
      <c r="J488" s="740">
        <f t="shared" si="161"/>
        <v>0</v>
      </c>
      <c r="K488" s="739">
        <f t="shared" si="162"/>
        <v>1100</v>
      </c>
      <c r="L488" s="860">
        <f t="shared" si="163"/>
        <v>0</v>
      </c>
      <c r="M488" s="740">
        <f t="shared" si="175"/>
        <v>0</v>
      </c>
      <c r="N488" s="604">
        <f t="shared" si="164"/>
        <v>0</v>
      </c>
      <c r="O488" s="604">
        <f t="shared" si="165"/>
        <v>0</v>
      </c>
      <c r="P488" s="604">
        <f t="shared" si="166"/>
        <v>0</v>
      </c>
      <c r="Q488" s="604">
        <f t="shared" si="167"/>
        <v>0</v>
      </c>
      <c r="R488" s="604">
        <f t="shared" si="168"/>
        <v>0</v>
      </c>
      <c r="S488" s="604">
        <f t="shared" si="169"/>
        <v>0</v>
      </c>
      <c r="T488" s="604">
        <f t="shared" si="170"/>
        <v>0</v>
      </c>
      <c r="U488" s="604">
        <f t="shared" si="171"/>
        <v>0</v>
      </c>
      <c r="V488" s="604">
        <f t="shared" si="172"/>
        <v>0</v>
      </c>
      <c r="W488" s="604">
        <f t="shared" si="173"/>
        <v>0</v>
      </c>
      <c r="X488" s="746">
        <v>0</v>
      </c>
      <c r="Y488" s="746">
        <f t="shared" si="174"/>
        <v>0</v>
      </c>
    </row>
    <row r="489" spans="2:25">
      <c r="B489" s="598" t="s">
        <v>2595</v>
      </c>
      <c r="C489" s="604" t="s">
        <v>1107</v>
      </c>
      <c r="D489" s="745">
        <v>2012</v>
      </c>
      <c r="E489" s="604" t="s">
        <v>1462</v>
      </c>
      <c r="F489" s="738">
        <v>0.4</v>
      </c>
      <c r="G489" s="739">
        <v>1100</v>
      </c>
      <c r="H489" s="741">
        <v>1100</v>
      </c>
      <c r="I489" s="742">
        <f t="shared" si="160"/>
        <v>0</v>
      </c>
      <c r="J489" s="740">
        <f t="shared" si="161"/>
        <v>0</v>
      </c>
      <c r="K489" s="739">
        <f t="shared" si="162"/>
        <v>1100</v>
      </c>
      <c r="L489" s="860">
        <f t="shared" si="163"/>
        <v>0</v>
      </c>
      <c r="M489" s="740">
        <f t="shared" si="175"/>
        <v>0</v>
      </c>
      <c r="N489" s="604">
        <f t="shared" si="164"/>
        <v>0</v>
      </c>
      <c r="O489" s="604">
        <f t="shared" si="165"/>
        <v>0</v>
      </c>
      <c r="P489" s="604">
        <f t="shared" si="166"/>
        <v>0</v>
      </c>
      <c r="Q489" s="604">
        <f t="shared" si="167"/>
        <v>0</v>
      </c>
      <c r="R489" s="604">
        <f t="shared" si="168"/>
        <v>0</v>
      </c>
      <c r="S489" s="604">
        <f t="shared" si="169"/>
        <v>0</v>
      </c>
      <c r="T489" s="604">
        <f t="shared" si="170"/>
        <v>0</v>
      </c>
      <c r="U489" s="604">
        <f t="shared" si="171"/>
        <v>0</v>
      </c>
      <c r="V489" s="604">
        <f t="shared" si="172"/>
        <v>0</v>
      </c>
      <c r="W489" s="604">
        <f t="shared" si="173"/>
        <v>0</v>
      </c>
      <c r="X489" s="746">
        <v>0</v>
      </c>
      <c r="Y489" s="746">
        <f t="shared" si="174"/>
        <v>0</v>
      </c>
    </row>
    <row r="490" spans="2:25">
      <c r="B490" s="598" t="s">
        <v>2595</v>
      </c>
      <c r="C490" s="604" t="s">
        <v>1107</v>
      </c>
      <c r="D490" s="745">
        <v>2012</v>
      </c>
      <c r="E490" s="604" t="s">
        <v>1463</v>
      </c>
      <c r="F490" s="738">
        <v>0.4</v>
      </c>
      <c r="G490" s="739">
        <v>600</v>
      </c>
      <c r="H490" s="741">
        <v>600</v>
      </c>
      <c r="I490" s="742">
        <f t="shared" si="160"/>
        <v>0</v>
      </c>
      <c r="J490" s="740">
        <f t="shared" si="161"/>
        <v>0</v>
      </c>
      <c r="K490" s="739">
        <f t="shared" si="162"/>
        <v>600</v>
      </c>
      <c r="L490" s="860">
        <f t="shared" si="163"/>
        <v>0</v>
      </c>
      <c r="M490" s="740">
        <f t="shared" si="175"/>
        <v>0</v>
      </c>
      <c r="N490" s="604">
        <f t="shared" si="164"/>
        <v>0</v>
      </c>
      <c r="O490" s="604">
        <f t="shared" si="165"/>
        <v>0</v>
      </c>
      <c r="P490" s="604">
        <f t="shared" si="166"/>
        <v>0</v>
      </c>
      <c r="Q490" s="604">
        <f t="shared" si="167"/>
        <v>0</v>
      </c>
      <c r="R490" s="604">
        <f t="shared" si="168"/>
        <v>0</v>
      </c>
      <c r="S490" s="604">
        <f t="shared" si="169"/>
        <v>0</v>
      </c>
      <c r="T490" s="604">
        <f t="shared" si="170"/>
        <v>0</v>
      </c>
      <c r="U490" s="604">
        <f t="shared" si="171"/>
        <v>0</v>
      </c>
      <c r="V490" s="604">
        <f t="shared" si="172"/>
        <v>0</v>
      </c>
      <c r="W490" s="604">
        <f t="shared" si="173"/>
        <v>0</v>
      </c>
      <c r="X490" s="746">
        <v>0</v>
      </c>
      <c r="Y490" s="746">
        <f t="shared" si="174"/>
        <v>0</v>
      </c>
    </row>
    <row r="491" spans="2:25">
      <c r="B491" s="598" t="s">
        <v>2595</v>
      </c>
      <c r="C491" s="604" t="s">
        <v>1107</v>
      </c>
      <c r="D491" s="745">
        <v>2012</v>
      </c>
      <c r="E491" s="604" t="s">
        <v>1464</v>
      </c>
      <c r="F491" s="738">
        <v>0.4</v>
      </c>
      <c r="G491" s="739">
        <v>600</v>
      </c>
      <c r="H491" s="741">
        <v>600</v>
      </c>
      <c r="I491" s="742">
        <f t="shared" si="160"/>
        <v>0</v>
      </c>
      <c r="J491" s="740">
        <f t="shared" si="161"/>
        <v>0</v>
      </c>
      <c r="K491" s="739">
        <f t="shared" si="162"/>
        <v>600</v>
      </c>
      <c r="L491" s="860">
        <f t="shared" si="163"/>
        <v>0</v>
      </c>
      <c r="M491" s="740">
        <f t="shared" si="175"/>
        <v>0</v>
      </c>
      <c r="N491" s="604">
        <f t="shared" si="164"/>
        <v>0</v>
      </c>
      <c r="O491" s="604">
        <f t="shared" si="165"/>
        <v>0</v>
      </c>
      <c r="P491" s="604">
        <f t="shared" si="166"/>
        <v>0</v>
      </c>
      <c r="Q491" s="604">
        <f t="shared" si="167"/>
        <v>0</v>
      </c>
      <c r="R491" s="604">
        <f t="shared" si="168"/>
        <v>0</v>
      </c>
      <c r="S491" s="604">
        <f t="shared" si="169"/>
        <v>0</v>
      </c>
      <c r="T491" s="604">
        <f t="shared" si="170"/>
        <v>0</v>
      </c>
      <c r="U491" s="604">
        <f t="shared" si="171"/>
        <v>0</v>
      </c>
      <c r="V491" s="604">
        <f t="shared" si="172"/>
        <v>0</v>
      </c>
      <c r="W491" s="604">
        <f t="shared" si="173"/>
        <v>0</v>
      </c>
      <c r="X491" s="746">
        <v>0</v>
      </c>
      <c r="Y491" s="746">
        <f t="shared" si="174"/>
        <v>0</v>
      </c>
    </row>
    <row r="492" spans="2:25">
      <c r="B492" s="598" t="s">
        <v>2595</v>
      </c>
      <c r="C492" s="604" t="s">
        <v>1107</v>
      </c>
      <c r="D492" s="745">
        <v>2012</v>
      </c>
      <c r="E492" s="604" t="s">
        <v>1465</v>
      </c>
      <c r="F492" s="738">
        <v>0.4</v>
      </c>
      <c r="G492" s="739">
        <v>1100</v>
      </c>
      <c r="H492" s="741">
        <v>1100</v>
      </c>
      <c r="I492" s="742">
        <f t="shared" si="160"/>
        <v>0</v>
      </c>
      <c r="J492" s="740">
        <f t="shared" si="161"/>
        <v>0</v>
      </c>
      <c r="K492" s="739">
        <f t="shared" si="162"/>
        <v>1100</v>
      </c>
      <c r="L492" s="860">
        <f t="shared" si="163"/>
        <v>0</v>
      </c>
      <c r="M492" s="740">
        <f t="shared" si="175"/>
        <v>0</v>
      </c>
      <c r="N492" s="604">
        <f t="shared" si="164"/>
        <v>0</v>
      </c>
      <c r="O492" s="604">
        <f t="shared" si="165"/>
        <v>0</v>
      </c>
      <c r="P492" s="604">
        <f t="shared" si="166"/>
        <v>0</v>
      </c>
      <c r="Q492" s="604">
        <f t="shared" si="167"/>
        <v>0</v>
      </c>
      <c r="R492" s="604">
        <f t="shared" si="168"/>
        <v>0</v>
      </c>
      <c r="S492" s="604">
        <f t="shared" si="169"/>
        <v>0</v>
      </c>
      <c r="T492" s="604">
        <f t="shared" si="170"/>
        <v>0</v>
      </c>
      <c r="U492" s="604">
        <f t="shared" si="171"/>
        <v>0</v>
      </c>
      <c r="V492" s="604">
        <f t="shared" si="172"/>
        <v>0</v>
      </c>
      <c r="W492" s="604">
        <f t="shared" si="173"/>
        <v>0</v>
      </c>
      <c r="X492" s="746">
        <v>0</v>
      </c>
      <c r="Y492" s="746">
        <f t="shared" si="174"/>
        <v>0</v>
      </c>
    </row>
    <row r="493" spans="2:25">
      <c r="B493" s="598" t="s">
        <v>2595</v>
      </c>
      <c r="C493" s="604" t="s">
        <v>1107</v>
      </c>
      <c r="D493" s="745">
        <v>2012</v>
      </c>
      <c r="E493" s="604" t="s">
        <v>1466</v>
      </c>
      <c r="F493" s="738">
        <v>0.4</v>
      </c>
      <c r="G493" s="739">
        <v>1200</v>
      </c>
      <c r="H493" s="741">
        <v>1200</v>
      </c>
      <c r="I493" s="742">
        <f t="shared" si="160"/>
        <v>0</v>
      </c>
      <c r="J493" s="740">
        <f t="shared" si="161"/>
        <v>0</v>
      </c>
      <c r="K493" s="739">
        <f t="shared" si="162"/>
        <v>1200</v>
      </c>
      <c r="L493" s="860">
        <f t="shared" si="163"/>
        <v>0</v>
      </c>
      <c r="M493" s="740">
        <f t="shared" si="175"/>
        <v>0</v>
      </c>
      <c r="N493" s="604">
        <f t="shared" si="164"/>
        <v>0</v>
      </c>
      <c r="O493" s="604">
        <f t="shared" si="165"/>
        <v>0</v>
      </c>
      <c r="P493" s="604">
        <f t="shared" si="166"/>
        <v>0</v>
      </c>
      <c r="Q493" s="604">
        <f t="shared" si="167"/>
        <v>0</v>
      </c>
      <c r="R493" s="604">
        <f t="shared" si="168"/>
        <v>0</v>
      </c>
      <c r="S493" s="604">
        <f t="shared" si="169"/>
        <v>0</v>
      </c>
      <c r="T493" s="604">
        <f t="shared" si="170"/>
        <v>0</v>
      </c>
      <c r="U493" s="604">
        <f t="shared" si="171"/>
        <v>0</v>
      </c>
      <c r="V493" s="604">
        <f t="shared" si="172"/>
        <v>0</v>
      </c>
      <c r="W493" s="604">
        <f t="shared" si="173"/>
        <v>0</v>
      </c>
      <c r="X493" s="746">
        <v>0</v>
      </c>
      <c r="Y493" s="746">
        <f t="shared" si="174"/>
        <v>0</v>
      </c>
    </row>
    <row r="494" spans="2:25">
      <c r="B494" s="598" t="s">
        <v>2595</v>
      </c>
      <c r="C494" s="604" t="s">
        <v>1107</v>
      </c>
      <c r="D494" s="745">
        <v>2012</v>
      </c>
      <c r="E494" s="604" t="s">
        <v>1467</v>
      </c>
      <c r="F494" s="738">
        <v>0.4</v>
      </c>
      <c r="G494" s="739">
        <v>600</v>
      </c>
      <c r="H494" s="741">
        <v>600</v>
      </c>
      <c r="I494" s="742">
        <f t="shared" si="160"/>
        <v>0</v>
      </c>
      <c r="J494" s="740">
        <f t="shared" si="161"/>
        <v>0</v>
      </c>
      <c r="K494" s="739">
        <f t="shared" si="162"/>
        <v>600</v>
      </c>
      <c r="L494" s="860">
        <f t="shared" si="163"/>
        <v>0</v>
      </c>
      <c r="M494" s="740">
        <f t="shared" si="175"/>
        <v>0</v>
      </c>
      <c r="N494" s="604">
        <f t="shared" si="164"/>
        <v>0</v>
      </c>
      <c r="O494" s="604">
        <f t="shared" si="165"/>
        <v>0</v>
      </c>
      <c r="P494" s="604">
        <f t="shared" si="166"/>
        <v>0</v>
      </c>
      <c r="Q494" s="604">
        <f t="shared" si="167"/>
        <v>0</v>
      </c>
      <c r="R494" s="604">
        <f t="shared" si="168"/>
        <v>0</v>
      </c>
      <c r="S494" s="604">
        <f t="shared" si="169"/>
        <v>0</v>
      </c>
      <c r="T494" s="604">
        <f t="shared" si="170"/>
        <v>0</v>
      </c>
      <c r="U494" s="604">
        <f t="shared" si="171"/>
        <v>0</v>
      </c>
      <c r="V494" s="604">
        <f t="shared" si="172"/>
        <v>0</v>
      </c>
      <c r="W494" s="604">
        <f t="shared" si="173"/>
        <v>0</v>
      </c>
      <c r="X494" s="746">
        <v>0</v>
      </c>
      <c r="Y494" s="746">
        <f t="shared" si="174"/>
        <v>0</v>
      </c>
    </row>
    <row r="495" spans="2:25">
      <c r="B495" s="598" t="s">
        <v>2595</v>
      </c>
      <c r="C495" s="604" t="s">
        <v>1107</v>
      </c>
      <c r="D495" s="745">
        <v>2012</v>
      </c>
      <c r="E495" s="604" t="s">
        <v>1468</v>
      </c>
      <c r="F495" s="738">
        <v>0.4</v>
      </c>
      <c r="G495" s="739">
        <v>1500</v>
      </c>
      <c r="H495" s="741">
        <v>1500</v>
      </c>
      <c r="I495" s="742">
        <f t="shared" ref="I495:I558" si="176">+G495-H495</f>
        <v>0</v>
      </c>
      <c r="J495" s="740">
        <f t="shared" ref="J495:J558" si="177">IF(I495=0,0,G495*F495)</f>
        <v>0</v>
      </c>
      <c r="K495" s="739">
        <f t="shared" ref="K495:K558" si="178">+H495+J495</f>
        <v>1500</v>
      </c>
      <c r="L495" s="860">
        <f t="shared" ref="L495:L558" si="179">+G495-K495</f>
        <v>0</v>
      </c>
      <c r="M495" s="740">
        <f t="shared" si="175"/>
        <v>0</v>
      </c>
      <c r="N495" s="604">
        <f t="shared" si="164"/>
        <v>0</v>
      </c>
      <c r="O495" s="604">
        <f t="shared" si="165"/>
        <v>0</v>
      </c>
      <c r="P495" s="604">
        <f t="shared" si="166"/>
        <v>0</v>
      </c>
      <c r="Q495" s="604">
        <f t="shared" si="167"/>
        <v>0</v>
      </c>
      <c r="R495" s="604">
        <f t="shared" si="168"/>
        <v>0</v>
      </c>
      <c r="S495" s="604">
        <f t="shared" si="169"/>
        <v>0</v>
      </c>
      <c r="T495" s="604">
        <f t="shared" si="170"/>
        <v>0</v>
      </c>
      <c r="U495" s="604">
        <f t="shared" si="171"/>
        <v>0</v>
      </c>
      <c r="V495" s="604">
        <f t="shared" si="172"/>
        <v>0</v>
      </c>
      <c r="W495" s="604">
        <f t="shared" si="173"/>
        <v>0</v>
      </c>
      <c r="X495" s="746">
        <v>0</v>
      </c>
      <c r="Y495" s="746">
        <f t="shared" si="174"/>
        <v>0</v>
      </c>
    </row>
    <row r="496" spans="2:25">
      <c r="B496" s="598" t="s">
        <v>2595</v>
      </c>
      <c r="C496" s="604" t="s">
        <v>1107</v>
      </c>
      <c r="D496" s="745">
        <v>2012</v>
      </c>
      <c r="E496" s="604" t="s">
        <v>1469</v>
      </c>
      <c r="F496" s="738">
        <v>0.4</v>
      </c>
      <c r="G496" s="739">
        <v>700</v>
      </c>
      <c r="H496" s="741">
        <v>700</v>
      </c>
      <c r="I496" s="742">
        <f t="shared" si="176"/>
        <v>0</v>
      </c>
      <c r="J496" s="740">
        <f t="shared" si="177"/>
        <v>0</v>
      </c>
      <c r="K496" s="739">
        <f t="shared" si="178"/>
        <v>700</v>
      </c>
      <c r="L496" s="860">
        <f t="shared" si="179"/>
        <v>0</v>
      </c>
      <c r="M496" s="740">
        <f t="shared" si="175"/>
        <v>0</v>
      </c>
      <c r="N496" s="604">
        <f t="shared" si="164"/>
        <v>0</v>
      </c>
      <c r="O496" s="604">
        <f t="shared" si="165"/>
        <v>0</v>
      </c>
      <c r="P496" s="604">
        <f t="shared" si="166"/>
        <v>0</v>
      </c>
      <c r="Q496" s="604">
        <f t="shared" si="167"/>
        <v>0</v>
      </c>
      <c r="R496" s="604">
        <f t="shared" si="168"/>
        <v>0</v>
      </c>
      <c r="S496" s="604">
        <f t="shared" si="169"/>
        <v>0</v>
      </c>
      <c r="T496" s="604">
        <f t="shared" si="170"/>
        <v>0</v>
      </c>
      <c r="U496" s="604">
        <f t="shared" si="171"/>
        <v>0</v>
      </c>
      <c r="V496" s="604">
        <f t="shared" si="172"/>
        <v>0</v>
      </c>
      <c r="W496" s="604">
        <f t="shared" si="173"/>
        <v>0</v>
      </c>
      <c r="X496" s="746">
        <v>0</v>
      </c>
      <c r="Y496" s="746">
        <f t="shared" si="174"/>
        <v>0</v>
      </c>
    </row>
    <row r="497" spans="2:25">
      <c r="B497" s="598" t="s">
        <v>2595</v>
      </c>
      <c r="C497" s="604" t="s">
        <v>1107</v>
      </c>
      <c r="D497" s="745">
        <v>2012</v>
      </c>
      <c r="E497" s="604" t="s">
        <v>1470</v>
      </c>
      <c r="F497" s="738">
        <v>0.4</v>
      </c>
      <c r="G497" s="739">
        <v>14810</v>
      </c>
      <c r="H497" s="741">
        <v>14810</v>
      </c>
      <c r="I497" s="742">
        <f t="shared" si="176"/>
        <v>0</v>
      </c>
      <c r="J497" s="740">
        <f t="shared" si="177"/>
        <v>0</v>
      </c>
      <c r="K497" s="739">
        <f t="shared" si="178"/>
        <v>14810</v>
      </c>
      <c r="L497" s="860">
        <f t="shared" si="179"/>
        <v>0</v>
      </c>
      <c r="M497" s="740">
        <f t="shared" si="175"/>
        <v>0</v>
      </c>
      <c r="N497" s="604">
        <f t="shared" si="164"/>
        <v>0</v>
      </c>
      <c r="O497" s="604">
        <f t="shared" si="165"/>
        <v>0</v>
      </c>
      <c r="P497" s="604">
        <f t="shared" si="166"/>
        <v>0</v>
      </c>
      <c r="Q497" s="604">
        <f t="shared" si="167"/>
        <v>0</v>
      </c>
      <c r="R497" s="604">
        <f t="shared" si="168"/>
        <v>0</v>
      </c>
      <c r="S497" s="604">
        <f t="shared" si="169"/>
        <v>0</v>
      </c>
      <c r="T497" s="604">
        <f t="shared" si="170"/>
        <v>0</v>
      </c>
      <c r="U497" s="604">
        <f t="shared" si="171"/>
        <v>0</v>
      </c>
      <c r="V497" s="604">
        <f t="shared" si="172"/>
        <v>0</v>
      </c>
      <c r="W497" s="604">
        <f t="shared" si="173"/>
        <v>0</v>
      </c>
      <c r="X497" s="746">
        <v>0</v>
      </c>
      <c r="Y497" s="746">
        <f t="shared" si="174"/>
        <v>0</v>
      </c>
    </row>
    <row r="498" spans="2:25">
      <c r="B498" s="598" t="s">
        <v>2595</v>
      </c>
      <c r="C498" s="604" t="s">
        <v>1107</v>
      </c>
      <c r="D498" s="745">
        <v>2012</v>
      </c>
      <c r="E498" s="604"/>
      <c r="F498" s="738">
        <v>0.4</v>
      </c>
      <c r="G498" s="739">
        <v>12770</v>
      </c>
      <c r="H498" s="741">
        <v>12770</v>
      </c>
      <c r="I498" s="742">
        <f t="shared" si="176"/>
        <v>0</v>
      </c>
      <c r="J498" s="740">
        <f t="shared" si="177"/>
        <v>0</v>
      </c>
      <c r="K498" s="739">
        <f t="shared" si="178"/>
        <v>12770</v>
      </c>
      <c r="L498" s="860">
        <f t="shared" si="179"/>
        <v>0</v>
      </c>
      <c r="M498" s="740">
        <f t="shared" si="175"/>
        <v>0</v>
      </c>
      <c r="N498" s="604">
        <f t="shared" si="164"/>
        <v>0</v>
      </c>
      <c r="O498" s="604">
        <f t="shared" si="165"/>
        <v>0</v>
      </c>
      <c r="P498" s="604">
        <f t="shared" si="166"/>
        <v>0</v>
      </c>
      <c r="Q498" s="604">
        <f t="shared" si="167"/>
        <v>0</v>
      </c>
      <c r="R498" s="604">
        <f t="shared" si="168"/>
        <v>0</v>
      </c>
      <c r="S498" s="604">
        <f t="shared" si="169"/>
        <v>0</v>
      </c>
      <c r="T498" s="604">
        <f t="shared" si="170"/>
        <v>0</v>
      </c>
      <c r="U498" s="604">
        <f t="shared" si="171"/>
        <v>0</v>
      </c>
      <c r="V498" s="604">
        <f t="shared" si="172"/>
        <v>0</v>
      </c>
      <c r="W498" s="604">
        <f t="shared" si="173"/>
        <v>0</v>
      </c>
      <c r="X498" s="746">
        <v>0</v>
      </c>
      <c r="Y498" s="746">
        <f t="shared" si="174"/>
        <v>0</v>
      </c>
    </row>
    <row r="499" spans="2:25">
      <c r="B499" s="598" t="s">
        <v>2595</v>
      </c>
      <c r="C499" s="604" t="s">
        <v>1107</v>
      </c>
      <c r="D499" s="745">
        <v>2012</v>
      </c>
      <c r="E499" s="604" t="s">
        <v>1471</v>
      </c>
      <c r="F499" s="738">
        <v>0.4</v>
      </c>
      <c r="G499" s="739">
        <v>4000</v>
      </c>
      <c r="H499" s="741">
        <v>4000</v>
      </c>
      <c r="I499" s="742">
        <f t="shared" si="176"/>
        <v>0</v>
      </c>
      <c r="J499" s="740">
        <f t="shared" si="177"/>
        <v>0</v>
      </c>
      <c r="K499" s="739">
        <f t="shared" si="178"/>
        <v>4000</v>
      </c>
      <c r="L499" s="860">
        <f t="shared" si="179"/>
        <v>0</v>
      </c>
      <c r="M499" s="740">
        <f t="shared" si="175"/>
        <v>0</v>
      </c>
      <c r="N499" s="604">
        <f t="shared" si="164"/>
        <v>0</v>
      </c>
      <c r="O499" s="604">
        <f t="shared" si="165"/>
        <v>0</v>
      </c>
      <c r="P499" s="604">
        <f t="shared" si="166"/>
        <v>0</v>
      </c>
      <c r="Q499" s="604">
        <f t="shared" si="167"/>
        <v>0</v>
      </c>
      <c r="R499" s="604">
        <f t="shared" si="168"/>
        <v>0</v>
      </c>
      <c r="S499" s="604">
        <f t="shared" si="169"/>
        <v>0</v>
      </c>
      <c r="T499" s="604">
        <f t="shared" si="170"/>
        <v>0</v>
      </c>
      <c r="U499" s="604">
        <f t="shared" si="171"/>
        <v>0</v>
      </c>
      <c r="V499" s="604">
        <f t="shared" si="172"/>
        <v>0</v>
      </c>
      <c r="W499" s="604">
        <f t="shared" si="173"/>
        <v>0</v>
      </c>
      <c r="X499" s="746">
        <v>0</v>
      </c>
      <c r="Y499" s="746">
        <f t="shared" si="174"/>
        <v>0</v>
      </c>
    </row>
    <row r="500" spans="2:25">
      <c r="B500" s="598" t="s">
        <v>2595</v>
      </c>
      <c r="C500" s="604" t="s">
        <v>1107</v>
      </c>
      <c r="D500" s="745">
        <v>2012</v>
      </c>
      <c r="E500" s="604" t="s">
        <v>1472</v>
      </c>
      <c r="F500" s="738">
        <v>0.4</v>
      </c>
      <c r="G500" s="739">
        <v>1500</v>
      </c>
      <c r="H500" s="741">
        <v>1500</v>
      </c>
      <c r="I500" s="742">
        <f t="shared" si="176"/>
        <v>0</v>
      </c>
      <c r="J500" s="740">
        <f t="shared" si="177"/>
        <v>0</v>
      </c>
      <c r="K500" s="739">
        <f t="shared" si="178"/>
        <v>1500</v>
      </c>
      <c r="L500" s="860">
        <f t="shared" si="179"/>
        <v>0</v>
      </c>
      <c r="M500" s="740">
        <f t="shared" si="175"/>
        <v>0</v>
      </c>
      <c r="N500" s="604">
        <f t="shared" si="164"/>
        <v>0</v>
      </c>
      <c r="O500" s="604">
        <f t="shared" si="165"/>
        <v>0</v>
      </c>
      <c r="P500" s="604">
        <f t="shared" si="166"/>
        <v>0</v>
      </c>
      <c r="Q500" s="604">
        <f t="shared" si="167"/>
        <v>0</v>
      </c>
      <c r="R500" s="604">
        <f t="shared" si="168"/>
        <v>0</v>
      </c>
      <c r="S500" s="604">
        <f t="shared" si="169"/>
        <v>0</v>
      </c>
      <c r="T500" s="604">
        <f t="shared" si="170"/>
        <v>0</v>
      </c>
      <c r="U500" s="604">
        <f t="shared" si="171"/>
        <v>0</v>
      </c>
      <c r="V500" s="604">
        <f t="shared" si="172"/>
        <v>0</v>
      </c>
      <c r="W500" s="604">
        <f t="shared" si="173"/>
        <v>0</v>
      </c>
      <c r="X500" s="746">
        <v>0</v>
      </c>
      <c r="Y500" s="746">
        <f t="shared" si="174"/>
        <v>0</v>
      </c>
    </row>
    <row r="501" spans="2:25">
      <c r="B501" s="598" t="s">
        <v>2595</v>
      </c>
      <c r="C501" s="604" t="s">
        <v>1107</v>
      </c>
      <c r="D501" s="745">
        <v>2012</v>
      </c>
      <c r="E501" s="604" t="s">
        <v>1473</v>
      </c>
      <c r="F501" s="738">
        <v>0.4</v>
      </c>
      <c r="G501" s="739">
        <v>1200</v>
      </c>
      <c r="H501" s="741">
        <v>1200</v>
      </c>
      <c r="I501" s="742">
        <f t="shared" si="176"/>
        <v>0</v>
      </c>
      <c r="J501" s="740">
        <f t="shared" si="177"/>
        <v>0</v>
      </c>
      <c r="K501" s="739">
        <f t="shared" si="178"/>
        <v>1200</v>
      </c>
      <c r="L501" s="860">
        <f t="shared" si="179"/>
        <v>0</v>
      </c>
      <c r="M501" s="740">
        <f t="shared" si="175"/>
        <v>0</v>
      </c>
      <c r="N501" s="604">
        <f t="shared" si="164"/>
        <v>0</v>
      </c>
      <c r="O501" s="604">
        <f t="shared" si="165"/>
        <v>0</v>
      </c>
      <c r="P501" s="604">
        <f t="shared" si="166"/>
        <v>0</v>
      </c>
      <c r="Q501" s="604">
        <f t="shared" si="167"/>
        <v>0</v>
      </c>
      <c r="R501" s="604">
        <f t="shared" si="168"/>
        <v>0</v>
      </c>
      <c r="S501" s="604">
        <f t="shared" si="169"/>
        <v>0</v>
      </c>
      <c r="T501" s="604">
        <f t="shared" si="170"/>
        <v>0</v>
      </c>
      <c r="U501" s="604">
        <f t="shared" si="171"/>
        <v>0</v>
      </c>
      <c r="V501" s="604">
        <f t="shared" si="172"/>
        <v>0</v>
      </c>
      <c r="W501" s="604">
        <f t="shared" si="173"/>
        <v>0</v>
      </c>
      <c r="X501" s="746">
        <v>0</v>
      </c>
      <c r="Y501" s="746">
        <f t="shared" si="174"/>
        <v>0</v>
      </c>
    </row>
    <row r="502" spans="2:25">
      <c r="B502" s="598" t="s">
        <v>2595</v>
      </c>
      <c r="C502" s="604" t="s">
        <v>1107</v>
      </c>
      <c r="D502" s="745">
        <v>2012</v>
      </c>
      <c r="E502" s="604" t="s">
        <v>1474</v>
      </c>
      <c r="F502" s="738">
        <v>0.4</v>
      </c>
      <c r="G502" s="739">
        <v>620</v>
      </c>
      <c r="H502" s="741">
        <v>620</v>
      </c>
      <c r="I502" s="742">
        <f t="shared" si="176"/>
        <v>0</v>
      </c>
      <c r="J502" s="740">
        <f t="shared" si="177"/>
        <v>0</v>
      </c>
      <c r="K502" s="739">
        <f t="shared" si="178"/>
        <v>620</v>
      </c>
      <c r="L502" s="860">
        <f t="shared" si="179"/>
        <v>0</v>
      </c>
      <c r="M502" s="740">
        <f t="shared" si="175"/>
        <v>0</v>
      </c>
      <c r="N502" s="604">
        <f t="shared" si="164"/>
        <v>0</v>
      </c>
      <c r="O502" s="604">
        <f t="shared" si="165"/>
        <v>0</v>
      </c>
      <c r="P502" s="604">
        <f t="shared" si="166"/>
        <v>0</v>
      </c>
      <c r="Q502" s="604">
        <f t="shared" si="167"/>
        <v>0</v>
      </c>
      <c r="R502" s="604">
        <f t="shared" si="168"/>
        <v>0</v>
      </c>
      <c r="S502" s="604">
        <f t="shared" si="169"/>
        <v>0</v>
      </c>
      <c r="T502" s="604">
        <f t="shared" si="170"/>
        <v>0</v>
      </c>
      <c r="U502" s="604">
        <f t="shared" si="171"/>
        <v>0</v>
      </c>
      <c r="V502" s="604">
        <f t="shared" si="172"/>
        <v>0</v>
      </c>
      <c r="W502" s="604">
        <f t="shared" si="173"/>
        <v>0</v>
      </c>
      <c r="X502" s="746">
        <v>0</v>
      </c>
      <c r="Y502" s="746">
        <f t="shared" si="174"/>
        <v>0</v>
      </c>
    </row>
    <row r="503" spans="2:25">
      <c r="B503" s="598" t="s">
        <v>2595</v>
      </c>
      <c r="C503" s="604" t="s">
        <v>1107</v>
      </c>
      <c r="D503" s="745">
        <v>2012</v>
      </c>
      <c r="E503" s="604" t="s">
        <v>1475</v>
      </c>
      <c r="F503" s="738">
        <v>0.4</v>
      </c>
      <c r="G503" s="739">
        <v>4100</v>
      </c>
      <c r="H503" s="741">
        <v>4100</v>
      </c>
      <c r="I503" s="742">
        <f t="shared" si="176"/>
        <v>0</v>
      </c>
      <c r="J503" s="740">
        <f t="shared" si="177"/>
        <v>0</v>
      </c>
      <c r="K503" s="739">
        <f t="shared" si="178"/>
        <v>4100</v>
      </c>
      <c r="L503" s="860">
        <f t="shared" si="179"/>
        <v>0</v>
      </c>
      <c r="M503" s="740">
        <f t="shared" si="175"/>
        <v>0</v>
      </c>
      <c r="N503" s="604">
        <f t="shared" si="164"/>
        <v>0</v>
      </c>
      <c r="O503" s="604">
        <f t="shared" si="165"/>
        <v>0</v>
      </c>
      <c r="P503" s="604">
        <f t="shared" si="166"/>
        <v>0</v>
      </c>
      <c r="Q503" s="604">
        <f t="shared" si="167"/>
        <v>0</v>
      </c>
      <c r="R503" s="604">
        <f t="shared" si="168"/>
        <v>0</v>
      </c>
      <c r="S503" s="604">
        <f t="shared" si="169"/>
        <v>0</v>
      </c>
      <c r="T503" s="604">
        <f t="shared" si="170"/>
        <v>0</v>
      </c>
      <c r="U503" s="604">
        <f t="shared" si="171"/>
        <v>0</v>
      </c>
      <c r="V503" s="604">
        <f t="shared" si="172"/>
        <v>0</v>
      </c>
      <c r="W503" s="604">
        <f t="shared" si="173"/>
        <v>0</v>
      </c>
      <c r="X503" s="746">
        <v>0</v>
      </c>
      <c r="Y503" s="746">
        <f t="shared" si="174"/>
        <v>0</v>
      </c>
    </row>
    <row r="504" spans="2:25">
      <c r="B504" s="598" t="s">
        <v>2595</v>
      </c>
      <c r="C504" s="604" t="s">
        <v>1107</v>
      </c>
      <c r="D504" s="745">
        <v>2012</v>
      </c>
      <c r="E504" s="604" t="s">
        <v>1476</v>
      </c>
      <c r="F504" s="738">
        <v>0.4</v>
      </c>
      <c r="G504" s="739">
        <v>1250</v>
      </c>
      <c r="H504" s="741">
        <v>1250</v>
      </c>
      <c r="I504" s="742">
        <f t="shared" si="176"/>
        <v>0</v>
      </c>
      <c r="J504" s="740">
        <f t="shared" si="177"/>
        <v>0</v>
      </c>
      <c r="K504" s="739">
        <f t="shared" si="178"/>
        <v>1250</v>
      </c>
      <c r="L504" s="860">
        <f t="shared" si="179"/>
        <v>0</v>
      </c>
      <c r="M504" s="740">
        <f t="shared" si="175"/>
        <v>0</v>
      </c>
      <c r="N504" s="604">
        <f t="shared" si="164"/>
        <v>0</v>
      </c>
      <c r="O504" s="604">
        <f t="shared" si="165"/>
        <v>0</v>
      </c>
      <c r="P504" s="604">
        <f t="shared" si="166"/>
        <v>0</v>
      </c>
      <c r="Q504" s="604">
        <f t="shared" si="167"/>
        <v>0</v>
      </c>
      <c r="R504" s="604">
        <f t="shared" si="168"/>
        <v>0</v>
      </c>
      <c r="S504" s="604">
        <f t="shared" si="169"/>
        <v>0</v>
      </c>
      <c r="T504" s="604">
        <f t="shared" si="170"/>
        <v>0</v>
      </c>
      <c r="U504" s="604">
        <f t="shared" si="171"/>
        <v>0</v>
      </c>
      <c r="V504" s="604">
        <f t="shared" si="172"/>
        <v>0</v>
      </c>
      <c r="W504" s="604">
        <f t="shared" si="173"/>
        <v>0</v>
      </c>
      <c r="X504" s="746">
        <v>0</v>
      </c>
      <c r="Y504" s="746">
        <f t="shared" si="174"/>
        <v>0</v>
      </c>
    </row>
    <row r="505" spans="2:25">
      <c r="B505" s="598" t="s">
        <v>2595</v>
      </c>
      <c r="C505" s="604" t="s">
        <v>1107</v>
      </c>
      <c r="D505" s="745">
        <v>2012</v>
      </c>
      <c r="E505" s="604" t="s">
        <v>1477</v>
      </c>
      <c r="F505" s="738">
        <v>0.4</v>
      </c>
      <c r="G505" s="739">
        <v>22580</v>
      </c>
      <c r="H505" s="741">
        <v>22580</v>
      </c>
      <c r="I505" s="742">
        <f t="shared" si="176"/>
        <v>0</v>
      </c>
      <c r="J505" s="740">
        <f t="shared" si="177"/>
        <v>0</v>
      </c>
      <c r="K505" s="739">
        <f t="shared" si="178"/>
        <v>22580</v>
      </c>
      <c r="L505" s="860">
        <f t="shared" si="179"/>
        <v>0</v>
      </c>
      <c r="M505" s="740">
        <f t="shared" si="175"/>
        <v>0</v>
      </c>
      <c r="N505" s="604">
        <f t="shared" si="164"/>
        <v>0</v>
      </c>
      <c r="O505" s="604">
        <f t="shared" si="165"/>
        <v>0</v>
      </c>
      <c r="P505" s="604">
        <f t="shared" si="166"/>
        <v>0</v>
      </c>
      <c r="Q505" s="604">
        <f t="shared" si="167"/>
        <v>0</v>
      </c>
      <c r="R505" s="604">
        <f t="shared" si="168"/>
        <v>0</v>
      </c>
      <c r="S505" s="604">
        <f t="shared" si="169"/>
        <v>0</v>
      </c>
      <c r="T505" s="604">
        <f t="shared" si="170"/>
        <v>0</v>
      </c>
      <c r="U505" s="604">
        <f t="shared" si="171"/>
        <v>0</v>
      </c>
      <c r="V505" s="604">
        <f t="shared" si="172"/>
        <v>0</v>
      </c>
      <c r="W505" s="604">
        <f t="shared" si="173"/>
        <v>0</v>
      </c>
      <c r="X505" s="746">
        <v>0</v>
      </c>
      <c r="Y505" s="746">
        <f t="shared" si="174"/>
        <v>0</v>
      </c>
    </row>
    <row r="506" spans="2:25">
      <c r="B506" s="598" t="s">
        <v>2595</v>
      </c>
      <c r="C506" s="604" t="s">
        <v>1107</v>
      </c>
      <c r="D506" s="745">
        <v>2012</v>
      </c>
      <c r="E506" s="604" t="s">
        <v>1478</v>
      </c>
      <c r="F506" s="738">
        <v>0.4</v>
      </c>
      <c r="G506" s="739">
        <v>1931</v>
      </c>
      <c r="H506" s="741">
        <v>1931</v>
      </c>
      <c r="I506" s="742">
        <f t="shared" si="176"/>
        <v>0</v>
      </c>
      <c r="J506" s="740">
        <f t="shared" si="177"/>
        <v>0</v>
      </c>
      <c r="K506" s="739">
        <f t="shared" si="178"/>
        <v>1931</v>
      </c>
      <c r="L506" s="860">
        <f t="shared" si="179"/>
        <v>0</v>
      </c>
      <c r="M506" s="740">
        <f t="shared" si="175"/>
        <v>0</v>
      </c>
      <c r="N506" s="604">
        <f t="shared" si="164"/>
        <v>0</v>
      </c>
      <c r="O506" s="604">
        <f t="shared" si="165"/>
        <v>0</v>
      </c>
      <c r="P506" s="604">
        <f t="shared" si="166"/>
        <v>0</v>
      </c>
      <c r="Q506" s="604">
        <f t="shared" si="167"/>
        <v>0</v>
      </c>
      <c r="R506" s="604">
        <f t="shared" si="168"/>
        <v>0</v>
      </c>
      <c r="S506" s="604">
        <f t="shared" si="169"/>
        <v>0</v>
      </c>
      <c r="T506" s="604">
        <f t="shared" si="170"/>
        <v>0</v>
      </c>
      <c r="U506" s="604">
        <f t="shared" si="171"/>
        <v>0</v>
      </c>
      <c r="V506" s="604">
        <f t="shared" si="172"/>
        <v>0</v>
      </c>
      <c r="W506" s="604">
        <f t="shared" si="173"/>
        <v>0</v>
      </c>
      <c r="X506" s="746">
        <v>0</v>
      </c>
      <c r="Y506" s="746">
        <f t="shared" si="174"/>
        <v>0</v>
      </c>
    </row>
    <row r="507" spans="2:25">
      <c r="B507" s="598" t="s">
        <v>2595</v>
      </c>
      <c r="C507" s="604" t="s">
        <v>1107</v>
      </c>
      <c r="D507" s="745">
        <v>2012</v>
      </c>
      <c r="E507" s="604" t="s">
        <v>1479</v>
      </c>
      <c r="F507" s="738">
        <v>0.4</v>
      </c>
      <c r="G507" s="739">
        <v>3100</v>
      </c>
      <c r="H507" s="741">
        <v>3100</v>
      </c>
      <c r="I507" s="742">
        <f t="shared" si="176"/>
        <v>0</v>
      </c>
      <c r="J507" s="740">
        <f t="shared" si="177"/>
        <v>0</v>
      </c>
      <c r="K507" s="739">
        <f t="shared" si="178"/>
        <v>3100</v>
      </c>
      <c r="L507" s="860">
        <f t="shared" si="179"/>
        <v>0</v>
      </c>
      <c r="M507" s="740">
        <f t="shared" si="175"/>
        <v>0</v>
      </c>
      <c r="N507" s="604">
        <f t="shared" si="164"/>
        <v>0</v>
      </c>
      <c r="O507" s="604">
        <f t="shared" si="165"/>
        <v>0</v>
      </c>
      <c r="P507" s="604">
        <f t="shared" si="166"/>
        <v>0</v>
      </c>
      <c r="Q507" s="604">
        <f t="shared" si="167"/>
        <v>0</v>
      </c>
      <c r="R507" s="604">
        <f t="shared" si="168"/>
        <v>0</v>
      </c>
      <c r="S507" s="604">
        <f t="shared" si="169"/>
        <v>0</v>
      </c>
      <c r="T507" s="604">
        <f t="shared" si="170"/>
        <v>0</v>
      </c>
      <c r="U507" s="604">
        <f t="shared" si="171"/>
        <v>0</v>
      </c>
      <c r="V507" s="604">
        <f t="shared" si="172"/>
        <v>0</v>
      </c>
      <c r="W507" s="604">
        <f t="shared" si="173"/>
        <v>0</v>
      </c>
      <c r="X507" s="746">
        <v>0</v>
      </c>
      <c r="Y507" s="746">
        <f t="shared" si="174"/>
        <v>0</v>
      </c>
    </row>
    <row r="508" spans="2:25">
      <c r="B508" s="598" t="s">
        <v>2595</v>
      </c>
      <c r="C508" s="604" t="s">
        <v>1107</v>
      </c>
      <c r="D508" s="745">
        <v>2012</v>
      </c>
      <c r="E508" s="604"/>
      <c r="F508" s="738">
        <v>0.4</v>
      </c>
      <c r="G508" s="739">
        <v>-700</v>
      </c>
      <c r="H508" s="741">
        <v>-700</v>
      </c>
      <c r="I508" s="742">
        <f t="shared" si="176"/>
        <v>0</v>
      </c>
      <c r="J508" s="740">
        <f t="shared" si="177"/>
        <v>0</v>
      </c>
      <c r="K508" s="739">
        <f t="shared" si="178"/>
        <v>-700</v>
      </c>
      <c r="L508" s="860">
        <f t="shared" si="179"/>
        <v>0</v>
      </c>
      <c r="M508" s="740">
        <f t="shared" si="175"/>
        <v>0</v>
      </c>
      <c r="N508" s="604">
        <f t="shared" si="164"/>
        <v>0</v>
      </c>
      <c r="O508" s="604">
        <f t="shared" si="165"/>
        <v>0</v>
      </c>
      <c r="P508" s="604">
        <f t="shared" si="166"/>
        <v>0</v>
      </c>
      <c r="Q508" s="604">
        <f t="shared" si="167"/>
        <v>0</v>
      </c>
      <c r="R508" s="604">
        <f t="shared" si="168"/>
        <v>0</v>
      </c>
      <c r="S508" s="604">
        <f t="shared" si="169"/>
        <v>0</v>
      </c>
      <c r="T508" s="604">
        <f t="shared" si="170"/>
        <v>0</v>
      </c>
      <c r="U508" s="604">
        <f t="shared" si="171"/>
        <v>0</v>
      </c>
      <c r="V508" s="604">
        <f t="shared" si="172"/>
        <v>0</v>
      </c>
      <c r="W508" s="604">
        <f t="shared" si="173"/>
        <v>0</v>
      </c>
      <c r="X508" s="746">
        <v>0</v>
      </c>
      <c r="Y508" s="746">
        <f t="shared" si="174"/>
        <v>0</v>
      </c>
    </row>
    <row r="509" spans="2:25">
      <c r="B509" s="598" t="s">
        <v>2595</v>
      </c>
      <c r="C509" s="604" t="s">
        <v>1107</v>
      </c>
      <c r="D509" s="745">
        <v>2012</v>
      </c>
      <c r="E509" s="604" t="s">
        <v>1480</v>
      </c>
      <c r="F509" s="738">
        <v>0.4</v>
      </c>
      <c r="G509" s="739">
        <v>23500</v>
      </c>
      <c r="H509" s="741">
        <v>23500</v>
      </c>
      <c r="I509" s="742">
        <f t="shared" si="176"/>
        <v>0</v>
      </c>
      <c r="J509" s="740">
        <f t="shared" si="177"/>
        <v>0</v>
      </c>
      <c r="K509" s="739">
        <f t="shared" si="178"/>
        <v>23500</v>
      </c>
      <c r="L509" s="860">
        <f t="shared" si="179"/>
        <v>0</v>
      </c>
      <c r="M509" s="740">
        <f t="shared" si="175"/>
        <v>0</v>
      </c>
      <c r="N509" s="604">
        <f t="shared" si="164"/>
        <v>0</v>
      </c>
      <c r="O509" s="604">
        <f t="shared" si="165"/>
        <v>0</v>
      </c>
      <c r="P509" s="604">
        <f t="shared" si="166"/>
        <v>0</v>
      </c>
      <c r="Q509" s="604">
        <f t="shared" si="167"/>
        <v>0</v>
      </c>
      <c r="R509" s="604">
        <f t="shared" si="168"/>
        <v>0</v>
      </c>
      <c r="S509" s="604">
        <f t="shared" si="169"/>
        <v>0</v>
      </c>
      <c r="T509" s="604">
        <f t="shared" si="170"/>
        <v>0</v>
      </c>
      <c r="U509" s="604">
        <f t="shared" si="171"/>
        <v>0</v>
      </c>
      <c r="V509" s="604">
        <f t="shared" si="172"/>
        <v>0</v>
      </c>
      <c r="W509" s="604">
        <f t="shared" si="173"/>
        <v>0</v>
      </c>
      <c r="X509" s="746">
        <v>0</v>
      </c>
      <c r="Y509" s="746">
        <f t="shared" si="174"/>
        <v>0</v>
      </c>
    </row>
    <row r="510" spans="2:25">
      <c r="B510" s="598" t="s">
        <v>2595</v>
      </c>
      <c r="C510" s="604" t="s">
        <v>1107</v>
      </c>
      <c r="D510" s="745">
        <v>2012</v>
      </c>
      <c r="E510" s="604" t="s">
        <v>1481</v>
      </c>
      <c r="F510" s="738">
        <v>0.4</v>
      </c>
      <c r="G510" s="739">
        <v>14655</v>
      </c>
      <c r="H510" s="741">
        <v>14655</v>
      </c>
      <c r="I510" s="742">
        <f t="shared" si="176"/>
        <v>0</v>
      </c>
      <c r="J510" s="740">
        <f t="shared" si="177"/>
        <v>0</v>
      </c>
      <c r="K510" s="739">
        <f t="shared" si="178"/>
        <v>14655</v>
      </c>
      <c r="L510" s="860">
        <f t="shared" si="179"/>
        <v>0</v>
      </c>
      <c r="M510" s="740">
        <f t="shared" si="175"/>
        <v>0</v>
      </c>
      <c r="N510" s="604">
        <f t="shared" si="164"/>
        <v>0</v>
      </c>
      <c r="O510" s="604">
        <f t="shared" si="165"/>
        <v>0</v>
      </c>
      <c r="P510" s="604">
        <f t="shared" si="166"/>
        <v>0</v>
      </c>
      <c r="Q510" s="604">
        <f t="shared" si="167"/>
        <v>0</v>
      </c>
      <c r="R510" s="604">
        <f t="shared" si="168"/>
        <v>0</v>
      </c>
      <c r="S510" s="604">
        <f t="shared" si="169"/>
        <v>0</v>
      </c>
      <c r="T510" s="604">
        <f t="shared" si="170"/>
        <v>0</v>
      </c>
      <c r="U510" s="604">
        <f t="shared" si="171"/>
        <v>0</v>
      </c>
      <c r="V510" s="604">
        <f t="shared" si="172"/>
        <v>0</v>
      </c>
      <c r="W510" s="604">
        <f t="shared" si="173"/>
        <v>0</v>
      </c>
      <c r="X510" s="746">
        <v>0</v>
      </c>
      <c r="Y510" s="746">
        <f t="shared" si="174"/>
        <v>0</v>
      </c>
    </row>
    <row r="511" spans="2:25">
      <c r="B511" s="598" t="s">
        <v>2595</v>
      </c>
      <c r="C511" s="604" t="s">
        <v>1107</v>
      </c>
      <c r="D511" s="745">
        <v>2012</v>
      </c>
      <c r="E511" s="604"/>
      <c r="F511" s="738">
        <v>0.4</v>
      </c>
      <c r="G511" s="739">
        <v>-420</v>
      </c>
      <c r="H511" s="741">
        <v>-420</v>
      </c>
      <c r="I511" s="742">
        <f t="shared" si="176"/>
        <v>0</v>
      </c>
      <c r="J511" s="740">
        <f t="shared" si="177"/>
        <v>0</v>
      </c>
      <c r="K511" s="739">
        <f t="shared" si="178"/>
        <v>-420</v>
      </c>
      <c r="L511" s="860">
        <f t="shared" si="179"/>
        <v>0</v>
      </c>
      <c r="M511" s="740">
        <f t="shared" si="175"/>
        <v>0</v>
      </c>
      <c r="N511" s="604">
        <f t="shared" si="164"/>
        <v>0</v>
      </c>
      <c r="O511" s="604">
        <f t="shared" si="165"/>
        <v>0</v>
      </c>
      <c r="P511" s="604">
        <f t="shared" si="166"/>
        <v>0</v>
      </c>
      <c r="Q511" s="604">
        <f t="shared" si="167"/>
        <v>0</v>
      </c>
      <c r="R511" s="604">
        <f t="shared" si="168"/>
        <v>0</v>
      </c>
      <c r="S511" s="604">
        <f t="shared" si="169"/>
        <v>0</v>
      </c>
      <c r="T511" s="604">
        <f t="shared" si="170"/>
        <v>0</v>
      </c>
      <c r="U511" s="604">
        <f t="shared" si="171"/>
        <v>0</v>
      </c>
      <c r="V511" s="604">
        <f t="shared" si="172"/>
        <v>0</v>
      </c>
      <c r="W511" s="604">
        <f t="shared" si="173"/>
        <v>0</v>
      </c>
      <c r="X511" s="746">
        <v>0</v>
      </c>
      <c r="Y511" s="746">
        <f t="shared" si="174"/>
        <v>0</v>
      </c>
    </row>
    <row r="512" spans="2:25">
      <c r="B512" s="598" t="s">
        <v>2595</v>
      </c>
      <c r="C512" s="604" t="s">
        <v>1107</v>
      </c>
      <c r="D512" s="745">
        <v>2012</v>
      </c>
      <c r="E512" s="604" t="s">
        <v>1482</v>
      </c>
      <c r="F512" s="738">
        <v>0.4</v>
      </c>
      <c r="G512" s="739">
        <v>2435.25</v>
      </c>
      <c r="H512" s="741">
        <v>2435.25</v>
      </c>
      <c r="I512" s="742">
        <f t="shared" si="176"/>
        <v>0</v>
      </c>
      <c r="J512" s="740">
        <f t="shared" si="177"/>
        <v>0</v>
      </c>
      <c r="K512" s="739">
        <f t="shared" si="178"/>
        <v>2435.25</v>
      </c>
      <c r="L512" s="860">
        <f t="shared" si="179"/>
        <v>0</v>
      </c>
      <c r="M512" s="740">
        <f t="shared" si="175"/>
        <v>0</v>
      </c>
      <c r="N512" s="604">
        <f t="shared" si="164"/>
        <v>0</v>
      </c>
      <c r="O512" s="604">
        <f t="shared" si="165"/>
        <v>0</v>
      </c>
      <c r="P512" s="604">
        <f t="shared" si="166"/>
        <v>0</v>
      </c>
      <c r="Q512" s="604">
        <f t="shared" si="167"/>
        <v>0</v>
      </c>
      <c r="R512" s="604">
        <f t="shared" si="168"/>
        <v>0</v>
      </c>
      <c r="S512" s="604">
        <f t="shared" si="169"/>
        <v>0</v>
      </c>
      <c r="T512" s="604">
        <f t="shared" si="170"/>
        <v>0</v>
      </c>
      <c r="U512" s="604">
        <f t="shared" si="171"/>
        <v>0</v>
      </c>
      <c r="V512" s="604">
        <f t="shared" si="172"/>
        <v>0</v>
      </c>
      <c r="W512" s="604">
        <f t="shared" si="173"/>
        <v>0</v>
      </c>
      <c r="X512" s="746">
        <v>0</v>
      </c>
      <c r="Y512" s="746">
        <f t="shared" si="174"/>
        <v>0</v>
      </c>
    </row>
    <row r="513" spans="2:25">
      <c r="B513" s="598" t="s">
        <v>2595</v>
      </c>
      <c r="C513" s="604" t="s">
        <v>1107</v>
      </c>
      <c r="D513" s="745">
        <v>2012</v>
      </c>
      <c r="E513" s="604" t="s">
        <v>1483</v>
      </c>
      <c r="F513" s="738">
        <v>0.4</v>
      </c>
      <c r="G513" s="739">
        <v>681.06</v>
      </c>
      <c r="H513" s="741">
        <v>681.06</v>
      </c>
      <c r="I513" s="742">
        <f t="shared" si="176"/>
        <v>0</v>
      </c>
      <c r="J513" s="740">
        <f t="shared" si="177"/>
        <v>0</v>
      </c>
      <c r="K513" s="739">
        <f t="shared" si="178"/>
        <v>681.06</v>
      </c>
      <c r="L513" s="860">
        <f t="shared" si="179"/>
        <v>0</v>
      </c>
      <c r="M513" s="740">
        <f t="shared" si="175"/>
        <v>0</v>
      </c>
      <c r="N513" s="604">
        <f t="shared" si="164"/>
        <v>0</v>
      </c>
      <c r="O513" s="604">
        <f t="shared" si="165"/>
        <v>0</v>
      </c>
      <c r="P513" s="604">
        <f t="shared" si="166"/>
        <v>0</v>
      </c>
      <c r="Q513" s="604">
        <f t="shared" si="167"/>
        <v>0</v>
      </c>
      <c r="R513" s="604">
        <f t="shared" si="168"/>
        <v>0</v>
      </c>
      <c r="S513" s="604">
        <f t="shared" si="169"/>
        <v>0</v>
      </c>
      <c r="T513" s="604">
        <f t="shared" si="170"/>
        <v>0</v>
      </c>
      <c r="U513" s="604">
        <f t="shared" si="171"/>
        <v>0</v>
      </c>
      <c r="V513" s="604">
        <f t="shared" si="172"/>
        <v>0</v>
      </c>
      <c r="W513" s="604">
        <f t="shared" si="173"/>
        <v>0</v>
      </c>
      <c r="X513" s="746">
        <v>0</v>
      </c>
      <c r="Y513" s="746">
        <f t="shared" si="174"/>
        <v>0</v>
      </c>
    </row>
    <row r="514" spans="2:25">
      <c r="B514" s="598" t="s">
        <v>2595</v>
      </c>
      <c r="C514" s="604" t="s">
        <v>1107</v>
      </c>
      <c r="D514" s="745">
        <v>2012</v>
      </c>
      <c r="E514" s="604" t="s">
        <v>1484</v>
      </c>
      <c r="F514" s="738">
        <v>0.4</v>
      </c>
      <c r="G514" s="739">
        <v>13780</v>
      </c>
      <c r="H514" s="741">
        <v>13780</v>
      </c>
      <c r="I514" s="742">
        <f t="shared" si="176"/>
        <v>0</v>
      </c>
      <c r="J514" s="740">
        <f t="shared" si="177"/>
        <v>0</v>
      </c>
      <c r="K514" s="739">
        <f t="shared" si="178"/>
        <v>13780</v>
      </c>
      <c r="L514" s="860">
        <f t="shared" si="179"/>
        <v>0</v>
      </c>
      <c r="M514" s="740">
        <f t="shared" si="175"/>
        <v>0</v>
      </c>
      <c r="N514" s="604">
        <f t="shared" si="164"/>
        <v>0</v>
      </c>
      <c r="O514" s="604">
        <f t="shared" si="165"/>
        <v>0</v>
      </c>
      <c r="P514" s="604">
        <f t="shared" si="166"/>
        <v>0</v>
      </c>
      <c r="Q514" s="604">
        <f t="shared" si="167"/>
        <v>0</v>
      </c>
      <c r="R514" s="604">
        <f t="shared" si="168"/>
        <v>0</v>
      </c>
      <c r="S514" s="604">
        <f t="shared" si="169"/>
        <v>0</v>
      </c>
      <c r="T514" s="604">
        <f t="shared" si="170"/>
        <v>0</v>
      </c>
      <c r="U514" s="604">
        <f t="shared" si="171"/>
        <v>0</v>
      </c>
      <c r="V514" s="604">
        <f t="shared" si="172"/>
        <v>0</v>
      </c>
      <c r="W514" s="604">
        <f t="shared" si="173"/>
        <v>0</v>
      </c>
      <c r="X514" s="746">
        <v>0</v>
      </c>
      <c r="Y514" s="746">
        <f t="shared" si="174"/>
        <v>0</v>
      </c>
    </row>
    <row r="515" spans="2:25">
      <c r="B515" s="598" t="s">
        <v>2595</v>
      </c>
      <c r="C515" s="604" t="s">
        <v>1107</v>
      </c>
      <c r="D515" s="745">
        <v>2012</v>
      </c>
      <c r="E515" s="604"/>
      <c r="F515" s="738">
        <v>0.4</v>
      </c>
      <c r="G515" s="739">
        <v>10600</v>
      </c>
      <c r="H515" s="741">
        <v>10600</v>
      </c>
      <c r="I515" s="742">
        <f t="shared" si="176"/>
        <v>0</v>
      </c>
      <c r="J515" s="740">
        <f t="shared" si="177"/>
        <v>0</v>
      </c>
      <c r="K515" s="739">
        <f t="shared" si="178"/>
        <v>10600</v>
      </c>
      <c r="L515" s="860">
        <f t="shared" si="179"/>
        <v>0</v>
      </c>
      <c r="M515" s="740">
        <f t="shared" si="175"/>
        <v>0</v>
      </c>
      <c r="N515" s="604">
        <f t="shared" si="164"/>
        <v>0</v>
      </c>
      <c r="O515" s="604">
        <f t="shared" si="165"/>
        <v>0</v>
      </c>
      <c r="P515" s="604">
        <f t="shared" si="166"/>
        <v>0</v>
      </c>
      <c r="Q515" s="604">
        <f t="shared" si="167"/>
        <v>0</v>
      </c>
      <c r="R515" s="604">
        <f t="shared" si="168"/>
        <v>0</v>
      </c>
      <c r="S515" s="604">
        <f t="shared" si="169"/>
        <v>0</v>
      </c>
      <c r="T515" s="604">
        <f t="shared" si="170"/>
        <v>0</v>
      </c>
      <c r="U515" s="604">
        <f t="shared" si="171"/>
        <v>0</v>
      </c>
      <c r="V515" s="604">
        <f t="shared" si="172"/>
        <v>0</v>
      </c>
      <c r="W515" s="604">
        <f t="shared" si="173"/>
        <v>0</v>
      </c>
      <c r="X515" s="746">
        <v>0</v>
      </c>
      <c r="Y515" s="746">
        <f t="shared" si="174"/>
        <v>0</v>
      </c>
    </row>
    <row r="516" spans="2:25">
      <c r="B516" s="598" t="s">
        <v>2595</v>
      </c>
      <c r="C516" s="604" t="s">
        <v>1107</v>
      </c>
      <c r="D516" s="745">
        <v>2012</v>
      </c>
      <c r="E516" s="604"/>
      <c r="F516" s="738">
        <v>0.4</v>
      </c>
      <c r="G516" s="739">
        <v>9540</v>
      </c>
      <c r="H516" s="741">
        <v>9540</v>
      </c>
      <c r="I516" s="742">
        <f t="shared" si="176"/>
        <v>0</v>
      </c>
      <c r="J516" s="740">
        <f t="shared" si="177"/>
        <v>0</v>
      </c>
      <c r="K516" s="739">
        <f t="shared" si="178"/>
        <v>9540</v>
      </c>
      <c r="L516" s="860">
        <f t="shared" si="179"/>
        <v>0</v>
      </c>
      <c r="M516" s="740">
        <f t="shared" si="175"/>
        <v>0</v>
      </c>
      <c r="N516" s="604">
        <f t="shared" si="164"/>
        <v>0</v>
      </c>
      <c r="O516" s="604">
        <f t="shared" si="165"/>
        <v>0</v>
      </c>
      <c r="P516" s="604">
        <f t="shared" si="166"/>
        <v>0</v>
      </c>
      <c r="Q516" s="604">
        <f t="shared" si="167"/>
        <v>0</v>
      </c>
      <c r="R516" s="604">
        <f t="shared" si="168"/>
        <v>0</v>
      </c>
      <c r="S516" s="604">
        <f t="shared" si="169"/>
        <v>0</v>
      </c>
      <c r="T516" s="604">
        <f t="shared" si="170"/>
        <v>0</v>
      </c>
      <c r="U516" s="604">
        <f t="shared" si="171"/>
        <v>0</v>
      </c>
      <c r="V516" s="604">
        <f t="shared" si="172"/>
        <v>0</v>
      </c>
      <c r="W516" s="604">
        <f t="shared" si="173"/>
        <v>0</v>
      </c>
      <c r="X516" s="746">
        <v>0</v>
      </c>
      <c r="Y516" s="746">
        <f t="shared" si="174"/>
        <v>0</v>
      </c>
    </row>
    <row r="517" spans="2:25">
      <c r="B517" s="598" t="s">
        <v>2595</v>
      </c>
      <c r="C517" s="604" t="s">
        <v>1107</v>
      </c>
      <c r="D517" s="745">
        <v>2012</v>
      </c>
      <c r="E517" s="604" t="s">
        <v>1485</v>
      </c>
      <c r="F517" s="738">
        <v>0.4</v>
      </c>
      <c r="G517" s="739">
        <v>30000</v>
      </c>
      <c r="H517" s="741">
        <v>30000</v>
      </c>
      <c r="I517" s="742">
        <f t="shared" si="176"/>
        <v>0</v>
      </c>
      <c r="J517" s="740">
        <f t="shared" si="177"/>
        <v>0</v>
      </c>
      <c r="K517" s="739">
        <f t="shared" si="178"/>
        <v>30000</v>
      </c>
      <c r="L517" s="860">
        <f t="shared" si="179"/>
        <v>0</v>
      </c>
      <c r="M517" s="740">
        <f t="shared" si="175"/>
        <v>0</v>
      </c>
      <c r="N517" s="604">
        <f t="shared" si="164"/>
        <v>0</v>
      </c>
      <c r="O517" s="604">
        <f t="shared" si="165"/>
        <v>0</v>
      </c>
      <c r="P517" s="604">
        <f t="shared" si="166"/>
        <v>0</v>
      </c>
      <c r="Q517" s="604">
        <f t="shared" si="167"/>
        <v>0</v>
      </c>
      <c r="R517" s="604">
        <f t="shared" si="168"/>
        <v>0</v>
      </c>
      <c r="S517" s="604">
        <f t="shared" si="169"/>
        <v>0</v>
      </c>
      <c r="T517" s="604">
        <f t="shared" si="170"/>
        <v>0</v>
      </c>
      <c r="U517" s="604">
        <f t="shared" si="171"/>
        <v>0</v>
      </c>
      <c r="V517" s="604">
        <f t="shared" si="172"/>
        <v>0</v>
      </c>
      <c r="W517" s="604">
        <f t="shared" si="173"/>
        <v>0</v>
      </c>
      <c r="X517" s="746">
        <v>0</v>
      </c>
      <c r="Y517" s="746">
        <f t="shared" si="174"/>
        <v>0</v>
      </c>
    </row>
    <row r="518" spans="2:25">
      <c r="B518" s="598" t="s">
        <v>2595</v>
      </c>
      <c r="C518" s="604" t="s">
        <v>1107</v>
      </c>
      <c r="D518" s="745">
        <v>2012</v>
      </c>
      <c r="E518" s="604"/>
      <c r="F518" s="738">
        <v>0.4</v>
      </c>
      <c r="G518" s="739">
        <v>-30000</v>
      </c>
      <c r="H518" s="741">
        <v>-30000</v>
      </c>
      <c r="I518" s="742">
        <f t="shared" si="176"/>
        <v>0</v>
      </c>
      <c r="J518" s="740">
        <f t="shared" si="177"/>
        <v>0</v>
      </c>
      <c r="K518" s="739">
        <f t="shared" si="178"/>
        <v>-30000</v>
      </c>
      <c r="L518" s="860">
        <f t="shared" si="179"/>
        <v>0</v>
      </c>
      <c r="M518" s="740">
        <f t="shared" si="175"/>
        <v>0</v>
      </c>
      <c r="N518" s="604">
        <f t="shared" si="164"/>
        <v>0</v>
      </c>
      <c r="O518" s="604">
        <f t="shared" si="165"/>
        <v>0</v>
      </c>
      <c r="P518" s="604">
        <f t="shared" si="166"/>
        <v>0</v>
      </c>
      <c r="Q518" s="604">
        <f t="shared" si="167"/>
        <v>0</v>
      </c>
      <c r="R518" s="604">
        <f t="shared" si="168"/>
        <v>0</v>
      </c>
      <c r="S518" s="604">
        <f t="shared" si="169"/>
        <v>0</v>
      </c>
      <c r="T518" s="604">
        <f t="shared" si="170"/>
        <v>0</v>
      </c>
      <c r="U518" s="604">
        <f t="shared" si="171"/>
        <v>0</v>
      </c>
      <c r="V518" s="604">
        <f t="shared" si="172"/>
        <v>0</v>
      </c>
      <c r="W518" s="604">
        <f t="shared" si="173"/>
        <v>0</v>
      </c>
      <c r="X518" s="746">
        <v>0</v>
      </c>
      <c r="Y518" s="746">
        <f t="shared" si="174"/>
        <v>0</v>
      </c>
    </row>
    <row r="519" spans="2:25">
      <c r="B519" s="598" t="s">
        <v>2595</v>
      </c>
      <c r="C519" s="604" t="s">
        <v>1107</v>
      </c>
      <c r="D519" s="745">
        <v>2012</v>
      </c>
      <c r="E519" s="604" t="s">
        <v>1486</v>
      </c>
      <c r="F519" s="738">
        <v>0.4</v>
      </c>
      <c r="G519" s="739">
        <v>7000</v>
      </c>
      <c r="H519" s="741">
        <v>7000</v>
      </c>
      <c r="I519" s="742">
        <f t="shared" si="176"/>
        <v>0</v>
      </c>
      <c r="J519" s="740">
        <f t="shared" si="177"/>
        <v>0</v>
      </c>
      <c r="K519" s="739">
        <f t="shared" si="178"/>
        <v>7000</v>
      </c>
      <c r="L519" s="860">
        <f t="shared" si="179"/>
        <v>0</v>
      </c>
      <c r="M519" s="740">
        <f t="shared" si="175"/>
        <v>0</v>
      </c>
      <c r="N519" s="604">
        <f t="shared" si="164"/>
        <v>0</v>
      </c>
      <c r="O519" s="604">
        <f t="shared" si="165"/>
        <v>0</v>
      </c>
      <c r="P519" s="604">
        <f t="shared" si="166"/>
        <v>0</v>
      </c>
      <c r="Q519" s="604">
        <f t="shared" si="167"/>
        <v>0</v>
      </c>
      <c r="R519" s="604">
        <f t="shared" si="168"/>
        <v>0</v>
      </c>
      <c r="S519" s="604">
        <f t="shared" si="169"/>
        <v>0</v>
      </c>
      <c r="T519" s="604">
        <f t="shared" si="170"/>
        <v>0</v>
      </c>
      <c r="U519" s="604">
        <f t="shared" si="171"/>
        <v>0</v>
      </c>
      <c r="V519" s="604">
        <f t="shared" si="172"/>
        <v>0</v>
      </c>
      <c r="W519" s="604">
        <f t="shared" si="173"/>
        <v>0</v>
      </c>
      <c r="X519" s="746">
        <v>0</v>
      </c>
      <c r="Y519" s="746">
        <f t="shared" si="174"/>
        <v>0</v>
      </c>
    </row>
    <row r="520" spans="2:25">
      <c r="B520" s="598" t="s">
        <v>2595</v>
      </c>
      <c r="C520" s="604" t="s">
        <v>1107</v>
      </c>
      <c r="D520" s="745">
        <v>2012</v>
      </c>
      <c r="E520" s="604"/>
      <c r="F520" s="738">
        <v>0.4</v>
      </c>
      <c r="G520" s="739">
        <v>-7000</v>
      </c>
      <c r="H520" s="741">
        <v>-7000</v>
      </c>
      <c r="I520" s="742">
        <f t="shared" si="176"/>
        <v>0</v>
      </c>
      <c r="J520" s="740">
        <f t="shared" si="177"/>
        <v>0</v>
      </c>
      <c r="K520" s="739">
        <f t="shared" si="178"/>
        <v>-7000</v>
      </c>
      <c r="L520" s="860">
        <f t="shared" si="179"/>
        <v>0</v>
      </c>
      <c r="M520" s="740">
        <f t="shared" si="175"/>
        <v>0</v>
      </c>
      <c r="N520" s="604">
        <f t="shared" ref="N520:N583" si="180">+IF(L520-M520&gt;0,G520*F520,0)</f>
        <v>0</v>
      </c>
      <c r="O520" s="604">
        <f t="shared" ref="O520:O583" si="181">+IF(L520-SUM(M520:N520)&gt;0,G520*F520,0)</f>
        <v>0</v>
      </c>
      <c r="P520" s="604">
        <f t="shared" ref="P520:P583" si="182">+IF(L520-SUM(M520:O520)&gt;0,G520*F520,0)</f>
        <v>0</v>
      </c>
      <c r="Q520" s="604">
        <f t="shared" ref="Q520:Q583" si="183">+IF(L520-SUM(M520:P520)&gt;0,G520*F520,0)</f>
        <v>0</v>
      </c>
      <c r="R520" s="604">
        <f t="shared" ref="R520:R583" si="184">+IF(L520-SUM(M520:Q520)&gt;0,G520*F520,0)</f>
        <v>0</v>
      </c>
      <c r="S520" s="604">
        <f t="shared" ref="S520:S583" si="185">+IF(L520-SUM(M520:R520)&gt;0,G520*F520,0)</f>
        <v>0</v>
      </c>
      <c r="T520" s="604">
        <f t="shared" ref="T520:T583" si="186">+IF(L520-SUM(M520:S520)&gt;0,G520*F520,0)</f>
        <v>0</v>
      </c>
      <c r="U520" s="604">
        <f t="shared" ref="U520:U583" si="187">+IF(L520-SUM(M520:T520)&gt;0,G520*F520,0)</f>
        <v>0</v>
      </c>
      <c r="V520" s="604">
        <f t="shared" ref="V520:V583" si="188">+IF(L520-SUM(M520:U520)&gt;0,G520*F520,0)</f>
        <v>0</v>
      </c>
      <c r="W520" s="604">
        <f t="shared" ref="W520:W583" si="189">+IF(L520-SUM(M520:V520)&gt;0,G520*F520,0)</f>
        <v>0</v>
      </c>
      <c r="X520" s="746">
        <v>0</v>
      </c>
      <c r="Y520" s="746">
        <f t="shared" ref="Y520:Y583" si="190">+SUM(M520:W520)-L520</f>
        <v>0</v>
      </c>
    </row>
    <row r="521" spans="2:25">
      <c r="B521" s="598" t="s">
        <v>2595</v>
      </c>
      <c r="C521" s="604" t="s">
        <v>1107</v>
      </c>
      <c r="D521" s="745">
        <v>2012</v>
      </c>
      <c r="E521" s="604" t="s">
        <v>1487</v>
      </c>
      <c r="F521" s="738">
        <v>0.4</v>
      </c>
      <c r="G521" s="739">
        <v>1000</v>
      </c>
      <c r="H521" s="741">
        <v>1000</v>
      </c>
      <c r="I521" s="742">
        <f t="shared" si="176"/>
        <v>0</v>
      </c>
      <c r="J521" s="740">
        <f t="shared" si="177"/>
        <v>0</v>
      </c>
      <c r="K521" s="739">
        <f t="shared" si="178"/>
        <v>1000</v>
      </c>
      <c r="L521" s="860">
        <f t="shared" si="179"/>
        <v>0</v>
      </c>
      <c r="M521" s="740">
        <f t="shared" si="175"/>
        <v>0</v>
      </c>
      <c r="N521" s="604">
        <f t="shared" si="180"/>
        <v>0</v>
      </c>
      <c r="O521" s="604">
        <f t="shared" si="181"/>
        <v>0</v>
      </c>
      <c r="P521" s="604">
        <f t="shared" si="182"/>
        <v>0</v>
      </c>
      <c r="Q521" s="604">
        <f t="shared" si="183"/>
        <v>0</v>
      </c>
      <c r="R521" s="604">
        <f t="shared" si="184"/>
        <v>0</v>
      </c>
      <c r="S521" s="604">
        <f t="shared" si="185"/>
        <v>0</v>
      </c>
      <c r="T521" s="604">
        <f t="shared" si="186"/>
        <v>0</v>
      </c>
      <c r="U521" s="604">
        <f t="shared" si="187"/>
        <v>0</v>
      </c>
      <c r="V521" s="604">
        <f t="shared" si="188"/>
        <v>0</v>
      </c>
      <c r="W521" s="604">
        <f t="shared" si="189"/>
        <v>0</v>
      </c>
      <c r="X521" s="746">
        <v>0</v>
      </c>
      <c r="Y521" s="746">
        <f t="shared" si="190"/>
        <v>0</v>
      </c>
    </row>
    <row r="522" spans="2:25">
      <c r="B522" s="598" t="s">
        <v>2595</v>
      </c>
      <c r="C522" s="604" t="s">
        <v>1107</v>
      </c>
      <c r="D522" s="745">
        <v>2012</v>
      </c>
      <c r="E522" s="604" t="s">
        <v>1488</v>
      </c>
      <c r="F522" s="738">
        <v>0.4</v>
      </c>
      <c r="G522" s="739">
        <v>750</v>
      </c>
      <c r="H522" s="741">
        <v>750</v>
      </c>
      <c r="I522" s="742">
        <f t="shared" si="176"/>
        <v>0</v>
      </c>
      <c r="J522" s="740">
        <f t="shared" si="177"/>
        <v>0</v>
      </c>
      <c r="K522" s="739">
        <f t="shared" si="178"/>
        <v>750</v>
      </c>
      <c r="L522" s="860">
        <f t="shared" si="179"/>
        <v>0</v>
      </c>
      <c r="M522" s="740">
        <f t="shared" si="175"/>
        <v>0</v>
      </c>
      <c r="N522" s="604">
        <f t="shared" si="180"/>
        <v>0</v>
      </c>
      <c r="O522" s="604">
        <f t="shared" si="181"/>
        <v>0</v>
      </c>
      <c r="P522" s="604">
        <f t="shared" si="182"/>
        <v>0</v>
      </c>
      <c r="Q522" s="604">
        <f t="shared" si="183"/>
        <v>0</v>
      </c>
      <c r="R522" s="604">
        <f t="shared" si="184"/>
        <v>0</v>
      </c>
      <c r="S522" s="604">
        <f t="shared" si="185"/>
        <v>0</v>
      </c>
      <c r="T522" s="604">
        <f t="shared" si="186"/>
        <v>0</v>
      </c>
      <c r="U522" s="604">
        <f t="shared" si="187"/>
        <v>0</v>
      </c>
      <c r="V522" s="604">
        <f t="shared" si="188"/>
        <v>0</v>
      </c>
      <c r="W522" s="604">
        <f t="shared" si="189"/>
        <v>0</v>
      </c>
      <c r="X522" s="746">
        <v>0</v>
      </c>
      <c r="Y522" s="746">
        <f t="shared" si="190"/>
        <v>0</v>
      </c>
    </row>
    <row r="523" spans="2:25">
      <c r="B523" s="598" t="s">
        <v>2595</v>
      </c>
      <c r="C523" s="604" t="s">
        <v>1107</v>
      </c>
      <c r="D523" s="745">
        <v>2012</v>
      </c>
      <c r="E523" s="604" t="s">
        <v>1489</v>
      </c>
      <c r="F523" s="738">
        <v>0.4</v>
      </c>
      <c r="G523" s="739">
        <v>2350</v>
      </c>
      <c r="H523" s="741">
        <v>2350</v>
      </c>
      <c r="I523" s="742">
        <f t="shared" si="176"/>
        <v>0</v>
      </c>
      <c r="J523" s="740">
        <f t="shared" si="177"/>
        <v>0</v>
      </c>
      <c r="K523" s="739">
        <f t="shared" si="178"/>
        <v>2350</v>
      </c>
      <c r="L523" s="860">
        <f t="shared" si="179"/>
        <v>0</v>
      </c>
      <c r="M523" s="740">
        <f t="shared" ref="M523:M586" si="191">+IF(L523=0,0,G523*F523)</f>
        <v>0</v>
      </c>
      <c r="N523" s="604">
        <f t="shared" si="180"/>
        <v>0</v>
      </c>
      <c r="O523" s="604">
        <f t="shared" si="181"/>
        <v>0</v>
      </c>
      <c r="P523" s="604">
        <f t="shared" si="182"/>
        <v>0</v>
      </c>
      <c r="Q523" s="604">
        <f t="shared" si="183"/>
        <v>0</v>
      </c>
      <c r="R523" s="604">
        <f t="shared" si="184"/>
        <v>0</v>
      </c>
      <c r="S523" s="604">
        <f t="shared" si="185"/>
        <v>0</v>
      </c>
      <c r="T523" s="604">
        <f t="shared" si="186"/>
        <v>0</v>
      </c>
      <c r="U523" s="604">
        <f t="shared" si="187"/>
        <v>0</v>
      </c>
      <c r="V523" s="604">
        <f t="shared" si="188"/>
        <v>0</v>
      </c>
      <c r="W523" s="604">
        <f t="shared" si="189"/>
        <v>0</v>
      </c>
      <c r="X523" s="746">
        <v>0</v>
      </c>
      <c r="Y523" s="746">
        <f t="shared" si="190"/>
        <v>0</v>
      </c>
    </row>
    <row r="524" spans="2:25">
      <c r="B524" s="598" t="s">
        <v>2595</v>
      </c>
      <c r="C524" s="604" t="s">
        <v>1107</v>
      </c>
      <c r="D524" s="745">
        <v>2012</v>
      </c>
      <c r="E524" s="604" t="s">
        <v>1490</v>
      </c>
      <c r="F524" s="738">
        <v>0.4</v>
      </c>
      <c r="G524" s="739">
        <v>3300</v>
      </c>
      <c r="H524" s="741">
        <v>3300</v>
      </c>
      <c r="I524" s="742">
        <f t="shared" si="176"/>
        <v>0</v>
      </c>
      <c r="J524" s="740">
        <f t="shared" si="177"/>
        <v>0</v>
      </c>
      <c r="K524" s="739">
        <f t="shared" si="178"/>
        <v>3300</v>
      </c>
      <c r="L524" s="860">
        <f t="shared" si="179"/>
        <v>0</v>
      </c>
      <c r="M524" s="740">
        <f t="shared" si="191"/>
        <v>0</v>
      </c>
      <c r="N524" s="604">
        <f t="shared" si="180"/>
        <v>0</v>
      </c>
      <c r="O524" s="604">
        <f t="shared" si="181"/>
        <v>0</v>
      </c>
      <c r="P524" s="604">
        <f t="shared" si="182"/>
        <v>0</v>
      </c>
      <c r="Q524" s="604">
        <f t="shared" si="183"/>
        <v>0</v>
      </c>
      <c r="R524" s="604">
        <f t="shared" si="184"/>
        <v>0</v>
      </c>
      <c r="S524" s="604">
        <f t="shared" si="185"/>
        <v>0</v>
      </c>
      <c r="T524" s="604">
        <f t="shared" si="186"/>
        <v>0</v>
      </c>
      <c r="U524" s="604">
        <f t="shared" si="187"/>
        <v>0</v>
      </c>
      <c r="V524" s="604">
        <f t="shared" si="188"/>
        <v>0</v>
      </c>
      <c r="W524" s="604">
        <f t="shared" si="189"/>
        <v>0</v>
      </c>
      <c r="X524" s="746">
        <v>0</v>
      </c>
      <c r="Y524" s="746">
        <f t="shared" si="190"/>
        <v>0</v>
      </c>
    </row>
    <row r="525" spans="2:25">
      <c r="B525" s="598" t="s">
        <v>2595</v>
      </c>
      <c r="C525" s="604" t="s">
        <v>1107</v>
      </c>
      <c r="D525" s="745">
        <v>2012</v>
      </c>
      <c r="E525" s="604" t="s">
        <v>1491</v>
      </c>
      <c r="F525" s="738">
        <v>0.4</v>
      </c>
      <c r="G525" s="739">
        <v>9700</v>
      </c>
      <c r="H525" s="741">
        <v>9700</v>
      </c>
      <c r="I525" s="742">
        <f t="shared" si="176"/>
        <v>0</v>
      </c>
      <c r="J525" s="740">
        <f t="shared" si="177"/>
        <v>0</v>
      </c>
      <c r="K525" s="739">
        <f t="shared" si="178"/>
        <v>9700</v>
      </c>
      <c r="L525" s="860">
        <f t="shared" si="179"/>
        <v>0</v>
      </c>
      <c r="M525" s="740">
        <f t="shared" si="191"/>
        <v>0</v>
      </c>
      <c r="N525" s="604">
        <f t="shared" si="180"/>
        <v>0</v>
      </c>
      <c r="O525" s="604">
        <f t="shared" si="181"/>
        <v>0</v>
      </c>
      <c r="P525" s="604">
        <f t="shared" si="182"/>
        <v>0</v>
      </c>
      <c r="Q525" s="604">
        <f t="shared" si="183"/>
        <v>0</v>
      </c>
      <c r="R525" s="604">
        <f t="shared" si="184"/>
        <v>0</v>
      </c>
      <c r="S525" s="604">
        <f t="shared" si="185"/>
        <v>0</v>
      </c>
      <c r="T525" s="604">
        <f t="shared" si="186"/>
        <v>0</v>
      </c>
      <c r="U525" s="604">
        <f t="shared" si="187"/>
        <v>0</v>
      </c>
      <c r="V525" s="604">
        <f t="shared" si="188"/>
        <v>0</v>
      </c>
      <c r="W525" s="604">
        <f t="shared" si="189"/>
        <v>0</v>
      </c>
      <c r="X525" s="746">
        <v>0</v>
      </c>
      <c r="Y525" s="746">
        <f t="shared" si="190"/>
        <v>0</v>
      </c>
    </row>
    <row r="526" spans="2:25">
      <c r="B526" s="598" t="s">
        <v>2595</v>
      </c>
      <c r="C526" s="604" t="s">
        <v>1107</v>
      </c>
      <c r="D526" s="745">
        <v>2012</v>
      </c>
      <c r="E526" s="604"/>
      <c r="F526" s="738">
        <v>0.4</v>
      </c>
      <c r="G526" s="739">
        <v>9832.68</v>
      </c>
      <c r="H526" s="741">
        <v>9832.68</v>
      </c>
      <c r="I526" s="742">
        <f t="shared" si="176"/>
        <v>0</v>
      </c>
      <c r="J526" s="740">
        <f t="shared" si="177"/>
        <v>0</v>
      </c>
      <c r="K526" s="739">
        <f t="shared" si="178"/>
        <v>9832.68</v>
      </c>
      <c r="L526" s="860">
        <f t="shared" si="179"/>
        <v>0</v>
      </c>
      <c r="M526" s="740">
        <f t="shared" si="191"/>
        <v>0</v>
      </c>
      <c r="N526" s="604">
        <f t="shared" si="180"/>
        <v>0</v>
      </c>
      <c r="O526" s="604">
        <f t="shared" si="181"/>
        <v>0</v>
      </c>
      <c r="P526" s="604">
        <f t="shared" si="182"/>
        <v>0</v>
      </c>
      <c r="Q526" s="604">
        <f t="shared" si="183"/>
        <v>0</v>
      </c>
      <c r="R526" s="604">
        <f t="shared" si="184"/>
        <v>0</v>
      </c>
      <c r="S526" s="604">
        <f t="shared" si="185"/>
        <v>0</v>
      </c>
      <c r="T526" s="604">
        <f t="shared" si="186"/>
        <v>0</v>
      </c>
      <c r="U526" s="604">
        <f t="shared" si="187"/>
        <v>0</v>
      </c>
      <c r="V526" s="604">
        <f t="shared" si="188"/>
        <v>0</v>
      </c>
      <c r="W526" s="604">
        <f t="shared" si="189"/>
        <v>0</v>
      </c>
      <c r="X526" s="746">
        <v>0</v>
      </c>
      <c r="Y526" s="746">
        <f t="shared" si="190"/>
        <v>0</v>
      </c>
    </row>
    <row r="527" spans="2:25">
      <c r="B527" s="598" t="s">
        <v>2595</v>
      </c>
      <c r="C527" s="604" t="s">
        <v>1107</v>
      </c>
      <c r="D527" s="745">
        <v>2012</v>
      </c>
      <c r="E527" s="604"/>
      <c r="F527" s="738">
        <v>0.4</v>
      </c>
      <c r="G527" s="739">
        <v>2720</v>
      </c>
      <c r="H527" s="741">
        <v>2720</v>
      </c>
      <c r="I527" s="742">
        <f t="shared" si="176"/>
        <v>0</v>
      </c>
      <c r="J527" s="740">
        <f t="shared" si="177"/>
        <v>0</v>
      </c>
      <c r="K527" s="739">
        <f t="shared" si="178"/>
        <v>2720</v>
      </c>
      <c r="L527" s="860">
        <f t="shared" si="179"/>
        <v>0</v>
      </c>
      <c r="M527" s="740">
        <f t="shared" si="191"/>
        <v>0</v>
      </c>
      <c r="N527" s="604">
        <f t="shared" si="180"/>
        <v>0</v>
      </c>
      <c r="O527" s="604">
        <f t="shared" si="181"/>
        <v>0</v>
      </c>
      <c r="P527" s="604">
        <f t="shared" si="182"/>
        <v>0</v>
      </c>
      <c r="Q527" s="604">
        <f t="shared" si="183"/>
        <v>0</v>
      </c>
      <c r="R527" s="604">
        <f t="shared" si="184"/>
        <v>0</v>
      </c>
      <c r="S527" s="604">
        <f t="shared" si="185"/>
        <v>0</v>
      </c>
      <c r="T527" s="604">
        <f t="shared" si="186"/>
        <v>0</v>
      </c>
      <c r="U527" s="604">
        <f t="shared" si="187"/>
        <v>0</v>
      </c>
      <c r="V527" s="604">
        <f t="shared" si="188"/>
        <v>0</v>
      </c>
      <c r="W527" s="604">
        <f t="shared" si="189"/>
        <v>0</v>
      </c>
      <c r="X527" s="746">
        <v>0</v>
      </c>
      <c r="Y527" s="746">
        <f t="shared" si="190"/>
        <v>0</v>
      </c>
    </row>
    <row r="528" spans="2:25">
      <c r="B528" s="598" t="s">
        <v>2595</v>
      </c>
      <c r="C528" s="604" t="s">
        <v>1107</v>
      </c>
      <c r="D528" s="745">
        <v>2012</v>
      </c>
      <c r="E528" s="604"/>
      <c r="F528" s="738">
        <v>0.4</v>
      </c>
      <c r="G528" s="739">
        <v>1960</v>
      </c>
      <c r="H528" s="741">
        <v>1960</v>
      </c>
      <c r="I528" s="742">
        <f t="shared" si="176"/>
        <v>0</v>
      </c>
      <c r="J528" s="740">
        <f t="shared" si="177"/>
        <v>0</v>
      </c>
      <c r="K528" s="739">
        <f t="shared" si="178"/>
        <v>1960</v>
      </c>
      <c r="L528" s="860">
        <f t="shared" si="179"/>
        <v>0</v>
      </c>
      <c r="M528" s="740">
        <f t="shared" si="191"/>
        <v>0</v>
      </c>
      <c r="N528" s="604">
        <f t="shared" si="180"/>
        <v>0</v>
      </c>
      <c r="O528" s="604">
        <f t="shared" si="181"/>
        <v>0</v>
      </c>
      <c r="P528" s="604">
        <f t="shared" si="182"/>
        <v>0</v>
      </c>
      <c r="Q528" s="604">
        <f t="shared" si="183"/>
        <v>0</v>
      </c>
      <c r="R528" s="604">
        <f t="shared" si="184"/>
        <v>0</v>
      </c>
      <c r="S528" s="604">
        <f t="shared" si="185"/>
        <v>0</v>
      </c>
      <c r="T528" s="604">
        <f t="shared" si="186"/>
        <v>0</v>
      </c>
      <c r="U528" s="604">
        <f t="shared" si="187"/>
        <v>0</v>
      </c>
      <c r="V528" s="604">
        <f t="shared" si="188"/>
        <v>0</v>
      </c>
      <c r="W528" s="604">
        <f t="shared" si="189"/>
        <v>0</v>
      </c>
      <c r="X528" s="746">
        <v>0</v>
      </c>
      <c r="Y528" s="746">
        <f t="shared" si="190"/>
        <v>0</v>
      </c>
    </row>
    <row r="529" spans="2:25">
      <c r="B529" s="598" t="s">
        <v>2595</v>
      </c>
      <c r="C529" s="604" t="s">
        <v>1107</v>
      </c>
      <c r="D529" s="745">
        <v>2012</v>
      </c>
      <c r="E529" s="604"/>
      <c r="F529" s="738">
        <v>0.4</v>
      </c>
      <c r="G529" s="739">
        <v>-1330</v>
      </c>
      <c r="H529" s="741">
        <v>-1330</v>
      </c>
      <c r="I529" s="742">
        <f t="shared" si="176"/>
        <v>0</v>
      </c>
      <c r="J529" s="740">
        <f t="shared" si="177"/>
        <v>0</v>
      </c>
      <c r="K529" s="739">
        <f t="shared" si="178"/>
        <v>-1330</v>
      </c>
      <c r="L529" s="860">
        <f t="shared" si="179"/>
        <v>0</v>
      </c>
      <c r="M529" s="740">
        <f t="shared" si="191"/>
        <v>0</v>
      </c>
      <c r="N529" s="604">
        <f t="shared" si="180"/>
        <v>0</v>
      </c>
      <c r="O529" s="604">
        <f t="shared" si="181"/>
        <v>0</v>
      </c>
      <c r="P529" s="604">
        <f t="shared" si="182"/>
        <v>0</v>
      </c>
      <c r="Q529" s="604">
        <f t="shared" si="183"/>
        <v>0</v>
      </c>
      <c r="R529" s="604">
        <f t="shared" si="184"/>
        <v>0</v>
      </c>
      <c r="S529" s="604">
        <f t="shared" si="185"/>
        <v>0</v>
      </c>
      <c r="T529" s="604">
        <f t="shared" si="186"/>
        <v>0</v>
      </c>
      <c r="U529" s="604">
        <f t="shared" si="187"/>
        <v>0</v>
      </c>
      <c r="V529" s="604">
        <f t="shared" si="188"/>
        <v>0</v>
      </c>
      <c r="W529" s="604">
        <f t="shared" si="189"/>
        <v>0</v>
      </c>
      <c r="X529" s="746">
        <v>0</v>
      </c>
      <c r="Y529" s="746">
        <f t="shared" si="190"/>
        <v>0</v>
      </c>
    </row>
    <row r="530" spans="2:25">
      <c r="B530" s="598" t="s">
        <v>2595</v>
      </c>
      <c r="C530" s="604" t="s">
        <v>1107</v>
      </c>
      <c r="D530" s="745">
        <v>2012</v>
      </c>
      <c r="E530" s="604" t="s">
        <v>1492</v>
      </c>
      <c r="F530" s="738">
        <v>0.4</v>
      </c>
      <c r="G530" s="739">
        <v>4367.42</v>
      </c>
      <c r="H530" s="741">
        <v>4367.42</v>
      </c>
      <c r="I530" s="742">
        <f t="shared" si="176"/>
        <v>0</v>
      </c>
      <c r="J530" s="740">
        <f t="shared" si="177"/>
        <v>0</v>
      </c>
      <c r="K530" s="739">
        <f t="shared" si="178"/>
        <v>4367.42</v>
      </c>
      <c r="L530" s="860">
        <f t="shared" si="179"/>
        <v>0</v>
      </c>
      <c r="M530" s="740">
        <f t="shared" si="191"/>
        <v>0</v>
      </c>
      <c r="N530" s="604">
        <f t="shared" si="180"/>
        <v>0</v>
      </c>
      <c r="O530" s="604">
        <f t="shared" si="181"/>
        <v>0</v>
      </c>
      <c r="P530" s="604">
        <f t="shared" si="182"/>
        <v>0</v>
      </c>
      <c r="Q530" s="604">
        <f t="shared" si="183"/>
        <v>0</v>
      </c>
      <c r="R530" s="604">
        <f t="shared" si="184"/>
        <v>0</v>
      </c>
      <c r="S530" s="604">
        <f t="shared" si="185"/>
        <v>0</v>
      </c>
      <c r="T530" s="604">
        <f t="shared" si="186"/>
        <v>0</v>
      </c>
      <c r="U530" s="604">
        <f t="shared" si="187"/>
        <v>0</v>
      </c>
      <c r="V530" s="604">
        <f t="shared" si="188"/>
        <v>0</v>
      </c>
      <c r="W530" s="604">
        <f t="shared" si="189"/>
        <v>0</v>
      </c>
      <c r="X530" s="746">
        <v>0</v>
      </c>
      <c r="Y530" s="746">
        <f t="shared" si="190"/>
        <v>0</v>
      </c>
    </row>
    <row r="531" spans="2:25">
      <c r="B531" s="598" t="s">
        <v>2595</v>
      </c>
      <c r="C531" s="604" t="s">
        <v>1107</v>
      </c>
      <c r="D531" s="745">
        <v>2012</v>
      </c>
      <c r="E531" s="604" t="s">
        <v>1493</v>
      </c>
      <c r="F531" s="738">
        <v>0.4</v>
      </c>
      <c r="G531" s="739">
        <v>5280</v>
      </c>
      <c r="H531" s="741">
        <v>5280</v>
      </c>
      <c r="I531" s="742">
        <f t="shared" si="176"/>
        <v>0</v>
      </c>
      <c r="J531" s="740">
        <f t="shared" si="177"/>
        <v>0</v>
      </c>
      <c r="K531" s="739">
        <f t="shared" si="178"/>
        <v>5280</v>
      </c>
      <c r="L531" s="860">
        <f t="shared" si="179"/>
        <v>0</v>
      </c>
      <c r="M531" s="740">
        <f t="shared" si="191"/>
        <v>0</v>
      </c>
      <c r="N531" s="604">
        <f t="shared" si="180"/>
        <v>0</v>
      </c>
      <c r="O531" s="604">
        <f t="shared" si="181"/>
        <v>0</v>
      </c>
      <c r="P531" s="604">
        <f t="shared" si="182"/>
        <v>0</v>
      </c>
      <c r="Q531" s="604">
        <f t="shared" si="183"/>
        <v>0</v>
      </c>
      <c r="R531" s="604">
        <f t="shared" si="184"/>
        <v>0</v>
      </c>
      <c r="S531" s="604">
        <f t="shared" si="185"/>
        <v>0</v>
      </c>
      <c r="T531" s="604">
        <f t="shared" si="186"/>
        <v>0</v>
      </c>
      <c r="U531" s="604">
        <f t="shared" si="187"/>
        <v>0</v>
      </c>
      <c r="V531" s="604">
        <f t="shared" si="188"/>
        <v>0</v>
      </c>
      <c r="W531" s="604">
        <f t="shared" si="189"/>
        <v>0</v>
      </c>
      <c r="X531" s="746">
        <v>0</v>
      </c>
      <c r="Y531" s="746">
        <f t="shared" si="190"/>
        <v>0</v>
      </c>
    </row>
    <row r="532" spans="2:25">
      <c r="B532" s="598" t="s">
        <v>2595</v>
      </c>
      <c r="C532" s="604" t="s">
        <v>1107</v>
      </c>
      <c r="D532" s="745">
        <v>2012</v>
      </c>
      <c r="E532" s="604"/>
      <c r="F532" s="738">
        <v>0.4</v>
      </c>
      <c r="G532" s="739">
        <v>1650</v>
      </c>
      <c r="H532" s="741">
        <v>1650</v>
      </c>
      <c r="I532" s="742">
        <f t="shared" si="176"/>
        <v>0</v>
      </c>
      <c r="J532" s="740">
        <f t="shared" si="177"/>
        <v>0</v>
      </c>
      <c r="K532" s="739">
        <f t="shared" si="178"/>
        <v>1650</v>
      </c>
      <c r="L532" s="860">
        <f t="shared" si="179"/>
        <v>0</v>
      </c>
      <c r="M532" s="740">
        <f t="shared" si="191"/>
        <v>0</v>
      </c>
      <c r="N532" s="604">
        <f t="shared" si="180"/>
        <v>0</v>
      </c>
      <c r="O532" s="604">
        <f t="shared" si="181"/>
        <v>0</v>
      </c>
      <c r="P532" s="604">
        <f t="shared" si="182"/>
        <v>0</v>
      </c>
      <c r="Q532" s="604">
        <f t="shared" si="183"/>
        <v>0</v>
      </c>
      <c r="R532" s="604">
        <f t="shared" si="184"/>
        <v>0</v>
      </c>
      <c r="S532" s="604">
        <f t="shared" si="185"/>
        <v>0</v>
      </c>
      <c r="T532" s="604">
        <f t="shared" si="186"/>
        <v>0</v>
      </c>
      <c r="U532" s="604">
        <f t="shared" si="187"/>
        <v>0</v>
      </c>
      <c r="V532" s="604">
        <f t="shared" si="188"/>
        <v>0</v>
      </c>
      <c r="W532" s="604">
        <f t="shared" si="189"/>
        <v>0</v>
      </c>
      <c r="X532" s="746">
        <v>0</v>
      </c>
      <c r="Y532" s="746">
        <f t="shared" si="190"/>
        <v>0</v>
      </c>
    </row>
    <row r="533" spans="2:25">
      <c r="B533" s="598" t="s">
        <v>2595</v>
      </c>
      <c r="C533" s="604" t="s">
        <v>1107</v>
      </c>
      <c r="D533" s="745">
        <v>2012</v>
      </c>
      <c r="E533" s="604"/>
      <c r="F533" s="738">
        <v>0.4</v>
      </c>
      <c r="G533" s="739">
        <v>1200</v>
      </c>
      <c r="H533" s="741">
        <v>1200</v>
      </c>
      <c r="I533" s="742">
        <f t="shared" si="176"/>
        <v>0</v>
      </c>
      <c r="J533" s="740">
        <f t="shared" si="177"/>
        <v>0</v>
      </c>
      <c r="K533" s="739">
        <f t="shared" si="178"/>
        <v>1200</v>
      </c>
      <c r="L533" s="860">
        <f t="shared" si="179"/>
        <v>0</v>
      </c>
      <c r="M533" s="740">
        <f t="shared" si="191"/>
        <v>0</v>
      </c>
      <c r="N533" s="604">
        <f t="shared" si="180"/>
        <v>0</v>
      </c>
      <c r="O533" s="604">
        <f t="shared" si="181"/>
        <v>0</v>
      </c>
      <c r="P533" s="604">
        <f t="shared" si="182"/>
        <v>0</v>
      </c>
      <c r="Q533" s="604">
        <f t="shared" si="183"/>
        <v>0</v>
      </c>
      <c r="R533" s="604">
        <f t="shared" si="184"/>
        <v>0</v>
      </c>
      <c r="S533" s="604">
        <f t="shared" si="185"/>
        <v>0</v>
      </c>
      <c r="T533" s="604">
        <f t="shared" si="186"/>
        <v>0</v>
      </c>
      <c r="U533" s="604">
        <f t="shared" si="187"/>
        <v>0</v>
      </c>
      <c r="V533" s="604">
        <f t="shared" si="188"/>
        <v>0</v>
      </c>
      <c r="W533" s="604">
        <f t="shared" si="189"/>
        <v>0</v>
      </c>
      <c r="X533" s="746">
        <v>0</v>
      </c>
      <c r="Y533" s="746">
        <f t="shared" si="190"/>
        <v>0</v>
      </c>
    </row>
    <row r="534" spans="2:25">
      <c r="B534" s="598" t="s">
        <v>2595</v>
      </c>
      <c r="C534" s="604" t="s">
        <v>1107</v>
      </c>
      <c r="D534" s="745">
        <v>2012</v>
      </c>
      <c r="E534" s="604"/>
      <c r="F534" s="738">
        <v>0.4</v>
      </c>
      <c r="G534" s="739">
        <v>2000</v>
      </c>
      <c r="H534" s="741">
        <v>2000</v>
      </c>
      <c r="I534" s="742">
        <f t="shared" si="176"/>
        <v>0</v>
      </c>
      <c r="J534" s="740">
        <f t="shared" si="177"/>
        <v>0</v>
      </c>
      <c r="K534" s="739">
        <f t="shared" si="178"/>
        <v>2000</v>
      </c>
      <c r="L534" s="860">
        <f t="shared" si="179"/>
        <v>0</v>
      </c>
      <c r="M534" s="740">
        <f t="shared" si="191"/>
        <v>0</v>
      </c>
      <c r="N534" s="604">
        <f t="shared" si="180"/>
        <v>0</v>
      </c>
      <c r="O534" s="604">
        <f t="shared" si="181"/>
        <v>0</v>
      </c>
      <c r="P534" s="604">
        <f t="shared" si="182"/>
        <v>0</v>
      </c>
      <c r="Q534" s="604">
        <f t="shared" si="183"/>
        <v>0</v>
      </c>
      <c r="R534" s="604">
        <f t="shared" si="184"/>
        <v>0</v>
      </c>
      <c r="S534" s="604">
        <f t="shared" si="185"/>
        <v>0</v>
      </c>
      <c r="T534" s="604">
        <f t="shared" si="186"/>
        <v>0</v>
      </c>
      <c r="U534" s="604">
        <f t="shared" si="187"/>
        <v>0</v>
      </c>
      <c r="V534" s="604">
        <f t="shared" si="188"/>
        <v>0</v>
      </c>
      <c r="W534" s="604">
        <f t="shared" si="189"/>
        <v>0</v>
      </c>
      <c r="X534" s="746">
        <v>0</v>
      </c>
      <c r="Y534" s="746">
        <f t="shared" si="190"/>
        <v>0</v>
      </c>
    </row>
    <row r="535" spans="2:25">
      <c r="B535" s="598" t="s">
        <v>2595</v>
      </c>
      <c r="C535" s="604" t="s">
        <v>1107</v>
      </c>
      <c r="D535" s="745">
        <v>2012</v>
      </c>
      <c r="E535" s="604"/>
      <c r="F535" s="738">
        <v>0.4</v>
      </c>
      <c r="G535" s="739">
        <v>1050</v>
      </c>
      <c r="H535" s="741">
        <v>1050</v>
      </c>
      <c r="I535" s="742">
        <f t="shared" si="176"/>
        <v>0</v>
      </c>
      <c r="J535" s="740">
        <f t="shared" si="177"/>
        <v>0</v>
      </c>
      <c r="K535" s="739">
        <f t="shared" si="178"/>
        <v>1050</v>
      </c>
      <c r="L535" s="860">
        <f t="shared" si="179"/>
        <v>0</v>
      </c>
      <c r="M535" s="740">
        <f t="shared" si="191"/>
        <v>0</v>
      </c>
      <c r="N535" s="604">
        <f t="shared" si="180"/>
        <v>0</v>
      </c>
      <c r="O535" s="604">
        <f t="shared" si="181"/>
        <v>0</v>
      </c>
      <c r="P535" s="604">
        <f t="shared" si="182"/>
        <v>0</v>
      </c>
      <c r="Q535" s="604">
        <f t="shared" si="183"/>
        <v>0</v>
      </c>
      <c r="R535" s="604">
        <f t="shared" si="184"/>
        <v>0</v>
      </c>
      <c r="S535" s="604">
        <f t="shared" si="185"/>
        <v>0</v>
      </c>
      <c r="T535" s="604">
        <f t="shared" si="186"/>
        <v>0</v>
      </c>
      <c r="U535" s="604">
        <f t="shared" si="187"/>
        <v>0</v>
      </c>
      <c r="V535" s="604">
        <f t="shared" si="188"/>
        <v>0</v>
      </c>
      <c r="W535" s="604">
        <f t="shared" si="189"/>
        <v>0</v>
      </c>
      <c r="X535" s="746">
        <v>0</v>
      </c>
      <c r="Y535" s="746">
        <f t="shared" si="190"/>
        <v>0</v>
      </c>
    </row>
    <row r="536" spans="2:25">
      <c r="B536" s="598" t="s">
        <v>2595</v>
      </c>
      <c r="C536" s="604" t="s">
        <v>1107</v>
      </c>
      <c r="D536" s="745">
        <v>2012</v>
      </c>
      <c r="E536" s="604"/>
      <c r="F536" s="738">
        <v>0.4</v>
      </c>
      <c r="G536" s="739">
        <v>7750</v>
      </c>
      <c r="H536" s="741">
        <v>7750</v>
      </c>
      <c r="I536" s="742">
        <f t="shared" si="176"/>
        <v>0</v>
      </c>
      <c r="J536" s="740">
        <f t="shared" si="177"/>
        <v>0</v>
      </c>
      <c r="K536" s="739">
        <f t="shared" si="178"/>
        <v>7750</v>
      </c>
      <c r="L536" s="860">
        <f t="shared" si="179"/>
        <v>0</v>
      </c>
      <c r="M536" s="740">
        <f t="shared" si="191"/>
        <v>0</v>
      </c>
      <c r="N536" s="604">
        <f t="shared" si="180"/>
        <v>0</v>
      </c>
      <c r="O536" s="604">
        <f t="shared" si="181"/>
        <v>0</v>
      </c>
      <c r="P536" s="604">
        <f t="shared" si="182"/>
        <v>0</v>
      </c>
      <c r="Q536" s="604">
        <f t="shared" si="183"/>
        <v>0</v>
      </c>
      <c r="R536" s="604">
        <f t="shared" si="184"/>
        <v>0</v>
      </c>
      <c r="S536" s="604">
        <f t="shared" si="185"/>
        <v>0</v>
      </c>
      <c r="T536" s="604">
        <f t="shared" si="186"/>
        <v>0</v>
      </c>
      <c r="U536" s="604">
        <f t="shared" si="187"/>
        <v>0</v>
      </c>
      <c r="V536" s="604">
        <f t="shared" si="188"/>
        <v>0</v>
      </c>
      <c r="W536" s="604">
        <f t="shared" si="189"/>
        <v>0</v>
      </c>
      <c r="X536" s="746">
        <v>0</v>
      </c>
      <c r="Y536" s="746">
        <f t="shared" si="190"/>
        <v>0</v>
      </c>
    </row>
    <row r="537" spans="2:25">
      <c r="B537" s="598" t="s">
        <v>2595</v>
      </c>
      <c r="C537" s="604" t="s">
        <v>1107</v>
      </c>
      <c r="D537" s="745">
        <v>2012</v>
      </c>
      <c r="E537" s="604" t="s">
        <v>1494</v>
      </c>
      <c r="F537" s="738">
        <v>0.4</v>
      </c>
      <c r="G537" s="739">
        <v>15900</v>
      </c>
      <c r="H537" s="741">
        <v>15900</v>
      </c>
      <c r="I537" s="742">
        <f t="shared" si="176"/>
        <v>0</v>
      </c>
      <c r="J537" s="740">
        <f t="shared" si="177"/>
        <v>0</v>
      </c>
      <c r="K537" s="739">
        <f t="shared" si="178"/>
        <v>15900</v>
      </c>
      <c r="L537" s="860">
        <f t="shared" si="179"/>
        <v>0</v>
      </c>
      <c r="M537" s="740">
        <f t="shared" si="191"/>
        <v>0</v>
      </c>
      <c r="N537" s="604">
        <f t="shared" si="180"/>
        <v>0</v>
      </c>
      <c r="O537" s="604">
        <f t="shared" si="181"/>
        <v>0</v>
      </c>
      <c r="P537" s="604">
        <f t="shared" si="182"/>
        <v>0</v>
      </c>
      <c r="Q537" s="604">
        <f t="shared" si="183"/>
        <v>0</v>
      </c>
      <c r="R537" s="604">
        <f t="shared" si="184"/>
        <v>0</v>
      </c>
      <c r="S537" s="604">
        <f t="shared" si="185"/>
        <v>0</v>
      </c>
      <c r="T537" s="604">
        <f t="shared" si="186"/>
        <v>0</v>
      </c>
      <c r="U537" s="604">
        <f t="shared" si="187"/>
        <v>0</v>
      </c>
      <c r="V537" s="604">
        <f t="shared" si="188"/>
        <v>0</v>
      </c>
      <c r="W537" s="604">
        <f t="shared" si="189"/>
        <v>0</v>
      </c>
      <c r="X537" s="746">
        <v>0</v>
      </c>
      <c r="Y537" s="746">
        <f t="shared" si="190"/>
        <v>0</v>
      </c>
    </row>
    <row r="538" spans="2:25">
      <c r="B538" s="598" t="s">
        <v>2595</v>
      </c>
      <c r="C538" s="604" t="s">
        <v>1107</v>
      </c>
      <c r="D538" s="745">
        <v>2012</v>
      </c>
      <c r="E538" s="604" t="s">
        <v>1495</v>
      </c>
      <c r="F538" s="738">
        <v>0.4</v>
      </c>
      <c r="G538" s="739">
        <v>1426.04</v>
      </c>
      <c r="H538" s="741">
        <v>1426.04</v>
      </c>
      <c r="I538" s="742">
        <f t="shared" si="176"/>
        <v>0</v>
      </c>
      <c r="J538" s="740">
        <f t="shared" si="177"/>
        <v>0</v>
      </c>
      <c r="K538" s="739">
        <f t="shared" si="178"/>
        <v>1426.04</v>
      </c>
      <c r="L538" s="860">
        <f t="shared" si="179"/>
        <v>0</v>
      </c>
      <c r="M538" s="740">
        <f t="shared" si="191"/>
        <v>0</v>
      </c>
      <c r="N538" s="604">
        <f t="shared" si="180"/>
        <v>0</v>
      </c>
      <c r="O538" s="604">
        <f t="shared" si="181"/>
        <v>0</v>
      </c>
      <c r="P538" s="604">
        <f t="shared" si="182"/>
        <v>0</v>
      </c>
      <c r="Q538" s="604">
        <f t="shared" si="183"/>
        <v>0</v>
      </c>
      <c r="R538" s="604">
        <f t="shared" si="184"/>
        <v>0</v>
      </c>
      <c r="S538" s="604">
        <f t="shared" si="185"/>
        <v>0</v>
      </c>
      <c r="T538" s="604">
        <f t="shared" si="186"/>
        <v>0</v>
      </c>
      <c r="U538" s="604">
        <f t="shared" si="187"/>
        <v>0</v>
      </c>
      <c r="V538" s="604">
        <f t="shared" si="188"/>
        <v>0</v>
      </c>
      <c r="W538" s="604">
        <f t="shared" si="189"/>
        <v>0</v>
      </c>
      <c r="X538" s="746">
        <v>0</v>
      </c>
      <c r="Y538" s="746">
        <f t="shared" si="190"/>
        <v>0</v>
      </c>
    </row>
    <row r="539" spans="2:25">
      <c r="B539" s="598" t="s">
        <v>2595</v>
      </c>
      <c r="C539" s="604" t="s">
        <v>1107</v>
      </c>
      <c r="D539" s="745">
        <v>2012</v>
      </c>
      <c r="E539" s="604"/>
      <c r="F539" s="738">
        <v>0.4</v>
      </c>
      <c r="G539" s="739">
        <v>1835.2</v>
      </c>
      <c r="H539" s="741">
        <v>1835.2</v>
      </c>
      <c r="I539" s="742">
        <f t="shared" si="176"/>
        <v>0</v>
      </c>
      <c r="J539" s="740">
        <f t="shared" si="177"/>
        <v>0</v>
      </c>
      <c r="K539" s="739">
        <f t="shared" si="178"/>
        <v>1835.2</v>
      </c>
      <c r="L539" s="860">
        <f t="shared" si="179"/>
        <v>0</v>
      </c>
      <c r="M539" s="740">
        <f t="shared" si="191"/>
        <v>0</v>
      </c>
      <c r="N539" s="604">
        <f t="shared" si="180"/>
        <v>0</v>
      </c>
      <c r="O539" s="604">
        <f t="shared" si="181"/>
        <v>0</v>
      </c>
      <c r="P539" s="604">
        <f t="shared" si="182"/>
        <v>0</v>
      </c>
      <c r="Q539" s="604">
        <f t="shared" si="183"/>
        <v>0</v>
      </c>
      <c r="R539" s="604">
        <f t="shared" si="184"/>
        <v>0</v>
      </c>
      <c r="S539" s="604">
        <f t="shared" si="185"/>
        <v>0</v>
      </c>
      <c r="T539" s="604">
        <f t="shared" si="186"/>
        <v>0</v>
      </c>
      <c r="U539" s="604">
        <f t="shared" si="187"/>
        <v>0</v>
      </c>
      <c r="V539" s="604">
        <f t="shared" si="188"/>
        <v>0</v>
      </c>
      <c r="W539" s="604">
        <f t="shared" si="189"/>
        <v>0</v>
      </c>
      <c r="X539" s="746">
        <v>0</v>
      </c>
      <c r="Y539" s="746">
        <f t="shared" si="190"/>
        <v>0</v>
      </c>
    </row>
    <row r="540" spans="2:25">
      <c r="B540" s="598" t="s">
        <v>2595</v>
      </c>
      <c r="C540" s="604" t="s">
        <v>1107</v>
      </c>
      <c r="D540" s="745">
        <v>2012</v>
      </c>
      <c r="E540" s="604"/>
      <c r="F540" s="738">
        <v>0.4</v>
      </c>
      <c r="G540" s="739">
        <v>591.57000000000005</v>
      </c>
      <c r="H540" s="741">
        <v>591.57000000000005</v>
      </c>
      <c r="I540" s="742">
        <f t="shared" si="176"/>
        <v>0</v>
      </c>
      <c r="J540" s="740">
        <f t="shared" si="177"/>
        <v>0</v>
      </c>
      <c r="K540" s="739">
        <f t="shared" si="178"/>
        <v>591.57000000000005</v>
      </c>
      <c r="L540" s="860">
        <f t="shared" si="179"/>
        <v>0</v>
      </c>
      <c r="M540" s="740">
        <f t="shared" si="191"/>
        <v>0</v>
      </c>
      <c r="N540" s="604">
        <f t="shared" si="180"/>
        <v>0</v>
      </c>
      <c r="O540" s="604">
        <f t="shared" si="181"/>
        <v>0</v>
      </c>
      <c r="P540" s="604">
        <f t="shared" si="182"/>
        <v>0</v>
      </c>
      <c r="Q540" s="604">
        <f t="shared" si="183"/>
        <v>0</v>
      </c>
      <c r="R540" s="604">
        <f t="shared" si="184"/>
        <v>0</v>
      </c>
      <c r="S540" s="604">
        <f t="shared" si="185"/>
        <v>0</v>
      </c>
      <c r="T540" s="604">
        <f t="shared" si="186"/>
        <v>0</v>
      </c>
      <c r="U540" s="604">
        <f t="shared" si="187"/>
        <v>0</v>
      </c>
      <c r="V540" s="604">
        <f t="shared" si="188"/>
        <v>0</v>
      </c>
      <c r="W540" s="604">
        <f t="shared" si="189"/>
        <v>0</v>
      </c>
      <c r="X540" s="746">
        <v>0</v>
      </c>
      <c r="Y540" s="746">
        <f t="shared" si="190"/>
        <v>0</v>
      </c>
    </row>
    <row r="541" spans="2:25">
      <c r="B541" s="598" t="s">
        <v>2595</v>
      </c>
      <c r="C541" s="604" t="s">
        <v>1107</v>
      </c>
      <c r="D541" s="745">
        <v>2012</v>
      </c>
      <c r="E541" s="604" t="s">
        <v>1496</v>
      </c>
      <c r="F541" s="738">
        <v>0.4</v>
      </c>
      <c r="G541" s="739">
        <v>1405.45</v>
      </c>
      <c r="H541" s="741">
        <v>1405.45</v>
      </c>
      <c r="I541" s="742">
        <f t="shared" si="176"/>
        <v>0</v>
      </c>
      <c r="J541" s="740">
        <f t="shared" si="177"/>
        <v>0</v>
      </c>
      <c r="K541" s="739">
        <f t="shared" si="178"/>
        <v>1405.45</v>
      </c>
      <c r="L541" s="860">
        <f t="shared" si="179"/>
        <v>0</v>
      </c>
      <c r="M541" s="740">
        <f t="shared" si="191"/>
        <v>0</v>
      </c>
      <c r="N541" s="604">
        <f t="shared" si="180"/>
        <v>0</v>
      </c>
      <c r="O541" s="604">
        <f t="shared" si="181"/>
        <v>0</v>
      </c>
      <c r="P541" s="604">
        <f t="shared" si="182"/>
        <v>0</v>
      </c>
      <c r="Q541" s="604">
        <f t="shared" si="183"/>
        <v>0</v>
      </c>
      <c r="R541" s="604">
        <f t="shared" si="184"/>
        <v>0</v>
      </c>
      <c r="S541" s="604">
        <f t="shared" si="185"/>
        <v>0</v>
      </c>
      <c r="T541" s="604">
        <f t="shared" si="186"/>
        <v>0</v>
      </c>
      <c r="U541" s="604">
        <f t="shared" si="187"/>
        <v>0</v>
      </c>
      <c r="V541" s="604">
        <f t="shared" si="188"/>
        <v>0</v>
      </c>
      <c r="W541" s="604">
        <f t="shared" si="189"/>
        <v>0</v>
      </c>
      <c r="X541" s="746">
        <v>0</v>
      </c>
      <c r="Y541" s="746">
        <f t="shared" si="190"/>
        <v>0</v>
      </c>
    </row>
    <row r="542" spans="2:25">
      <c r="B542" s="598" t="s">
        <v>2595</v>
      </c>
      <c r="C542" s="604" t="s">
        <v>1107</v>
      </c>
      <c r="D542" s="745">
        <v>2012</v>
      </c>
      <c r="E542" s="604" t="s">
        <v>1497</v>
      </c>
      <c r="F542" s="738">
        <v>0.4</v>
      </c>
      <c r="G542" s="739">
        <v>651</v>
      </c>
      <c r="H542" s="741">
        <v>651</v>
      </c>
      <c r="I542" s="742">
        <f t="shared" si="176"/>
        <v>0</v>
      </c>
      <c r="J542" s="740">
        <f t="shared" si="177"/>
        <v>0</v>
      </c>
      <c r="K542" s="739">
        <f t="shared" si="178"/>
        <v>651</v>
      </c>
      <c r="L542" s="860">
        <f t="shared" si="179"/>
        <v>0</v>
      </c>
      <c r="M542" s="740">
        <f t="shared" si="191"/>
        <v>0</v>
      </c>
      <c r="N542" s="604">
        <f t="shared" si="180"/>
        <v>0</v>
      </c>
      <c r="O542" s="604">
        <f t="shared" si="181"/>
        <v>0</v>
      </c>
      <c r="P542" s="604">
        <f t="shared" si="182"/>
        <v>0</v>
      </c>
      <c r="Q542" s="604">
        <f t="shared" si="183"/>
        <v>0</v>
      </c>
      <c r="R542" s="604">
        <f t="shared" si="184"/>
        <v>0</v>
      </c>
      <c r="S542" s="604">
        <f t="shared" si="185"/>
        <v>0</v>
      </c>
      <c r="T542" s="604">
        <f t="shared" si="186"/>
        <v>0</v>
      </c>
      <c r="U542" s="604">
        <f t="shared" si="187"/>
        <v>0</v>
      </c>
      <c r="V542" s="604">
        <f t="shared" si="188"/>
        <v>0</v>
      </c>
      <c r="W542" s="604">
        <f t="shared" si="189"/>
        <v>0</v>
      </c>
      <c r="X542" s="746">
        <v>0</v>
      </c>
      <c r="Y542" s="746">
        <f t="shared" si="190"/>
        <v>0</v>
      </c>
    </row>
    <row r="543" spans="2:25">
      <c r="B543" s="598" t="s">
        <v>2595</v>
      </c>
      <c r="C543" s="604" t="s">
        <v>1107</v>
      </c>
      <c r="D543" s="745">
        <v>2013</v>
      </c>
      <c r="E543" s="604" t="s">
        <v>1498</v>
      </c>
      <c r="F543" s="738">
        <v>0.4</v>
      </c>
      <c r="G543" s="739">
        <v>741.59</v>
      </c>
      <c r="H543" s="741">
        <v>741.59</v>
      </c>
      <c r="I543" s="742">
        <f t="shared" si="176"/>
        <v>0</v>
      </c>
      <c r="J543" s="740">
        <f t="shared" si="177"/>
        <v>0</v>
      </c>
      <c r="K543" s="739">
        <f t="shared" si="178"/>
        <v>741.59</v>
      </c>
      <c r="L543" s="860">
        <f t="shared" si="179"/>
        <v>0</v>
      </c>
      <c r="M543" s="740">
        <f t="shared" si="191"/>
        <v>0</v>
      </c>
      <c r="N543" s="604">
        <f t="shared" si="180"/>
        <v>0</v>
      </c>
      <c r="O543" s="604">
        <f t="shared" si="181"/>
        <v>0</v>
      </c>
      <c r="P543" s="604">
        <f t="shared" si="182"/>
        <v>0</v>
      </c>
      <c r="Q543" s="604">
        <f t="shared" si="183"/>
        <v>0</v>
      </c>
      <c r="R543" s="604">
        <f t="shared" si="184"/>
        <v>0</v>
      </c>
      <c r="S543" s="604">
        <f t="shared" si="185"/>
        <v>0</v>
      </c>
      <c r="T543" s="604">
        <f t="shared" si="186"/>
        <v>0</v>
      </c>
      <c r="U543" s="604">
        <f t="shared" si="187"/>
        <v>0</v>
      </c>
      <c r="V543" s="604">
        <f t="shared" si="188"/>
        <v>0</v>
      </c>
      <c r="W543" s="604">
        <f t="shared" si="189"/>
        <v>0</v>
      </c>
      <c r="X543" s="746">
        <v>0</v>
      </c>
      <c r="Y543" s="746">
        <f t="shared" si="190"/>
        <v>0</v>
      </c>
    </row>
    <row r="544" spans="2:25">
      <c r="B544" s="598" t="s">
        <v>2595</v>
      </c>
      <c r="C544" s="604" t="s">
        <v>1107</v>
      </c>
      <c r="D544" s="745">
        <v>2013</v>
      </c>
      <c r="E544" s="604" t="s">
        <v>1499</v>
      </c>
      <c r="F544" s="738">
        <v>0.4</v>
      </c>
      <c r="G544" s="739">
        <v>1799</v>
      </c>
      <c r="H544" s="741">
        <v>1799</v>
      </c>
      <c r="I544" s="742">
        <f t="shared" si="176"/>
        <v>0</v>
      </c>
      <c r="J544" s="740">
        <f t="shared" si="177"/>
        <v>0</v>
      </c>
      <c r="K544" s="739">
        <f t="shared" si="178"/>
        <v>1799</v>
      </c>
      <c r="L544" s="860">
        <f t="shared" si="179"/>
        <v>0</v>
      </c>
      <c r="M544" s="740">
        <f t="shared" si="191"/>
        <v>0</v>
      </c>
      <c r="N544" s="604">
        <f t="shared" si="180"/>
        <v>0</v>
      </c>
      <c r="O544" s="604">
        <f t="shared" si="181"/>
        <v>0</v>
      </c>
      <c r="P544" s="604">
        <f t="shared" si="182"/>
        <v>0</v>
      </c>
      <c r="Q544" s="604">
        <f t="shared" si="183"/>
        <v>0</v>
      </c>
      <c r="R544" s="604">
        <f t="shared" si="184"/>
        <v>0</v>
      </c>
      <c r="S544" s="604">
        <f t="shared" si="185"/>
        <v>0</v>
      </c>
      <c r="T544" s="604">
        <f t="shared" si="186"/>
        <v>0</v>
      </c>
      <c r="U544" s="604">
        <f t="shared" si="187"/>
        <v>0</v>
      </c>
      <c r="V544" s="604">
        <f t="shared" si="188"/>
        <v>0</v>
      </c>
      <c r="W544" s="604">
        <f t="shared" si="189"/>
        <v>0</v>
      </c>
      <c r="X544" s="746">
        <v>0</v>
      </c>
      <c r="Y544" s="746">
        <f t="shared" si="190"/>
        <v>0</v>
      </c>
    </row>
    <row r="545" spans="2:25">
      <c r="B545" s="598" t="s">
        <v>2595</v>
      </c>
      <c r="C545" s="604" t="s">
        <v>1107</v>
      </c>
      <c r="D545" s="745">
        <v>2013</v>
      </c>
      <c r="E545" s="604" t="s">
        <v>1500</v>
      </c>
      <c r="F545" s="738">
        <v>0.4</v>
      </c>
      <c r="G545" s="739">
        <v>2792.5</v>
      </c>
      <c r="H545" s="741">
        <v>2792.5</v>
      </c>
      <c r="I545" s="742">
        <f t="shared" si="176"/>
        <v>0</v>
      </c>
      <c r="J545" s="740">
        <f t="shared" si="177"/>
        <v>0</v>
      </c>
      <c r="K545" s="739">
        <f t="shared" si="178"/>
        <v>2792.5</v>
      </c>
      <c r="L545" s="860">
        <f t="shared" si="179"/>
        <v>0</v>
      </c>
      <c r="M545" s="740">
        <f t="shared" si="191"/>
        <v>0</v>
      </c>
      <c r="N545" s="604">
        <f t="shared" si="180"/>
        <v>0</v>
      </c>
      <c r="O545" s="604">
        <f t="shared" si="181"/>
        <v>0</v>
      </c>
      <c r="P545" s="604">
        <f t="shared" si="182"/>
        <v>0</v>
      </c>
      <c r="Q545" s="604">
        <f t="shared" si="183"/>
        <v>0</v>
      </c>
      <c r="R545" s="604">
        <f t="shared" si="184"/>
        <v>0</v>
      </c>
      <c r="S545" s="604">
        <f t="shared" si="185"/>
        <v>0</v>
      </c>
      <c r="T545" s="604">
        <f t="shared" si="186"/>
        <v>0</v>
      </c>
      <c r="U545" s="604">
        <f t="shared" si="187"/>
        <v>0</v>
      </c>
      <c r="V545" s="604">
        <f t="shared" si="188"/>
        <v>0</v>
      </c>
      <c r="W545" s="604">
        <f t="shared" si="189"/>
        <v>0</v>
      </c>
      <c r="X545" s="746">
        <v>0</v>
      </c>
      <c r="Y545" s="746">
        <f t="shared" si="190"/>
        <v>0</v>
      </c>
    </row>
    <row r="546" spans="2:25">
      <c r="B546" s="598" t="s">
        <v>2595</v>
      </c>
      <c r="C546" s="604" t="s">
        <v>1107</v>
      </c>
      <c r="D546" s="745">
        <v>2013</v>
      </c>
      <c r="E546" s="604"/>
      <c r="F546" s="738">
        <v>0.4</v>
      </c>
      <c r="G546" s="739">
        <v>1402.5</v>
      </c>
      <c r="H546" s="741">
        <v>1402.5</v>
      </c>
      <c r="I546" s="742">
        <f t="shared" si="176"/>
        <v>0</v>
      </c>
      <c r="J546" s="740">
        <f t="shared" si="177"/>
        <v>0</v>
      </c>
      <c r="K546" s="739">
        <f t="shared" si="178"/>
        <v>1402.5</v>
      </c>
      <c r="L546" s="860">
        <f t="shared" si="179"/>
        <v>0</v>
      </c>
      <c r="M546" s="740">
        <f t="shared" si="191"/>
        <v>0</v>
      </c>
      <c r="N546" s="604">
        <f t="shared" si="180"/>
        <v>0</v>
      </c>
      <c r="O546" s="604">
        <f t="shared" si="181"/>
        <v>0</v>
      </c>
      <c r="P546" s="604">
        <f t="shared" si="182"/>
        <v>0</v>
      </c>
      <c r="Q546" s="604">
        <f t="shared" si="183"/>
        <v>0</v>
      </c>
      <c r="R546" s="604">
        <f t="shared" si="184"/>
        <v>0</v>
      </c>
      <c r="S546" s="604">
        <f t="shared" si="185"/>
        <v>0</v>
      </c>
      <c r="T546" s="604">
        <f t="shared" si="186"/>
        <v>0</v>
      </c>
      <c r="U546" s="604">
        <f t="shared" si="187"/>
        <v>0</v>
      </c>
      <c r="V546" s="604">
        <f t="shared" si="188"/>
        <v>0</v>
      </c>
      <c r="W546" s="604">
        <f t="shared" si="189"/>
        <v>0</v>
      </c>
      <c r="X546" s="746">
        <v>0</v>
      </c>
      <c r="Y546" s="746">
        <f t="shared" si="190"/>
        <v>0</v>
      </c>
    </row>
    <row r="547" spans="2:25">
      <c r="B547" s="598" t="s">
        <v>2595</v>
      </c>
      <c r="C547" s="604" t="s">
        <v>1107</v>
      </c>
      <c r="D547" s="745">
        <v>2013</v>
      </c>
      <c r="E547" s="604" t="s">
        <v>1501</v>
      </c>
      <c r="F547" s="738">
        <v>0.4</v>
      </c>
      <c r="G547" s="739">
        <v>577</v>
      </c>
      <c r="H547" s="741">
        <v>577</v>
      </c>
      <c r="I547" s="742">
        <f t="shared" si="176"/>
        <v>0</v>
      </c>
      <c r="J547" s="740">
        <f t="shared" si="177"/>
        <v>0</v>
      </c>
      <c r="K547" s="739">
        <f t="shared" si="178"/>
        <v>577</v>
      </c>
      <c r="L547" s="860">
        <f t="shared" si="179"/>
        <v>0</v>
      </c>
      <c r="M547" s="740">
        <f t="shared" si="191"/>
        <v>0</v>
      </c>
      <c r="N547" s="604">
        <f t="shared" si="180"/>
        <v>0</v>
      </c>
      <c r="O547" s="604">
        <f t="shared" si="181"/>
        <v>0</v>
      </c>
      <c r="P547" s="604">
        <f t="shared" si="182"/>
        <v>0</v>
      </c>
      <c r="Q547" s="604">
        <f t="shared" si="183"/>
        <v>0</v>
      </c>
      <c r="R547" s="604">
        <f t="shared" si="184"/>
        <v>0</v>
      </c>
      <c r="S547" s="604">
        <f t="shared" si="185"/>
        <v>0</v>
      </c>
      <c r="T547" s="604">
        <f t="shared" si="186"/>
        <v>0</v>
      </c>
      <c r="U547" s="604">
        <f t="shared" si="187"/>
        <v>0</v>
      </c>
      <c r="V547" s="604">
        <f t="shared" si="188"/>
        <v>0</v>
      </c>
      <c r="W547" s="604">
        <f t="shared" si="189"/>
        <v>0</v>
      </c>
      <c r="X547" s="746">
        <v>0</v>
      </c>
      <c r="Y547" s="746">
        <f t="shared" si="190"/>
        <v>0</v>
      </c>
    </row>
    <row r="548" spans="2:25">
      <c r="B548" s="598" t="s">
        <v>2595</v>
      </c>
      <c r="C548" s="604" t="s">
        <v>1107</v>
      </c>
      <c r="D548" s="745">
        <v>2013</v>
      </c>
      <c r="E548" s="604" t="s">
        <v>1502</v>
      </c>
      <c r="F548" s="738">
        <v>0.4</v>
      </c>
      <c r="G548" s="739">
        <v>5175</v>
      </c>
      <c r="H548" s="741">
        <v>5175</v>
      </c>
      <c r="I548" s="742">
        <f t="shared" si="176"/>
        <v>0</v>
      </c>
      <c r="J548" s="740">
        <f t="shared" si="177"/>
        <v>0</v>
      </c>
      <c r="K548" s="739">
        <f t="shared" si="178"/>
        <v>5175</v>
      </c>
      <c r="L548" s="860">
        <f t="shared" si="179"/>
        <v>0</v>
      </c>
      <c r="M548" s="740">
        <f t="shared" si="191"/>
        <v>0</v>
      </c>
      <c r="N548" s="604">
        <f t="shared" si="180"/>
        <v>0</v>
      </c>
      <c r="O548" s="604">
        <f t="shared" si="181"/>
        <v>0</v>
      </c>
      <c r="P548" s="604">
        <f t="shared" si="182"/>
        <v>0</v>
      </c>
      <c r="Q548" s="604">
        <f t="shared" si="183"/>
        <v>0</v>
      </c>
      <c r="R548" s="604">
        <f t="shared" si="184"/>
        <v>0</v>
      </c>
      <c r="S548" s="604">
        <f t="shared" si="185"/>
        <v>0</v>
      </c>
      <c r="T548" s="604">
        <f t="shared" si="186"/>
        <v>0</v>
      </c>
      <c r="U548" s="604">
        <f t="shared" si="187"/>
        <v>0</v>
      </c>
      <c r="V548" s="604">
        <f t="shared" si="188"/>
        <v>0</v>
      </c>
      <c r="W548" s="604">
        <f t="shared" si="189"/>
        <v>0</v>
      </c>
      <c r="X548" s="746">
        <v>0</v>
      </c>
      <c r="Y548" s="746">
        <f t="shared" si="190"/>
        <v>0</v>
      </c>
    </row>
    <row r="549" spans="2:25">
      <c r="B549" s="598" t="s">
        <v>2595</v>
      </c>
      <c r="C549" s="604" t="s">
        <v>1107</v>
      </c>
      <c r="D549" s="745">
        <v>2013</v>
      </c>
      <c r="E549" s="604" t="s">
        <v>1503</v>
      </c>
      <c r="F549" s="738">
        <v>0.4</v>
      </c>
      <c r="G549" s="739">
        <v>5175</v>
      </c>
      <c r="H549" s="741">
        <v>5175</v>
      </c>
      <c r="I549" s="742">
        <f t="shared" si="176"/>
        <v>0</v>
      </c>
      <c r="J549" s="740">
        <f t="shared" si="177"/>
        <v>0</v>
      </c>
      <c r="K549" s="739">
        <f t="shared" si="178"/>
        <v>5175</v>
      </c>
      <c r="L549" s="860">
        <f t="shared" si="179"/>
        <v>0</v>
      </c>
      <c r="M549" s="740">
        <f t="shared" si="191"/>
        <v>0</v>
      </c>
      <c r="N549" s="604">
        <f t="shared" si="180"/>
        <v>0</v>
      </c>
      <c r="O549" s="604">
        <f t="shared" si="181"/>
        <v>0</v>
      </c>
      <c r="P549" s="604">
        <f t="shared" si="182"/>
        <v>0</v>
      </c>
      <c r="Q549" s="604">
        <f t="shared" si="183"/>
        <v>0</v>
      </c>
      <c r="R549" s="604">
        <f t="shared" si="184"/>
        <v>0</v>
      </c>
      <c r="S549" s="604">
        <f t="shared" si="185"/>
        <v>0</v>
      </c>
      <c r="T549" s="604">
        <f t="shared" si="186"/>
        <v>0</v>
      </c>
      <c r="U549" s="604">
        <f t="shared" si="187"/>
        <v>0</v>
      </c>
      <c r="V549" s="604">
        <f t="shared" si="188"/>
        <v>0</v>
      </c>
      <c r="W549" s="604">
        <f t="shared" si="189"/>
        <v>0</v>
      </c>
      <c r="X549" s="746">
        <v>0</v>
      </c>
      <c r="Y549" s="746">
        <f t="shared" si="190"/>
        <v>0</v>
      </c>
    </row>
    <row r="550" spans="2:25">
      <c r="B550" s="598" t="s">
        <v>2595</v>
      </c>
      <c r="C550" s="604" t="s">
        <v>1107</v>
      </c>
      <c r="D550" s="745">
        <v>2013</v>
      </c>
      <c r="E550" s="604" t="s">
        <v>1504</v>
      </c>
      <c r="F550" s="738">
        <v>0.4</v>
      </c>
      <c r="G550" s="739">
        <v>897</v>
      </c>
      <c r="H550" s="741">
        <v>897</v>
      </c>
      <c r="I550" s="742">
        <f t="shared" si="176"/>
        <v>0</v>
      </c>
      <c r="J550" s="740">
        <f t="shared" si="177"/>
        <v>0</v>
      </c>
      <c r="K550" s="739">
        <f t="shared" si="178"/>
        <v>897</v>
      </c>
      <c r="L550" s="860">
        <f t="shared" si="179"/>
        <v>0</v>
      </c>
      <c r="M550" s="740">
        <f t="shared" si="191"/>
        <v>0</v>
      </c>
      <c r="N550" s="604">
        <f t="shared" si="180"/>
        <v>0</v>
      </c>
      <c r="O550" s="604">
        <f t="shared" si="181"/>
        <v>0</v>
      </c>
      <c r="P550" s="604">
        <f t="shared" si="182"/>
        <v>0</v>
      </c>
      <c r="Q550" s="604">
        <f t="shared" si="183"/>
        <v>0</v>
      </c>
      <c r="R550" s="604">
        <f t="shared" si="184"/>
        <v>0</v>
      </c>
      <c r="S550" s="604">
        <f t="shared" si="185"/>
        <v>0</v>
      </c>
      <c r="T550" s="604">
        <f t="shared" si="186"/>
        <v>0</v>
      </c>
      <c r="U550" s="604">
        <f t="shared" si="187"/>
        <v>0</v>
      </c>
      <c r="V550" s="604">
        <f t="shared" si="188"/>
        <v>0</v>
      </c>
      <c r="W550" s="604">
        <f t="shared" si="189"/>
        <v>0</v>
      </c>
      <c r="X550" s="746">
        <v>0</v>
      </c>
      <c r="Y550" s="746">
        <f t="shared" si="190"/>
        <v>0</v>
      </c>
    </row>
    <row r="551" spans="2:25">
      <c r="B551" s="598" t="s">
        <v>2595</v>
      </c>
      <c r="C551" s="604" t="s">
        <v>1107</v>
      </c>
      <c r="D551" s="745">
        <v>2013</v>
      </c>
      <c r="E551" s="604" t="s">
        <v>1505</v>
      </c>
      <c r="F551" s="738">
        <v>0.4</v>
      </c>
      <c r="G551" s="739">
        <v>1897</v>
      </c>
      <c r="H551" s="741">
        <v>1897</v>
      </c>
      <c r="I551" s="742">
        <f t="shared" si="176"/>
        <v>0</v>
      </c>
      <c r="J551" s="740">
        <f t="shared" si="177"/>
        <v>0</v>
      </c>
      <c r="K551" s="739">
        <f t="shared" si="178"/>
        <v>1897</v>
      </c>
      <c r="L551" s="860">
        <f t="shared" si="179"/>
        <v>0</v>
      </c>
      <c r="M551" s="740">
        <f t="shared" si="191"/>
        <v>0</v>
      </c>
      <c r="N551" s="604">
        <f t="shared" si="180"/>
        <v>0</v>
      </c>
      <c r="O551" s="604">
        <f t="shared" si="181"/>
        <v>0</v>
      </c>
      <c r="P551" s="604">
        <f t="shared" si="182"/>
        <v>0</v>
      </c>
      <c r="Q551" s="604">
        <f t="shared" si="183"/>
        <v>0</v>
      </c>
      <c r="R551" s="604">
        <f t="shared" si="184"/>
        <v>0</v>
      </c>
      <c r="S551" s="604">
        <f t="shared" si="185"/>
        <v>0</v>
      </c>
      <c r="T551" s="604">
        <f t="shared" si="186"/>
        <v>0</v>
      </c>
      <c r="U551" s="604">
        <f t="shared" si="187"/>
        <v>0</v>
      </c>
      <c r="V551" s="604">
        <f t="shared" si="188"/>
        <v>0</v>
      </c>
      <c r="W551" s="604">
        <f t="shared" si="189"/>
        <v>0</v>
      </c>
      <c r="X551" s="746">
        <v>0</v>
      </c>
      <c r="Y551" s="746">
        <f t="shared" si="190"/>
        <v>0</v>
      </c>
    </row>
    <row r="552" spans="2:25">
      <c r="B552" s="598" t="s">
        <v>2595</v>
      </c>
      <c r="C552" s="604" t="s">
        <v>1107</v>
      </c>
      <c r="D552" s="745">
        <v>2013</v>
      </c>
      <c r="E552" s="604" t="s">
        <v>1506</v>
      </c>
      <c r="F552" s="738">
        <v>0.4</v>
      </c>
      <c r="G552" s="739">
        <v>3840</v>
      </c>
      <c r="H552" s="741">
        <v>3840</v>
      </c>
      <c r="I552" s="742">
        <f t="shared" si="176"/>
        <v>0</v>
      </c>
      <c r="J552" s="740">
        <f t="shared" si="177"/>
        <v>0</v>
      </c>
      <c r="K552" s="739">
        <f t="shared" si="178"/>
        <v>3840</v>
      </c>
      <c r="L552" s="860">
        <f t="shared" si="179"/>
        <v>0</v>
      </c>
      <c r="M552" s="740">
        <f t="shared" si="191"/>
        <v>0</v>
      </c>
      <c r="N552" s="604">
        <f t="shared" si="180"/>
        <v>0</v>
      </c>
      <c r="O552" s="604">
        <f t="shared" si="181"/>
        <v>0</v>
      </c>
      <c r="P552" s="604">
        <f t="shared" si="182"/>
        <v>0</v>
      </c>
      <c r="Q552" s="604">
        <f t="shared" si="183"/>
        <v>0</v>
      </c>
      <c r="R552" s="604">
        <f t="shared" si="184"/>
        <v>0</v>
      </c>
      <c r="S552" s="604">
        <f t="shared" si="185"/>
        <v>0</v>
      </c>
      <c r="T552" s="604">
        <f t="shared" si="186"/>
        <v>0</v>
      </c>
      <c r="U552" s="604">
        <f t="shared" si="187"/>
        <v>0</v>
      </c>
      <c r="V552" s="604">
        <f t="shared" si="188"/>
        <v>0</v>
      </c>
      <c r="W552" s="604">
        <f t="shared" si="189"/>
        <v>0</v>
      </c>
      <c r="X552" s="746">
        <v>0</v>
      </c>
      <c r="Y552" s="746">
        <f t="shared" si="190"/>
        <v>0</v>
      </c>
    </row>
    <row r="553" spans="2:25">
      <c r="B553" s="598" t="s">
        <v>2595</v>
      </c>
      <c r="C553" s="604" t="s">
        <v>1107</v>
      </c>
      <c r="D553" s="745">
        <v>2013</v>
      </c>
      <c r="E553" s="604"/>
      <c r="F553" s="738">
        <v>0.4</v>
      </c>
      <c r="G553" s="739">
        <v>3840</v>
      </c>
      <c r="H553" s="741">
        <v>3840</v>
      </c>
      <c r="I553" s="742">
        <f t="shared" si="176"/>
        <v>0</v>
      </c>
      <c r="J553" s="740">
        <f t="shared" si="177"/>
        <v>0</v>
      </c>
      <c r="K553" s="739">
        <f t="shared" si="178"/>
        <v>3840</v>
      </c>
      <c r="L553" s="860">
        <f t="shared" si="179"/>
        <v>0</v>
      </c>
      <c r="M553" s="740">
        <f t="shared" si="191"/>
        <v>0</v>
      </c>
      <c r="N553" s="604">
        <f t="shared" si="180"/>
        <v>0</v>
      </c>
      <c r="O553" s="604">
        <f t="shared" si="181"/>
        <v>0</v>
      </c>
      <c r="P553" s="604">
        <f t="shared" si="182"/>
        <v>0</v>
      </c>
      <c r="Q553" s="604">
        <f t="shared" si="183"/>
        <v>0</v>
      </c>
      <c r="R553" s="604">
        <f t="shared" si="184"/>
        <v>0</v>
      </c>
      <c r="S553" s="604">
        <f t="shared" si="185"/>
        <v>0</v>
      </c>
      <c r="T553" s="604">
        <f t="shared" si="186"/>
        <v>0</v>
      </c>
      <c r="U553" s="604">
        <f t="shared" si="187"/>
        <v>0</v>
      </c>
      <c r="V553" s="604">
        <f t="shared" si="188"/>
        <v>0</v>
      </c>
      <c r="W553" s="604">
        <f t="shared" si="189"/>
        <v>0</v>
      </c>
      <c r="X553" s="746">
        <v>0</v>
      </c>
      <c r="Y553" s="746">
        <f t="shared" si="190"/>
        <v>0</v>
      </c>
    </row>
    <row r="554" spans="2:25">
      <c r="B554" s="598" t="s">
        <v>2595</v>
      </c>
      <c r="C554" s="604" t="s">
        <v>1107</v>
      </c>
      <c r="D554" s="745">
        <v>2013</v>
      </c>
      <c r="E554" s="604"/>
      <c r="F554" s="738">
        <v>0.4</v>
      </c>
      <c r="G554" s="739">
        <v>768</v>
      </c>
      <c r="H554" s="741">
        <v>768</v>
      </c>
      <c r="I554" s="742">
        <f t="shared" si="176"/>
        <v>0</v>
      </c>
      <c r="J554" s="740">
        <f t="shared" si="177"/>
        <v>0</v>
      </c>
      <c r="K554" s="739">
        <f t="shared" si="178"/>
        <v>768</v>
      </c>
      <c r="L554" s="860">
        <f t="shared" si="179"/>
        <v>0</v>
      </c>
      <c r="M554" s="740">
        <f t="shared" si="191"/>
        <v>0</v>
      </c>
      <c r="N554" s="604">
        <f t="shared" si="180"/>
        <v>0</v>
      </c>
      <c r="O554" s="604">
        <f t="shared" si="181"/>
        <v>0</v>
      </c>
      <c r="P554" s="604">
        <f t="shared" si="182"/>
        <v>0</v>
      </c>
      <c r="Q554" s="604">
        <f t="shared" si="183"/>
        <v>0</v>
      </c>
      <c r="R554" s="604">
        <f t="shared" si="184"/>
        <v>0</v>
      </c>
      <c r="S554" s="604">
        <f t="shared" si="185"/>
        <v>0</v>
      </c>
      <c r="T554" s="604">
        <f t="shared" si="186"/>
        <v>0</v>
      </c>
      <c r="U554" s="604">
        <f t="shared" si="187"/>
        <v>0</v>
      </c>
      <c r="V554" s="604">
        <f t="shared" si="188"/>
        <v>0</v>
      </c>
      <c r="W554" s="604">
        <f t="shared" si="189"/>
        <v>0</v>
      </c>
      <c r="X554" s="746">
        <v>0</v>
      </c>
      <c r="Y554" s="746">
        <f t="shared" si="190"/>
        <v>0</v>
      </c>
    </row>
    <row r="555" spans="2:25">
      <c r="B555" s="598" t="s">
        <v>2595</v>
      </c>
      <c r="C555" s="604" t="s">
        <v>1107</v>
      </c>
      <c r="D555" s="745">
        <v>2013</v>
      </c>
      <c r="E555" s="604"/>
      <c r="F555" s="738">
        <v>0.4</v>
      </c>
      <c r="G555" s="739">
        <v>4200</v>
      </c>
      <c r="H555" s="741">
        <v>4200</v>
      </c>
      <c r="I555" s="742">
        <f t="shared" si="176"/>
        <v>0</v>
      </c>
      <c r="J555" s="740">
        <f t="shared" si="177"/>
        <v>0</v>
      </c>
      <c r="K555" s="739">
        <f t="shared" si="178"/>
        <v>4200</v>
      </c>
      <c r="L555" s="860">
        <f t="shared" si="179"/>
        <v>0</v>
      </c>
      <c r="M555" s="740">
        <f t="shared" si="191"/>
        <v>0</v>
      </c>
      <c r="N555" s="604">
        <f t="shared" si="180"/>
        <v>0</v>
      </c>
      <c r="O555" s="604">
        <f t="shared" si="181"/>
        <v>0</v>
      </c>
      <c r="P555" s="604">
        <f t="shared" si="182"/>
        <v>0</v>
      </c>
      <c r="Q555" s="604">
        <f t="shared" si="183"/>
        <v>0</v>
      </c>
      <c r="R555" s="604">
        <f t="shared" si="184"/>
        <v>0</v>
      </c>
      <c r="S555" s="604">
        <f t="shared" si="185"/>
        <v>0</v>
      </c>
      <c r="T555" s="604">
        <f t="shared" si="186"/>
        <v>0</v>
      </c>
      <c r="U555" s="604">
        <f t="shared" si="187"/>
        <v>0</v>
      </c>
      <c r="V555" s="604">
        <f t="shared" si="188"/>
        <v>0</v>
      </c>
      <c r="W555" s="604">
        <f t="shared" si="189"/>
        <v>0</v>
      </c>
      <c r="X555" s="746">
        <v>0</v>
      </c>
      <c r="Y555" s="746">
        <f t="shared" si="190"/>
        <v>0</v>
      </c>
    </row>
    <row r="556" spans="2:25">
      <c r="B556" s="598" t="s">
        <v>2595</v>
      </c>
      <c r="C556" s="604" t="s">
        <v>1107</v>
      </c>
      <c r="D556" s="745">
        <v>2013</v>
      </c>
      <c r="E556" s="604"/>
      <c r="F556" s="738">
        <v>0.4</v>
      </c>
      <c r="G556" s="739">
        <v>4000</v>
      </c>
      <c r="H556" s="741">
        <v>4000</v>
      </c>
      <c r="I556" s="742">
        <f t="shared" si="176"/>
        <v>0</v>
      </c>
      <c r="J556" s="740">
        <f t="shared" si="177"/>
        <v>0</v>
      </c>
      <c r="K556" s="739">
        <f t="shared" si="178"/>
        <v>4000</v>
      </c>
      <c r="L556" s="860">
        <f t="shared" si="179"/>
        <v>0</v>
      </c>
      <c r="M556" s="740">
        <f t="shared" si="191"/>
        <v>0</v>
      </c>
      <c r="N556" s="604">
        <f t="shared" si="180"/>
        <v>0</v>
      </c>
      <c r="O556" s="604">
        <f t="shared" si="181"/>
        <v>0</v>
      </c>
      <c r="P556" s="604">
        <f t="shared" si="182"/>
        <v>0</v>
      </c>
      <c r="Q556" s="604">
        <f t="shared" si="183"/>
        <v>0</v>
      </c>
      <c r="R556" s="604">
        <f t="shared" si="184"/>
        <v>0</v>
      </c>
      <c r="S556" s="604">
        <f t="shared" si="185"/>
        <v>0</v>
      </c>
      <c r="T556" s="604">
        <f t="shared" si="186"/>
        <v>0</v>
      </c>
      <c r="U556" s="604">
        <f t="shared" si="187"/>
        <v>0</v>
      </c>
      <c r="V556" s="604">
        <f t="shared" si="188"/>
        <v>0</v>
      </c>
      <c r="W556" s="604">
        <f t="shared" si="189"/>
        <v>0</v>
      </c>
      <c r="X556" s="746">
        <v>0</v>
      </c>
      <c r="Y556" s="746">
        <f t="shared" si="190"/>
        <v>0</v>
      </c>
    </row>
    <row r="557" spans="2:25">
      <c r="B557" s="598" t="s">
        <v>2595</v>
      </c>
      <c r="C557" s="604" t="s">
        <v>1107</v>
      </c>
      <c r="D557" s="745">
        <v>2013</v>
      </c>
      <c r="E557" s="604"/>
      <c r="F557" s="738">
        <v>0.4</v>
      </c>
      <c r="G557" s="739">
        <v>4000</v>
      </c>
      <c r="H557" s="741">
        <v>4000</v>
      </c>
      <c r="I557" s="742">
        <f t="shared" si="176"/>
        <v>0</v>
      </c>
      <c r="J557" s="740">
        <f t="shared" si="177"/>
        <v>0</v>
      </c>
      <c r="K557" s="739">
        <f t="shared" si="178"/>
        <v>4000</v>
      </c>
      <c r="L557" s="860">
        <f t="shared" si="179"/>
        <v>0</v>
      </c>
      <c r="M557" s="740">
        <f t="shared" si="191"/>
        <v>0</v>
      </c>
      <c r="N557" s="604">
        <f t="shared" si="180"/>
        <v>0</v>
      </c>
      <c r="O557" s="604">
        <f t="shared" si="181"/>
        <v>0</v>
      </c>
      <c r="P557" s="604">
        <f t="shared" si="182"/>
        <v>0</v>
      </c>
      <c r="Q557" s="604">
        <f t="shared" si="183"/>
        <v>0</v>
      </c>
      <c r="R557" s="604">
        <f t="shared" si="184"/>
        <v>0</v>
      </c>
      <c r="S557" s="604">
        <f t="shared" si="185"/>
        <v>0</v>
      </c>
      <c r="T557" s="604">
        <f t="shared" si="186"/>
        <v>0</v>
      </c>
      <c r="U557" s="604">
        <f t="shared" si="187"/>
        <v>0</v>
      </c>
      <c r="V557" s="604">
        <f t="shared" si="188"/>
        <v>0</v>
      </c>
      <c r="W557" s="604">
        <f t="shared" si="189"/>
        <v>0</v>
      </c>
      <c r="X557" s="746">
        <v>0</v>
      </c>
      <c r="Y557" s="746">
        <f t="shared" si="190"/>
        <v>0</v>
      </c>
    </row>
    <row r="558" spans="2:25">
      <c r="B558" s="598" t="s">
        <v>2595</v>
      </c>
      <c r="C558" s="604" t="s">
        <v>1107</v>
      </c>
      <c r="D558" s="745">
        <v>2013</v>
      </c>
      <c r="E558" s="604" t="s">
        <v>1507</v>
      </c>
      <c r="F558" s="738">
        <v>0.4</v>
      </c>
      <c r="G558" s="739">
        <v>1402.5</v>
      </c>
      <c r="H558" s="741">
        <v>1402.5</v>
      </c>
      <c r="I558" s="742">
        <f t="shared" si="176"/>
        <v>0</v>
      </c>
      <c r="J558" s="740">
        <f t="shared" si="177"/>
        <v>0</v>
      </c>
      <c r="K558" s="739">
        <f t="shared" si="178"/>
        <v>1402.5</v>
      </c>
      <c r="L558" s="860">
        <f t="shared" si="179"/>
        <v>0</v>
      </c>
      <c r="M558" s="740">
        <f t="shared" si="191"/>
        <v>0</v>
      </c>
      <c r="N558" s="604">
        <f t="shared" si="180"/>
        <v>0</v>
      </c>
      <c r="O558" s="604">
        <f t="shared" si="181"/>
        <v>0</v>
      </c>
      <c r="P558" s="604">
        <f t="shared" si="182"/>
        <v>0</v>
      </c>
      <c r="Q558" s="604">
        <f t="shared" si="183"/>
        <v>0</v>
      </c>
      <c r="R558" s="604">
        <f t="shared" si="184"/>
        <v>0</v>
      </c>
      <c r="S558" s="604">
        <f t="shared" si="185"/>
        <v>0</v>
      </c>
      <c r="T558" s="604">
        <f t="shared" si="186"/>
        <v>0</v>
      </c>
      <c r="U558" s="604">
        <f t="shared" si="187"/>
        <v>0</v>
      </c>
      <c r="V558" s="604">
        <f t="shared" si="188"/>
        <v>0</v>
      </c>
      <c r="W558" s="604">
        <f t="shared" si="189"/>
        <v>0</v>
      </c>
      <c r="X558" s="746">
        <v>0</v>
      </c>
      <c r="Y558" s="746">
        <f t="shared" si="190"/>
        <v>0</v>
      </c>
    </row>
    <row r="559" spans="2:25">
      <c r="B559" s="598" t="s">
        <v>2595</v>
      </c>
      <c r="C559" s="604" t="s">
        <v>1107</v>
      </c>
      <c r="D559" s="745">
        <v>2013</v>
      </c>
      <c r="E559" s="604" t="s">
        <v>1508</v>
      </c>
      <c r="F559" s="738">
        <v>0.4</v>
      </c>
      <c r="G559" s="739">
        <v>15000</v>
      </c>
      <c r="H559" s="741">
        <v>15000</v>
      </c>
      <c r="I559" s="742">
        <f t="shared" ref="I559:I622" si="192">+G559-H559</f>
        <v>0</v>
      </c>
      <c r="J559" s="740">
        <f t="shared" ref="J559:J622" si="193">IF(I559=0,0,G559*F559)</f>
        <v>0</v>
      </c>
      <c r="K559" s="739">
        <f t="shared" ref="K559:K622" si="194">+H559+J559</f>
        <v>15000</v>
      </c>
      <c r="L559" s="860">
        <f t="shared" ref="L559:L622" si="195">+G559-K559</f>
        <v>0</v>
      </c>
      <c r="M559" s="740">
        <f t="shared" si="191"/>
        <v>0</v>
      </c>
      <c r="N559" s="604">
        <f t="shared" si="180"/>
        <v>0</v>
      </c>
      <c r="O559" s="604">
        <f t="shared" si="181"/>
        <v>0</v>
      </c>
      <c r="P559" s="604">
        <f t="shared" si="182"/>
        <v>0</v>
      </c>
      <c r="Q559" s="604">
        <f t="shared" si="183"/>
        <v>0</v>
      </c>
      <c r="R559" s="604">
        <f t="shared" si="184"/>
        <v>0</v>
      </c>
      <c r="S559" s="604">
        <f t="shared" si="185"/>
        <v>0</v>
      </c>
      <c r="T559" s="604">
        <f t="shared" si="186"/>
        <v>0</v>
      </c>
      <c r="U559" s="604">
        <f t="shared" si="187"/>
        <v>0</v>
      </c>
      <c r="V559" s="604">
        <f t="shared" si="188"/>
        <v>0</v>
      </c>
      <c r="W559" s="604">
        <f t="shared" si="189"/>
        <v>0</v>
      </c>
      <c r="X559" s="746">
        <v>0</v>
      </c>
      <c r="Y559" s="746">
        <f t="shared" si="190"/>
        <v>0</v>
      </c>
    </row>
    <row r="560" spans="2:25">
      <c r="B560" s="598" t="s">
        <v>2595</v>
      </c>
      <c r="C560" s="604" t="s">
        <v>1107</v>
      </c>
      <c r="D560" s="745">
        <v>2014</v>
      </c>
      <c r="E560" s="604"/>
      <c r="F560" s="738">
        <v>0.4</v>
      </c>
      <c r="G560" s="739">
        <v>11500</v>
      </c>
      <c r="H560" s="741">
        <v>11500</v>
      </c>
      <c r="I560" s="742">
        <f t="shared" si="192"/>
        <v>0</v>
      </c>
      <c r="J560" s="740">
        <f t="shared" si="193"/>
        <v>0</v>
      </c>
      <c r="K560" s="739">
        <f t="shared" si="194"/>
        <v>11500</v>
      </c>
      <c r="L560" s="860">
        <f t="shared" si="195"/>
        <v>0</v>
      </c>
      <c r="M560" s="740">
        <f t="shared" si="191"/>
        <v>0</v>
      </c>
      <c r="N560" s="604">
        <f t="shared" si="180"/>
        <v>0</v>
      </c>
      <c r="O560" s="604">
        <f t="shared" si="181"/>
        <v>0</v>
      </c>
      <c r="P560" s="604">
        <f t="shared" si="182"/>
        <v>0</v>
      </c>
      <c r="Q560" s="604">
        <f t="shared" si="183"/>
        <v>0</v>
      </c>
      <c r="R560" s="604">
        <f t="shared" si="184"/>
        <v>0</v>
      </c>
      <c r="S560" s="604">
        <f t="shared" si="185"/>
        <v>0</v>
      </c>
      <c r="T560" s="604">
        <f t="shared" si="186"/>
        <v>0</v>
      </c>
      <c r="U560" s="604">
        <f t="shared" si="187"/>
        <v>0</v>
      </c>
      <c r="V560" s="604">
        <f t="shared" si="188"/>
        <v>0</v>
      </c>
      <c r="W560" s="604">
        <f t="shared" si="189"/>
        <v>0</v>
      </c>
      <c r="X560" s="746">
        <v>0</v>
      </c>
      <c r="Y560" s="746">
        <f t="shared" si="190"/>
        <v>0</v>
      </c>
    </row>
    <row r="561" spans="2:25">
      <c r="B561" s="598" t="s">
        <v>2595</v>
      </c>
      <c r="C561" s="604" t="s">
        <v>1107</v>
      </c>
      <c r="D561" s="745">
        <v>2013</v>
      </c>
      <c r="E561" s="604" t="s">
        <v>1509</v>
      </c>
      <c r="F561" s="738">
        <v>0.4</v>
      </c>
      <c r="G561" s="739">
        <v>1498</v>
      </c>
      <c r="H561" s="741">
        <v>1498</v>
      </c>
      <c r="I561" s="742">
        <f t="shared" si="192"/>
        <v>0</v>
      </c>
      <c r="J561" s="740">
        <f t="shared" si="193"/>
        <v>0</v>
      </c>
      <c r="K561" s="739">
        <f t="shared" si="194"/>
        <v>1498</v>
      </c>
      <c r="L561" s="860">
        <f t="shared" si="195"/>
        <v>0</v>
      </c>
      <c r="M561" s="740">
        <f t="shared" si="191"/>
        <v>0</v>
      </c>
      <c r="N561" s="604">
        <f t="shared" si="180"/>
        <v>0</v>
      </c>
      <c r="O561" s="604">
        <f t="shared" si="181"/>
        <v>0</v>
      </c>
      <c r="P561" s="604">
        <f t="shared" si="182"/>
        <v>0</v>
      </c>
      <c r="Q561" s="604">
        <f t="shared" si="183"/>
        <v>0</v>
      </c>
      <c r="R561" s="604">
        <f t="shared" si="184"/>
        <v>0</v>
      </c>
      <c r="S561" s="604">
        <f t="shared" si="185"/>
        <v>0</v>
      </c>
      <c r="T561" s="604">
        <f t="shared" si="186"/>
        <v>0</v>
      </c>
      <c r="U561" s="604">
        <f t="shared" si="187"/>
        <v>0</v>
      </c>
      <c r="V561" s="604">
        <f t="shared" si="188"/>
        <v>0</v>
      </c>
      <c r="W561" s="604">
        <f t="shared" si="189"/>
        <v>0</v>
      </c>
      <c r="X561" s="746">
        <v>0</v>
      </c>
      <c r="Y561" s="746">
        <f t="shared" si="190"/>
        <v>0</v>
      </c>
    </row>
    <row r="562" spans="2:25">
      <c r="B562" s="598" t="s">
        <v>2595</v>
      </c>
      <c r="C562" s="604" t="s">
        <v>1107</v>
      </c>
      <c r="D562" s="745">
        <v>2013</v>
      </c>
      <c r="E562" s="604" t="s">
        <v>1510</v>
      </c>
      <c r="F562" s="738">
        <v>0.4</v>
      </c>
      <c r="G562" s="739">
        <v>2200</v>
      </c>
      <c r="H562" s="741">
        <v>2200</v>
      </c>
      <c r="I562" s="742">
        <f t="shared" si="192"/>
        <v>0</v>
      </c>
      <c r="J562" s="740">
        <f t="shared" si="193"/>
        <v>0</v>
      </c>
      <c r="K562" s="739">
        <f t="shared" si="194"/>
        <v>2200</v>
      </c>
      <c r="L562" s="860">
        <f t="shared" si="195"/>
        <v>0</v>
      </c>
      <c r="M562" s="740">
        <f t="shared" si="191"/>
        <v>0</v>
      </c>
      <c r="N562" s="604">
        <f t="shared" si="180"/>
        <v>0</v>
      </c>
      <c r="O562" s="604">
        <f t="shared" si="181"/>
        <v>0</v>
      </c>
      <c r="P562" s="604">
        <f t="shared" si="182"/>
        <v>0</v>
      </c>
      <c r="Q562" s="604">
        <f t="shared" si="183"/>
        <v>0</v>
      </c>
      <c r="R562" s="604">
        <f t="shared" si="184"/>
        <v>0</v>
      </c>
      <c r="S562" s="604">
        <f t="shared" si="185"/>
        <v>0</v>
      </c>
      <c r="T562" s="604">
        <f t="shared" si="186"/>
        <v>0</v>
      </c>
      <c r="U562" s="604">
        <f t="shared" si="187"/>
        <v>0</v>
      </c>
      <c r="V562" s="604">
        <f t="shared" si="188"/>
        <v>0</v>
      </c>
      <c r="W562" s="604">
        <f t="shared" si="189"/>
        <v>0</v>
      </c>
      <c r="X562" s="746">
        <v>0</v>
      </c>
      <c r="Y562" s="746">
        <f t="shared" si="190"/>
        <v>0</v>
      </c>
    </row>
    <row r="563" spans="2:25">
      <c r="B563" s="598" t="s">
        <v>2595</v>
      </c>
      <c r="C563" s="604" t="s">
        <v>1107</v>
      </c>
      <c r="D563" s="745">
        <v>2013</v>
      </c>
      <c r="E563" s="604" t="s">
        <v>1511</v>
      </c>
      <c r="F563" s="738">
        <v>0.4</v>
      </c>
      <c r="G563" s="739">
        <v>29000</v>
      </c>
      <c r="H563" s="741">
        <v>29000</v>
      </c>
      <c r="I563" s="742">
        <f t="shared" si="192"/>
        <v>0</v>
      </c>
      <c r="J563" s="740">
        <f t="shared" si="193"/>
        <v>0</v>
      </c>
      <c r="K563" s="739">
        <f t="shared" si="194"/>
        <v>29000</v>
      </c>
      <c r="L563" s="860">
        <f t="shared" si="195"/>
        <v>0</v>
      </c>
      <c r="M563" s="740">
        <f t="shared" si="191"/>
        <v>0</v>
      </c>
      <c r="N563" s="604">
        <f t="shared" si="180"/>
        <v>0</v>
      </c>
      <c r="O563" s="604">
        <f t="shared" si="181"/>
        <v>0</v>
      </c>
      <c r="P563" s="604">
        <f t="shared" si="182"/>
        <v>0</v>
      </c>
      <c r="Q563" s="604">
        <f t="shared" si="183"/>
        <v>0</v>
      </c>
      <c r="R563" s="604">
        <f t="shared" si="184"/>
        <v>0</v>
      </c>
      <c r="S563" s="604">
        <f t="shared" si="185"/>
        <v>0</v>
      </c>
      <c r="T563" s="604">
        <f t="shared" si="186"/>
        <v>0</v>
      </c>
      <c r="U563" s="604">
        <f t="shared" si="187"/>
        <v>0</v>
      </c>
      <c r="V563" s="604">
        <f t="shared" si="188"/>
        <v>0</v>
      </c>
      <c r="W563" s="604">
        <f t="shared" si="189"/>
        <v>0</v>
      </c>
      <c r="X563" s="746">
        <v>0</v>
      </c>
      <c r="Y563" s="746">
        <f t="shared" si="190"/>
        <v>0</v>
      </c>
    </row>
    <row r="564" spans="2:25">
      <c r="B564" s="598" t="s">
        <v>2595</v>
      </c>
      <c r="C564" s="604" t="s">
        <v>1107</v>
      </c>
      <c r="D564" s="745">
        <v>2013</v>
      </c>
      <c r="E564" s="604" t="s">
        <v>1512</v>
      </c>
      <c r="F564" s="738">
        <v>0.4</v>
      </c>
      <c r="G564" s="739">
        <v>3000</v>
      </c>
      <c r="H564" s="741">
        <v>3000</v>
      </c>
      <c r="I564" s="742">
        <f t="shared" si="192"/>
        <v>0</v>
      </c>
      <c r="J564" s="740">
        <f t="shared" si="193"/>
        <v>0</v>
      </c>
      <c r="K564" s="739">
        <f t="shared" si="194"/>
        <v>3000</v>
      </c>
      <c r="L564" s="860">
        <f t="shared" si="195"/>
        <v>0</v>
      </c>
      <c r="M564" s="740">
        <f t="shared" si="191"/>
        <v>0</v>
      </c>
      <c r="N564" s="604">
        <f t="shared" si="180"/>
        <v>0</v>
      </c>
      <c r="O564" s="604">
        <f t="shared" si="181"/>
        <v>0</v>
      </c>
      <c r="P564" s="604">
        <f t="shared" si="182"/>
        <v>0</v>
      </c>
      <c r="Q564" s="604">
        <f t="shared" si="183"/>
        <v>0</v>
      </c>
      <c r="R564" s="604">
        <f t="shared" si="184"/>
        <v>0</v>
      </c>
      <c r="S564" s="604">
        <f t="shared" si="185"/>
        <v>0</v>
      </c>
      <c r="T564" s="604">
        <f t="shared" si="186"/>
        <v>0</v>
      </c>
      <c r="U564" s="604">
        <f t="shared" si="187"/>
        <v>0</v>
      </c>
      <c r="V564" s="604">
        <f t="shared" si="188"/>
        <v>0</v>
      </c>
      <c r="W564" s="604">
        <f t="shared" si="189"/>
        <v>0</v>
      </c>
      <c r="X564" s="746">
        <v>0</v>
      </c>
      <c r="Y564" s="746">
        <f t="shared" si="190"/>
        <v>0</v>
      </c>
    </row>
    <row r="565" spans="2:25">
      <c r="B565" s="598" t="s">
        <v>2595</v>
      </c>
      <c r="C565" s="604" t="s">
        <v>1107</v>
      </c>
      <c r="D565" s="745">
        <v>2013</v>
      </c>
      <c r="E565" s="604" t="s">
        <v>1513</v>
      </c>
      <c r="F565" s="738">
        <v>0.4</v>
      </c>
      <c r="G565" s="739">
        <v>5000</v>
      </c>
      <c r="H565" s="741">
        <v>5000</v>
      </c>
      <c r="I565" s="742">
        <f t="shared" si="192"/>
        <v>0</v>
      </c>
      <c r="J565" s="740">
        <f t="shared" si="193"/>
        <v>0</v>
      </c>
      <c r="K565" s="739">
        <f t="shared" si="194"/>
        <v>5000</v>
      </c>
      <c r="L565" s="860">
        <f t="shared" si="195"/>
        <v>0</v>
      </c>
      <c r="M565" s="740">
        <f t="shared" si="191"/>
        <v>0</v>
      </c>
      <c r="N565" s="604">
        <f t="shared" si="180"/>
        <v>0</v>
      </c>
      <c r="O565" s="604">
        <f t="shared" si="181"/>
        <v>0</v>
      </c>
      <c r="P565" s="604">
        <f t="shared" si="182"/>
        <v>0</v>
      </c>
      <c r="Q565" s="604">
        <f t="shared" si="183"/>
        <v>0</v>
      </c>
      <c r="R565" s="604">
        <f t="shared" si="184"/>
        <v>0</v>
      </c>
      <c r="S565" s="604">
        <f t="shared" si="185"/>
        <v>0</v>
      </c>
      <c r="T565" s="604">
        <f t="shared" si="186"/>
        <v>0</v>
      </c>
      <c r="U565" s="604">
        <f t="shared" si="187"/>
        <v>0</v>
      </c>
      <c r="V565" s="604">
        <f t="shared" si="188"/>
        <v>0</v>
      </c>
      <c r="W565" s="604">
        <f t="shared" si="189"/>
        <v>0</v>
      </c>
      <c r="X565" s="746">
        <v>0</v>
      </c>
      <c r="Y565" s="746">
        <f t="shared" si="190"/>
        <v>0</v>
      </c>
    </row>
    <row r="566" spans="2:25">
      <c r="B566" s="598" t="s">
        <v>2595</v>
      </c>
      <c r="C566" s="604" t="s">
        <v>1107</v>
      </c>
      <c r="D566" s="745">
        <v>2014</v>
      </c>
      <c r="E566" s="604"/>
      <c r="F566" s="738">
        <v>0.4</v>
      </c>
      <c r="G566" s="739">
        <v>3430</v>
      </c>
      <c r="H566" s="741">
        <v>3430</v>
      </c>
      <c r="I566" s="742">
        <f t="shared" si="192"/>
        <v>0</v>
      </c>
      <c r="J566" s="740">
        <f t="shared" si="193"/>
        <v>0</v>
      </c>
      <c r="K566" s="739">
        <f t="shared" si="194"/>
        <v>3430</v>
      </c>
      <c r="L566" s="860">
        <f t="shared" si="195"/>
        <v>0</v>
      </c>
      <c r="M566" s="740">
        <f t="shared" si="191"/>
        <v>0</v>
      </c>
      <c r="N566" s="604">
        <f t="shared" si="180"/>
        <v>0</v>
      </c>
      <c r="O566" s="604">
        <f t="shared" si="181"/>
        <v>0</v>
      </c>
      <c r="P566" s="604">
        <f t="shared" si="182"/>
        <v>0</v>
      </c>
      <c r="Q566" s="604">
        <f t="shared" si="183"/>
        <v>0</v>
      </c>
      <c r="R566" s="604">
        <f t="shared" si="184"/>
        <v>0</v>
      </c>
      <c r="S566" s="604">
        <f t="shared" si="185"/>
        <v>0</v>
      </c>
      <c r="T566" s="604">
        <f t="shared" si="186"/>
        <v>0</v>
      </c>
      <c r="U566" s="604">
        <f t="shared" si="187"/>
        <v>0</v>
      </c>
      <c r="V566" s="604">
        <f t="shared" si="188"/>
        <v>0</v>
      </c>
      <c r="W566" s="604">
        <f t="shared" si="189"/>
        <v>0</v>
      </c>
      <c r="X566" s="746">
        <v>0</v>
      </c>
      <c r="Y566" s="746">
        <f t="shared" si="190"/>
        <v>0</v>
      </c>
    </row>
    <row r="567" spans="2:25">
      <c r="B567" s="598" t="s">
        <v>2595</v>
      </c>
      <c r="C567" s="604" t="s">
        <v>1107</v>
      </c>
      <c r="D567" s="745">
        <v>2013</v>
      </c>
      <c r="E567" s="604" t="s">
        <v>1514</v>
      </c>
      <c r="F567" s="738">
        <v>0.4</v>
      </c>
      <c r="G567" s="739">
        <v>5500</v>
      </c>
      <c r="H567" s="741">
        <v>5500</v>
      </c>
      <c r="I567" s="742">
        <f t="shared" si="192"/>
        <v>0</v>
      </c>
      <c r="J567" s="740">
        <f t="shared" si="193"/>
        <v>0</v>
      </c>
      <c r="K567" s="739">
        <f t="shared" si="194"/>
        <v>5500</v>
      </c>
      <c r="L567" s="860">
        <f t="shared" si="195"/>
        <v>0</v>
      </c>
      <c r="M567" s="740">
        <f t="shared" si="191"/>
        <v>0</v>
      </c>
      <c r="N567" s="604">
        <f t="shared" si="180"/>
        <v>0</v>
      </c>
      <c r="O567" s="604">
        <f t="shared" si="181"/>
        <v>0</v>
      </c>
      <c r="P567" s="604">
        <f t="shared" si="182"/>
        <v>0</v>
      </c>
      <c r="Q567" s="604">
        <f t="shared" si="183"/>
        <v>0</v>
      </c>
      <c r="R567" s="604">
        <f t="shared" si="184"/>
        <v>0</v>
      </c>
      <c r="S567" s="604">
        <f t="shared" si="185"/>
        <v>0</v>
      </c>
      <c r="T567" s="604">
        <f t="shared" si="186"/>
        <v>0</v>
      </c>
      <c r="U567" s="604">
        <f t="shared" si="187"/>
        <v>0</v>
      </c>
      <c r="V567" s="604">
        <f t="shared" si="188"/>
        <v>0</v>
      </c>
      <c r="W567" s="604">
        <f t="shared" si="189"/>
        <v>0</v>
      </c>
      <c r="X567" s="746">
        <v>0</v>
      </c>
      <c r="Y567" s="746">
        <f t="shared" si="190"/>
        <v>0</v>
      </c>
    </row>
    <row r="568" spans="2:25">
      <c r="B568" s="598" t="s">
        <v>2595</v>
      </c>
      <c r="C568" s="604" t="s">
        <v>1107</v>
      </c>
      <c r="D568" s="745">
        <v>2013</v>
      </c>
      <c r="E568" s="604" t="s">
        <v>1515</v>
      </c>
      <c r="F568" s="738">
        <v>0.4</v>
      </c>
      <c r="G568" s="739">
        <v>1301</v>
      </c>
      <c r="H568" s="741">
        <v>1301</v>
      </c>
      <c r="I568" s="742">
        <f t="shared" si="192"/>
        <v>0</v>
      </c>
      <c r="J568" s="740">
        <f t="shared" si="193"/>
        <v>0</v>
      </c>
      <c r="K568" s="739">
        <f t="shared" si="194"/>
        <v>1301</v>
      </c>
      <c r="L568" s="860">
        <f t="shared" si="195"/>
        <v>0</v>
      </c>
      <c r="M568" s="740">
        <f t="shared" si="191"/>
        <v>0</v>
      </c>
      <c r="N568" s="604">
        <f t="shared" si="180"/>
        <v>0</v>
      </c>
      <c r="O568" s="604">
        <f t="shared" si="181"/>
        <v>0</v>
      </c>
      <c r="P568" s="604">
        <f t="shared" si="182"/>
        <v>0</v>
      </c>
      <c r="Q568" s="604">
        <f t="shared" si="183"/>
        <v>0</v>
      </c>
      <c r="R568" s="604">
        <f t="shared" si="184"/>
        <v>0</v>
      </c>
      <c r="S568" s="604">
        <f t="shared" si="185"/>
        <v>0</v>
      </c>
      <c r="T568" s="604">
        <f t="shared" si="186"/>
        <v>0</v>
      </c>
      <c r="U568" s="604">
        <f t="shared" si="187"/>
        <v>0</v>
      </c>
      <c r="V568" s="604">
        <f t="shared" si="188"/>
        <v>0</v>
      </c>
      <c r="W568" s="604">
        <f t="shared" si="189"/>
        <v>0</v>
      </c>
      <c r="X568" s="746">
        <v>0</v>
      </c>
      <c r="Y568" s="746">
        <f t="shared" si="190"/>
        <v>0</v>
      </c>
    </row>
    <row r="569" spans="2:25">
      <c r="B569" s="598" t="s">
        <v>2595</v>
      </c>
      <c r="C569" s="604" t="s">
        <v>1107</v>
      </c>
      <c r="D569" s="745">
        <v>2013</v>
      </c>
      <c r="E569" s="604" t="s">
        <v>1516</v>
      </c>
      <c r="F569" s="738">
        <v>0.4</v>
      </c>
      <c r="G569" s="739">
        <v>534.1</v>
      </c>
      <c r="H569" s="741">
        <v>534.1</v>
      </c>
      <c r="I569" s="742">
        <f t="shared" si="192"/>
        <v>0</v>
      </c>
      <c r="J569" s="740">
        <f t="shared" si="193"/>
        <v>0</v>
      </c>
      <c r="K569" s="739">
        <f t="shared" si="194"/>
        <v>534.1</v>
      </c>
      <c r="L569" s="860">
        <f t="shared" si="195"/>
        <v>0</v>
      </c>
      <c r="M569" s="740">
        <f t="shared" si="191"/>
        <v>0</v>
      </c>
      <c r="N569" s="604">
        <f t="shared" si="180"/>
        <v>0</v>
      </c>
      <c r="O569" s="604">
        <f t="shared" si="181"/>
        <v>0</v>
      </c>
      <c r="P569" s="604">
        <f t="shared" si="182"/>
        <v>0</v>
      </c>
      <c r="Q569" s="604">
        <f t="shared" si="183"/>
        <v>0</v>
      </c>
      <c r="R569" s="604">
        <f t="shared" si="184"/>
        <v>0</v>
      </c>
      <c r="S569" s="604">
        <f t="shared" si="185"/>
        <v>0</v>
      </c>
      <c r="T569" s="604">
        <f t="shared" si="186"/>
        <v>0</v>
      </c>
      <c r="U569" s="604">
        <f t="shared" si="187"/>
        <v>0</v>
      </c>
      <c r="V569" s="604">
        <f t="shared" si="188"/>
        <v>0</v>
      </c>
      <c r="W569" s="604">
        <f t="shared" si="189"/>
        <v>0</v>
      </c>
      <c r="X569" s="746">
        <v>0</v>
      </c>
      <c r="Y569" s="746">
        <f t="shared" si="190"/>
        <v>0</v>
      </c>
    </row>
    <row r="570" spans="2:25">
      <c r="B570" s="598" t="s">
        <v>2595</v>
      </c>
      <c r="C570" s="604" t="s">
        <v>1107</v>
      </c>
      <c r="D570" s="745">
        <v>2013</v>
      </c>
      <c r="E570" s="604" t="s">
        <v>1517</v>
      </c>
      <c r="F570" s="738">
        <v>0.4</v>
      </c>
      <c r="G570" s="739">
        <v>1800</v>
      </c>
      <c r="H570" s="741">
        <v>1800</v>
      </c>
      <c r="I570" s="742">
        <f t="shared" si="192"/>
        <v>0</v>
      </c>
      <c r="J570" s="740">
        <f t="shared" si="193"/>
        <v>0</v>
      </c>
      <c r="K570" s="739">
        <f t="shared" si="194"/>
        <v>1800</v>
      </c>
      <c r="L570" s="860">
        <f t="shared" si="195"/>
        <v>0</v>
      </c>
      <c r="M570" s="740">
        <f t="shared" si="191"/>
        <v>0</v>
      </c>
      <c r="N570" s="604">
        <f t="shared" si="180"/>
        <v>0</v>
      </c>
      <c r="O570" s="604">
        <f t="shared" si="181"/>
        <v>0</v>
      </c>
      <c r="P570" s="604">
        <f t="shared" si="182"/>
        <v>0</v>
      </c>
      <c r="Q570" s="604">
        <f t="shared" si="183"/>
        <v>0</v>
      </c>
      <c r="R570" s="604">
        <f t="shared" si="184"/>
        <v>0</v>
      </c>
      <c r="S570" s="604">
        <f t="shared" si="185"/>
        <v>0</v>
      </c>
      <c r="T570" s="604">
        <f t="shared" si="186"/>
        <v>0</v>
      </c>
      <c r="U570" s="604">
        <f t="shared" si="187"/>
        <v>0</v>
      </c>
      <c r="V570" s="604">
        <f t="shared" si="188"/>
        <v>0</v>
      </c>
      <c r="W570" s="604">
        <f t="shared" si="189"/>
        <v>0</v>
      </c>
      <c r="X570" s="746">
        <v>0</v>
      </c>
      <c r="Y570" s="746">
        <f t="shared" si="190"/>
        <v>0</v>
      </c>
    </row>
    <row r="571" spans="2:25">
      <c r="B571" s="598" t="s">
        <v>2595</v>
      </c>
      <c r="C571" s="604" t="s">
        <v>1107</v>
      </c>
      <c r="D571" s="745">
        <v>2013</v>
      </c>
      <c r="E571" s="604" t="s">
        <v>1518</v>
      </c>
      <c r="F571" s="738">
        <v>0.4</v>
      </c>
      <c r="G571" s="739">
        <v>617.5</v>
      </c>
      <c r="H571" s="741">
        <v>617.5</v>
      </c>
      <c r="I571" s="742">
        <f t="shared" si="192"/>
        <v>0</v>
      </c>
      <c r="J571" s="740">
        <f t="shared" si="193"/>
        <v>0</v>
      </c>
      <c r="K571" s="739">
        <f t="shared" si="194"/>
        <v>617.5</v>
      </c>
      <c r="L571" s="860">
        <f t="shared" si="195"/>
        <v>0</v>
      </c>
      <c r="M571" s="740">
        <f t="shared" si="191"/>
        <v>0</v>
      </c>
      <c r="N571" s="604">
        <f t="shared" si="180"/>
        <v>0</v>
      </c>
      <c r="O571" s="604">
        <f t="shared" si="181"/>
        <v>0</v>
      </c>
      <c r="P571" s="604">
        <f t="shared" si="182"/>
        <v>0</v>
      </c>
      <c r="Q571" s="604">
        <f t="shared" si="183"/>
        <v>0</v>
      </c>
      <c r="R571" s="604">
        <f t="shared" si="184"/>
        <v>0</v>
      </c>
      <c r="S571" s="604">
        <f t="shared" si="185"/>
        <v>0</v>
      </c>
      <c r="T571" s="604">
        <f t="shared" si="186"/>
        <v>0</v>
      </c>
      <c r="U571" s="604">
        <f t="shared" si="187"/>
        <v>0</v>
      </c>
      <c r="V571" s="604">
        <f t="shared" si="188"/>
        <v>0</v>
      </c>
      <c r="W571" s="604">
        <f t="shared" si="189"/>
        <v>0</v>
      </c>
      <c r="X571" s="746">
        <v>0</v>
      </c>
      <c r="Y571" s="746">
        <f t="shared" si="190"/>
        <v>0</v>
      </c>
    </row>
    <row r="572" spans="2:25">
      <c r="B572" s="598" t="s">
        <v>2595</v>
      </c>
      <c r="C572" s="604" t="s">
        <v>1107</v>
      </c>
      <c r="D572" s="745">
        <v>2014</v>
      </c>
      <c r="E572" s="604" t="s">
        <v>1519</v>
      </c>
      <c r="F572" s="738">
        <v>0.4</v>
      </c>
      <c r="G572" s="739">
        <v>830</v>
      </c>
      <c r="H572" s="741">
        <v>830</v>
      </c>
      <c r="I572" s="742">
        <f t="shared" si="192"/>
        <v>0</v>
      </c>
      <c r="J572" s="740">
        <f t="shared" si="193"/>
        <v>0</v>
      </c>
      <c r="K572" s="739">
        <f t="shared" si="194"/>
        <v>830</v>
      </c>
      <c r="L572" s="860">
        <f t="shared" si="195"/>
        <v>0</v>
      </c>
      <c r="M572" s="740">
        <f t="shared" si="191"/>
        <v>0</v>
      </c>
      <c r="N572" s="604">
        <f t="shared" si="180"/>
        <v>0</v>
      </c>
      <c r="O572" s="604">
        <f t="shared" si="181"/>
        <v>0</v>
      </c>
      <c r="P572" s="604">
        <f t="shared" si="182"/>
        <v>0</v>
      </c>
      <c r="Q572" s="604">
        <f t="shared" si="183"/>
        <v>0</v>
      </c>
      <c r="R572" s="604">
        <f t="shared" si="184"/>
        <v>0</v>
      </c>
      <c r="S572" s="604">
        <f t="shared" si="185"/>
        <v>0</v>
      </c>
      <c r="T572" s="604">
        <f t="shared" si="186"/>
        <v>0</v>
      </c>
      <c r="U572" s="604">
        <f t="shared" si="187"/>
        <v>0</v>
      </c>
      <c r="V572" s="604">
        <f t="shared" si="188"/>
        <v>0</v>
      </c>
      <c r="W572" s="604">
        <f t="shared" si="189"/>
        <v>0</v>
      </c>
      <c r="X572" s="746">
        <v>0</v>
      </c>
      <c r="Y572" s="746">
        <f t="shared" si="190"/>
        <v>0</v>
      </c>
    </row>
    <row r="573" spans="2:25">
      <c r="B573" s="598" t="s">
        <v>2595</v>
      </c>
      <c r="C573" s="604" t="s">
        <v>1107</v>
      </c>
      <c r="D573" s="745">
        <v>2014</v>
      </c>
      <c r="E573" s="604" t="s">
        <v>1520</v>
      </c>
      <c r="F573" s="738">
        <v>0.4</v>
      </c>
      <c r="G573" s="739">
        <v>840</v>
      </c>
      <c r="H573" s="741">
        <v>840</v>
      </c>
      <c r="I573" s="742">
        <f t="shared" si="192"/>
        <v>0</v>
      </c>
      <c r="J573" s="740">
        <f t="shared" si="193"/>
        <v>0</v>
      </c>
      <c r="K573" s="739">
        <f t="shared" si="194"/>
        <v>840</v>
      </c>
      <c r="L573" s="860">
        <f t="shared" si="195"/>
        <v>0</v>
      </c>
      <c r="M573" s="740">
        <f t="shared" si="191"/>
        <v>0</v>
      </c>
      <c r="N573" s="604">
        <f t="shared" si="180"/>
        <v>0</v>
      </c>
      <c r="O573" s="604">
        <f t="shared" si="181"/>
        <v>0</v>
      </c>
      <c r="P573" s="604">
        <f t="shared" si="182"/>
        <v>0</v>
      </c>
      <c r="Q573" s="604">
        <f t="shared" si="183"/>
        <v>0</v>
      </c>
      <c r="R573" s="604">
        <f t="shared" si="184"/>
        <v>0</v>
      </c>
      <c r="S573" s="604">
        <f t="shared" si="185"/>
        <v>0</v>
      </c>
      <c r="T573" s="604">
        <f t="shared" si="186"/>
        <v>0</v>
      </c>
      <c r="U573" s="604">
        <f t="shared" si="187"/>
        <v>0</v>
      </c>
      <c r="V573" s="604">
        <f t="shared" si="188"/>
        <v>0</v>
      </c>
      <c r="W573" s="604">
        <f t="shared" si="189"/>
        <v>0</v>
      </c>
      <c r="X573" s="746">
        <v>0</v>
      </c>
      <c r="Y573" s="746">
        <f t="shared" si="190"/>
        <v>0</v>
      </c>
    </row>
    <row r="574" spans="2:25">
      <c r="B574" s="598" t="s">
        <v>2595</v>
      </c>
      <c r="C574" s="604" t="s">
        <v>1107</v>
      </c>
      <c r="D574" s="745">
        <v>2014</v>
      </c>
      <c r="E574" s="604" t="s">
        <v>1521</v>
      </c>
      <c r="F574" s="738">
        <v>0.4</v>
      </c>
      <c r="G574" s="739">
        <v>830</v>
      </c>
      <c r="H574" s="741">
        <v>830</v>
      </c>
      <c r="I574" s="742">
        <f t="shared" si="192"/>
        <v>0</v>
      </c>
      <c r="J574" s="740">
        <f t="shared" si="193"/>
        <v>0</v>
      </c>
      <c r="K574" s="739">
        <f t="shared" si="194"/>
        <v>830</v>
      </c>
      <c r="L574" s="860">
        <f t="shared" si="195"/>
        <v>0</v>
      </c>
      <c r="M574" s="740">
        <f t="shared" si="191"/>
        <v>0</v>
      </c>
      <c r="N574" s="604">
        <f t="shared" si="180"/>
        <v>0</v>
      </c>
      <c r="O574" s="604">
        <f t="shared" si="181"/>
        <v>0</v>
      </c>
      <c r="P574" s="604">
        <f t="shared" si="182"/>
        <v>0</v>
      </c>
      <c r="Q574" s="604">
        <f t="shared" si="183"/>
        <v>0</v>
      </c>
      <c r="R574" s="604">
        <f t="shared" si="184"/>
        <v>0</v>
      </c>
      <c r="S574" s="604">
        <f t="shared" si="185"/>
        <v>0</v>
      </c>
      <c r="T574" s="604">
        <f t="shared" si="186"/>
        <v>0</v>
      </c>
      <c r="U574" s="604">
        <f t="shared" si="187"/>
        <v>0</v>
      </c>
      <c r="V574" s="604">
        <f t="shared" si="188"/>
        <v>0</v>
      </c>
      <c r="W574" s="604">
        <f t="shared" si="189"/>
        <v>0</v>
      </c>
      <c r="X574" s="746">
        <v>0</v>
      </c>
      <c r="Y574" s="746">
        <f t="shared" si="190"/>
        <v>0</v>
      </c>
    </row>
    <row r="575" spans="2:25">
      <c r="B575" s="598" t="s">
        <v>2595</v>
      </c>
      <c r="C575" s="604" t="s">
        <v>1107</v>
      </c>
      <c r="D575" s="745">
        <v>2014</v>
      </c>
      <c r="E575" s="604" t="s">
        <v>1522</v>
      </c>
      <c r="F575" s="738">
        <v>0.4</v>
      </c>
      <c r="G575" s="739">
        <v>1700</v>
      </c>
      <c r="H575" s="741">
        <v>1700</v>
      </c>
      <c r="I575" s="742">
        <f t="shared" si="192"/>
        <v>0</v>
      </c>
      <c r="J575" s="740">
        <f t="shared" si="193"/>
        <v>0</v>
      </c>
      <c r="K575" s="739">
        <f t="shared" si="194"/>
        <v>1700</v>
      </c>
      <c r="L575" s="860">
        <f t="shared" si="195"/>
        <v>0</v>
      </c>
      <c r="M575" s="740">
        <f t="shared" si="191"/>
        <v>0</v>
      </c>
      <c r="N575" s="604">
        <f t="shared" si="180"/>
        <v>0</v>
      </c>
      <c r="O575" s="604">
        <f t="shared" si="181"/>
        <v>0</v>
      </c>
      <c r="P575" s="604">
        <f t="shared" si="182"/>
        <v>0</v>
      </c>
      <c r="Q575" s="604">
        <f t="shared" si="183"/>
        <v>0</v>
      </c>
      <c r="R575" s="604">
        <f t="shared" si="184"/>
        <v>0</v>
      </c>
      <c r="S575" s="604">
        <f t="shared" si="185"/>
        <v>0</v>
      </c>
      <c r="T575" s="604">
        <f t="shared" si="186"/>
        <v>0</v>
      </c>
      <c r="U575" s="604">
        <f t="shared" si="187"/>
        <v>0</v>
      </c>
      <c r="V575" s="604">
        <f t="shared" si="188"/>
        <v>0</v>
      </c>
      <c r="W575" s="604">
        <f t="shared" si="189"/>
        <v>0</v>
      </c>
      <c r="X575" s="746">
        <v>0</v>
      </c>
      <c r="Y575" s="746">
        <f t="shared" si="190"/>
        <v>0</v>
      </c>
    </row>
    <row r="576" spans="2:25">
      <c r="B576" s="598" t="s">
        <v>2595</v>
      </c>
      <c r="C576" s="604" t="s">
        <v>1107</v>
      </c>
      <c r="D576" s="745">
        <v>2014</v>
      </c>
      <c r="E576" s="604" t="s">
        <v>1523</v>
      </c>
      <c r="F576" s="738">
        <v>0.4</v>
      </c>
      <c r="G576" s="739">
        <v>1700</v>
      </c>
      <c r="H576" s="741">
        <v>1700</v>
      </c>
      <c r="I576" s="742">
        <f t="shared" si="192"/>
        <v>0</v>
      </c>
      <c r="J576" s="740">
        <f t="shared" si="193"/>
        <v>0</v>
      </c>
      <c r="K576" s="739">
        <f t="shared" si="194"/>
        <v>1700</v>
      </c>
      <c r="L576" s="860">
        <f t="shared" si="195"/>
        <v>0</v>
      </c>
      <c r="M576" s="740">
        <f t="shared" si="191"/>
        <v>0</v>
      </c>
      <c r="N576" s="604">
        <f t="shared" si="180"/>
        <v>0</v>
      </c>
      <c r="O576" s="604">
        <f t="shared" si="181"/>
        <v>0</v>
      </c>
      <c r="P576" s="604">
        <f t="shared" si="182"/>
        <v>0</v>
      </c>
      <c r="Q576" s="604">
        <f t="shared" si="183"/>
        <v>0</v>
      </c>
      <c r="R576" s="604">
        <f t="shared" si="184"/>
        <v>0</v>
      </c>
      <c r="S576" s="604">
        <f t="shared" si="185"/>
        <v>0</v>
      </c>
      <c r="T576" s="604">
        <f t="shared" si="186"/>
        <v>0</v>
      </c>
      <c r="U576" s="604">
        <f t="shared" si="187"/>
        <v>0</v>
      </c>
      <c r="V576" s="604">
        <f t="shared" si="188"/>
        <v>0</v>
      </c>
      <c r="W576" s="604">
        <f t="shared" si="189"/>
        <v>0</v>
      </c>
      <c r="X576" s="746">
        <v>0</v>
      </c>
      <c r="Y576" s="746">
        <f t="shared" si="190"/>
        <v>0</v>
      </c>
    </row>
    <row r="577" spans="2:25">
      <c r="B577" s="598" t="s">
        <v>2595</v>
      </c>
      <c r="C577" s="604" t="s">
        <v>1107</v>
      </c>
      <c r="D577" s="745">
        <v>2014</v>
      </c>
      <c r="E577" s="604" t="s">
        <v>1524</v>
      </c>
      <c r="F577" s="738">
        <v>0.4</v>
      </c>
      <c r="G577" s="739">
        <v>3000</v>
      </c>
      <c r="H577" s="741">
        <v>3000</v>
      </c>
      <c r="I577" s="742">
        <f t="shared" si="192"/>
        <v>0</v>
      </c>
      <c r="J577" s="740">
        <f t="shared" si="193"/>
        <v>0</v>
      </c>
      <c r="K577" s="739">
        <f t="shared" si="194"/>
        <v>3000</v>
      </c>
      <c r="L577" s="860">
        <f t="shared" si="195"/>
        <v>0</v>
      </c>
      <c r="M577" s="740">
        <f t="shared" si="191"/>
        <v>0</v>
      </c>
      <c r="N577" s="604">
        <f t="shared" si="180"/>
        <v>0</v>
      </c>
      <c r="O577" s="604">
        <f t="shared" si="181"/>
        <v>0</v>
      </c>
      <c r="P577" s="604">
        <f t="shared" si="182"/>
        <v>0</v>
      </c>
      <c r="Q577" s="604">
        <f t="shared" si="183"/>
        <v>0</v>
      </c>
      <c r="R577" s="604">
        <f t="shared" si="184"/>
        <v>0</v>
      </c>
      <c r="S577" s="604">
        <f t="shared" si="185"/>
        <v>0</v>
      </c>
      <c r="T577" s="604">
        <f t="shared" si="186"/>
        <v>0</v>
      </c>
      <c r="U577" s="604">
        <f t="shared" si="187"/>
        <v>0</v>
      </c>
      <c r="V577" s="604">
        <f t="shared" si="188"/>
        <v>0</v>
      </c>
      <c r="W577" s="604">
        <f t="shared" si="189"/>
        <v>0</v>
      </c>
      <c r="X577" s="746">
        <v>0</v>
      </c>
      <c r="Y577" s="746">
        <f t="shared" si="190"/>
        <v>0</v>
      </c>
    </row>
    <row r="578" spans="2:25">
      <c r="B578" s="598" t="s">
        <v>2595</v>
      </c>
      <c r="C578" s="604" t="s">
        <v>1107</v>
      </c>
      <c r="D578" s="745">
        <v>2014</v>
      </c>
      <c r="E578" s="604" t="s">
        <v>1525</v>
      </c>
      <c r="F578" s="738">
        <v>0.4</v>
      </c>
      <c r="G578" s="739">
        <v>2000</v>
      </c>
      <c r="H578" s="741">
        <v>2000</v>
      </c>
      <c r="I578" s="742">
        <f t="shared" si="192"/>
        <v>0</v>
      </c>
      <c r="J578" s="740">
        <f t="shared" si="193"/>
        <v>0</v>
      </c>
      <c r="K578" s="739">
        <f t="shared" si="194"/>
        <v>2000</v>
      </c>
      <c r="L578" s="860">
        <f t="shared" si="195"/>
        <v>0</v>
      </c>
      <c r="M578" s="740">
        <f t="shared" si="191"/>
        <v>0</v>
      </c>
      <c r="N578" s="604">
        <f t="shared" si="180"/>
        <v>0</v>
      </c>
      <c r="O578" s="604">
        <f t="shared" si="181"/>
        <v>0</v>
      </c>
      <c r="P578" s="604">
        <f t="shared" si="182"/>
        <v>0</v>
      </c>
      <c r="Q578" s="604">
        <f t="shared" si="183"/>
        <v>0</v>
      </c>
      <c r="R578" s="604">
        <f t="shared" si="184"/>
        <v>0</v>
      </c>
      <c r="S578" s="604">
        <f t="shared" si="185"/>
        <v>0</v>
      </c>
      <c r="T578" s="604">
        <f t="shared" si="186"/>
        <v>0</v>
      </c>
      <c r="U578" s="604">
        <f t="shared" si="187"/>
        <v>0</v>
      </c>
      <c r="V578" s="604">
        <f t="shared" si="188"/>
        <v>0</v>
      </c>
      <c r="W578" s="604">
        <f t="shared" si="189"/>
        <v>0</v>
      </c>
      <c r="X578" s="746">
        <v>0</v>
      </c>
      <c r="Y578" s="746">
        <f t="shared" si="190"/>
        <v>0</v>
      </c>
    </row>
    <row r="579" spans="2:25">
      <c r="B579" s="598" t="s">
        <v>2595</v>
      </c>
      <c r="C579" s="604" t="s">
        <v>1107</v>
      </c>
      <c r="D579" s="745">
        <v>2014</v>
      </c>
      <c r="E579" s="604" t="s">
        <v>1526</v>
      </c>
      <c r="F579" s="738">
        <v>0.4</v>
      </c>
      <c r="G579" s="739">
        <v>1900</v>
      </c>
      <c r="H579" s="741">
        <v>1900</v>
      </c>
      <c r="I579" s="742">
        <f t="shared" si="192"/>
        <v>0</v>
      </c>
      <c r="J579" s="740">
        <f t="shared" si="193"/>
        <v>0</v>
      </c>
      <c r="K579" s="739">
        <f t="shared" si="194"/>
        <v>1900</v>
      </c>
      <c r="L579" s="860">
        <f t="shared" si="195"/>
        <v>0</v>
      </c>
      <c r="M579" s="740">
        <f t="shared" si="191"/>
        <v>0</v>
      </c>
      <c r="N579" s="604">
        <f t="shared" si="180"/>
        <v>0</v>
      </c>
      <c r="O579" s="604">
        <f t="shared" si="181"/>
        <v>0</v>
      </c>
      <c r="P579" s="604">
        <f t="shared" si="182"/>
        <v>0</v>
      </c>
      <c r="Q579" s="604">
        <f t="shared" si="183"/>
        <v>0</v>
      </c>
      <c r="R579" s="604">
        <f t="shared" si="184"/>
        <v>0</v>
      </c>
      <c r="S579" s="604">
        <f t="shared" si="185"/>
        <v>0</v>
      </c>
      <c r="T579" s="604">
        <f t="shared" si="186"/>
        <v>0</v>
      </c>
      <c r="U579" s="604">
        <f t="shared" si="187"/>
        <v>0</v>
      </c>
      <c r="V579" s="604">
        <f t="shared" si="188"/>
        <v>0</v>
      </c>
      <c r="W579" s="604">
        <f t="shared" si="189"/>
        <v>0</v>
      </c>
      <c r="X579" s="746">
        <v>0</v>
      </c>
      <c r="Y579" s="746">
        <f t="shared" si="190"/>
        <v>0</v>
      </c>
    </row>
    <row r="580" spans="2:25">
      <c r="B580" s="598" t="s">
        <v>2595</v>
      </c>
      <c r="C580" s="604" t="s">
        <v>1107</v>
      </c>
      <c r="D580" s="745">
        <v>2014</v>
      </c>
      <c r="E580" s="604" t="s">
        <v>1527</v>
      </c>
      <c r="F580" s="738">
        <v>0.4</v>
      </c>
      <c r="G580" s="739">
        <v>1200</v>
      </c>
      <c r="H580" s="741">
        <v>1200</v>
      </c>
      <c r="I580" s="742">
        <f t="shared" si="192"/>
        <v>0</v>
      </c>
      <c r="J580" s="740">
        <f t="shared" si="193"/>
        <v>0</v>
      </c>
      <c r="K580" s="739">
        <f t="shared" si="194"/>
        <v>1200</v>
      </c>
      <c r="L580" s="860">
        <f t="shared" si="195"/>
        <v>0</v>
      </c>
      <c r="M580" s="740">
        <f t="shared" si="191"/>
        <v>0</v>
      </c>
      <c r="N580" s="604">
        <f t="shared" si="180"/>
        <v>0</v>
      </c>
      <c r="O580" s="604">
        <f t="shared" si="181"/>
        <v>0</v>
      </c>
      <c r="P580" s="604">
        <f t="shared" si="182"/>
        <v>0</v>
      </c>
      <c r="Q580" s="604">
        <f t="shared" si="183"/>
        <v>0</v>
      </c>
      <c r="R580" s="604">
        <f t="shared" si="184"/>
        <v>0</v>
      </c>
      <c r="S580" s="604">
        <f t="shared" si="185"/>
        <v>0</v>
      </c>
      <c r="T580" s="604">
        <f t="shared" si="186"/>
        <v>0</v>
      </c>
      <c r="U580" s="604">
        <f t="shared" si="187"/>
        <v>0</v>
      </c>
      <c r="V580" s="604">
        <f t="shared" si="188"/>
        <v>0</v>
      </c>
      <c r="W580" s="604">
        <f t="shared" si="189"/>
        <v>0</v>
      </c>
      <c r="X580" s="746">
        <v>0</v>
      </c>
      <c r="Y580" s="746">
        <f t="shared" si="190"/>
        <v>0</v>
      </c>
    </row>
    <row r="581" spans="2:25">
      <c r="B581" s="598" t="s">
        <v>2595</v>
      </c>
      <c r="C581" s="604" t="s">
        <v>1107</v>
      </c>
      <c r="D581" s="745">
        <v>2014</v>
      </c>
      <c r="E581" s="604" t="s">
        <v>1528</v>
      </c>
      <c r="F581" s="738">
        <v>0.4</v>
      </c>
      <c r="G581" s="739">
        <v>1500</v>
      </c>
      <c r="H581" s="741">
        <v>1500</v>
      </c>
      <c r="I581" s="742">
        <f t="shared" si="192"/>
        <v>0</v>
      </c>
      <c r="J581" s="740">
        <f t="shared" si="193"/>
        <v>0</v>
      </c>
      <c r="K581" s="739">
        <f t="shared" si="194"/>
        <v>1500</v>
      </c>
      <c r="L581" s="860">
        <f t="shared" si="195"/>
        <v>0</v>
      </c>
      <c r="M581" s="740">
        <f t="shared" si="191"/>
        <v>0</v>
      </c>
      <c r="N581" s="604">
        <f t="shared" si="180"/>
        <v>0</v>
      </c>
      <c r="O581" s="604">
        <f t="shared" si="181"/>
        <v>0</v>
      </c>
      <c r="P581" s="604">
        <f t="shared" si="182"/>
        <v>0</v>
      </c>
      <c r="Q581" s="604">
        <f t="shared" si="183"/>
        <v>0</v>
      </c>
      <c r="R581" s="604">
        <f t="shared" si="184"/>
        <v>0</v>
      </c>
      <c r="S581" s="604">
        <f t="shared" si="185"/>
        <v>0</v>
      </c>
      <c r="T581" s="604">
        <f t="shared" si="186"/>
        <v>0</v>
      </c>
      <c r="U581" s="604">
        <f t="shared" si="187"/>
        <v>0</v>
      </c>
      <c r="V581" s="604">
        <f t="shared" si="188"/>
        <v>0</v>
      </c>
      <c r="W581" s="604">
        <f t="shared" si="189"/>
        <v>0</v>
      </c>
      <c r="X581" s="746">
        <v>0</v>
      </c>
      <c r="Y581" s="746">
        <f t="shared" si="190"/>
        <v>0</v>
      </c>
    </row>
    <row r="582" spans="2:25">
      <c r="B582" s="598" t="s">
        <v>2595</v>
      </c>
      <c r="C582" s="604" t="s">
        <v>1107</v>
      </c>
      <c r="D582" s="745">
        <v>2014</v>
      </c>
      <c r="E582" s="604" t="s">
        <v>1529</v>
      </c>
      <c r="F582" s="738">
        <v>0.4</v>
      </c>
      <c r="G582" s="739">
        <v>1400</v>
      </c>
      <c r="H582" s="741">
        <v>1400</v>
      </c>
      <c r="I582" s="742">
        <f t="shared" si="192"/>
        <v>0</v>
      </c>
      <c r="J582" s="740">
        <f t="shared" si="193"/>
        <v>0</v>
      </c>
      <c r="K582" s="739">
        <f t="shared" si="194"/>
        <v>1400</v>
      </c>
      <c r="L582" s="860">
        <f t="shared" si="195"/>
        <v>0</v>
      </c>
      <c r="M582" s="740">
        <f t="shared" si="191"/>
        <v>0</v>
      </c>
      <c r="N582" s="604">
        <f t="shared" si="180"/>
        <v>0</v>
      </c>
      <c r="O582" s="604">
        <f t="shared" si="181"/>
        <v>0</v>
      </c>
      <c r="P582" s="604">
        <f t="shared" si="182"/>
        <v>0</v>
      </c>
      <c r="Q582" s="604">
        <f t="shared" si="183"/>
        <v>0</v>
      </c>
      <c r="R582" s="604">
        <f t="shared" si="184"/>
        <v>0</v>
      </c>
      <c r="S582" s="604">
        <f t="shared" si="185"/>
        <v>0</v>
      </c>
      <c r="T582" s="604">
        <f t="shared" si="186"/>
        <v>0</v>
      </c>
      <c r="U582" s="604">
        <f t="shared" si="187"/>
        <v>0</v>
      </c>
      <c r="V582" s="604">
        <f t="shared" si="188"/>
        <v>0</v>
      </c>
      <c r="W582" s="604">
        <f t="shared" si="189"/>
        <v>0</v>
      </c>
      <c r="X582" s="746">
        <v>0</v>
      </c>
      <c r="Y582" s="746">
        <f t="shared" si="190"/>
        <v>0</v>
      </c>
    </row>
    <row r="583" spans="2:25">
      <c r="B583" s="598" t="s">
        <v>2595</v>
      </c>
      <c r="C583" s="604" t="s">
        <v>1107</v>
      </c>
      <c r="D583" s="745">
        <v>2014</v>
      </c>
      <c r="E583" s="604" t="s">
        <v>1529</v>
      </c>
      <c r="F583" s="738">
        <v>0.4</v>
      </c>
      <c r="G583" s="739">
        <v>1400</v>
      </c>
      <c r="H583" s="741">
        <v>1400</v>
      </c>
      <c r="I583" s="742">
        <f t="shared" si="192"/>
        <v>0</v>
      </c>
      <c r="J583" s="740">
        <f t="shared" si="193"/>
        <v>0</v>
      </c>
      <c r="K583" s="739">
        <f t="shared" si="194"/>
        <v>1400</v>
      </c>
      <c r="L583" s="860">
        <f t="shared" si="195"/>
        <v>0</v>
      </c>
      <c r="M583" s="740">
        <f t="shared" si="191"/>
        <v>0</v>
      </c>
      <c r="N583" s="604">
        <f t="shared" si="180"/>
        <v>0</v>
      </c>
      <c r="O583" s="604">
        <f t="shared" si="181"/>
        <v>0</v>
      </c>
      <c r="P583" s="604">
        <f t="shared" si="182"/>
        <v>0</v>
      </c>
      <c r="Q583" s="604">
        <f t="shared" si="183"/>
        <v>0</v>
      </c>
      <c r="R583" s="604">
        <f t="shared" si="184"/>
        <v>0</v>
      </c>
      <c r="S583" s="604">
        <f t="shared" si="185"/>
        <v>0</v>
      </c>
      <c r="T583" s="604">
        <f t="shared" si="186"/>
        <v>0</v>
      </c>
      <c r="U583" s="604">
        <f t="shared" si="187"/>
        <v>0</v>
      </c>
      <c r="V583" s="604">
        <f t="shared" si="188"/>
        <v>0</v>
      </c>
      <c r="W583" s="604">
        <f t="shared" si="189"/>
        <v>0</v>
      </c>
      <c r="X583" s="746">
        <v>0</v>
      </c>
      <c r="Y583" s="746">
        <f t="shared" si="190"/>
        <v>0</v>
      </c>
    </row>
    <row r="584" spans="2:25">
      <c r="B584" s="598" t="s">
        <v>2595</v>
      </c>
      <c r="C584" s="604" t="s">
        <v>1107</v>
      </c>
      <c r="D584" s="745">
        <v>2014</v>
      </c>
      <c r="E584" s="604" t="s">
        <v>1530</v>
      </c>
      <c r="F584" s="738">
        <v>0.4</v>
      </c>
      <c r="G584" s="739">
        <v>9852</v>
      </c>
      <c r="H584" s="741">
        <v>9852</v>
      </c>
      <c r="I584" s="742">
        <f t="shared" si="192"/>
        <v>0</v>
      </c>
      <c r="J584" s="740">
        <f t="shared" si="193"/>
        <v>0</v>
      </c>
      <c r="K584" s="739">
        <f t="shared" si="194"/>
        <v>9852</v>
      </c>
      <c r="L584" s="860">
        <f t="shared" si="195"/>
        <v>0</v>
      </c>
      <c r="M584" s="740">
        <f t="shared" si="191"/>
        <v>0</v>
      </c>
      <c r="N584" s="604">
        <f t="shared" ref="N584:N647" si="196">+IF(L584-M584&gt;0,G584*F584,0)</f>
        <v>0</v>
      </c>
      <c r="O584" s="604">
        <f t="shared" ref="O584:O647" si="197">+IF(L584-SUM(M584:N584)&gt;0,G584*F584,0)</f>
        <v>0</v>
      </c>
      <c r="P584" s="604">
        <f t="shared" ref="P584:P647" si="198">+IF(L584-SUM(M584:O584)&gt;0,G584*F584,0)</f>
        <v>0</v>
      </c>
      <c r="Q584" s="604">
        <f t="shared" ref="Q584:Q647" si="199">+IF(L584-SUM(M584:P584)&gt;0,G584*F584,0)</f>
        <v>0</v>
      </c>
      <c r="R584" s="604">
        <f t="shared" ref="R584:R647" si="200">+IF(L584-SUM(M584:Q584)&gt;0,G584*F584,0)</f>
        <v>0</v>
      </c>
      <c r="S584" s="604">
        <f t="shared" ref="S584:S647" si="201">+IF(L584-SUM(M584:R584)&gt;0,G584*F584,0)</f>
        <v>0</v>
      </c>
      <c r="T584" s="604">
        <f t="shared" ref="T584:T647" si="202">+IF(L584-SUM(M584:S584)&gt;0,G584*F584,0)</f>
        <v>0</v>
      </c>
      <c r="U584" s="604">
        <f t="shared" ref="U584:U647" si="203">+IF(L584-SUM(M584:T584)&gt;0,G584*F584,0)</f>
        <v>0</v>
      </c>
      <c r="V584" s="604">
        <f t="shared" ref="V584:V647" si="204">+IF(L584-SUM(M584:U584)&gt;0,G584*F584,0)</f>
        <v>0</v>
      </c>
      <c r="W584" s="604">
        <f t="shared" ref="W584:W647" si="205">+IF(L584-SUM(M584:V584)&gt;0,G584*F584,0)</f>
        <v>0</v>
      </c>
      <c r="X584" s="746">
        <v>0</v>
      </c>
      <c r="Y584" s="746">
        <f t="shared" ref="Y584:Y647" si="206">+SUM(M584:W584)-L584</f>
        <v>0</v>
      </c>
    </row>
    <row r="585" spans="2:25">
      <c r="B585" s="598" t="s">
        <v>2595</v>
      </c>
      <c r="C585" s="604" t="s">
        <v>1107</v>
      </c>
      <c r="D585" s="745">
        <v>2014</v>
      </c>
      <c r="E585" s="604" t="s">
        <v>1531</v>
      </c>
      <c r="F585" s="738">
        <v>0.4</v>
      </c>
      <c r="G585" s="739">
        <v>8200</v>
      </c>
      <c r="H585" s="741">
        <v>8200</v>
      </c>
      <c r="I585" s="742">
        <f t="shared" si="192"/>
        <v>0</v>
      </c>
      <c r="J585" s="740">
        <f t="shared" si="193"/>
        <v>0</v>
      </c>
      <c r="K585" s="739">
        <f t="shared" si="194"/>
        <v>8200</v>
      </c>
      <c r="L585" s="860">
        <f t="shared" si="195"/>
        <v>0</v>
      </c>
      <c r="M585" s="740">
        <f t="shared" si="191"/>
        <v>0</v>
      </c>
      <c r="N585" s="604">
        <f t="shared" si="196"/>
        <v>0</v>
      </c>
      <c r="O585" s="604">
        <f t="shared" si="197"/>
        <v>0</v>
      </c>
      <c r="P585" s="604">
        <f t="shared" si="198"/>
        <v>0</v>
      </c>
      <c r="Q585" s="604">
        <f t="shared" si="199"/>
        <v>0</v>
      </c>
      <c r="R585" s="604">
        <f t="shared" si="200"/>
        <v>0</v>
      </c>
      <c r="S585" s="604">
        <f t="shared" si="201"/>
        <v>0</v>
      </c>
      <c r="T585" s="604">
        <f t="shared" si="202"/>
        <v>0</v>
      </c>
      <c r="U585" s="604">
        <f t="shared" si="203"/>
        <v>0</v>
      </c>
      <c r="V585" s="604">
        <f t="shared" si="204"/>
        <v>0</v>
      </c>
      <c r="W585" s="604">
        <f t="shared" si="205"/>
        <v>0</v>
      </c>
      <c r="X585" s="746">
        <v>0</v>
      </c>
      <c r="Y585" s="746">
        <f t="shared" si="206"/>
        <v>0</v>
      </c>
    </row>
    <row r="586" spans="2:25">
      <c r="B586" s="598" t="s">
        <v>2595</v>
      </c>
      <c r="C586" s="604" t="s">
        <v>1107</v>
      </c>
      <c r="D586" s="745">
        <v>2014</v>
      </c>
      <c r="E586" s="604" t="s">
        <v>1532</v>
      </c>
      <c r="F586" s="738">
        <v>0.4</v>
      </c>
      <c r="G586" s="739">
        <v>643.80999999999995</v>
      </c>
      <c r="H586" s="741">
        <v>643.80999999999995</v>
      </c>
      <c r="I586" s="742">
        <f t="shared" si="192"/>
        <v>0</v>
      </c>
      <c r="J586" s="740">
        <f t="shared" si="193"/>
        <v>0</v>
      </c>
      <c r="K586" s="739">
        <f t="shared" si="194"/>
        <v>643.80999999999995</v>
      </c>
      <c r="L586" s="860">
        <f t="shared" si="195"/>
        <v>0</v>
      </c>
      <c r="M586" s="740">
        <f t="shared" si="191"/>
        <v>0</v>
      </c>
      <c r="N586" s="604">
        <f t="shared" si="196"/>
        <v>0</v>
      </c>
      <c r="O586" s="604">
        <f t="shared" si="197"/>
        <v>0</v>
      </c>
      <c r="P586" s="604">
        <f t="shared" si="198"/>
        <v>0</v>
      </c>
      <c r="Q586" s="604">
        <f t="shared" si="199"/>
        <v>0</v>
      </c>
      <c r="R586" s="604">
        <f t="shared" si="200"/>
        <v>0</v>
      </c>
      <c r="S586" s="604">
        <f t="shared" si="201"/>
        <v>0</v>
      </c>
      <c r="T586" s="604">
        <f t="shared" si="202"/>
        <v>0</v>
      </c>
      <c r="U586" s="604">
        <f t="shared" si="203"/>
        <v>0</v>
      </c>
      <c r="V586" s="604">
        <f t="shared" si="204"/>
        <v>0</v>
      </c>
      <c r="W586" s="604">
        <f t="shared" si="205"/>
        <v>0</v>
      </c>
      <c r="X586" s="746">
        <v>0</v>
      </c>
      <c r="Y586" s="746">
        <f t="shared" si="206"/>
        <v>0</v>
      </c>
    </row>
    <row r="587" spans="2:25">
      <c r="B587" s="598" t="s">
        <v>2595</v>
      </c>
      <c r="C587" s="604" t="s">
        <v>1107</v>
      </c>
      <c r="D587" s="745">
        <v>2014</v>
      </c>
      <c r="E587" s="604" t="s">
        <v>1533</v>
      </c>
      <c r="F587" s="738">
        <v>0.4</v>
      </c>
      <c r="G587" s="739">
        <v>554.11</v>
      </c>
      <c r="H587" s="741">
        <v>554.11</v>
      </c>
      <c r="I587" s="742">
        <f t="shared" si="192"/>
        <v>0</v>
      </c>
      <c r="J587" s="740">
        <f t="shared" si="193"/>
        <v>0</v>
      </c>
      <c r="K587" s="739">
        <f t="shared" si="194"/>
        <v>554.11</v>
      </c>
      <c r="L587" s="860">
        <f t="shared" si="195"/>
        <v>0</v>
      </c>
      <c r="M587" s="740">
        <f t="shared" ref="M587:M650" si="207">+IF(L587=0,0,G587*F587)</f>
        <v>0</v>
      </c>
      <c r="N587" s="604">
        <f t="shared" si="196"/>
        <v>0</v>
      </c>
      <c r="O587" s="604">
        <f t="shared" si="197"/>
        <v>0</v>
      </c>
      <c r="P587" s="604">
        <f t="shared" si="198"/>
        <v>0</v>
      </c>
      <c r="Q587" s="604">
        <f t="shared" si="199"/>
        <v>0</v>
      </c>
      <c r="R587" s="604">
        <f t="shared" si="200"/>
        <v>0</v>
      </c>
      <c r="S587" s="604">
        <f t="shared" si="201"/>
        <v>0</v>
      </c>
      <c r="T587" s="604">
        <f t="shared" si="202"/>
        <v>0</v>
      </c>
      <c r="U587" s="604">
        <f t="shared" si="203"/>
        <v>0</v>
      </c>
      <c r="V587" s="604">
        <f t="shared" si="204"/>
        <v>0</v>
      </c>
      <c r="W587" s="604">
        <f t="shared" si="205"/>
        <v>0</v>
      </c>
      <c r="X587" s="746">
        <v>0</v>
      </c>
      <c r="Y587" s="746">
        <f t="shared" si="206"/>
        <v>0</v>
      </c>
    </row>
    <row r="588" spans="2:25">
      <c r="B588" s="598" t="s">
        <v>2595</v>
      </c>
      <c r="C588" s="604" t="s">
        <v>1107</v>
      </c>
      <c r="D588" s="745">
        <v>2014</v>
      </c>
      <c r="E588" s="604" t="s">
        <v>1534</v>
      </c>
      <c r="F588" s="738">
        <v>0.4</v>
      </c>
      <c r="G588" s="739">
        <v>4000</v>
      </c>
      <c r="H588" s="741">
        <v>4000</v>
      </c>
      <c r="I588" s="742">
        <f t="shared" si="192"/>
        <v>0</v>
      </c>
      <c r="J588" s="740">
        <f t="shared" si="193"/>
        <v>0</v>
      </c>
      <c r="K588" s="739">
        <f t="shared" si="194"/>
        <v>4000</v>
      </c>
      <c r="L588" s="860">
        <f t="shared" si="195"/>
        <v>0</v>
      </c>
      <c r="M588" s="740">
        <f t="shared" si="207"/>
        <v>0</v>
      </c>
      <c r="N588" s="604">
        <f t="shared" si="196"/>
        <v>0</v>
      </c>
      <c r="O588" s="604">
        <f t="shared" si="197"/>
        <v>0</v>
      </c>
      <c r="P588" s="604">
        <f t="shared" si="198"/>
        <v>0</v>
      </c>
      <c r="Q588" s="604">
        <f t="shared" si="199"/>
        <v>0</v>
      </c>
      <c r="R588" s="604">
        <f t="shared" si="200"/>
        <v>0</v>
      </c>
      <c r="S588" s="604">
        <f t="shared" si="201"/>
        <v>0</v>
      </c>
      <c r="T588" s="604">
        <f t="shared" si="202"/>
        <v>0</v>
      </c>
      <c r="U588" s="604">
        <f t="shared" si="203"/>
        <v>0</v>
      </c>
      <c r="V588" s="604">
        <f t="shared" si="204"/>
        <v>0</v>
      </c>
      <c r="W588" s="604">
        <f t="shared" si="205"/>
        <v>0</v>
      </c>
      <c r="X588" s="746">
        <v>0</v>
      </c>
      <c r="Y588" s="746">
        <f t="shared" si="206"/>
        <v>0</v>
      </c>
    </row>
    <row r="589" spans="2:25">
      <c r="B589" s="598" t="s">
        <v>2595</v>
      </c>
      <c r="C589" s="604" t="s">
        <v>1107</v>
      </c>
      <c r="D589" s="745">
        <v>2014</v>
      </c>
      <c r="E589" s="604" t="s">
        <v>1535</v>
      </c>
      <c r="F589" s="738">
        <v>0.4</v>
      </c>
      <c r="G589" s="739">
        <v>3000</v>
      </c>
      <c r="H589" s="741">
        <v>3000</v>
      </c>
      <c r="I589" s="742">
        <f t="shared" si="192"/>
        <v>0</v>
      </c>
      <c r="J589" s="740">
        <f t="shared" si="193"/>
        <v>0</v>
      </c>
      <c r="K589" s="739">
        <f t="shared" si="194"/>
        <v>3000</v>
      </c>
      <c r="L589" s="860">
        <f t="shared" si="195"/>
        <v>0</v>
      </c>
      <c r="M589" s="740">
        <f t="shared" si="207"/>
        <v>0</v>
      </c>
      <c r="N589" s="604">
        <f t="shared" si="196"/>
        <v>0</v>
      </c>
      <c r="O589" s="604">
        <f t="shared" si="197"/>
        <v>0</v>
      </c>
      <c r="P589" s="604">
        <f t="shared" si="198"/>
        <v>0</v>
      </c>
      <c r="Q589" s="604">
        <f t="shared" si="199"/>
        <v>0</v>
      </c>
      <c r="R589" s="604">
        <f t="shared" si="200"/>
        <v>0</v>
      </c>
      <c r="S589" s="604">
        <f t="shared" si="201"/>
        <v>0</v>
      </c>
      <c r="T589" s="604">
        <f t="shared" si="202"/>
        <v>0</v>
      </c>
      <c r="U589" s="604">
        <f t="shared" si="203"/>
        <v>0</v>
      </c>
      <c r="V589" s="604">
        <f t="shared" si="204"/>
        <v>0</v>
      </c>
      <c r="W589" s="604">
        <f t="shared" si="205"/>
        <v>0</v>
      </c>
      <c r="X589" s="746">
        <v>0</v>
      </c>
      <c r="Y589" s="746">
        <f t="shared" si="206"/>
        <v>0</v>
      </c>
    </row>
    <row r="590" spans="2:25">
      <c r="B590" s="598" t="s">
        <v>2595</v>
      </c>
      <c r="C590" s="604" t="s">
        <v>1107</v>
      </c>
      <c r="D590" s="745">
        <v>2014</v>
      </c>
      <c r="E590" s="604" t="s">
        <v>1536</v>
      </c>
      <c r="F590" s="738">
        <v>0.4</v>
      </c>
      <c r="G590" s="739">
        <v>870.25</v>
      </c>
      <c r="H590" s="741">
        <v>870.25</v>
      </c>
      <c r="I590" s="742">
        <f t="shared" si="192"/>
        <v>0</v>
      </c>
      <c r="J590" s="740">
        <f t="shared" si="193"/>
        <v>0</v>
      </c>
      <c r="K590" s="739">
        <f t="shared" si="194"/>
        <v>870.25</v>
      </c>
      <c r="L590" s="860">
        <f t="shared" si="195"/>
        <v>0</v>
      </c>
      <c r="M590" s="740">
        <f t="shared" si="207"/>
        <v>0</v>
      </c>
      <c r="N590" s="604">
        <f t="shared" si="196"/>
        <v>0</v>
      </c>
      <c r="O590" s="604">
        <f t="shared" si="197"/>
        <v>0</v>
      </c>
      <c r="P590" s="604">
        <f t="shared" si="198"/>
        <v>0</v>
      </c>
      <c r="Q590" s="604">
        <f t="shared" si="199"/>
        <v>0</v>
      </c>
      <c r="R590" s="604">
        <f t="shared" si="200"/>
        <v>0</v>
      </c>
      <c r="S590" s="604">
        <f t="shared" si="201"/>
        <v>0</v>
      </c>
      <c r="T590" s="604">
        <f t="shared" si="202"/>
        <v>0</v>
      </c>
      <c r="U590" s="604">
        <f t="shared" si="203"/>
        <v>0</v>
      </c>
      <c r="V590" s="604">
        <f t="shared" si="204"/>
        <v>0</v>
      </c>
      <c r="W590" s="604">
        <f t="shared" si="205"/>
        <v>0</v>
      </c>
      <c r="X590" s="746">
        <v>0</v>
      </c>
      <c r="Y590" s="746">
        <f t="shared" si="206"/>
        <v>0</v>
      </c>
    </row>
    <row r="591" spans="2:25">
      <c r="B591" s="598" t="s">
        <v>2595</v>
      </c>
      <c r="C591" s="604" t="s">
        <v>1107</v>
      </c>
      <c r="D591" s="745">
        <v>2014</v>
      </c>
      <c r="E591" s="604" t="s">
        <v>1537</v>
      </c>
      <c r="F591" s="738">
        <v>0.4</v>
      </c>
      <c r="G591" s="739">
        <v>1500</v>
      </c>
      <c r="H591" s="741">
        <v>1500</v>
      </c>
      <c r="I591" s="742">
        <f t="shared" si="192"/>
        <v>0</v>
      </c>
      <c r="J591" s="740">
        <f t="shared" si="193"/>
        <v>0</v>
      </c>
      <c r="K591" s="739">
        <f t="shared" si="194"/>
        <v>1500</v>
      </c>
      <c r="L591" s="860">
        <f t="shared" si="195"/>
        <v>0</v>
      </c>
      <c r="M591" s="740">
        <f t="shared" si="207"/>
        <v>0</v>
      </c>
      <c r="N591" s="604">
        <f t="shared" si="196"/>
        <v>0</v>
      </c>
      <c r="O591" s="604">
        <f t="shared" si="197"/>
        <v>0</v>
      </c>
      <c r="P591" s="604">
        <f t="shared" si="198"/>
        <v>0</v>
      </c>
      <c r="Q591" s="604">
        <f t="shared" si="199"/>
        <v>0</v>
      </c>
      <c r="R591" s="604">
        <f t="shared" si="200"/>
        <v>0</v>
      </c>
      <c r="S591" s="604">
        <f t="shared" si="201"/>
        <v>0</v>
      </c>
      <c r="T591" s="604">
        <f t="shared" si="202"/>
        <v>0</v>
      </c>
      <c r="U591" s="604">
        <f t="shared" si="203"/>
        <v>0</v>
      </c>
      <c r="V591" s="604">
        <f t="shared" si="204"/>
        <v>0</v>
      </c>
      <c r="W591" s="604">
        <f t="shared" si="205"/>
        <v>0</v>
      </c>
      <c r="X591" s="746">
        <v>0</v>
      </c>
      <c r="Y591" s="746">
        <f t="shared" si="206"/>
        <v>0</v>
      </c>
    </row>
    <row r="592" spans="2:25">
      <c r="B592" s="598" t="s">
        <v>2595</v>
      </c>
      <c r="C592" s="604" t="s">
        <v>1107</v>
      </c>
      <c r="D592" s="745">
        <v>2014</v>
      </c>
      <c r="E592" s="604" t="s">
        <v>1538</v>
      </c>
      <c r="F592" s="738">
        <v>0.4</v>
      </c>
      <c r="G592" s="739">
        <v>1200</v>
      </c>
      <c r="H592" s="741">
        <v>1200</v>
      </c>
      <c r="I592" s="742">
        <f t="shared" si="192"/>
        <v>0</v>
      </c>
      <c r="J592" s="740">
        <f t="shared" si="193"/>
        <v>0</v>
      </c>
      <c r="K592" s="739">
        <f t="shared" si="194"/>
        <v>1200</v>
      </c>
      <c r="L592" s="860">
        <f t="shared" si="195"/>
        <v>0</v>
      </c>
      <c r="M592" s="740">
        <f t="shared" si="207"/>
        <v>0</v>
      </c>
      <c r="N592" s="604">
        <f t="shared" si="196"/>
        <v>0</v>
      </c>
      <c r="O592" s="604">
        <f t="shared" si="197"/>
        <v>0</v>
      </c>
      <c r="P592" s="604">
        <f t="shared" si="198"/>
        <v>0</v>
      </c>
      <c r="Q592" s="604">
        <f t="shared" si="199"/>
        <v>0</v>
      </c>
      <c r="R592" s="604">
        <f t="shared" si="200"/>
        <v>0</v>
      </c>
      <c r="S592" s="604">
        <f t="shared" si="201"/>
        <v>0</v>
      </c>
      <c r="T592" s="604">
        <f t="shared" si="202"/>
        <v>0</v>
      </c>
      <c r="U592" s="604">
        <f t="shared" si="203"/>
        <v>0</v>
      </c>
      <c r="V592" s="604">
        <f t="shared" si="204"/>
        <v>0</v>
      </c>
      <c r="W592" s="604">
        <f t="shared" si="205"/>
        <v>0</v>
      </c>
      <c r="X592" s="746">
        <v>0</v>
      </c>
      <c r="Y592" s="746">
        <f t="shared" si="206"/>
        <v>0</v>
      </c>
    </row>
    <row r="593" spans="2:25">
      <c r="B593" s="598" t="s">
        <v>2595</v>
      </c>
      <c r="C593" s="604" t="s">
        <v>1107</v>
      </c>
      <c r="D593" s="745">
        <v>2014</v>
      </c>
      <c r="E593" s="604" t="s">
        <v>1539</v>
      </c>
      <c r="F593" s="738">
        <v>0.4</v>
      </c>
      <c r="G593" s="739">
        <v>1200</v>
      </c>
      <c r="H593" s="741">
        <v>1200</v>
      </c>
      <c r="I593" s="742">
        <f t="shared" si="192"/>
        <v>0</v>
      </c>
      <c r="J593" s="740">
        <f t="shared" si="193"/>
        <v>0</v>
      </c>
      <c r="K593" s="739">
        <f t="shared" si="194"/>
        <v>1200</v>
      </c>
      <c r="L593" s="860">
        <f t="shared" si="195"/>
        <v>0</v>
      </c>
      <c r="M593" s="740">
        <f t="shared" si="207"/>
        <v>0</v>
      </c>
      <c r="N593" s="604">
        <f t="shared" si="196"/>
        <v>0</v>
      </c>
      <c r="O593" s="604">
        <f t="shared" si="197"/>
        <v>0</v>
      </c>
      <c r="P593" s="604">
        <f t="shared" si="198"/>
        <v>0</v>
      </c>
      <c r="Q593" s="604">
        <f t="shared" si="199"/>
        <v>0</v>
      </c>
      <c r="R593" s="604">
        <f t="shared" si="200"/>
        <v>0</v>
      </c>
      <c r="S593" s="604">
        <f t="shared" si="201"/>
        <v>0</v>
      </c>
      <c r="T593" s="604">
        <f t="shared" si="202"/>
        <v>0</v>
      </c>
      <c r="U593" s="604">
        <f t="shared" si="203"/>
        <v>0</v>
      </c>
      <c r="V593" s="604">
        <f t="shared" si="204"/>
        <v>0</v>
      </c>
      <c r="W593" s="604">
        <f t="shared" si="205"/>
        <v>0</v>
      </c>
      <c r="X593" s="746">
        <v>0</v>
      </c>
      <c r="Y593" s="746">
        <f t="shared" si="206"/>
        <v>0</v>
      </c>
    </row>
    <row r="594" spans="2:25">
      <c r="B594" s="598" t="s">
        <v>2595</v>
      </c>
      <c r="C594" s="604" t="s">
        <v>1107</v>
      </c>
      <c r="D594" s="745">
        <v>2014</v>
      </c>
      <c r="E594" s="604" t="s">
        <v>1540</v>
      </c>
      <c r="F594" s="738">
        <v>0.4</v>
      </c>
      <c r="G594" s="739">
        <v>1200</v>
      </c>
      <c r="H594" s="741">
        <v>1200</v>
      </c>
      <c r="I594" s="742">
        <f t="shared" si="192"/>
        <v>0</v>
      </c>
      <c r="J594" s="740">
        <f t="shared" si="193"/>
        <v>0</v>
      </c>
      <c r="K594" s="739">
        <f t="shared" si="194"/>
        <v>1200</v>
      </c>
      <c r="L594" s="860">
        <f t="shared" si="195"/>
        <v>0</v>
      </c>
      <c r="M594" s="740">
        <f t="shared" si="207"/>
        <v>0</v>
      </c>
      <c r="N594" s="604">
        <f t="shared" si="196"/>
        <v>0</v>
      </c>
      <c r="O594" s="604">
        <f t="shared" si="197"/>
        <v>0</v>
      </c>
      <c r="P594" s="604">
        <f t="shared" si="198"/>
        <v>0</v>
      </c>
      <c r="Q594" s="604">
        <f t="shared" si="199"/>
        <v>0</v>
      </c>
      <c r="R594" s="604">
        <f t="shared" si="200"/>
        <v>0</v>
      </c>
      <c r="S594" s="604">
        <f t="shared" si="201"/>
        <v>0</v>
      </c>
      <c r="T594" s="604">
        <f t="shared" si="202"/>
        <v>0</v>
      </c>
      <c r="U594" s="604">
        <f t="shared" si="203"/>
        <v>0</v>
      </c>
      <c r="V594" s="604">
        <f t="shared" si="204"/>
        <v>0</v>
      </c>
      <c r="W594" s="604">
        <f t="shared" si="205"/>
        <v>0</v>
      </c>
      <c r="X594" s="746">
        <v>0</v>
      </c>
      <c r="Y594" s="746">
        <f t="shared" si="206"/>
        <v>0</v>
      </c>
    </row>
    <row r="595" spans="2:25">
      <c r="B595" s="598" t="s">
        <v>2595</v>
      </c>
      <c r="C595" s="604" t="s">
        <v>1107</v>
      </c>
      <c r="D595" s="745">
        <v>2014</v>
      </c>
      <c r="E595" s="604" t="s">
        <v>1541</v>
      </c>
      <c r="F595" s="738">
        <v>0.4</v>
      </c>
      <c r="G595" s="739">
        <v>1191.44</v>
      </c>
      <c r="H595" s="741">
        <v>1191.44</v>
      </c>
      <c r="I595" s="742">
        <f t="shared" si="192"/>
        <v>0</v>
      </c>
      <c r="J595" s="740">
        <f t="shared" si="193"/>
        <v>0</v>
      </c>
      <c r="K595" s="739">
        <f t="shared" si="194"/>
        <v>1191.44</v>
      </c>
      <c r="L595" s="860">
        <f t="shared" si="195"/>
        <v>0</v>
      </c>
      <c r="M595" s="740">
        <f t="shared" si="207"/>
        <v>0</v>
      </c>
      <c r="N595" s="604">
        <f t="shared" si="196"/>
        <v>0</v>
      </c>
      <c r="O595" s="604">
        <f t="shared" si="197"/>
        <v>0</v>
      </c>
      <c r="P595" s="604">
        <f t="shared" si="198"/>
        <v>0</v>
      </c>
      <c r="Q595" s="604">
        <f t="shared" si="199"/>
        <v>0</v>
      </c>
      <c r="R595" s="604">
        <f t="shared" si="200"/>
        <v>0</v>
      </c>
      <c r="S595" s="604">
        <f t="shared" si="201"/>
        <v>0</v>
      </c>
      <c r="T595" s="604">
        <f t="shared" si="202"/>
        <v>0</v>
      </c>
      <c r="U595" s="604">
        <f t="shared" si="203"/>
        <v>0</v>
      </c>
      <c r="V595" s="604">
        <f t="shared" si="204"/>
        <v>0</v>
      </c>
      <c r="W595" s="604">
        <f t="shared" si="205"/>
        <v>0</v>
      </c>
      <c r="X595" s="746">
        <v>0</v>
      </c>
      <c r="Y595" s="746">
        <f t="shared" si="206"/>
        <v>0</v>
      </c>
    </row>
    <row r="596" spans="2:25">
      <c r="B596" s="598" t="s">
        <v>2595</v>
      </c>
      <c r="C596" s="604" t="s">
        <v>1107</v>
      </c>
      <c r="D596" s="745">
        <v>2014</v>
      </c>
      <c r="E596" s="604" t="s">
        <v>1542</v>
      </c>
      <c r="F596" s="738">
        <v>0.4</v>
      </c>
      <c r="G596" s="739">
        <v>950</v>
      </c>
      <c r="H596" s="741">
        <v>950</v>
      </c>
      <c r="I596" s="742">
        <f t="shared" si="192"/>
        <v>0</v>
      </c>
      <c r="J596" s="740">
        <f t="shared" si="193"/>
        <v>0</v>
      </c>
      <c r="K596" s="739">
        <f t="shared" si="194"/>
        <v>950</v>
      </c>
      <c r="L596" s="860">
        <f t="shared" si="195"/>
        <v>0</v>
      </c>
      <c r="M596" s="740">
        <f t="shared" si="207"/>
        <v>0</v>
      </c>
      <c r="N596" s="604">
        <f t="shared" si="196"/>
        <v>0</v>
      </c>
      <c r="O596" s="604">
        <f t="shared" si="197"/>
        <v>0</v>
      </c>
      <c r="P596" s="604">
        <f t="shared" si="198"/>
        <v>0</v>
      </c>
      <c r="Q596" s="604">
        <f t="shared" si="199"/>
        <v>0</v>
      </c>
      <c r="R596" s="604">
        <f t="shared" si="200"/>
        <v>0</v>
      </c>
      <c r="S596" s="604">
        <f t="shared" si="201"/>
        <v>0</v>
      </c>
      <c r="T596" s="604">
        <f t="shared" si="202"/>
        <v>0</v>
      </c>
      <c r="U596" s="604">
        <f t="shared" si="203"/>
        <v>0</v>
      </c>
      <c r="V596" s="604">
        <f t="shared" si="204"/>
        <v>0</v>
      </c>
      <c r="W596" s="604">
        <f t="shared" si="205"/>
        <v>0</v>
      </c>
      <c r="X596" s="746">
        <v>0</v>
      </c>
      <c r="Y596" s="746">
        <f t="shared" si="206"/>
        <v>0</v>
      </c>
    </row>
    <row r="597" spans="2:25">
      <c r="B597" s="598" t="s">
        <v>2595</v>
      </c>
      <c r="C597" s="604" t="s">
        <v>1107</v>
      </c>
      <c r="D597" s="745">
        <v>2014</v>
      </c>
      <c r="E597" s="604" t="s">
        <v>1543</v>
      </c>
      <c r="F597" s="738">
        <v>0.4</v>
      </c>
      <c r="G597" s="739">
        <v>4000</v>
      </c>
      <c r="H597" s="741">
        <v>4000</v>
      </c>
      <c r="I597" s="742">
        <f t="shared" si="192"/>
        <v>0</v>
      </c>
      <c r="J597" s="740">
        <f t="shared" si="193"/>
        <v>0</v>
      </c>
      <c r="K597" s="739">
        <f t="shared" si="194"/>
        <v>4000</v>
      </c>
      <c r="L597" s="860">
        <f t="shared" si="195"/>
        <v>0</v>
      </c>
      <c r="M597" s="740">
        <f t="shared" si="207"/>
        <v>0</v>
      </c>
      <c r="N597" s="604">
        <f t="shared" si="196"/>
        <v>0</v>
      </c>
      <c r="O597" s="604">
        <f t="shared" si="197"/>
        <v>0</v>
      </c>
      <c r="P597" s="604">
        <f t="shared" si="198"/>
        <v>0</v>
      </c>
      <c r="Q597" s="604">
        <f t="shared" si="199"/>
        <v>0</v>
      </c>
      <c r="R597" s="604">
        <f t="shared" si="200"/>
        <v>0</v>
      </c>
      <c r="S597" s="604">
        <f t="shared" si="201"/>
        <v>0</v>
      </c>
      <c r="T597" s="604">
        <f t="shared" si="202"/>
        <v>0</v>
      </c>
      <c r="U597" s="604">
        <f t="shared" si="203"/>
        <v>0</v>
      </c>
      <c r="V597" s="604">
        <f t="shared" si="204"/>
        <v>0</v>
      </c>
      <c r="W597" s="604">
        <f t="shared" si="205"/>
        <v>0</v>
      </c>
      <c r="X597" s="746">
        <v>0</v>
      </c>
      <c r="Y597" s="746">
        <f t="shared" si="206"/>
        <v>0</v>
      </c>
    </row>
    <row r="598" spans="2:25">
      <c r="B598" s="598" t="s">
        <v>2595</v>
      </c>
      <c r="C598" s="604" t="s">
        <v>1107</v>
      </c>
      <c r="D598" s="745">
        <v>2014</v>
      </c>
      <c r="E598" s="604" t="s">
        <v>1544</v>
      </c>
      <c r="F598" s="738">
        <v>0.4</v>
      </c>
      <c r="G598" s="739">
        <v>1500</v>
      </c>
      <c r="H598" s="741">
        <v>1500</v>
      </c>
      <c r="I598" s="742">
        <f t="shared" si="192"/>
        <v>0</v>
      </c>
      <c r="J598" s="740">
        <f t="shared" si="193"/>
        <v>0</v>
      </c>
      <c r="K598" s="739">
        <f t="shared" si="194"/>
        <v>1500</v>
      </c>
      <c r="L598" s="860">
        <f t="shared" si="195"/>
        <v>0</v>
      </c>
      <c r="M598" s="740">
        <f t="shared" si="207"/>
        <v>0</v>
      </c>
      <c r="N598" s="604">
        <f t="shared" si="196"/>
        <v>0</v>
      </c>
      <c r="O598" s="604">
        <f t="shared" si="197"/>
        <v>0</v>
      </c>
      <c r="P598" s="604">
        <f t="shared" si="198"/>
        <v>0</v>
      </c>
      <c r="Q598" s="604">
        <f t="shared" si="199"/>
        <v>0</v>
      </c>
      <c r="R598" s="604">
        <f t="shared" si="200"/>
        <v>0</v>
      </c>
      <c r="S598" s="604">
        <f t="shared" si="201"/>
        <v>0</v>
      </c>
      <c r="T598" s="604">
        <f t="shared" si="202"/>
        <v>0</v>
      </c>
      <c r="U598" s="604">
        <f t="shared" si="203"/>
        <v>0</v>
      </c>
      <c r="V598" s="604">
        <f t="shared" si="204"/>
        <v>0</v>
      </c>
      <c r="W598" s="604">
        <f t="shared" si="205"/>
        <v>0</v>
      </c>
      <c r="X598" s="746">
        <v>0</v>
      </c>
      <c r="Y598" s="746">
        <f t="shared" si="206"/>
        <v>0</v>
      </c>
    </row>
    <row r="599" spans="2:25">
      <c r="B599" s="598" t="s">
        <v>2595</v>
      </c>
      <c r="C599" s="604" t="s">
        <v>1107</v>
      </c>
      <c r="D599" s="745">
        <v>2014</v>
      </c>
      <c r="E599" s="604" t="s">
        <v>1545</v>
      </c>
      <c r="F599" s="738">
        <v>0.4</v>
      </c>
      <c r="G599" s="739">
        <v>1100</v>
      </c>
      <c r="H599" s="741">
        <v>1100</v>
      </c>
      <c r="I599" s="742">
        <f t="shared" si="192"/>
        <v>0</v>
      </c>
      <c r="J599" s="740">
        <f t="shared" si="193"/>
        <v>0</v>
      </c>
      <c r="K599" s="739">
        <f t="shared" si="194"/>
        <v>1100</v>
      </c>
      <c r="L599" s="860">
        <f t="shared" si="195"/>
        <v>0</v>
      </c>
      <c r="M599" s="740">
        <f t="shared" si="207"/>
        <v>0</v>
      </c>
      <c r="N599" s="604">
        <f t="shared" si="196"/>
        <v>0</v>
      </c>
      <c r="O599" s="604">
        <f t="shared" si="197"/>
        <v>0</v>
      </c>
      <c r="P599" s="604">
        <f t="shared" si="198"/>
        <v>0</v>
      </c>
      <c r="Q599" s="604">
        <f t="shared" si="199"/>
        <v>0</v>
      </c>
      <c r="R599" s="604">
        <f t="shared" si="200"/>
        <v>0</v>
      </c>
      <c r="S599" s="604">
        <f t="shared" si="201"/>
        <v>0</v>
      </c>
      <c r="T599" s="604">
        <f t="shared" si="202"/>
        <v>0</v>
      </c>
      <c r="U599" s="604">
        <f t="shared" si="203"/>
        <v>0</v>
      </c>
      <c r="V599" s="604">
        <f t="shared" si="204"/>
        <v>0</v>
      </c>
      <c r="W599" s="604">
        <f t="shared" si="205"/>
        <v>0</v>
      </c>
      <c r="X599" s="746">
        <v>0</v>
      </c>
      <c r="Y599" s="746">
        <f t="shared" si="206"/>
        <v>0</v>
      </c>
    </row>
    <row r="600" spans="2:25">
      <c r="B600" s="598" t="s">
        <v>2595</v>
      </c>
      <c r="C600" s="604" t="s">
        <v>1107</v>
      </c>
      <c r="D600" s="745">
        <v>2014</v>
      </c>
      <c r="E600" s="604" t="s">
        <v>1546</v>
      </c>
      <c r="F600" s="738">
        <v>0.4</v>
      </c>
      <c r="G600" s="739">
        <v>2000</v>
      </c>
      <c r="H600" s="741">
        <v>2000</v>
      </c>
      <c r="I600" s="742">
        <f t="shared" si="192"/>
        <v>0</v>
      </c>
      <c r="J600" s="740">
        <f t="shared" si="193"/>
        <v>0</v>
      </c>
      <c r="K600" s="739">
        <f t="shared" si="194"/>
        <v>2000</v>
      </c>
      <c r="L600" s="860">
        <f t="shared" si="195"/>
        <v>0</v>
      </c>
      <c r="M600" s="740">
        <f t="shared" si="207"/>
        <v>0</v>
      </c>
      <c r="N600" s="604">
        <f t="shared" si="196"/>
        <v>0</v>
      </c>
      <c r="O600" s="604">
        <f t="shared" si="197"/>
        <v>0</v>
      </c>
      <c r="P600" s="604">
        <f t="shared" si="198"/>
        <v>0</v>
      </c>
      <c r="Q600" s="604">
        <f t="shared" si="199"/>
        <v>0</v>
      </c>
      <c r="R600" s="604">
        <f t="shared" si="200"/>
        <v>0</v>
      </c>
      <c r="S600" s="604">
        <f t="shared" si="201"/>
        <v>0</v>
      </c>
      <c r="T600" s="604">
        <f t="shared" si="202"/>
        <v>0</v>
      </c>
      <c r="U600" s="604">
        <f t="shared" si="203"/>
        <v>0</v>
      </c>
      <c r="V600" s="604">
        <f t="shared" si="204"/>
        <v>0</v>
      </c>
      <c r="W600" s="604">
        <f t="shared" si="205"/>
        <v>0</v>
      </c>
      <c r="X600" s="746">
        <v>0</v>
      </c>
      <c r="Y600" s="746">
        <f t="shared" si="206"/>
        <v>0</v>
      </c>
    </row>
    <row r="601" spans="2:25">
      <c r="B601" s="598" t="s">
        <v>2595</v>
      </c>
      <c r="C601" s="604" t="s">
        <v>1107</v>
      </c>
      <c r="D601" s="745">
        <v>2014</v>
      </c>
      <c r="E601" s="604" t="s">
        <v>1547</v>
      </c>
      <c r="F601" s="738">
        <v>0.4</v>
      </c>
      <c r="G601" s="739">
        <v>2000</v>
      </c>
      <c r="H601" s="741">
        <v>2000</v>
      </c>
      <c r="I601" s="742">
        <f t="shared" si="192"/>
        <v>0</v>
      </c>
      <c r="J601" s="740">
        <f t="shared" si="193"/>
        <v>0</v>
      </c>
      <c r="K601" s="739">
        <f t="shared" si="194"/>
        <v>2000</v>
      </c>
      <c r="L601" s="860">
        <f t="shared" si="195"/>
        <v>0</v>
      </c>
      <c r="M601" s="740">
        <f t="shared" si="207"/>
        <v>0</v>
      </c>
      <c r="N601" s="604">
        <f t="shared" si="196"/>
        <v>0</v>
      </c>
      <c r="O601" s="604">
        <f t="shared" si="197"/>
        <v>0</v>
      </c>
      <c r="P601" s="604">
        <f t="shared" si="198"/>
        <v>0</v>
      </c>
      <c r="Q601" s="604">
        <f t="shared" si="199"/>
        <v>0</v>
      </c>
      <c r="R601" s="604">
        <f t="shared" si="200"/>
        <v>0</v>
      </c>
      <c r="S601" s="604">
        <f t="shared" si="201"/>
        <v>0</v>
      </c>
      <c r="T601" s="604">
        <f t="shared" si="202"/>
        <v>0</v>
      </c>
      <c r="U601" s="604">
        <f t="shared" si="203"/>
        <v>0</v>
      </c>
      <c r="V601" s="604">
        <f t="shared" si="204"/>
        <v>0</v>
      </c>
      <c r="W601" s="604">
        <f t="shared" si="205"/>
        <v>0</v>
      </c>
      <c r="X601" s="746">
        <v>0</v>
      </c>
      <c r="Y601" s="746">
        <f t="shared" si="206"/>
        <v>0</v>
      </c>
    </row>
    <row r="602" spans="2:25">
      <c r="B602" s="598" t="s">
        <v>2595</v>
      </c>
      <c r="C602" s="604" t="s">
        <v>1107</v>
      </c>
      <c r="D602" s="745">
        <v>2014</v>
      </c>
      <c r="E602" s="604" t="s">
        <v>1548</v>
      </c>
      <c r="F602" s="738">
        <v>0.4</v>
      </c>
      <c r="G602" s="739">
        <v>2000</v>
      </c>
      <c r="H602" s="741">
        <v>2000</v>
      </c>
      <c r="I602" s="742">
        <f t="shared" si="192"/>
        <v>0</v>
      </c>
      <c r="J602" s="740">
        <f t="shared" si="193"/>
        <v>0</v>
      </c>
      <c r="K602" s="739">
        <f t="shared" si="194"/>
        <v>2000</v>
      </c>
      <c r="L602" s="860">
        <f t="shared" si="195"/>
        <v>0</v>
      </c>
      <c r="M602" s="740">
        <f t="shared" si="207"/>
        <v>0</v>
      </c>
      <c r="N602" s="604">
        <f t="shared" si="196"/>
        <v>0</v>
      </c>
      <c r="O602" s="604">
        <f t="shared" si="197"/>
        <v>0</v>
      </c>
      <c r="P602" s="604">
        <f t="shared" si="198"/>
        <v>0</v>
      </c>
      <c r="Q602" s="604">
        <f t="shared" si="199"/>
        <v>0</v>
      </c>
      <c r="R602" s="604">
        <f t="shared" si="200"/>
        <v>0</v>
      </c>
      <c r="S602" s="604">
        <f t="shared" si="201"/>
        <v>0</v>
      </c>
      <c r="T602" s="604">
        <f t="shared" si="202"/>
        <v>0</v>
      </c>
      <c r="U602" s="604">
        <f t="shared" si="203"/>
        <v>0</v>
      </c>
      <c r="V602" s="604">
        <f t="shared" si="204"/>
        <v>0</v>
      </c>
      <c r="W602" s="604">
        <f t="shared" si="205"/>
        <v>0</v>
      </c>
      <c r="X602" s="746">
        <v>0</v>
      </c>
      <c r="Y602" s="746">
        <f t="shared" si="206"/>
        <v>0</v>
      </c>
    </row>
    <row r="603" spans="2:25">
      <c r="B603" s="598" t="s">
        <v>2595</v>
      </c>
      <c r="C603" s="604" t="s">
        <v>1107</v>
      </c>
      <c r="D603" s="745">
        <v>2014</v>
      </c>
      <c r="E603" s="604" t="s">
        <v>1549</v>
      </c>
      <c r="F603" s="738">
        <v>0.4</v>
      </c>
      <c r="G603" s="739">
        <v>7180</v>
      </c>
      <c r="H603" s="741">
        <v>7180</v>
      </c>
      <c r="I603" s="742">
        <f t="shared" si="192"/>
        <v>0</v>
      </c>
      <c r="J603" s="740">
        <f t="shared" si="193"/>
        <v>0</v>
      </c>
      <c r="K603" s="739">
        <f t="shared" si="194"/>
        <v>7180</v>
      </c>
      <c r="L603" s="860">
        <f t="shared" si="195"/>
        <v>0</v>
      </c>
      <c r="M603" s="740">
        <f t="shared" si="207"/>
        <v>0</v>
      </c>
      <c r="N603" s="604">
        <f t="shared" si="196"/>
        <v>0</v>
      </c>
      <c r="O603" s="604">
        <f t="shared" si="197"/>
        <v>0</v>
      </c>
      <c r="P603" s="604">
        <f t="shared" si="198"/>
        <v>0</v>
      </c>
      <c r="Q603" s="604">
        <f t="shared" si="199"/>
        <v>0</v>
      </c>
      <c r="R603" s="604">
        <f t="shared" si="200"/>
        <v>0</v>
      </c>
      <c r="S603" s="604">
        <f t="shared" si="201"/>
        <v>0</v>
      </c>
      <c r="T603" s="604">
        <f t="shared" si="202"/>
        <v>0</v>
      </c>
      <c r="U603" s="604">
        <f t="shared" si="203"/>
        <v>0</v>
      </c>
      <c r="V603" s="604">
        <f t="shared" si="204"/>
        <v>0</v>
      </c>
      <c r="W603" s="604">
        <f t="shared" si="205"/>
        <v>0</v>
      </c>
      <c r="X603" s="746">
        <v>0</v>
      </c>
      <c r="Y603" s="746">
        <f t="shared" si="206"/>
        <v>0</v>
      </c>
    </row>
    <row r="604" spans="2:25">
      <c r="B604" s="598" t="s">
        <v>2595</v>
      </c>
      <c r="C604" s="604" t="s">
        <v>1107</v>
      </c>
      <c r="D604" s="745">
        <v>2014</v>
      </c>
      <c r="E604" s="604" t="s">
        <v>1550</v>
      </c>
      <c r="F604" s="738">
        <v>0.4</v>
      </c>
      <c r="G604" s="739">
        <v>2000</v>
      </c>
      <c r="H604" s="741">
        <v>2000</v>
      </c>
      <c r="I604" s="742">
        <f t="shared" si="192"/>
        <v>0</v>
      </c>
      <c r="J604" s="740">
        <f t="shared" si="193"/>
        <v>0</v>
      </c>
      <c r="K604" s="739">
        <f t="shared" si="194"/>
        <v>2000</v>
      </c>
      <c r="L604" s="860">
        <f t="shared" si="195"/>
        <v>0</v>
      </c>
      <c r="M604" s="740">
        <f t="shared" si="207"/>
        <v>0</v>
      </c>
      <c r="N604" s="604">
        <f t="shared" si="196"/>
        <v>0</v>
      </c>
      <c r="O604" s="604">
        <f t="shared" si="197"/>
        <v>0</v>
      </c>
      <c r="P604" s="604">
        <f t="shared" si="198"/>
        <v>0</v>
      </c>
      <c r="Q604" s="604">
        <f t="shared" si="199"/>
        <v>0</v>
      </c>
      <c r="R604" s="604">
        <f t="shared" si="200"/>
        <v>0</v>
      </c>
      <c r="S604" s="604">
        <f t="shared" si="201"/>
        <v>0</v>
      </c>
      <c r="T604" s="604">
        <f t="shared" si="202"/>
        <v>0</v>
      </c>
      <c r="U604" s="604">
        <f t="shared" si="203"/>
        <v>0</v>
      </c>
      <c r="V604" s="604">
        <f t="shared" si="204"/>
        <v>0</v>
      </c>
      <c r="W604" s="604">
        <f t="shared" si="205"/>
        <v>0</v>
      </c>
      <c r="X604" s="746">
        <v>0</v>
      </c>
      <c r="Y604" s="746">
        <f t="shared" si="206"/>
        <v>0</v>
      </c>
    </row>
    <row r="605" spans="2:25">
      <c r="B605" s="598" t="s">
        <v>2595</v>
      </c>
      <c r="C605" s="604" t="s">
        <v>1107</v>
      </c>
      <c r="D605" s="745">
        <v>2014</v>
      </c>
      <c r="E605" s="604" t="s">
        <v>1551</v>
      </c>
      <c r="F605" s="738">
        <v>0.4</v>
      </c>
      <c r="G605" s="739">
        <v>800</v>
      </c>
      <c r="H605" s="741">
        <v>800</v>
      </c>
      <c r="I605" s="742">
        <f t="shared" si="192"/>
        <v>0</v>
      </c>
      <c r="J605" s="740">
        <f t="shared" si="193"/>
        <v>0</v>
      </c>
      <c r="K605" s="739">
        <f t="shared" si="194"/>
        <v>800</v>
      </c>
      <c r="L605" s="860">
        <f t="shared" si="195"/>
        <v>0</v>
      </c>
      <c r="M605" s="740">
        <f t="shared" si="207"/>
        <v>0</v>
      </c>
      <c r="N605" s="604">
        <f t="shared" si="196"/>
        <v>0</v>
      </c>
      <c r="O605" s="604">
        <f t="shared" si="197"/>
        <v>0</v>
      </c>
      <c r="P605" s="604">
        <f t="shared" si="198"/>
        <v>0</v>
      </c>
      <c r="Q605" s="604">
        <f t="shared" si="199"/>
        <v>0</v>
      </c>
      <c r="R605" s="604">
        <f t="shared" si="200"/>
        <v>0</v>
      </c>
      <c r="S605" s="604">
        <f t="shared" si="201"/>
        <v>0</v>
      </c>
      <c r="T605" s="604">
        <f t="shared" si="202"/>
        <v>0</v>
      </c>
      <c r="U605" s="604">
        <f t="shared" si="203"/>
        <v>0</v>
      </c>
      <c r="V605" s="604">
        <f t="shared" si="204"/>
        <v>0</v>
      </c>
      <c r="W605" s="604">
        <f t="shared" si="205"/>
        <v>0</v>
      </c>
      <c r="X605" s="746">
        <v>0</v>
      </c>
      <c r="Y605" s="746">
        <f t="shared" si="206"/>
        <v>0</v>
      </c>
    </row>
    <row r="606" spans="2:25">
      <c r="B606" s="598" t="s">
        <v>2595</v>
      </c>
      <c r="C606" s="604" t="s">
        <v>1107</v>
      </c>
      <c r="D606" s="745">
        <v>2014</v>
      </c>
      <c r="E606" s="604" t="s">
        <v>1552</v>
      </c>
      <c r="F606" s="738">
        <v>0.4</v>
      </c>
      <c r="G606" s="739">
        <v>1800</v>
      </c>
      <c r="H606" s="741">
        <v>1800</v>
      </c>
      <c r="I606" s="742">
        <f t="shared" si="192"/>
        <v>0</v>
      </c>
      <c r="J606" s="740">
        <f t="shared" si="193"/>
        <v>0</v>
      </c>
      <c r="K606" s="739">
        <f t="shared" si="194"/>
        <v>1800</v>
      </c>
      <c r="L606" s="860">
        <f t="shared" si="195"/>
        <v>0</v>
      </c>
      <c r="M606" s="740">
        <f t="shared" si="207"/>
        <v>0</v>
      </c>
      <c r="N606" s="604">
        <f t="shared" si="196"/>
        <v>0</v>
      </c>
      <c r="O606" s="604">
        <f t="shared" si="197"/>
        <v>0</v>
      </c>
      <c r="P606" s="604">
        <f t="shared" si="198"/>
        <v>0</v>
      </c>
      <c r="Q606" s="604">
        <f t="shared" si="199"/>
        <v>0</v>
      </c>
      <c r="R606" s="604">
        <f t="shared" si="200"/>
        <v>0</v>
      </c>
      <c r="S606" s="604">
        <f t="shared" si="201"/>
        <v>0</v>
      </c>
      <c r="T606" s="604">
        <f t="shared" si="202"/>
        <v>0</v>
      </c>
      <c r="U606" s="604">
        <f t="shared" si="203"/>
        <v>0</v>
      </c>
      <c r="V606" s="604">
        <f t="shared" si="204"/>
        <v>0</v>
      </c>
      <c r="W606" s="604">
        <f t="shared" si="205"/>
        <v>0</v>
      </c>
      <c r="X606" s="746">
        <v>0</v>
      </c>
      <c r="Y606" s="746">
        <f t="shared" si="206"/>
        <v>0</v>
      </c>
    </row>
    <row r="607" spans="2:25">
      <c r="B607" s="598" t="s">
        <v>2595</v>
      </c>
      <c r="C607" s="604" t="s">
        <v>1107</v>
      </c>
      <c r="D607" s="745">
        <v>2014</v>
      </c>
      <c r="E607" s="604" t="s">
        <v>1553</v>
      </c>
      <c r="F607" s="738">
        <v>0.4</v>
      </c>
      <c r="G607" s="739">
        <v>1500</v>
      </c>
      <c r="H607" s="741">
        <v>1500</v>
      </c>
      <c r="I607" s="742">
        <f t="shared" si="192"/>
        <v>0</v>
      </c>
      <c r="J607" s="740">
        <f t="shared" si="193"/>
        <v>0</v>
      </c>
      <c r="K607" s="739">
        <f t="shared" si="194"/>
        <v>1500</v>
      </c>
      <c r="L607" s="860">
        <f t="shared" si="195"/>
        <v>0</v>
      </c>
      <c r="M607" s="740">
        <f t="shared" si="207"/>
        <v>0</v>
      </c>
      <c r="N607" s="604">
        <f t="shared" si="196"/>
        <v>0</v>
      </c>
      <c r="O607" s="604">
        <f t="shared" si="197"/>
        <v>0</v>
      </c>
      <c r="P607" s="604">
        <f t="shared" si="198"/>
        <v>0</v>
      </c>
      <c r="Q607" s="604">
        <f t="shared" si="199"/>
        <v>0</v>
      </c>
      <c r="R607" s="604">
        <f t="shared" si="200"/>
        <v>0</v>
      </c>
      <c r="S607" s="604">
        <f t="shared" si="201"/>
        <v>0</v>
      </c>
      <c r="T607" s="604">
        <f t="shared" si="202"/>
        <v>0</v>
      </c>
      <c r="U607" s="604">
        <f t="shared" si="203"/>
        <v>0</v>
      </c>
      <c r="V607" s="604">
        <f t="shared" si="204"/>
        <v>0</v>
      </c>
      <c r="W607" s="604">
        <f t="shared" si="205"/>
        <v>0</v>
      </c>
      <c r="X607" s="746">
        <v>0</v>
      </c>
      <c r="Y607" s="746">
        <f t="shared" si="206"/>
        <v>0</v>
      </c>
    </row>
    <row r="608" spans="2:25">
      <c r="B608" s="598" t="s">
        <v>2595</v>
      </c>
      <c r="C608" s="604" t="s">
        <v>1107</v>
      </c>
      <c r="D608" s="745">
        <v>2014</v>
      </c>
      <c r="E608" s="604" t="s">
        <v>1554</v>
      </c>
      <c r="F608" s="738">
        <v>0.4</v>
      </c>
      <c r="G608" s="739">
        <v>1880</v>
      </c>
      <c r="H608" s="741">
        <v>1880</v>
      </c>
      <c r="I608" s="742">
        <f t="shared" si="192"/>
        <v>0</v>
      </c>
      <c r="J608" s="740">
        <f t="shared" si="193"/>
        <v>0</v>
      </c>
      <c r="K608" s="739">
        <f t="shared" si="194"/>
        <v>1880</v>
      </c>
      <c r="L608" s="860">
        <f t="shared" si="195"/>
        <v>0</v>
      </c>
      <c r="M608" s="740">
        <f t="shared" si="207"/>
        <v>0</v>
      </c>
      <c r="N608" s="604">
        <f t="shared" si="196"/>
        <v>0</v>
      </c>
      <c r="O608" s="604">
        <f t="shared" si="197"/>
        <v>0</v>
      </c>
      <c r="P608" s="604">
        <f t="shared" si="198"/>
        <v>0</v>
      </c>
      <c r="Q608" s="604">
        <f t="shared" si="199"/>
        <v>0</v>
      </c>
      <c r="R608" s="604">
        <f t="shared" si="200"/>
        <v>0</v>
      </c>
      <c r="S608" s="604">
        <f t="shared" si="201"/>
        <v>0</v>
      </c>
      <c r="T608" s="604">
        <f t="shared" si="202"/>
        <v>0</v>
      </c>
      <c r="U608" s="604">
        <f t="shared" si="203"/>
        <v>0</v>
      </c>
      <c r="V608" s="604">
        <f t="shared" si="204"/>
        <v>0</v>
      </c>
      <c r="W608" s="604">
        <f t="shared" si="205"/>
        <v>0</v>
      </c>
      <c r="X608" s="746">
        <v>0</v>
      </c>
      <c r="Y608" s="746">
        <f t="shared" si="206"/>
        <v>0</v>
      </c>
    </row>
    <row r="609" spans="2:25">
      <c r="B609" s="598" t="s">
        <v>2595</v>
      </c>
      <c r="C609" s="604" t="s">
        <v>1107</v>
      </c>
      <c r="D609" s="745">
        <v>2014</v>
      </c>
      <c r="E609" s="604" t="s">
        <v>1555</v>
      </c>
      <c r="F609" s="738">
        <v>0.4</v>
      </c>
      <c r="G609" s="739">
        <v>550</v>
      </c>
      <c r="H609" s="741">
        <v>550</v>
      </c>
      <c r="I609" s="742">
        <f t="shared" si="192"/>
        <v>0</v>
      </c>
      <c r="J609" s="740">
        <f t="shared" si="193"/>
        <v>0</v>
      </c>
      <c r="K609" s="739">
        <f t="shared" si="194"/>
        <v>550</v>
      </c>
      <c r="L609" s="860">
        <f t="shared" si="195"/>
        <v>0</v>
      </c>
      <c r="M609" s="740">
        <f t="shared" si="207"/>
        <v>0</v>
      </c>
      <c r="N609" s="604">
        <f t="shared" si="196"/>
        <v>0</v>
      </c>
      <c r="O609" s="604">
        <f t="shared" si="197"/>
        <v>0</v>
      </c>
      <c r="P609" s="604">
        <f t="shared" si="198"/>
        <v>0</v>
      </c>
      <c r="Q609" s="604">
        <f t="shared" si="199"/>
        <v>0</v>
      </c>
      <c r="R609" s="604">
        <f t="shared" si="200"/>
        <v>0</v>
      </c>
      <c r="S609" s="604">
        <f t="shared" si="201"/>
        <v>0</v>
      </c>
      <c r="T609" s="604">
        <f t="shared" si="202"/>
        <v>0</v>
      </c>
      <c r="U609" s="604">
        <f t="shared" si="203"/>
        <v>0</v>
      </c>
      <c r="V609" s="604">
        <f t="shared" si="204"/>
        <v>0</v>
      </c>
      <c r="W609" s="604">
        <f t="shared" si="205"/>
        <v>0</v>
      </c>
      <c r="X609" s="746">
        <v>0</v>
      </c>
      <c r="Y609" s="746">
        <f t="shared" si="206"/>
        <v>0</v>
      </c>
    </row>
    <row r="610" spans="2:25">
      <c r="B610" s="598" t="s">
        <v>2595</v>
      </c>
      <c r="C610" s="604" t="s">
        <v>1107</v>
      </c>
      <c r="D610" s="745">
        <v>2014</v>
      </c>
      <c r="E610" s="604" t="s">
        <v>1556</v>
      </c>
      <c r="F610" s="738">
        <v>0.4</v>
      </c>
      <c r="G610" s="739">
        <v>600</v>
      </c>
      <c r="H610" s="741">
        <v>600</v>
      </c>
      <c r="I610" s="742">
        <f t="shared" si="192"/>
        <v>0</v>
      </c>
      <c r="J610" s="740">
        <f t="shared" si="193"/>
        <v>0</v>
      </c>
      <c r="K610" s="739">
        <f t="shared" si="194"/>
        <v>600</v>
      </c>
      <c r="L610" s="860">
        <f t="shared" si="195"/>
        <v>0</v>
      </c>
      <c r="M610" s="740">
        <f t="shared" si="207"/>
        <v>0</v>
      </c>
      <c r="N610" s="604">
        <f t="shared" si="196"/>
        <v>0</v>
      </c>
      <c r="O610" s="604">
        <f t="shared" si="197"/>
        <v>0</v>
      </c>
      <c r="P610" s="604">
        <f t="shared" si="198"/>
        <v>0</v>
      </c>
      <c r="Q610" s="604">
        <f t="shared" si="199"/>
        <v>0</v>
      </c>
      <c r="R610" s="604">
        <f t="shared" si="200"/>
        <v>0</v>
      </c>
      <c r="S610" s="604">
        <f t="shared" si="201"/>
        <v>0</v>
      </c>
      <c r="T610" s="604">
        <f t="shared" si="202"/>
        <v>0</v>
      </c>
      <c r="U610" s="604">
        <f t="shared" si="203"/>
        <v>0</v>
      </c>
      <c r="V610" s="604">
        <f t="shared" si="204"/>
        <v>0</v>
      </c>
      <c r="W610" s="604">
        <f t="shared" si="205"/>
        <v>0</v>
      </c>
      <c r="X610" s="746">
        <v>0</v>
      </c>
      <c r="Y610" s="746">
        <f t="shared" si="206"/>
        <v>0</v>
      </c>
    </row>
    <row r="611" spans="2:25">
      <c r="B611" s="598" t="s">
        <v>2595</v>
      </c>
      <c r="C611" s="604" t="s">
        <v>1107</v>
      </c>
      <c r="D611" s="745">
        <v>2014</v>
      </c>
      <c r="E611" s="604" t="s">
        <v>1557</v>
      </c>
      <c r="F611" s="738">
        <v>0.4</v>
      </c>
      <c r="G611" s="739">
        <v>1250</v>
      </c>
      <c r="H611" s="741">
        <v>1250</v>
      </c>
      <c r="I611" s="742">
        <f t="shared" si="192"/>
        <v>0</v>
      </c>
      <c r="J611" s="740">
        <f t="shared" si="193"/>
        <v>0</v>
      </c>
      <c r="K611" s="739">
        <f t="shared" si="194"/>
        <v>1250</v>
      </c>
      <c r="L611" s="860">
        <f t="shared" si="195"/>
        <v>0</v>
      </c>
      <c r="M611" s="740">
        <f t="shared" si="207"/>
        <v>0</v>
      </c>
      <c r="N611" s="604">
        <f t="shared" si="196"/>
        <v>0</v>
      </c>
      <c r="O611" s="604">
        <f t="shared" si="197"/>
        <v>0</v>
      </c>
      <c r="P611" s="604">
        <f t="shared" si="198"/>
        <v>0</v>
      </c>
      <c r="Q611" s="604">
        <f t="shared" si="199"/>
        <v>0</v>
      </c>
      <c r="R611" s="604">
        <f t="shared" si="200"/>
        <v>0</v>
      </c>
      <c r="S611" s="604">
        <f t="shared" si="201"/>
        <v>0</v>
      </c>
      <c r="T611" s="604">
        <f t="shared" si="202"/>
        <v>0</v>
      </c>
      <c r="U611" s="604">
        <f t="shared" si="203"/>
        <v>0</v>
      </c>
      <c r="V611" s="604">
        <f t="shared" si="204"/>
        <v>0</v>
      </c>
      <c r="W611" s="604">
        <f t="shared" si="205"/>
        <v>0</v>
      </c>
      <c r="X611" s="746">
        <v>0</v>
      </c>
      <c r="Y611" s="746">
        <f t="shared" si="206"/>
        <v>0</v>
      </c>
    </row>
    <row r="612" spans="2:25">
      <c r="B612" s="598" t="s">
        <v>2595</v>
      </c>
      <c r="C612" s="604" t="s">
        <v>1107</v>
      </c>
      <c r="D612" s="745">
        <v>2014</v>
      </c>
      <c r="E612" s="604" t="s">
        <v>1558</v>
      </c>
      <c r="F612" s="738">
        <v>0.4</v>
      </c>
      <c r="G612" s="739">
        <v>600</v>
      </c>
      <c r="H612" s="741">
        <v>600</v>
      </c>
      <c r="I612" s="742">
        <f t="shared" si="192"/>
        <v>0</v>
      </c>
      <c r="J612" s="740">
        <f t="shared" si="193"/>
        <v>0</v>
      </c>
      <c r="K612" s="739">
        <f t="shared" si="194"/>
        <v>600</v>
      </c>
      <c r="L612" s="860">
        <f t="shared" si="195"/>
        <v>0</v>
      </c>
      <c r="M612" s="740">
        <f t="shared" si="207"/>
        <v>0</v>
      </c>
      <c r="N612" s="604">
        <f t="shared" si="196"/>
        <v>0</v>
      </c>
      <c r="O612" s="604">
        <f t="shared" si="197"/>
        <v>0</v>
      </c>
      <c r="P612" s="604">
        <f t="shared" si="198"/>
        <v>0</v>
      </c>
      <c r="Q612" s="604">
        <f t="shared" si="199"/>
        <v>0</v>
      </c>
      <c r="R612" s="604">
        <f t="shared" si="200"/>
        <v>0</v>
      </c>
      <c r="S612" s="604">
        <f t="shared" si="201"/>
        <v>0</v>
      </c>
      <c r="T612" s="604">
        <f t="shared" si="202"/>
        <v>0</v>
      </c>
      <c r="U612" s="604">
        <f t="shared" si="203"/>
        <v>0</v>
      </c>
      <c r="V612" s="604">
        <f t="shared" si="204"/>
        <v>0</v>
      </c>
      <c r="W612" s="604">
        <f t="shared" si="205"/>
        <v>0</v>
      </c>
      <c r="X612" s="746">
        <v>0</v>
      </c>
      <c r="Y612" s="746">
        <f t="shared" si="206"/>
        <v>0</v>
      </c>
    </row>
    <row r="613" spans="2:25">
      <c r="B613" s="598" t="s">
        <v>2595</v>
      </c>
      <c r="C613" s="604" t="s">
        <v>1107</v>
      </c>
      <c r="D613" s="745">
        <v>2014</v>
      </c>
      <c r="E613" s="604" t="s">
        <v>1559</v>
      </c>
      <c r="F613" s="738">
        <v>0.4</v>
      </c>
      <c r="G613" s="739">
        <v>1100</v>
      </c>
      <c r="H613" s="741">
        <v>1100</v>
      </c>
      <c r="I613" s="742">
        <f t="shared" si="192"/>
        <v>0</v>
      </c>
      <c r="J613" s="740">
        <f t="shared" si="193"/>
        <v>0</v>
      </c>
      <c r="K613" s="739">
        <f t="shared" si="194"/>
        <v>1100</v>
      </c>
      <c r="L613" s="860">
        <f t="shared" si="195"/>
        <v>0</v>
      </c>
      <c r="M613" s="740">
        <f t="shared" si="207"/>
        <v>0</v>
      </c>
      <c r="N613" s="604">
        <f t="shared" si="196"/>
        <v>0</v>
      </c>
      <c r="O613" s="604">
        <f t="shared" si="197"/>
        <v>0</v>
      </c>
      <c r="P613" s="604">
        <f t="shared" si="198"/>
        <v>0</v>
      </c>
      <c r="Q613" s="604">
        <f t="shared" si="199"/>
        <v>0</v>
      </c>
      <c r="R613" s="604">
        <f t="shared" si="200"/>
        <v>0</v>
      </c>
      <c r="S613" s="604">
        <f t="shared" si="201"/>
        <v>0</v>
      </c>
      <c r="T613" s="604">
        <f t="shared" si="202"/>
        <v>0</v>
      </c>
      <c r="U613" s="604">
        <f t="shared" si="203"/>
        <v>0</v>
      </c>
      <c r="V613" s="604">
        <f t="shared" si="204"/>
        <v>0</v>
      </c>
      <c r="W613" s="604">
        <f t="shared" si="205"/>
        <v>0</v>
      </c>
      <c r="X613" s="746">
        <v>0</v>
      </c>
      <c r="Y613" s="746">
        <f t="shared" si="206"/>
        <v>0</v>
      </c>
    </row>
    <row r="614" spans="2:25">
      <c r="B614" s="598" t="s">
        <v>2595</v>
      </c>
      <c r="C614" s="604" t="s">
        <v>1107</v>
      </c>
      <c r="D614" s="745">
        <v>2015</v>
      </c>
      <c r="E614" s="604" t="s">
        <v>1560</v>
      </c>
      <c r="F614" s="738">
        <v>0.4</v>
      </c>
      <c r="G614" s="739">
        <v>1110</v>
      </c>
      <c r="H614" s="741">
        <v>1110</v>
      </c>
      <c r="I614" s="742">
        <f t="shared" si="192"/>
        <v>0</v>
      </c>
      <c r="J614" s="740">
        <f t="shared" si="193"/>
        <v>0</v>
      </c>
      <c r="K614" s="739">
        <f t="shared" si="194"/>
        <v>1110</v>
      </c>
      <c r="L614" s="860">
        <f t="shared" si="195"/>
        <v>0</v>
      </c>
      <c r="M614" s="740">
        <f t="shared" si="207"/>
        <v>0</v>
      </c>
      <c r="N614" s="604">
        <f t="shared" si="196"/>
        <v>0</v>
      </c>
      <c r="O614" s="604">
        <f t="shared" si="197"/>
        <v>0</v>
      </c>
      <c r="P614" s="604">
        <f t="shared" si="198"/>
        <v>0</v>
      </c>
      <c r="Q614" s="604">
        <f t="shared" si="199"/>
        <v>0</v>
      </c>
      <c r="R614" s="604">
        <f t="shared" si="200"/>
        <v>0</v>
      </c>
      <c r="S614" s="604">
        <f t="shared" si="201"/>
        <v>0</v>
      </c>
      <c r="T614" s="604">
        <f t="shared" si="202"/>
        <v>0</v>
      </c>
      <c r="U614" s="604">
        <f t="shared" si="203"/>
        <v>0</v>
      </c>
      <c r="V614" s="604">
        <f t="shared" si="204"/>
        <v>0</v>
      </c>
      <c r="W614" s="604">
        <f t="shared" si="205"/>
        <v>0</v>
      </c>
      <c r="X614" s="746">
        <v>0</v>
      </c>
      <c r="Y614" s="746">
        <f t="shared" si="206"/>
        <v>0</v>
      </c>
    </row>
    <row r="615" spans="2:25">
      <c r="B615" s="598" t="s">
        <v>2595</v>
      </c>
      <c r="C615" s="604" t="s">
        <v>1107</v>
      </c>
      <c r="D615" s="745">
        <v>2015</v>
      </c>
      <c r="E615" s="604" t="s">
        <v>1561</v>
      </c>
      <c r="F615" s="738">
        <v>0.4</v>
      </c>
      <c r="G615" s="739">
        <v>1225</v>
      </c>
      <c r="H615" s="741">
        <v>1225</v>
      </c>
      <c r="I615" s="742">
        <f t="shared" si="192"/>
        <v>0</v>
      </c>
      <c r="J615" s="740">
        <f t="shared" si="193"/>
        <v>0</v>
      </c>
      <c r="K615" s="739">
        <f t="shared" si="194"/>
        <v>1225</v>
      </c>
      <c r="L615" s="860">
        <f t="shared" si="195"/>
        <v>0</v>
      </c>
      <c r="M615" s="740">
        <f t="shared" si="207"/>
        <v>0</v>
      </c>
      <c r="N615" s="604">
        <f t="shared" si="196"/>
        <v>0</v>
      </c>
      <c r="O615" s="604">
        <f t="shared" si="197"/>
        <v>0</v>
      </c>
      <c r="P615" s="604">
        <f t="shared" si="198"/>
        <v>0</v>
      </c>
      <c r="Q615" s="604">
        <f t="shared" si="199"/>
        <v>0</v>
      </c>
      <c r="R615" s="604">
        <f t="shared" si="200"/>
        <v>0</v>
      </c>
      <c r="S615" s="604">
        <f t="shared" si="201"/>
        <v>0</v>
      </c>
      <c r="T615" s="604">
        <f t="shared" si="202"/>
        <v>0</v>
      </c>
      <c r="U615" s="604">
        <f t="shared" si="203"/>
        <v>0</v>
      </c>
      <c r="V615" s="604">
        <f t="shared" si="204"/>
        <v>0</v>
      </c>
      <c r="W615" s="604">
        <f t="shared" si="205"/>
        <v>0</v>
      </c>
      <c r="X615" s="746">
        <v>0</v>
      </c>
      <c r="Y615" s="746">
        <f t="shared" si="206"/>
        <v>0</v>
      </c>
    </row>
    <row r="616" spans="2:25">
      <c r="B616" s="598" t="s">
        <v>2595</v>
      </c>
      <c r="C616" s="604" t="s">
        <v>1107</v>
      </c>
      <c r="D616" s="745">
        <v>2015</v>
      </c>
      <c r="E616" s="604" t="s">
        <v>1562</v>
      </c>
      <c r="F616" s="738">
        <v>0.4</v>
      </c>
      <c r="G616" s="739">
        <v>1000</v>
      </c>
      <c r="H616" s="741">
        <v>1000</v>
      </c>
      <c r="I616" s="742">
        <f t="shared" si="192"/>
        <v>0</v>
      </c>
      <c r="J616" s="740">
        <f t="shared" si="193"/>
        <v>0</v>
      </c>
      <c r="K616" s="739">
        <f t="shared" si="194"/>
        <v>1000</v>
      </c>
      <c r="L616" s="860">
        <f t="shared" si="195"/>
        <v>0</v>
      </c>
      <c r="M616" s="740">
        <f t="shared" si="207"/>
        <v>0</v>
      </c>
      <c r="N616" s="604">
        <f t="shared" si="196"/>
        <v>0</v>
      </c>
      <c r="O616" s="604">
        <f t="shared" si="197"/>
        <v>0</v>
      </c>
      <c r="P616" s="604">
        <f t="shared" si="198"/>
        <v>0</v>
      </c>
      <c r="Q616" s="604">
        <f t="shared" si="199"/>
        <v>0</v>
      </c>
      <c r="R616" s="604">
        <f t="shared" si="200"/>
        <v>0</v>
      </c>
      <c r="S616" s="604">
        <f t="shared" si="201"/>
        <v>0</v>
      </c>
      <c r="T616" s="604">
        <f t="shared" si="202"/>
        <v>0</v>
      </c>
      <c r="U616" s="604">
        <f t="shared" si="203"/>
        <v>0</v>
      </c>
      <c r="V616" s="604">
        <f t="shared" si="204"/>
        <v>0</v>
      </c>
      <c r="W616" s="604">
        <f t="shared" si="205"/>
        <v>0</v>
      </c>
      <c r="X616" s="746">
        <v>0</v>
      </c>
      <c r="Y616" s="746">
        <f t="shared" si="206"/>
        <v>0</v>
      </c>
    </row>
    <row r="617" spans="2:25">
      <c r="B617" s="598" t="s">
        <v>2595</v>
      </c>
      <c r="C617" s="604" t="s">
        <v>1107</v>
      </c>
      <c r="D617" s="745">
        <v>2015</v>
      </c>
      <c r="E617" s="604" t="s">
        <v>1563</v>
      </c>
      <c r="F617" s="738">
        <v>0.4</v>
      </c>
      <c r="G617" s="739">
        <v>1000</v>
      </c>
      <c r="H617" s="741">
        <v>1000</v>
      </c>
      <c r="I617" s="742">
        <f t="shared" si="192"/>
        <v>0</v>
      </c>
      <c r="J617" s="740">
        <f t="shared" si="193"/>
        <v>0</v>
      </c>
      <c r="K617" s="739">
        <f t="shared" si="194"/>
        <v>1000</v>
      </c>
      <c r="L617" s="860">
        <f t="shared" si="195"/>
        <v>0</v>
      </c>
      <c r="M617" s="740">
        <f t="shared" si="207"/>
        <v>0</v>
      </c>
      <c r="N617" s="604">
        <f t="shared" si="196"/>
        <v>0</v>
      </c>
      <c r="O617" s="604">
        <f t="shared" si="197"/>
        <v>0</v>
      </c>
      <c r="P617" s="604">
        <f t="shared" si="198"/>
        <v>0</v>
      </c>
      <c r="Q617" s="604">
        <f t="shared" si="199"/>
        <v>0</v>
      </c>
      <c r="R617" s="604">
        <f t="shared" si="200"/>
        <v>0</v>
      </c>
      <c r="S617" s="604">
        <f t="shared" si="201"/>
        <v>0</v>
      </c>
      <c r="T617" s="604">
        <f t="shared" si="202"/>
        <v>0</v>
      </c>
      <c r="U617" s="604">
        <f t="shared" si="203"/>
        <v>0</v>
      </c>
      <c r="V617" s="604">
        <f t="shared" si="204"/>
        <v>0</v>
      </c>
      <c r="W617" s="604">
        <f t="shared" si="205"/>
        <v>0</v>
      </c>
      <c r="X617" s="746">
        <v>0</v>
      </c>
      <c r="Y617" s="746">
        <f t="shared" si="206"/>
        <v>0</v>
      </c>
    </row>
    <row r="618" spans="2:25">
      <c r="B618" s="598" t="s">
        <v>2595</v>
      </c>
      <c r="C618" s="604" t="s">
        <v>1107</v>
      </c>
      <c r="D618" s="745">
        <v>2015</v>
      </c>
      <c r="E618" s="604" t="s">
        <v>1564</v>
      </c>
      <c r="F618" s="738">
        <v>0.4</v>
      </c>
      <c r="G618" s="739">
        <v>1000</v>
      </c>
      <c r="H618" s="741">
        <v>1000</v>
      </c>
      <c r="I618" s="742">
        <f t="shared" si="192"/>
        <v>0</v>
      </c>
      <c r="J618" s="740">
        <f t="shared" si="193"/>
        <v>0</v>
      </c>
      <c r="K618" s="739">
        <f t="shared" si="194"/>
        <v>1000</v>
      </c>
      <c r="L618" s="860">
        <f t="shared" si="195"/>
        <v>0</v>
      </c>
      <c r="M618" s="740">
        <f t="shared" si="207"/>
        <v>0</v>
      </c>
      <c r="N618" s="604">
        <f t="shared" si="196"/>
        <v>0</v>
      </c>
      <c r="O618" s="604">
        <f t="shared" si="197"/>
        <v>0</v>
      </c>
      <c r="P618" s="604">
        <f t="shared" si="198"/>
        <v>0</v>
      </c>
      <c r="Q618" s="604">
        <f t="shared" si="199"/>
        <v>0</v>
      </c>
      <c r="R618" s="604">
        <f t="shared" si="200"/>
        <v>0</v>
      </c>
      <c r="S618" s="604">
        <f t="shared" si="201"/>
        <v>0</v>
      </c>
      <c r="T618" s="604">
        <f t="shared" si="202"/>
        <v>0</v>
      </c>
      <c r="U618" s="604">
        <f t="shared" si="203"/>
        <v>0</v>
      </c>
      <c r="V618" s="604">
        <f t="shared" si="204"/>
        <v>0</v>
      </c>
      <c r="W618" s="604">
        <f t="shared" si="205"/>
        <v>0</v>
      </c>
      <c r="X618" s="746">
        <v>0</v>
      </c>
      <c r="Y618" s="746">
        <f t="shared" si="206"/>
        <v>0</v>
      </c>
    </row>
    <row r="619" spans="2:25">
      <c r="B619" s="598" t="s">
        <v>2595</v>
      </c>
      <c r="C619" s="604" t="s">
        <v>1107</v>
      </c>
      <c r="D619" s="745">
        <v>2015</v>
      </c>
      <c r="E619" s="604" t="s">
        <v>1565</v>
      </c>
      <c r="F619" s="738">
        <v>0.4</v>
      </c>
      <c r="G619" s="739">
        <v>1143.4000000000001</v>
      </c>
      <c r="H619" s="741">
        <v>1143.4000000000001</v>
      </c>
      <c r="I619" s="742">
        <f t="shared" si="192"/>
        <v>0</v>
      </c>
      <c r="J619" s="740">
        <f t="shared" si="193"/>
        <v>0</v>
      </c>
      <c r="K619" s="739">
        <f t="shared" si="194"/>
        <v>1143.4000000000001</v>
      </c>
      <c r="L619" s="860">
        <f t="shared" si="195"/>
        <v>0</v>
      </c>
      <c r="M619" s="740">
        <f t="shared" si="207"/>
        <v>0</v>
      </c>
      <c r="N619" s="604">
        <f t="shared" si="196"/>
        <v>0</v>
      </c>
      <c r="O619" s="604">
        <f t="shared" si="197"/>
        <v>0</v>
      </c>
      <c r="P619" s="604">
        <f t="shared" si="198"/>
        <v>0</v>
      </c>
      <c r="Q619" s="604">
        <f t="shared" si="199"/>
        <v>0</v>
      </c>
      <c r="R619" s="604">
        <f t="shared" si="200"/>
        <v>0</v>
      </c>
      <c r="S619" s="604">
        <f t="shared" si="201"/>
        <v>0</v>
      </c>
      <c r="T619" s="604">
        <f t="shared" si="202"/>
        <v>0</v>
      </c>
      <c r="U619" s="604">
        <f t="shared" si="203"/>
        <v>0</v>
      </c>
      <c r="V619" s="604">
        <f t="shared" si="204"/>
        <v>0</v>
      </c>
      <c r="W619" s="604">
        <f t="shared" si="205"/>
        <v>0</v>
      </c>
      <c r="X619" s="746">
        <v>0</v>
      </c>
      <c r="Y619" s="746">
        <f t="shared" si="206"/>
        <v>0</v>
      </c>
    </row>
    <row r="620" spans="2:25">
      <c r="B620" s="598" t="s">
        <v>2595</v>
      </c>
      <c r="C620" s="604" t="s">
        <v>1107</v>
      </c>
      <c r="D620" s="745">
        <v>2015</v>
      </c>
      <c r="E620" s="604" t="s">
        <v>1566</v>
      </c>
      <c r="F620" s="738">
        <v>0.4</v>
      </c>
      <c r="G620" s="739">
        <v>787.8</v>
      </c>
      <c r="H620" s="741">
        <v>787.8</v>
      </c>
      <c r="I620" s="742">
        <f t="shared" si="192"/>
        <v>0</v>
      </c>
      <c r="J620" s="740">
        <f t="shared" si="193"/>
        <v>0</v>
      </c>
      <c r="K620" s="739">
        <f t="shared" si="194"/>
        <v>787.8</v>
      </c>
      <c r="L620" s="860">
        <f t="shared" si="195"/>
        <v>0</v>
      </c>
      <c r="M620" s="740">
        <f t="shared" si="207"/>
        <v>0</v>
      </c>
      <c r="N620" s="604">
        <f t="shared" si="196"/>
        <v>0</v>
      </c>
      <c r="O620" s="604">
        <f t="shared" si="197"/>
        <v>0</v>
      </c>
      <c r="P620" s="604">
        <f t="shared" si="198"/>
        <v>0</v>
      </c>
      <c r="Q620" s="604">
        <f t="shared" si="199"/>
        <v>0</v>
      </c>
      <c r="R620" s="604">
        <f t="shared" si="200"/>
        <v>0</v>
      </c>
      <c r="S620" s="604">
        <f t="shared" si="201"/>
        <v>0</v>
      </c>
      <c r="T620" s="604">
        <f t="shared" si="202"/>
        <v>0</v>
      </c>
      <c r="U620" s="604">
        <f t="shared" si="203"/>
        <v>0</v>
      </c>
      <c r="V620" s="604">
        <f t="shared" si="204"/>
        <v>0</v>
      </c>
      <c r="W620" s="604">
        <f t="shared" si="205"/>
        <v>0</v>
      </c>
      <c r="X620" s="746">
        <v>0</v>
      </c>
      <c r="Y620" s="746">
        <f t="shared" si="206"/>
        <v>0</v>
      </c>
    </row>
    <row r="621" spans="2:25">
      <c r="B621" s="598" t="s">
        <v>2595</v>
      </c>
      <c r="C621" s="604" t="s">
        <v>1107</v>
      </c>
      <c r="D621" s="745">
        <v>2015</v>
      </c>
      <c r="E621" s="604" t="s">
        <v>1567</v>
      </c>
      <c r="F621" s="738">
        <v>0.4</v>
      </c>
      <c r="G621" s="739">
        <v>1000</v>
      </c>
      <c r="H621" s="741">
        <v>1000</v>
      </c>
      <c r="I621" s="742">
        <f t="shared" si="192"/>
        <v>0</v>
      </c>
      <c r="J621" s="740">
        <f t="shared" si="193"/>
        <v>0</v>
      </c>
      <c r="K621" s="739">
        <f t="shared" si="194"/>
        <v>1000</v>
      </c>
      <c r="L621" s="860">
        <f t="shared" si="195"/>
        <v>0</v>
      </c>
      <c r="M621" s="740">
        <f t="shared" si="207"/>
        <v>0</v>
      </c>
      <c r="N621" s="604">
        <f t="shared" si="196"/>
        <v>0</v>
      </c>
      <c r="O621" s="604">
        <f t="shared" si="197"/>
        <v>0</v>
      </c>
      <c r="P621" s="604">
        <f t="shared" si="198"/>
        <v>0</v>
      </c>
      <c r="Q621" s="604">
        <f t="shared" si="199"/>
        <v>0</v>
      </c>
      <c r="R621" s="604">
        <f t="shared" si="200"/>
        <v>0</v>
      </c>
      <c r="S621" s="604">
        <f t="shared" si="201"/>
        <v>0</v>
      </c>
      <c r="T621" s="604">
        <f t="shared" si="202"/>
        <v>0</v>
      </c>
      <c r="U621" s="604">
        <f t="shared" si="203"/>
        <v>0</v>
      </c>
      <c r="V621" s="604">
        <f t="shared" si="204"/>
        <v>0</v>
      </c>
      <c r="W621" s="604">
        <f t="shared" si="205"/>
        <v>0</v>
      </c>
      <c r="X621" s="746">
        <v>0</v>
      </c>
      <c r="Y621" s="746">
        <f t="shared" si="206"/>
        <v>0</v>
      </c>
    </row>
    <row r="622" spans="2:25">
      <c r="B622" s="598" t="s">
        <v>2595</v>
      </c>
      <c r="C622" s="604" t="s">
        <v>1107</v>
      </c>
      <c r="D622" s="745">
        <v>2015</v>
      </c>
      <c r="E622" s="604" t="s">
        <v>1568</v>
      </c>
      <c r="F622" s="738">
        <v>0.4</v>
      </c>
      <c r="G622" s="739">
        <v>5000</v>
      </c>
      <c r="H622" s="741">
        <v>5000</v>
      </c>
      <c r="I622" s="742">
        <f t="shared" si="192"/>
        <v>0</v>
      </c>
      <c r="J622" s="740">
        <f t="shared" si="193"/>
        <v>0</v>
      </c>
      <c r="K622" s="739">
        <f t="shared" si="194"/>
        <v>5000</v>
      </c>
      <c r="L622" s="860">
        <f t="shared" si="195"/>
        <v>0</v>
      </c>
      <c r="M622" s="740">
        <f t="shared" si="207"/>
        <v>0</v>
      </c>
      <c r="N622" s="604">
        <f t="shared" si="196"/>
        <v>0</v>
      </c>
      <c r="O622" s="604">
        <f t="shared" si="197"/>
        <v>0</v>
      </c>
      <c r="P622" s="604">
        <f t="shared" si="198"/>
        <v>0</v>
      </c>
      <c r="Q622" s="604">
        <f t="shared" si="199"/>
        <v>0</v>
      </c>
      <c r="R622" s="604">
        <f t="shared" si="200"/>
        <v>0</v>
      </c>
      <c r="S622" s="604">
        <f t="shared" si="201"/>
        <v>0</v>
      </c>
      <c r="T622" s="604">
        <f t="shared" si="202"/>
        <v>0</v>
      </c>
      <c r="U622" s="604">
        <f t="shared" si="203"/>
        <v>0</v>
      </c>
      <c r="V622" s="604">
        <f t="shared" si="204"/>
        <v>0</v>
      </c>
      <c r="W622" s="604">
        <f t="shared" si="205"/>
        <v>0</v>
      </c>
      <c r="X622" s="746">
        <v>0</v>
      </c>
      <c r="Y622" s="746">
        <f t="shared" si="206"/>
        <v>0</v>
      </c>
    </row>
    <row r="623" spans="2:25">
      <c r="B623" s="598" t="s">
        <v>2595</v>
      </c>
      <c r="C623" s="604" t="s">
        <v>1107</v>
      </c>
      <c r="D623" s="745">
        <v>2015</v>
      </c>
      <c r="E623" s="604" t="s">
        <v>1569</v>
      </c>
      <c r="F623" s="738">
        <v>0.4</v>
      </c>
      <c r="G623" s="739">
        <v>26000</v>
      </c>
      <c r="H623" s="741">
        <v>26000</v>
      </c>
      <c r="I623" s="742">
        <f t="shared" ref="I623:I686" si="208">+G623-H623</f>
        <v>0</v>
      </c>
      <c r="J623" s="740">
        <f t="shared" ref="J623:J673" si="209">IF(I623=0,0,G623*F623)</f>
        <v>0</v>
      </c>
      <c r="K623" s="739">
        <f t="shared" ref="K623:K686" si="210">+H623+J623</f>
        <v>26000</v>
      </c>
      <c r="L623" s="860">
        <f t="shared" ref="L623:L686" si="211">+G623-K623</f>
        <v>0</v>
      </c>
      <c r="M623" s="740">
        <f t="shared" si="207"/>
        <v>0</v>
      </c>
      <c r="N623" s="604">
        <f t="shared" si="196"/>
        <v>0</v>
      </c>
      <c r="O623" s="604">
        <f t="shared" si="197"/>
        <v>0</v>
      </c>
      <c r="P623" s="604">
        <f t="shared" si="198"/>
        <v>0</v>
      </c>
      <c r="Q623" s="604">
        <f t="shared" si="199"/>
        <v>0</v>
      </c>
      <c r="R623" s="604">
        <f t="shared" si="200"/>
        <v>0</v>
      </c>
      <c r="S623" s="604">
        <f t="shared" si="201"/>
        <v>0</v>
      </c>
      <c r="T623" s="604">
        <f t="shared" si="202"/>
        <v>0</v>
      </c>
      <c r="U623" s="604">
        <f t="shared" si="203"/>
        <v>0</v>
      </c>
      <c r="V623" s="604">
        <f t="shared" si="204"/>
        <v>0</v>
      </c>
      <c r="W623" s="604">
        <f t="shared" si="205"/>
        <v>0</v>
      </c>
      <c r="X623" s="746">
        <v>0</v>
      </c>
      <c r="Y623" s="746">
        <f t="shared" si="206"/>
        <v>0</v>
      </c>
    </row>
    <row r="624" spans="2:25">
      <c r="B624" s="598" t="s">
        <v>2595</v>
      </c>
      <c r="C624" s="604" t="s">
        <v>1107</v>
      </c>
      <c r="D624" s="745">
        <v>2015</v>
      </c>
      <c r="E624" s="604" t="s">
        <v>1570</v>
      </c>
      <c r="F624" s="738">
        <v>0.4</v>
      </c>
      <c r="G624" s="739">
        <v>47641.01</v>
      </c>
      <c r="H624" s="741">
        <v>47641.01</v>
      </c>
      <c r="I624" s="742">
        <f t="shared" si="208"/>
        <v>0</v>
      </c>
      <c r="J624" s="740">
        <f t="shared" si="209"/>
        <v>0</v>
      </c>
      <c r="K624" s="739">
        <f t="shared" si="210"/>
        <v>47641.01</v>
      </c>
      <c r="L624" s="860">
        <f t="shared" si="211"/>
        <v>0</v>
      </c>
      <c r="M624" s="740">
        <f t="shared" si="207"/>
        <v>0</v>
      </c>
      <c r="N624" s="604">
        <f t="shared" si="196"/>
        <v>0</v>
      </c>
      <c r="O624" s="604">
        <f t="shared" si="197"/>
        <v>0</v>
      </c>
      <c r="P624" s="604">
        <f t="shared" si="198"/>
        <v>0</v>
      </c>
      <c r="Q624" s="604">
        <f t="shared" si="199"/>
        <v>0</v>
      </c>
      <c r="R624" s="604">
        <f t="shared" si="200"/>
        <v>0</v>
      </c>
      <c r="S624" s="604">
        <f t="shared" si="201"/>
        <v>0</v>
      </c>
      <c r="T624" s="604">
        <f t="shared" si="202"/>
        <v>0</v>
      </c>
      <c r="U624" s="604">
        <f t="shared" si="203"/>
        <v>0</v>
      </c>
      <c r="V624" s="604">
        <f t="shared" si="204"/>
        <v>0</v>
      </c>
      <c r="W624" s="604">
        <f t="shared" si="205"/>
        <v>0</v>
      </c>
      <c r="X624" s="746">
        <v>0</v>
      </c>
      <c r="Y624" s="746">
        <f t="shared" si="206"/>
        <v>0</v>
      </c>
    </row>
    <row r="625" spans="2:25">
      <c r="B625" s="598" t="s">
        <v>2595</v>
      </c>
      <c r="C625" s="604" t="s">
        <v>1107</v>
      </c>
      <c r="D625" s="745">
        <v>2015</v>
      </c>
      <c r="E625" s="604" t="s">
        <v>1571</v>
      </c>
      <c r="F625" s="738">
        <v>0.4</v>
      </c>
      <c r="G625" s="739">
        <v>2700</v>
      </c>
      <c r="H625" s="741">
        <v>2700</v>
      </c>
      <c r="I625" s="742">
        <f t="shared" si="208"/>
        <v>0</v>
      </c>
      <c r="J625" s="740">
        <f t="shared" si="209"/>
        <v>0</v>
      </c>
      <c r="K625" s="739">
        <f t="shared" si="210"/>
        <v>2700</v>
      </c>
      <c r="L625" s="860">
        <f t="shared" si="211"/>
        <v>0</v>
      </c>
      <c r="M625" s="740">
        <f t="shared" si="207"/>
        <v>0</v>
      </c>
      <c r="N625" s="604">
        <f t="shared" si="196"/>
        <v>0</v>
      </c>
      <c r="O625" s="604">
        <f t="shared" si="197"/>
        <v>0</v>
      </c>
      <c r="P625" s="604">
        <f t="shared" si="198"/>
        <v>0</v>
      </c>
      <c r="Q625" s="604">
        <f t="shared" si="199"/>
        <v>0</v>
      </c>
      <c r="R625" s="604">
        <f t="shared" si="200"/>
        <v>0</v>
      </c>
      <c r="S625" s="604">
        <f t="shared" si="201"/>
        <v>0</v>
      </c>
      <c r="T625" s="604">
        <f t="shared" si="202"/>
        <v>0</v>
      </c>
      <c r="U625" s="604">
        <f t="shared" si="203"/>
        <v>0</v>
      </c>
      <c r="V625" s="604">
        <f t="shared" si="204"/>
        <v>0</v>
      </c>
      <c r="W625" s="604">
        <f t="shared" si="205"/>
        <v>0</v>
      </c>
      <c r="X625" s="746">
        <v>0</v>
      </c>
      <c r="Y625" s="746">
        <f t="shared" si="206"/>
        <v>0</v>
      </c>
    </row>
    <row r="626" spans="2:25">
      <c r="B626" s="598" t="s">
        <v>2595</v>
      </c>
      <c r="C626" s="604" t="s">
        <v>1107</v>
      </c>
      <c r="D626" s="745">
        <v>2015</v>
      </c>
      <c r="E626" s="604" t="s">
        <v>1572</v>
      </c>
      <c r="F626" s="738">
        <v>0.4</v>
      </c>
      <c r="G626" s="739">
        <v>14940.61</v>
      </c>
      <c r="H626" s="741">
        <v>14940.61</v>
      </c>
      <c r="I626" s="742">
        <f t="shared" si="208"/>
        <v>0</v>
      </c>
      <c r="J626" s="740">
        <f t="shared" si="209"/>
        <v>0</v>
      </c>
      <c r="K626" s="739">
        <f t="shared" si="210"/>
        <v>14940.61</v>
      </c>
      <c r="L626" s="860">
        <f t="shared" si="211"/>
        <v>0</v>
      </c>
      <c r="M626" s="740">
        <f t="shared" si="207"/>
        <v>0</v>
      </c>
      <c r="N626" s="604">
        <f t="shared" si="196"/>
        <v>0</v>
      </c>
      <c r="O626" s="604">
        <f t="shared" si="197"/>
        <v>0</v>
      </c>
      <c r="P626" s="604">
        <f t="shared" si="198"/>
        <v>0</v>
      </c>
      <c r="Q626" s="604">
        <f t="shared" si="199"/>
        <v>0</v>
      </c>
      <c r="R626" s="604">
        <f t="shared" si="200"/>
        <v>0</v>
      </c>
      <c r="S626" s="604">
        <f t="shared" si="201"/>
        <v>0</v>
      </c>
      <c r="T626" s="604">
        <f t="shared" si="202"/>
        <v>0</v>
      </c>
      <c r="U626" s="604">
        <f t="shared" si="203"/>
        <v>0</v>
      </c>
      <c r="V626" s="604">
        <f t="shared" si="204"/>
        <v>0</v>
      </c>
      <c r="W626" s="604">
        <f t="shared" si="205"/>
        <v>0</v>
      </c>
      <c r="X626" s="746">
        <v>0</v>
      </c>
      <c r="Y626" s="746">
        <f t="shared" si="206"/>
        <v>0</v>
      </c>
    </row>
    <row r="627" spans="2:25">
      <c r="B627" s="598" t="s">
        <v>2595</v>
      </c>
      <c r="C627" s="604" t="s">
        <v>1107</v>
      </c>
      <c r="D627" s="745">
        <v>2015</v>
      </c>
      <c r="E627" s="604" t="s">
        <v>1573</v>
      </c>
      <c r="F627" s="738">
        <v>0.4</v>
      </c>
      <c r="G627" s="739">
        <v>3900</v>
      </c>
      <c r="H627" s="741">
        <v>3900</v>
      </c>
      <c r="I627" s="742">
        <f t="shared" si="208"/>
        <v>0</v>
      </c>
      <c r="J627" s="740">
        <f t="shared" si="209"/>
        <v>0</v>
      </c>
      <c r="K627" s="739">
        <f t="shared" si="210"/>
        <v>3900</v>
      </c>
      <c r="L627" s="860">
        <f t="shared" si="211"/>
        <v>0</v>
      </c>
      <c r="M627" s="740">
        <f t="shared" si="207"/>
        <v>0</v>
      </c>
      <c r="N627" s="604">
        <f t="shared" si="196"/>
        <v>0</v>
      </c>
      <c r="O627" s="604">
        <f t="shared" si="197"/>
        <v>0</v>
      </c>
      <c r="P627" s="604">
        <f t="shared" si="198"/>
        <v>0</v>
      </c>
      <c r="Q627" s="604">
        <f t="shared" si="199"/>
        <v>0</v>
      </c>
      <c r="R627" s="604">
        <f t="shared" si="200"/>
        <v>0</v>
      </c>
      <c r="S627" s="604">
        <f t="shared" si="201"/>
        <v>0</v>
      </c>
      <c r="T627" s="604">
        <f t="shared" si="202"/>
        <v>0</v>
      </c>
      <c r="U627" s="604">
        <f t="shared" si="203"/>
        <v>0</v>
      </c>
      <c r="V627" s="604">
        <f t="shared" si="204"/>
        <v>0</v>
      </c>
      <c r="W627" s="604">
        <f t="shared" si="205"/>
        <v>0</v>
      </c>
      <c r="X627" s="746">
        <v>0</v>
      </c>
      <c r="Y627" s="746">
        <f t="shared" si="206"/>
        <v>0</v>
      </c>
    </row>
    <row r="628" spans="2:25">
      <c r="B628" s="598" t="s">
        <v>2595</v>
      </c>
      <c r="C628" s="604" t="s">
        <v>1107</v>
      </c>
      <c r="D628" s="745">
        <v>2016</v>
      </c>
      <c r="E628" s="604" t="s">
        <v>1574</v>
      </c>
      <c r="F628" s="738">
        <v>0.4</v>
      </c>
      <c r="G628" s="739">
        <v>5850</v>
      </c>
      <c r="H628" s="741">
        <v>5850</v>
      </c>
      <c r="I628" s="742">
        <f t="shared" si="208"/>
        <v>0</v>
      </c>
      <c r="J628" s="740">
        <f t="shared" si="209"/>
        <v>0</v>
      </c>
      <c r="K628" s="739">
        <f t="shared" si="210"/>
        <v>5850</v>
      </c>
      <c r="L628" s="860">
        <f t="shared" si="211"/>
        <v>0</v>
      </c>
      <c r="M628" s="740">
        <f t="shared" si="207"/>
        <v>0</v>
      </c>
      <c r="N628" s="604">
        <f t="shared" si="196"/>
        <v>0</v>
      </c>
      <c r="O628" s="604">
        <f t="shared" si="197"/>
        <v>0</v>
      </c>
      <c r="P628" s="604">
        <f t="shared" si="198"/>
        <v>0</v>
      </c>
      <c r="Q628" s="604">
        <f t="shared" si="199"/>
        <v>0</v>
      </c>
      <c r="R628" s="604">
        <f t="shared" si="200"/>
        <v>0</v>
      </c>
      <c r="S628" s="604">
        <f t="shared" si="201"/>
        <v>0</v>
      </c>
      <c r="T628" s="604">
        <f t="shared" si="202"/>
        <v>0</v>
      </c>
      <c r="U628" s="604">
        <f t="shared" si="203"/>
        <v>0</v>
      </c>
      <c r="V628" s="604">
        <f t="shared" si="204"/>
        <v>0</v>
      </c>
      <c r="W628" s="604">
        <f t="shared" si="205"/>
        <v>0</v>
      </c>
      <c r="X628" s="746">
        <v>0</v>
      </c>
      <c r="Y628" s="746">
        <f t="shared" si="206"/>
        <v>0</v>
      </c>
    </row>
    <row r="629" spans="2:25">
      <c r="B629" s="598" t="s">
        <v>2595</v>
      </c>
      <c r="C629" s="604" t="s">
        <v>1107</v>
      </c>
      <c r="D629" s="745">
        <v>2016</v>
      </c>
      <c r="E629" s="604" t="s">
        <v>1575</v>
      </c>
      <c r="F629" s="738">
        <v>0.4</v>
      </c>
      <c r="G629" s="739">
        <v>35000</v>
      </c>
      <c r="H629" s="741">
        <v>35000</v>
      </c>
      <c r="I629" s="742">
        <f t="shared" si="208"/>
        <v>0</v>
      </c>
      <c r="J629" s="740">
        <f t="shared" si="209"/>
        <v>0</v>
      </c>
      <c r="K629" s="739">
        <f t="shared" si="210"/>
        <v>35000</v>
      </c>
      <c r="L629" s="860">
        <f t="shared" si="211"/>
        <v>0</v>
      </c>
      <c r="M629" s="740">
        <f t="shared" si="207"/>
        <v>0</v>
      </c>
      <c r="N629" s="604">
        <f t="shared" si="196"/>
        <v>0</v>
      </c>
      <c r="O629" s="604">
        <f t="shared" si="197"/>
        <v>0</v>
      </c>
      <c r="P629" s="604">
        <f t="shared" si="198"/>
        <v>0</v>
      </c>
      <c r="Q629" s="604">
        <f t="shared" si="199"/>
        <v>0</v>
      </c>
      <c r="R629" s="604">
        <f t="shared" si="200"/>
        <v>0</v>
      </c>
      <c r="S629" s="604">
        <f t="shared" si="201"/>
        <v>0</v>
      </c>
      <c r="T629" s="604">
        <f t="shared" si="202"/>
        <v>0</v>
      </c>
      <c r="U629" s="604">
        <f t="shared" si="203"/>
        <v>0</v>
      </c>
      <c r="V629" s="604">
        <f t="shared" si="204"/>
        <v>0</v>
      </c>
      <c r="W629" s="604">
        <f t="shared" si="205"/>
        <v>0</v>
      </c>
      <c r="X629" s="746">
        <v>0</v>
      </c>
      <c r="Y629" s="746">
        <f t="shared" si="206"/>
        <v>0</v>
      </c>
    </row>
    <row r="630" spans="2:25">
      <c r="B630" s="598" t="s">
        <v>2595</v>
      </c>
      <c r="C630" s="604" t="s">
        <v>1107</v>
      </c>
      <c r="D630" s="745">
        <v>2016</v>
      </c>
      <c r="E630" s="604" t="s">
        <v>1576</v>
      </c>
      <c r="F630" s="738">
        <v>0.4</v>
      </c>
      <c r="G630" s="739">
        <v>8000</v>
      </c>
      <c r="H630" s="741">
        <v>8000</v>
      </c>
      <c r="I630" s="742">
        <f t="shared" si="208"/>
        <v>0</v>
      </c>
      <c r="J630" s="740">
        <f t="shared" si="209"/>
        <v>0</v>
      </c>
      <c r="K630" s="739">
        <f t="shared" si="210"/>
        <v>8000</v>
      </c>
      <c r="L630" s="860">
        <f t="shared" si="211"/>
        <v>0</v>
      </c>
      <c r="M630" s="740">
        <f t="shared" si="207"/>
        <v>0</v>
      </c>
      <c r="N630" s="604">
        <f t="shared" si="196"/>
        <v>0</v>
      </c>
      <c r="O630" s="604">
        <f t="shared" si="197"/>
        <v>0</v>
      </c>
      <c r="P630" s="604">
        <f t="shared" si="198"/>
        <v>0</v>
      </c>
      <c r="Q630" s="604">
        <f t="shared" si="199"/>
        <v>0</v>
      </c>
      <c r="R630" s="604">
        <f t="shared" si="200"/>
        <v>0</v>
      </c>
      <c r="S630" s="604">
        <f t="shared" si="201"/>
        <v>0</v>
      </c>
      <c r="T630" s="604">
        <f t="shared" si="202"/>
        <v>0</v>
      </c>
      <c r="U630" s="604">
        <f t="shared" si="203"/>
        <v>0</v>
      </c>
      <c r="V630" s="604">
        <f t="shared" si="204"/>
        <v>0</v>
      </c>
      <c r="W630" s="604">
        <f t="shared" si="205"/>
        <v>0</v>
      </c>
      <c r="X630" s="746">
        <v>0</v>
      </c>
      <c r="Y630" s="746">
        <f t="shared" si="206"/>
        <v>0</v>
      </c>
    </row>
    <row r="631" spans="2:25">
      <c r="B631" s="598" t="s">
        <v>2595</v>
      </c>
      <c r="C631" s="604" t="s">
        <v>1107</v>
      </c>
      <c r="D631" s="745">
        <v>2016</v>
      </c>
      <c r="E631" s="604" t="s">
        <v>1577</v>
      </c>
      <c r="F631" s="738">
        <v>0.4</v>
      </c>
      <c r="G631" s="739">
        <v>4000</v>
      </c>
      <c r="H631" s="741">
        <v>4000</v>
      </c>
      <c r="I631" s="742">
        <f t="shared" si="208"/>
        <v>0</v>
      </c>
      <c r="J631" s="740">
        <f t="shared" si="209"/>
        <v>0</v>
      </c>
      <c r="K631" s="739">
        <f t="shared" si="210"/>
        <v>4000</v>
      </c>
      <c r="L631" s="860">
        <f t="shared" si="211"/>
        <v>0</v>
      </c>
      <c r="M631" s="740">
        <f t="shared" si="207"/>
        <v>0</v>
      </c>
      <c r="N631" s="604">
        <f t="shared" si="196"/>
        <v>0</v>
      </c>
      <c r="O631" s="604">
        <f t="shared" si="197"/>
        <v>0</v>
      </c>
      <c r="P631" s="604">
        <f t="shared" si="198"/>
        <v>0</v>
      </c>
      <c r="Q631" s="604">
        <f t="shared" si="199"/>
        <v>0</v>
      </c>
      <c r="R631" s="604">
        <f t="shared" si="200"/>
        <v>0</v>
      </c>
      <c r="S631" s="604">
        <f t="shared" si="201"/>
        <v>0</v>
      </c>
      <c r="T631" s="604">
        <f t="shared" si="202"/>
        <v>0</v>
      </c>
      <c r="U631" s="604">
        <f t="shared" si="203"/>
        <v>0</v>
      </c>
      <c r="V631" s="604">
        <f t="shared" si="204"/>
        <v>0</v>
      </c>
      <c r="W631" s="604">
        <f t="shared" si="205"/>
        <v>0</v>
      </c>
      <c r="X631" s="746">
        <v>0</v>
      </c>
      <c r="Y631" s="746">
        <f t="shared" si="206"/>
        <v>0</v>
      </c>
    </row>
    <row r="632" spans="2:25">
      <c r="B632" s="598" t="s">
        <v>2595</v>
      </c>
      <c r="C632" s="604" t="s">
        <v>1107</v>
      </c>
      <c r="D632" s="745">
        <v>2016</v>
      </c>
      <c r="E632" s="604" t="s">
        <v>1578</v>
      </c>
      <c r="F632" s="738">
        <v>0.4</v>
      </c>
      <c r="G632" s="739">
        <v>8000</v>
      </c>
      <c r="H632" s="741">
        <v>8000</v>
      </c>
      <c r="I632" s="742">
        <f t="shared" si="208"/>
        <v>0</v>
      </c>
      <c r="J632" s="740">
        <f t="shared" si="209"/>
        <v>0</v>
      </c>
      <c r="K632" s="739">
        <f t="shared" si="210"/>
        <v>8000</v>
      </c>
      <c r="L632" s="860">
        <f t="shared" si="211"/>
        <v>0</v>
      </c>
      <c r="M632" s="740">
        <f t="shared" si="207"/>
        <v>0</v>
      </c>
      <c r="N632" s="604">
        <f t="shared" si="196"/>
        <v>0</v>
      </c>
      <c r="O632" s="604">
        <f t="shared" si="197"/>
        <v>0</v>
      </c>
      <c r="P632" s="604">
        <f t="shared" si="198"/>
        <v>0</v>
      </c>
      <c r="Q632" s="604">
        <f t="shared" si="199"/>
        <v>0</v>
      </c>
      <c r="R632" s="604">
        <f t="shared" si="200"/>
        <v>0</v>
      </c>
      <c r="S632" s="604">
        <f t="shared" si="201"/>
        <v>0</v>
      </c>
      <c r="T632" s="604">
        <f t="shared" si="202"/>
        <v>0</v>
      </c>
      <c r="U632" s="604">
        <f t="shared" si="203"/>
        <v>0</v>
      </c>
      <c r="V632" s="604">
        <f t="shared" si="204"/>
        <v>0</v>
      </c>
      <c r="W632" s="604">
        <f t="shared" si="205"/>
        <v>0</v>
      </c>
      <c r="X632" s="746">
        <v>0</v>
      </c>
      <c r="Y632" s="746">
        <f t="shared" si="206"/>
        <v>0</v>
      </c>
    </row>
    <row r="633" spans="2:25">
      <c r="B633" s="598" t="s">
        <v>2595</v>
      </c>
      <c r="C633" s="604" t="s">
        <v>1107</v>
      </c>
      <c r="D633" s="745">
        <v>2017</v>
      </c>
      <c r="E633" s="604" t="s">
        <v>1579</v>
      </c>
      <c r="F633" s="738">
        <v>0.4</v>
      </c>
      <c r="G633" s="739">
        <v>4110</v>
      </c>
      <c r="H633" s="741">
        <v>4110</v>
      </c>
      <c r="I633" s="742">
        <f t="shared" si="208"/>
        <v>0</v>
      </c>
      <c r="J633" s="740">
        <f t="shared" si="209"/>
        <v>0</v>
      </c>
      <c r="K633" s="739">
        <f t="shared" si="210"/>
        <v>4110</v>
      </c>
      <c r="L633" s="860">
        <f t="shared" si="211"/>
        <v>0</v>
      </c>
      <c r="M633" s="740">
        <f t="shared" si="207"/>
        <v>0</v>
      </c>
      <c r="N633" s="604">
        <f t="shared" si="196"/>
        <v>0</v>
      </c>
      <c r="O633" s="604">
        <f t="shared" si="197"/>
        <v>0</v>
      </c>
      <c r="P633" s="604">
        <f t="shared" si="198"/>
        <v>0</v>
      </c>
      <c r="Q633" s="604">
        <f t="shared" si="199"/>
        <v>0</v>
      </c>
      <c r="R633" s="604">
        <f t="shared" si="200"/>
        <v>0</v>
      </c>
      <c r="S633" s="604">
        <f t="shared" si="201"/>
        <v>0</v>
      </c>
      <c r="T633" s="604">
        <f t="shared" si="202"/>
        <v>0</v>
      </c>
      <c r="U633" s="604">
        <f t="shared" si="203"/>
        <v>0</v>
      </c>
      <c r="V633" s="604">
        <f t="shared" si="204"/>
        <v>0</v>
      </c>
      <c r="W633" s="604">
        <f t="shared" si="205"/>
        <v>0</v>
      </c>
      <c r="X633" s="746">
        <v>0</v>
      </c>
      <c r="Y633" s="746">
        <f t="shared" si="206"/>
        <v>0</v>
      </c>
    </row>
    <row r="634" spans="2:25">
      <c r="B634" s="598" t="s">
        <v>2595</v>
      </c>
      <c r="C634" s="604" t="s">
        <v>1107</v>
      </c>
      <c r="D634" s="745">
        <v>2017</v>
      </c>
      <c r="E634" s="604" t="s">
        <v>1580</v>
      </c>
      <c r="F634" s="738">
        <v>0.4</v>
      </c>
      <c r="G634" s="739">
        <v>4110</v>
      </c>
      <c r="H634" s="741">
        <v>4110</v>
      </c>
      <c r="I634" s="742">
        <f t="shared" si="208"/>
        <v>0</v>
      </c>
      <c r="J634" s="740">
        <f t="shared" si="209"/>
        <v>0</v>
      </c>
      <c r="K634" s="739">
        <f t="shared" si="210"/>
        <v>4110</v>
      </c>
      <c r="L634" s="860">
        <f t="shared" si="211"/>
        <v>0</v>
      </c>
      <c r="M634" s="740">
        <f t="shared" si="207"/>
        <v>0</v>
      </c>
      <c r="N634" s="604">
        <f t="shared" si="196"/>
        <v>0</v>
      </c>
      <c r="O634" s="604">
        <f t="shared" si="197"/>
        <v>0</v>
      </c>
      <c r="P634" s="604">
        <f t="shared" si="198"/>
        <v>0</v>
      </c>
      <c r="Q634" s="604">
        <f t="shared" si="199"/>
        <v>0</v>
      </c>
      <c r="R634" s="604">
        <f t="shared" si="200"/>
        <v>0</v>
      </c>
      <c r="S634" s="604">
        <f t="shared" si="201"/>
        <v>0</v>
      </c>
      <c r="T634" s="604">
        <f t="shared" si="202"/>
        <v>0</v>
      </c>
      <c r="U634" s="604">
        <f t="shared" si="203"/>
        <v>0</v>
      </c>
      <c r="V634" s="604">
        <f t="shared" si="204"/>
        <v>0</v>
      </c>
      <c r="W634" s="604">
        <f t="shared" si="205"/>
        <v>0</v>
      </c>
      <c r="X634" s="746">
        <v>0</v>
      </c>
      <c r="Y634" s="746">
        <f t="shared" si="206"/>
        <v>0</v>
      </c>
    </row>
    <row r="635" spans="2:25">
      <c r="B635" s="598" t="s">
        <v>2595</v>
      </c>
      <c r="C635" s="604" t="s">
        <v>1107</v>
      </c>
      <c r="D635" s="745">
        <v>2017</v>
      </c>
      <c r="E635" s="604" t="s">
        <v>1581</v>
      </c>
      <c r="F635" s="738">
        <v>0.4</v>
      </c>
      <c r="G635" s="739">
        <v>4110</v>
      </c>
      <c r="H635" s="741">
        <v>4110</v>
      </c>
      <c r="I635" s="742">
        <f t="shared" si="208"/>
        <v>0</v>
      </c>
      <c r="J635" s="740">
        <f t="shared" si="209"/>
        <v>0</v>
      </c>
      <c r="K635" s="739">
        <f t="shared" si="210"/>
        <v>4110</v>
      </c>
      <c r="L635" s="860">
        <f t="shared" si="211"/>
        <v>0</v>
      </c>
      <c r="M635" s="740">
        <f t="shared" si="207"/>
        <v>0</v>
      </c>
      <c r="N635" s="604">
        <f t="shared" si="196"/>
        <v>0</v>
      </c>
      <c r="O635" s="604">
        <f t="shared" si="197"/>
        <v>0</v>
      </c>
      <c r="P635" s="604">
        <f t="shared" si="198"/>
        <v>0</v>
      </c>
      <c r="Q635" s="604">
        <f t="shared" si="199"/>
        <v>0</v>
      </c>
      <c r="R635" s="604">
        <f t="shared" si="200"/>
        <v>0</v>
      </c>
      <c r="S635" s="604">
        <f t="shared" si="201"/>
        <v>0</v>
      </c>
      <c r="T635" s="604">
        <f t="shared" si="202"/>
        <v>0</v>
      </c>
      <c r="U635" s="604">
        <f t="shared" si="203"/>
        <v>0</v>
      </c>
      <c r="V635" s="604">
        <f t="shared" si="204"/>
        <v>0</v>
      </c>
      <c r="W635" s="604">
        <f t="shared" si="205"/>
        <v>0</v>
      </c>
      <c r="X635" s="746">
        <v>0</v>
      </c>
      <c r="Y635" s="746">
        <f t="shared" si="206"/>
        <v>0</v>
      </c>
    </row>
    <row r="636" spans="2:25">
      <c r="B636" s="598" t="s">
        <v>2595</v>
      </c>
      <c r="C636" s="604" t="s">
        <v>1107</v>
      </c>
      <c r="D636" s="745">
        <v>2017</v>
      </c>
      <c r="E636" s="604" t="s">
        <v>1582</v>
      </c>
      <c r="F636" s="738">
        <v>0.4</v>
      </c>
      <c r="G636" s="739">
        <v>4110</v>
      </c>
      <c r="H636" s="741">
        <v>4110</v>
      </c>
      <c r="I636" s="742">
        <f t="shared" si="208"/>
        <v>0</v>
      </c>
      <c r="J636" s="740">
        <f t="shared" si="209"/>
        <v>0</v>
      </c>
      <c r="K636" s="739">
        <f t="shared" si="210"/>
        <v>4110</v>
      </c>
      <c r="L636" s="860">
        <f t="shared" si="211"/>
        <v>0</v>
      </c>
      <c r="M636" s="740">
        <f t="shared" si="207"/>
        <v>0</v>
      </c>
      <c r="N636" s="604">
        <f t="shared" si="196"/>
        <v>0</v>
      </c>
      <c r="O636" s="604">
        <f t="shared" si="197"/>
        <v>0</v>
      </c>
      <c r="P636" s="604">
        <f t="shared" si="198"/>
        <v>0</v>
      </c>
      <c r="Q636" s="604">
        <f t="shared" si="199"/>
        <v>0</v>
      </c>
      <c r="R636" s="604">
        <f t="shared" si="200"/>
        <v>0</v>
      </c>
      <c r="S636" s="604">
        <f t="shared" si="201"/>
        <v>0</v>
      </c>
      <c r="T636" s="604">
        <f t="shared" si="202"/>
        <v>0</v>
      </c>
      <c r="U636" s="604">
        <f t="shared" si="203"/>
        <v>0</v>
      </c>
      <c r="V636" s="604">
        <f t="shared" si="204"/>
        <v>0</v>
      </c>
      <c r="W636" s="604">
        <f t="shared" si="205"/>
        <v>0</v>
      </c>
      <c r="X636" s="746">
        <v>0</v>
      </c>
      <c r="Y636" s="746">
        <f t="shared" si="206"/>
        <v>0</v>
      </c>
    </row>
    <row r="637" spans="2:25">
      <c r="B637" s="598" t="s">
        <v>2595</v>
      </c>
      <c r="C637" s="604" t="s">
        <v>1107</v>
      </c>
      <c r="D637" s="745">
        <v>2017</v>
      </c>
      <c r="E637" s="604" t="s">
        <v>1583</v>
      </c>
      <c r="F637" s="738">
        <v>0.4</v>
      </c>
      <c r="G637" s="739">
        <v>500</v>
      </c>
      <c r="H637" s="741">
        <v>500</v>
      </c>
      <c r="I637" s="742">
        <f t="shared" si="208"/>
        <v>0</v>
      </c>
      <c r="J637" s="740">
        <f t="shared" si="209"/>
        <v>0</v>
      </c>
      <c r="K637" s="739">
        <f t="shared" si="210"/>
        <v>500</v>
      </c>
      <c r="L637" s="860">
        <f t="shared" si="211"/>
        <v>0</v>
      </c>
      <c r="M637" s="740">
        <f t="shared" si="207"/>
        <v>0</v>
      </c>
      <c r="N637" s="604">
        <f t="shared" si="196"/>
        <v>0</v>
      </c>
      <c r="O637" s="604">
        <f t="shared" si="197"/>
        <v>0</v>
      </c>
      <c r="P637" s="604">
        <f t="shared" si="198"/>
        <v>0</v>
      </c>
      <c r="Q637" s="604">
        <f t="shared" si="199"/>
        <v>0</v>
      </c>
      <c r="R637" s="604">
        <f t="shared" si="200"/>
        <v>0</v>
      </c>
      <c r="S637" s="604">
        <f t="shared" si="201"/>
        <v>0</v>
      </c>
      <c r="T637" s="604">
        <f t="shared" si="202"/>
        <v>0</v>
      </c>
      <c r="U637" s="604">
        <f t="shared" si="203"/>
        <v>0</v>
      </c>
      <c r="V637" s="604">
        <f t="shared" si="204"/>
        <v>0</v>
      </c>
      <c r="W637" s="604">
        <f t="shared" si="205"/>
        <v>0</v>
      </c>
      <c r="X637" s="746">
        <v>0</v>
      </c>
      <c r="Y637" s="746">
        <f t="shared" si="206"/>
        <v>0</v>
      </c>
    </row>
    <row r="638" spans="2:25">
      <c r="B638" s="598" t="s">
        <v>2595</v>
      </c>
      <c r="C638" s="604" t="s">
        <v>1107</v>
      </c>
      <c r="D638" s="745">
        <v>2017</v>
      </c>
      <c r="E638" s="604" t="s">
        <v>1584</v>
      </c>
      <c r="F638" s="738">
        <v>0.4</v>
      </c>
      <c r="G638" s="739">
        <v>3800</v>
      </c>
      <c r="H638" s="741">
        <v>3800</v>
      </c>
      <c r="I638" s="742">
        <f t="shared" si="208"/>
        <v>0</v>
      </c>
      <c r="J638" s="740">
        <f t="shared" si="209"/>
        <v>0</v>
      </c>
      <c r="K638" s="739">
        <f t="shared" si="210"/>
        <v>3800</v>
      </c>
      <c r="L638" s="860">
        <f t="shared" si="211"/>
        <v>0</v>
      </c>
      <c r="M638" s="740">
        <f t="shared" si="207"/>
        <v>0</v>
      </c>
      <c r="N638" s="604">
        <f t="shared" si="196"/>
        <v>0</v>
      </c>
      <c r="O638" s="604">
        <f t="shared" si="197"/>
        <v>0</v>
      </c>
      <c r="P638" s="604">
        <f t="shared" si="198"/>
        <v>0</v>
      </c>
      <c r="Q638" s="604">
        <f t="shared" si="199"/>
        <v>0</v>
      </c>
      <c r="R638" s="604">
        <f t="shared" si="200"/>
        <v>0</v>
      </c>
      <c r="S638" s="604">
        <f t="shared" si="201"/>
        <v>0</v>
      </c>
      <c r="T638" s="604">
        <f t="shared" si="202"/>
        <v>0</v>
      </c>
      <c r="U638" s="604">
        <f t="shared" si="203"/>
        <v>0</v>
      </c>
      <c r="V638" s="604">
        <f t="shared" si="204"/>
        <v>0</v>
      </c>
      <c r="W638" s="604">
        <f t="shared" si="205"/>
        <v>0</v>
      </c>
      <c r="X638" s="746">
        <v>0</v>
      </c>
      <c r="Y638" s="746">
        <f t="shared" si="206"/>
        <v>0</v>
      </c>
    </row>
    <row r="639" spans="2:25">
      <c r="B639" s="598" t="s">
        <v>2595</v>
      </c>
      <c r="C639" s="604" t="s">
        <v>1107</v>
      </c>
      <c r="D639" s="745">
        <v>2017</v>
      </c>
      <c r="E639" s="604" t="s">
        <v>1585</v>
      </c>
      <c r="F639" s="738">
        <v>0.4</v>
      </c>
      <c r="G639" s="739">
        <v>22000</v>
      </c>
      <c r="H639" s="741">
        <v>22000</v>
      </c>
      <c r="I639" s="742">
        <f t="shared" si="208"/>
        <v>0</v>
      </c>
      <c r="J639" s="740">
        <f t="shared" si="209"/>
        <v>0</v>
      </c>
      <c r="K639" s="739">
        <f t="shared" si="210"/>
        <v>22000</v>
      </c>
      <c r="L639" s="860">
        <f t="shared" si="211"/>
        <v>0</v>
      </c>
      <c r="M639" s="740">
        <f t="shared" si="207"/>
        <v>0</v>
      </c>
      <c r="N639" s="604">
        <f t="shared" si="196"/>
        <v>0</v>
      </c>
      <c r="O639" s="604">
        <f t="shared" si="197"/>
        <v>0</v>
      </c>
      <c r="P639" s="604">
        <f t="shared" si="198"/>
        <v>0</v>
      </c>
      <c r="Q639" s="604">
        <f t="shared" si="199"/>
        <v>0</v>
      </c>
      <c r="R639" s="604">
        <f t="shared" si="200"/>
        <v>0</v>
      </c>
      <c r="S639" s="604">
        <f t="shared" si="201"/>
        <v>0</v>
      </c>
      <c r="T639" s="604">
        <f t="shared" si="202"/>
        <v>0</v>
      </c>
      <c r="U639" s="604">
        <f t="shared" si="203"/>
        <v>0</v>
      </c>
      <c r="V639" s="604">
        <f t="shared" si="204"/>
        <v>0</v>
      </c>
      <c r="W639" s="604">
        <f t="shared" si="205"/>
        <v>0</v>
      </c>
      <c r="X639" s="746">
        <v>0</v>
      </c>
      <c r="Y639" s="746">
        <f t="shared" si="206"/>
        <v>0</v>
      </c>
    </row>
    <row r="640" spans="2:25">
      <c r="B640" s="598" t="s">
        <v>2595</v>
      </c>
      <c r="C640" s="604" t="s">
        <v>1107</v>
      </c>
      <c r="D640" s="745">
        <v>2018</v>
      </c>
      <c r="E640" s="604"/>
      <c r="F640" s="738">
        <v>0.4</v>
      </c>
      <c r="G640" s="739">
        <v>3930</v>
      </c>
      <c r="H640" s="741">
        <v>3930</v>
      </c>
      <c r="I640" s="742">
        <f t="shared" si="208"/>
        <v>0</v>
      </c>
      <c r="J640" s="740">
        <f t="shared" si="209"/>
        <v>0</v>
      </c>
      <c r="K640" s="739">
        <f t="shared" si="210"/>
        <v>3930</v>
      </c>
      <c r="L640" s="860">
        <f t="shared" si="211"/>
        <v>0</v>
      </c>
      <c r="M640" s="740">
        <f t="shared" si="207"/>
        <v>0</v>
      </c>
      <c r="N640" s="604">
        <f t="shared" si="196"/>
        <v>0</v>
      </c>
      <c r="O640" s="604">
        <f t="shared" si="197"/>
        <v>0</v>
      </c>
      <c r="P640" s="604">
        <f t="shared" si="198"/>
        <v>0</v>
      </c>
      <c r="Q640" s="604">
        <f t="shared" si="199"/>
        <v>0</v>
      </c>
      <c r="R640" s="604">
        <f t="shared" si="200"/>
        <v>0</v>
      </c>
      <c r="S640" s="604">
        <f t="shared" si="201"/>
        <v>0</v>
      </c>
      <c r="T640" s="604">
        <f t="shared" si="202"/>
        <v>0</v>
      </c>
      <c r="U640" s="604">
        <f t="shared" si="203"/>
        <v>0</v>
      </c>
      <c r="V640" s="604">
        <f t="shared" si="204"/>
        <v>0</v>
      </c>
      <c r="W640" s="604">
        <f t="shared" si="205"/>
        <v>0</v>
      </c>
      <c r="X640" s="746">
        <v>0</v>
      </c>
      <c r="Y640" s="746">
        <f t="shared" si="206"/>
        <v>0</v>
      </c>
    </row>
    <row r="641" spans="2:25">
      <c r="B641" s="598" t="s">
        <v>2595</v>
      </c>
      <c r="C641" s="604" t="s">
        <v>1107</v>
      </c>
      <c r="D641" s="745">
        <v>2017</v>
      </c>
      <c r="E641" s="604" t="s">
        <v>1586</v>
      </c>
      <c r="F641" s="738">
        <v>0.4</v>
      </c>
      <c r="G641" s="739">
        <v>9400</v>
      </c>
      <c r="H641" s="741">
        <v>9400</v>
      </c>
      <c r="I641" s="742">
        <f t="shared" si="208"/>
        <v>0</v>
      </c>
      <c r="J641" s="740">
        <f t="shared" si="209"/>
        <v>0</v>
      </c>
      <c r="K641" s="739">
        <f t="shared" si="210"/>
        <v>9400</v>
      </c>
      <c r="L641" s="860">
        <f t="shared" si="211"/>
        <v>0</v>
      </c>
      <c r="M641" s="740">
        <f t="shared" si="207"/>
        <v>0</v>
      </c>
      <c r="N641" s="604">
        <f t="shared" si="196"/>
        <v>0</v>
      </c>
      <c r="O641" s="604">
        <f t="shared" si="197"/>
        <v>0</v>
      </c>
      <c r="P641" s="604">
        <f t="shared" si="198"/>
        <v>0</v>
      </c>
      <c r="Q641" s="604">
        <f t="shared" si="199"/>
        <v>0</v>
      </c>
      <c r="R641" s="604">
        <f t="shared" si="200"/>
        <v>0</v>
      </c>
      <c r="S641" s="604">
        <f t="shared" si="201"/>
        <v>0</v>
      </c>
      <c r="T641" s="604">
        <f t="shared" si="202"/>
        <v>0</v>
      </c>
      <c r="U641" s="604">
        <f t="shared" si="203"/>
        <v>0</v>
      </c>
      <c r="V641" s="604">
        <f t="shared" si="204"/>
        <v>0</v>
      </c>
      <c r="W641" s="604">
        <f t="shared" si="205"/>
        <v>0</v>
      </c>
      <c r="X641" s="746">
        <v>0</v>
      </c>
      <c r="Y641" s="746">
        <f t="shared" si="206"/>
        <v>0</v>
      </c>
    </row>
    <row r="642" spans="2:25">
      <c r="B642" s="598" t="s">
        <v>2595</v>
      </c>
      <c r="C642" s="604" t="s">
        <v>1107</v>
      </c>
      <c r="D642" s="745">
        <v>2017</v>
      </c>
      <c r="E642" s="604" t="s">
        <v>1587</v>
      </c>
      <c r="F642" s="738">
        <v>0.4</v>
      </c>
      <c r="G642" s="739">
        <v>5000</v>
      </c>
      <c r="H642" s="741">
        <v>5000</v>
      </c>
      <c r="I642" s="742">
        <f t="shared" si="208"/>
        <v>0</v>
      </c>
      <c r="J642" s="740">
        <f t="shared" si="209"/>
        <v>0</v>
      </c>
      <c r="K642" s="739">
        <f t="shared" si="210"/>
        <v>5000</v>
      </c>
      <c r="L642" s="860">
        <f t="shared" si="211"/>
        <v>0</v>
      </c>
      <c r="M642" s="740">
        <f t="shared" si="207"/>
        <v>0</v>
      </c>
      <c r="N642" s="604">
        <f t="shared" si="196"/>
        <v>0</v>
      </c>
      <c r="O642" s="604">
        <f t="shared" si="197"/>
        <v>0</v>
      </c>
      <c r="P642" s="604">
        <f t="shared" si="198"/>
        <v>0</v>
      </c>
      <c r="Q642" s="604">
        <f t="shared" si="199"/>
        <v>0</v>
      </c>
      <c r="R642" s="604">
        <f t="shared" si="200"/>
        <v>0</v>
      </c>
      <c r="S642" s="604">
        <f t="shared" si="201"/>
        <v>0</v>
      </c>
      <c r="T642" s="604">
        <f t="shared" si="202"/>
        <v>0</v>
      </c>
      <c r="U642" s="604">
        <f t="shared" si="203"/>
        <v>0</v>
      </c>
      <c r="V642" s="604">
        <f t="shared" si="204"/>
        <v>0</v>
      </c>
      <c r="W642" s="604">
        <f t="shared" si="205"/>
        <v>0</v>
      </c>
      <c r="X642" s="746">
        <v>0</v>
      </c>
      <c r="Y642" s="746">
        <f t="shared" si="206"/>
        <v>0</v>
      </c>
    </row>
    <row r="643" spans="2:25">
      <c r="B643" s="598" t="s">
        <v>2595</v>
      </c>
      <c r="C643" s="604" t="s">
        <v>1107</v>
      </c>
      <c r="D643" s="745">
        <v>2017</v>
      </c>
      <c r="E643" s="604" t="s">
        <v>1588</v>
      </c>
      <c r="F643" s="738">
        <v>0.4</v>
      </c>
      <c r="G643" s="739">
        <v>5600</v>
      </c>
      <c r="H643" s="741">
        <v>5600</v>
      </c>
      <c r="I643" s="742">
        <f t="shared" si="208"/>
        <v>0</v>
      </c>
      <c r="J643" s="740">
        <f t="shared" si="209"/>
        <v>0</v>
      </c>
      <c r="K643" s="739">
        <f t="shared" si="210"/>
        <v>5600</v>
      </c>
      <c r="L643" s="860">
        <f t="shared" si="211"/>
        <v>0</v>
      </c>
      <c r="M643" s="740">
        <f t="shared" si="207"/>
        <v>0</v>
      </c>
      <c r="N643" s="604">
        <f t="shared" si="196"/>
        <v>0</v>
      </c>
      <c r="O643" s="604">
        <f t="shared" si="197"/>
        <v>0</v>
      </c>
      <c r="P643" s="604">
        <f t="shared" si="198"/>
        <v>0</v>
      </c>
      <c r="Q643" s="604">
        <f t="shared" si="199"/>
        <v>0</v>
      </c>
      <c r="R643" s="604">
        <f t="shared" si="200"/>
        <v>0</v>
      </c>
      <c r="S643" s="604">
        <f t="shared" si="201"/>
        <v>0</v>
      </c>
      <c r="T643" s="604">
        <f t="shared" si="202"/>
        <v>0</v>
      </c>
      <c r="U643" s="604">
        <f t="shared" si="203"/>
        <v>0</v>
      </c>
      <c r="V643" s="604">
        <f t="shared" si="204"/>
        <v>0</v>
      </c>
      <c r="W643" s="604">
        <f t="shared" si="205"/>
        <v>0</v>
      </c>
      <c r="X643" s="746">
        <v>0</v>
      </c>
      <c r="Y643" s="746">
        <f t="shared" si="206"/>
        <v>0</v>
      </c>
    </row>
    <row r="644" spans="2:25">
      <c r="B644" s="598" t="s">
        <v>2595</v>
      </c>
      <c r="C644" s="604" t="s">
        <v>1107</v>
      </c>
      <c r="D644" s="745">
        <v>2018</v>
      </c>
      <c r="E644" s="604" t="s">
        <v>1589</v>
      </c>
      <c r="F644" s="738">
        <v>0.4</v>
      </c>
      <c r="G644" s="739">
        <v>4000</v>
      </c>
      <c r="H644" s="741">
        <v>4000</v>
      </c>
      <c r="I644" s="742">
        <f t="shared" si="208"/>
        <v>0</v>
      </c>
      <c r="J644" s="740">
        <f t="shared" si="209"/>
        <v>0</v>
      </c>
      <c r="K644" s="739">
        <f t="shared" si="210"/>
        <v>4000</v>
      </c>
      <c r="L644" s="860">
        <f t="shared" si="211"/>
        <v>0</v>
      </c>
      <c r="M644" s="740">
        <f t="shared" si="207"/>
        <v>0</v>
      </c>
      <c r="N644" s="604">
        <f t="shared" si="196"/>
        <v>0</v>
      </c>
      <c r="O644" s="604">
        <f t="shared" si="197"/>
        <v>0</v>
      </c>
      <c r="P644" s="604">
        <f t="shared" si="198"/>
        <v>0</v>
      </c>
      <c r="Q644" s="604">
        <f t="shared" si="199"/>
        <v>0</v>
      </c>
      <c r="R644" s="604">
        <f t="shared" si="200"/>
        <v>0</v>
      </c>
      <c r="S644" s="604">
        <f t="shared" si="201"/>
        <v>0</v>
      </c>
      <c r="T644" s="604">
        <f t="shared" si="202"/>
        <v>0</v>
      </c>
      <c r="U644" s="604">
        <f t="shared" si="203"/>
        <v>0</v>
      </c>
      <c r="V644" s="604">
        <f t="shared" si="204"/>
        <v>0</v>
      </c>
      <c r="W644" s="604">
        <f t="shared" si="205"/>
        <v>0</v>
      </c>
      <c r="X644" s="746">
        <v>0</v>
      </c>
      <c r="Y644" s="746">
        <f t="shared" si="206"/>
        <v>0</v>
      </c>
    </row>
    <row r="645" spans="2:25">
      <c r="B645" s="598" t="s">
        <v>2595</v>
      </c>
      <c r="C645" s="604" t="s">
        <v>1107</v>
      </c>
      <c r="D645" s="745">
        <v>2018</v>
      </c>
      <c r="E645" s="604" t="s">
        <v>1590</v>
      </c>
      <c r="F645" s="738">
        <v>0.4</v>
      </c>
      <c r="G645" s="739">
        <v>15800</v>
      </c>
      <c r="H645" s="741">
        <v>15800</v>
      </c>
      <c r="I645" s="742">
        <f t="shared" si="208"/>
        <v>0</v>
      </c>
      <c r="J645" s="740">
        <f t="shared" si="209"/>
        <v>0</v>
      </c>
      <c r="K645" s="739">
        <f t="shared" si="210"/>
        <v>15800</v>
      </c>
      <c r="L645" s="860">
        <f t="shared" si="211"/>
        <v>0</v>
      </c>
      <c r="M645" s="740">
        <f t="shared" si="207"/>
        <v>0</v>
      </c>
      <c r="N645" s="604">
        <f t="shared" si="196"/>
        <v>0</v>
      </c>
      <c r="O645" s="604">
        <f t="shared" si="197"/>
        <v>0</v>
      </c>
      <c r="P645" s="604">
        <f t="shared" si="198"/>
        <v>0</v>
      </c>
      <c r="Q645" s="604">
        <f t="shared" si="199"/>
        <v>0</v>
      </c>
      <c r="R645" s="604">
        <f t="shared" si="200"/>
        <v>0</v>
      </c>
      <c r="S645" s="604">
        <f t="shared" si="201"/>
        <v>0</v>
      </c>
      <c r="T645" s="604">
        <f t="shared" si="202"/>
        <v>0</v>
      </c>
      <c r="U645" s="604">
        <f t="shared" si="203"/>
        <v>0</v>
      </c>
      <c r="V645" s="604">
        <f t="shared" si="204"/>
        <v>0</v>
      </c>
      <c r="W645" s="604">
        <f t="shared" si="205"/>
        <v>0</v>
      </c>
      <c r="X645" s="746">
        <v>0</v>
      </c>
      <c r="Y645" s="746">
        <f t="shared" si="206"/>
        <v>0</v>
      </c>
    </row>
    <row r="646" spans="2:25">
      <c r="B646" s="598" t="s">
        <v>2595</v>
      </c>
      <c r="C646" s="604" t="s">
        <v>1107</v>
      </c>
      <c r="D646" s="745">
        <v>2018</v>
      </c>
      <c r="E646" s="604" t="s">
        <v>1591</v>
      </c>
      <c r="F646" s="738">
        <v>0.4</v>
      </c>
      <c r="G646" s="739">
        <v>3350</v>
      </c>
      <c r="H646" s="741">
        <v>3350</v>
      </c>
      <c r="I646" s="742">
        <f t="shared" si="208"/>
        <v>0</v>
      </c>
      <c r="J646" s="740">
        <f t="shared" si="209"/>
        <v>0</v>
      </c>
      <c r="K646" s="739">
        <f t="shared" si="210"/>
        <v>3350</v>
      </c>
      <c r="L646" s="860">
        <f t="shared" si="211"/>
        <v>0</v>
      </c>
      <c r="M646" s="740">
        <f t="shared" si="207"/>
        <v>0</v>
      </c>
      <c r="N646" s="604">
        <f t="shared" si="196"/>
        <v>0</v>
      </c>
      <c r="O646" s="604">
        <f t="shared" si="197"/>
        <v>0</v>
      </c>
      <c r="P646" s="604">
        <f t="shared" si="198"/>
        <v>0</v>
      </c>
      <c r="Q646" s="604">
        <f t="shared" si="199"/>
        <v>0</v>
      </c>
      <c r="R646" s="604">
        <f t="shared" si="200"/>
        <v>0</v>
      </c>
      <c r="S646" s="604">
        <f t="shared" si="201"/>
        <v>0</v>
      </c>
      <c r="T646" s="604">
        <f t="shared" si="202"/>
        <v>0</v>
      </c>
      <c r="U646" s="604">
        <f t="shared" si="203"/>
        <v>0</v>
      </c>
      <c r="V646" s="604">
        <f t="shared" si="204"/>
        <v>0</v>
      </c>
      <c r="W646" s="604">
        <f t="shared" si="205"/>
        <v>0</v>
      </c>
      <c r="X646" s="746">
        <v>0</v>
      </c>
      <c r="Y646" s="746">
        <f t="shared" si="206"/>
        <v>0</v>
      </c>
    </row>
    <row r="647" spans="2:25">
      <c r="B647" s="598" t="s">
        <v>2595</v>
      </c>
      <c r="C647" s="604" t="s">
        <v>1107</v>
      </c>
      <c r="D647" s="745">
        <v>2018</v>
      </c>
      <c r="E647" s="604" t="s">
        <v>1592</v>
      </c>
      <c r="F647" s="738">
        <v>0.4</v>
      </c>
      <c r="G647" s="739">
        <v>9894</v>
      </c>
      <c r="H647" s="741">
        <v>9894</v>
      </c>
      <c r="I647" s="742">
        <f t="shared" si="208"/>
        <v>0</v>
      </c>
      <c r="J647" s="740">
        <f t="shared" si="209"/>
        <v>0</v>
      </c>
      <c r="K647" s="739">
        <f t="shared" si="210"/>
        <v>9894</v>
      </c>
      <c r="L647" s="860">
        <f t="shared" si="211"/>
        <v>0</v>
      </c>
      <c r="M647" s="740">
        <f t="shared" si="207"/>
        <v>0</v>
      </c>
      <c r="N647" s="604">
        <f t="shared" si="196"/>
        <v>0</v>
      </c>
      <c r="O647" s="604">
        <f t="shared" si="197"/>
        <v>0</v>
      </c>
      <c r="P647" s="604">
        <f t="shared" si="198"/>
        <v>0</v>
      </c>
      <c r="Q647" s="604">
        <f t="shared" si="199"/>
        <v>0</v>
      </c>
      <c r="R647" s="604">
        <f t="shared" si="200"/>
        <v>0</v>
      </c>
      <c r="S647" s="604">
        <f t="shared" si="201"/>
        <v>0</v>
      </c>
      <c r="T647" s="604">
        <f t="shared" si="202"/>
        <v>0</v>
      </c>
      <c r="U647" s="604">
        <f t="shared" si="203"/>
        <v>0</v>
      </c>
      <c r="V647" s="604">
        <f t="shared" si="204"/>
        <v>0</v>
      </c>
      <c r="W647" s="604">
        <f t="shared" si="205"/>
        <v>0</v>
      </c>
      <c r="X647" s="746">
        <v>0</v>
      </c>
      <c r="Y647" s="746">
        <f t="shared" si="206"/>
        <v>0</v>
      </c>
    </row>
    <row r="648" spans="2:25">
      <c r="B648" s="598" t="s">
        <v>2595</v>
      </c>
      <c r="C648" s="604" t="s">
        <v>1107</v>
      </c>
      <c r="D648" s="745">
        <v>2018</v>
      </c>
      <c r="E648" s="604" t="s">
        <v>1593</v>
      </c>
      <c r="F648" s="738">
        <v>0.4</v>
      </c>
      <c r="G648" s="739">
        <v>2500</v>
      </c>
      <c r="H648" s="741">
        <v>2500</v>
      </c>
      <c r="I648" s="742">
        <f t="shared" si="208"/>
        <v>0</v>
      </c>
      <c r="J648" s="740">
        <f t="shared" si="209"/>
        <v>0</v>
      </c>
      <c r="K648" s="739">
        <f t="shared" si="210"/>
        <v>2500</v>
      </c>
      <c r="L648" s="860">
        <f t="shared" si="211"/>
        <v>0</v>
      </c>
      <c r="M648" s="740">
        <f t="shared" si="207"/>
        <v>0</v>
      </c>
      <c r="N648" s="604">
        <f t="shared" ref="N648:N712" si="212">+IF(L648-M648&gt;0,G648*F648,0)</f>
        <v>0</v>
      </c>
      <c r="O648" s="604">
        <f t="shared" ref="O648:O712" si="213">+IF(L648-SUM(M648:N648)&gt;0,G648*F648,0)</f>
        <v>0</v>
      </c>
      <c r="P648" s="604">
        <f t="shared" ref="P648:P712" si="214">+IF(L648-SUM(M648:O648)&gt;0,G648*F648,0)</f>
        <v>0</v>
      </c>
      <c r="Q648" s="604">
        <f t="shared" ref="Q648:Q712" si="215">+IF(L648-SUM(M648:P648)&gt;0,G648*F648,0)</f>
        <v>0</v>
      </c>
      <c r="R648" s="604">
        <f t="shared" ref="R648:R712" si="216">+IF(L648-SUM(M648:Q648)&gt;0,G648*F648,0)</f>
        <v>0</v>
      </c>
      <c r="S648" s="604">
        <f t="shared" ref="S648:S712" si="217">+IF(L648-SUM(M648:R648)&gt;0,G648*F648,0)</f>
        <v>0</v>
      </c>
      <c r="T648" s="604">
        <f t="shared" ref="T648:T712" si="218">+IF(L648-SUM(M648:S648)&gt;0,G648*F648,0)</f>
        <v>0</v>
      </c>
      <c r="U648" s="604">
        <f t="shared" ref="U648:U712" si="219">+IF(L648-SUM(M648:T648)&gt;0,G648*F648,0)</f>
        <v>0</v>
      </c>
      <c r="V648" s="604">
        <f t="shared" ref="V648:V712" si="220">+IF(L648-SUM(M648:U648)&gt;0,G648*F648,0)</f>
        <v>0</v>
      </c>
      <c r="W648" s="604">
        <f t="shared" ref="W648:W712" si="221">+IF(L648-SUM(M648:V648)&gt;0,G648*F648,0)</f>
        <v>0</v>
      </c>
      <c r="X648" s="746">
        <v>0</v>
      </c>
      <c r="Y648" s="746">
        <f t="shared" ref="Y648:Y712" si="222">+SUM(M648:W648)-L648</f>
        <v>0</v>
      </c>
    </row>
    <row r="649" spans="2:25">
      <c r="B649" s="598" t="s">
        <v>2595</v>
      </c>
      <c r="C649" s="604" t="s">
        <v>1107</v>
      </c>
      <c r="D649" s="745">
        <v>2018</v>
      </c>
      <c r="E649" s="604" t="s">
        <v>1594</v>
      </c>
      <c r="F649" s="738">
        <v>0.4</v>
      </c>
      <c r="G649" s="739">
        <v>2500</v>
      </c>
      <c r="H649" s="741">
        <v>2500</v>
      </c>
      <c r="I649" s="742">
        <f t="shared" si="208"/>
        <v>0</v>
      </c>
      <c r="J649" s="740">
        <f t="shared" si="209"/>
        <v>0</v>
      </c>
      <c r="K649" s="739">
        <f t="shared" si="210"/>
        <v>2500</v>
      </c>
      <c r="L649" s="860">
        <f t="shared" si="211"/>
        <v>0</v>
      </c>
      <c r="M649" s="740">
        <f t="shared" si="207"/>
        <v>0</v>
      </c>
      <c r="N649" s="604">
        <f t="shared" si="212"/>
        <v>0</v>
      </c>
      <c r="O649" s="604">
        <f t="shared" si="213"/>
        <v>0</v>
      </c>
      <c r="P649" s="604">
        <f t="shared" si="214"/>
        <v>0</v>
      </c>
      <c r="Q649" s="604">
        <f t="shared" si="215"/>
        <v>0</v>
      </c>
      <c r="R649" s="604">
        <f t="shared" si="216"/>
        <v>0</v>
      </c>
      <c r="S649" s="604">
        <f t="shared" si="217"/>
        <v>0</v>
      </c>
      <c r="T649" s="604">
        <f t="shared" si="218"/>
        <v>0</v>
      </c>
      <c r="U649" s="604">
        <f t="shared" si="219"/>
        <v>0</v>
      </c>
      <c r="V649" s="604">
        <f t="shared" si="220"/>
        <v>0</v>
      </c>
      <c r="W649" s="604">
        <f t="shared" si="221"/>
        <v>0</v>
      </c>
      <c r="X649" s="746">
        <v>0</v>
      </c>
      <c r="Y649" s="746">
        <f t="shared" si="222"/>
        <v>0</v>
      </c>
    </row>
    <row r="650" spans="2:25">
      <c r="B650" s="598" t="s">
        <v>2595</v>
      </c>
      <c r="C650" s="604" t="s">
        <v>1107</v>
      </c>
      <c r="D650" s="745">
        <v>2018</v>
      </c>
      <c r="E650" s="604" t="s">
        <v>1595</v>
      </c>
      <c r="F650" s="738">
        <v>0.4</v>
      </c>
      <c r="G650" s="739">
        <v>2000</v>
      </c>
      <c r="H650" s="741">
        <v>2000</v>
      </c>
      <c r="I650" s="742">
        <f t="shared" si="208"/>
        <v>0</v>
      </c>
      <c r="J650" s="740">
        <f t="shared" si="209"/>
        <v>0</v>
      </c>
      <c r="K650" s="739">
        <f t="shared" si="210"/>
        <v>2000</v>
      </c>
      <c r="L650" s="860">
        <f t="shared" si="211"/>
        <v>0</v>
      </c>
      <c r="M650" s="740">
        <f t="shared" si="207"/>
        <v>0</v>
      </c>
      <c r="N650" s="604">
        <f t="shared" si="212"/>
        <v>0</v>
      </c>
      <c r="O650" s="604">
        <f t="shared" si="213"/>
        <v>0</v>
      </c>
      <c r="P650" s="604">
        <f t="shared" si="214"/>
        <v>0</v>
      </c>
      <c r="Q650" s="604">
        <f t="shared" si="215"/>
        <v>0</v>
      </c>
      <c r="R650" s="604">
        <f t="shared" si="216"/>
        <v>0</v>
      </c>
      <c r="S650" s="604">
        <f t="shared" si="217"/>
        <v>0</v>
      </c>
      <c r="T650" s="604">
        <f t="shared" si="218"/>
        <v>0</v>
      </c>
      <c r="U650" s="604">
        <f t="shared" si="219"/>
        <v>0</v>
      </c>
      <c r="V650" s="604">
        <f t="shared" si="220"/>
        <v>0</v>
      </c>
      <c r="W650" s="604">
        <f t="shared" si="221"/>
        <v>0</v>
      </c>
      <c r="X650" s="746">
        <v>0</v>
      </c>
      <c r="Y650" s="746">
        <f t="shared" si="222"/>
        <v>0</v>
      </c>
    </row>
    <row r="651" spans="2:25">
      <c r="B651" s="598" t="s">
        <v>2595</v>
      </c>
      <c r="C651" s="604" t="s">
        <v>1107</v>
      </c>
      <c r="D651" s="745">
        <v>2018</v>
      </c>
      <c r="E651" s="604" t="s">
        <v>1595</v>
      </c>
      <c r="F651" s="738">
        <v>0.4</v>
      </c>
      <c r="G651" s="739">
        <v>2000</v>
      </c>
      <c r="H651" s="741">
        <v>2000</v>
      </c>
      <c r="I651" s="742">
        <f t="shared" si="208"/>
        <v>0</v>
      </c>
      <c r="J651" s="740">
        <f t="shared" si="209"/>
        <v>0</v>
      </c>
      <c r="K651" s="739">
        <f t="shared" si="210"/>
        <v>2000</v>
      </c>
      <c r="L651" s="860">
        <f t="shared" si="211"/>
        <v>0</v>
      </c>
      <c r="M651" s="740">
        <f t="shared" ref="M651:M715" si="223">+IF(L651=0,0,G651*F651)</f>
        <v>0</v>
      </c>
      <c r="N651" s="604">
        <f t="shared" si="212"/>
        <v>0</v>
      </c>
      <c r="O651" s="604">
        <f t="shared" si="213"/>
        <v>0</v>
      </c>
      <c r="P651" s="604">
        <f t="shared" si="214"/>
        <v>0</v>
      </c>
      <c r="Q651" s="604">
        <f t="shared" si="215"/>
        <v>0</v>
      </c>
      <c r="R651" s="604">
        <f t="shared" si="216"/>
        <v>0</v>
      </c>
      <c r="S651" s="604">
        <f t="shared" si="217"/>
        <v>0</v>
      </c>
      <c r="T651" s="604">
        <f t="shared" si="218"/>
        <v>0</v>
      </c>
      <c r="U651" s="604">
        <f t="shared" si="219"/>
        <v>0</v>
      </c>
      <c r="V651" s="604">
        <f t="shared" si="220"/>
        <v>0</v>
      </c>
      <c r="W651" s="604">
        <f t="shared" si="221"/>
        <v>0</v>
      </c>
      <c r="X651" s="746">
        <v>0</v>
      </c>
      <c r="Y651" s="746">
        <f t="shared" si="222"/>
        <v>0</v>
      </c>
    </row>
    <row r="652" spans="2:25">
      <c r="B652" s="598" t="s">
        <v>2595</v>
      </c>
      <c r="C652" s="604" t="s">
        <v>1107</v>
      </c>
      <c r="D652" s="745">
        <v>2019</v>
      </c>
      <c r="E652" s="604" t="s">
        <v>1596</v>
      </c>
      <c r="F652" s="738">
        <v>0.4</v>
      </c>
      <c r="G652" s="739">
        <v>2411.7199999999998</v>
      </c>
      <c r="H652" s="741">
        <v>2411.7199999999998</v>
      </c>
      <c r="I652" s="742">
        <f t="shared" si="208"/>
        <v>0</v>
      </c>
      <c r="J652" s="740">
        <f t="shared" si="209"/>
        <v>0</v>
      </c>
      <c r="K652" s="739">
        <f t="shared" si="210"/>
        <v>2411.7199999999998</v>
      </c>
      <c r="L652" s="860">
        <f t="shared" si="211"/>
        <v>0</v>
      </c>
      <c r="M652" s="740">
        <f t="shared" si="223"/>
        <v>0</v>
      </c>
      <c r="N652" s="604">
        <f t="shared" si="212"/>
        <v>0</v>
      </c>
      <c r="O652" s="604">
        <f t="shared" si="213"/>
        <v>0</v>
      </c>
      <c r="P652" s="604">
        <f t="shared" si="214"/>
        <v>0</v>
      </c>
      <c r="Q652" s="604">
        <f t="shared" si="215"/>
        <v>0</v>
      </c>
      <c r="R652" s="604">
        <f t="shared" si="216"/>
        <v>0</v>
      </c>
      <c r="S652" s="604">
        <f t="shared" si="217"/>
        <v>0</v>
      </c>
      <c r="T652" s="604">
        <f t="shared" si="218"/>
        <v>0</v>
      </c>
      <c r="U652" s="604">
        <f t="shared" si="219"/>
        <v>0</v>
      </c>
      <c r="V652" s="604">
        <f t="shared" si="220"/>
        <v>0</v>
      </c>
      <c r="W652" s="604">
        <f t="shared" si="221"/>
        <v>0</v>
      </c>
      <c r="X652" s="746">
        <v>0</v>
      </c>
      <c r="Y652" s="746">
        <f t="shared" si="222"/>
        <v>0</v>
      </c>
    </row>
    <row r="653" spans="2:25">
      <c r="B653" s="598" t="s">
        <v>2595</v>
      </c>
      <c r="C653" s="604" t="s">
        <v>1107</v>
      </c>
      <c r="D653" s="745">
        <v>2019</v>
      </c>
      <c r="E653" s="604" t="s">
        <v>1597</v>
      </c>
      <c r="F653" s="738">
        <v>0.4</v>
      </c>
      <c r="G653" s="739">
        <v>2924.1</v>
      </c>
      <c r="H653" s="741">
        <v>2924.1</v>
      </c>
      <c r="I653" s="742">
        <f t="shared" si="208"/>
        <v>0</v>
      </c>
      <c r="J653" s="740">
        <f t="shared" si="209"/>
        <v>0</v>
      </c>
      <c r="K653" s="739">
        <f t="shared" si="210"/>
        <v>2924.1</v>
      </c>
      <c r="L653" s="860">
        <f t="shared" si="211"/>
        <v>0</v>
      </c>
      <c r="M653" s="740">
        <f t="shared" si="223"/>
        <v>0</v>
      </c>
      <c r="N653" s="604">
        <f t="shared" si="212"/>
        <v>0</v>
      </c>
      <c r="O653" s="604">
        <f t="shared" si="213"/>
        <v>0</v>
      </c>
      <c r="P653" s="604">
        <f t="shared" si="214"/>
        <v>0</v>
      </c>
      <c r="Q653" s="604">
        <f t="shared" si="215"/>
        <v>0</v>
      </c>
      <c r="R653" s="604">
        <f t="shared" si="216"/>
        <v>0</v>
      </c>
      <c r="S653" s="604">
        <f t="shared" si="217"/>
        <v>0</v>
      </c>
      <c r="T653" s="604">
        <f t="shared" si="218"/>
        <v>0</v>
      </c>
      <c r="U653" s="604">
        <f t="shared" si="219"/>
        <v>0</v>
      </c>
      <c r="V653" s="604">
        <f t="shared" si="220"/>
        <v>0</v>
      </c>
      <c r="W653" s="604">
        <f t="shared" si="221"/>
        <v>0</v>
      </c>
      <c r="X653" s="746">
        <v>0</v>
      </c>
      <c r="Y653" s="746">
        <f t="shared" si="222"/>
        <v>0</v>
      </c>
    </row>
    <row r="654" spans="2:25">
      <c r="B654" s="598" t="s">
        <v>2595</v>
      </c>
      <c r="C654" s="604" t="s">
        <v>1107</v>
      </c>
      <c r="D654" s="745">
        <v>2019</v>
      </c>
      <c r="E654" s="604" t="s">
        <v>1598</v>
      </c>
      <c r="F654" s="738">
        <v>0.4</v>
      </c>
      <c r="G654" s="739">
        <v>1550</v>
      </c>
      <c r="H654" s="741">
        <v>1550</v>
      </c>
      <c r="I654" s="742">
        <f t="shared" si="208"/>
        <v>0</v>
      </c>
      <c r="J654" s="740">
        <f t="shared" si="209"/>
        <v>0</v>
      </c>
      <c r="K654" s="739">
        <f t="shared" si="210"/>
        <v>1550</v>
      </c>
      <c r="L654" s="860">
        <f t="shared" si="211"/>
        <v>0</v>
      </c>
      <c r="M654" s="740">
        <f t="shared" si="223"/>
        <v>0</v>
      </c>
      <c r="N654" s="604">
        <f t="shared" si="212"/>
        <v>0</v>
      </c>
      <c r="O654" s="604">
        <f t="shared" si="213"/>
        <v>0</v>
      </c>
      <c r="P654" s="604">
        <f t="shared" si="214"/>
        <v>0</v>
      </c>
      <c r="Q654" s="604">
        <f t="shared" si="215"/>
        <v>0</v>
      </c>
      <c r="R654" s="604">
        <f t="shared" si="216"/>
        <v>0</v>
      </c>
      <c r="S654" s="604">
        <f t="shared" si="217"/>
        <v>0</v>
      </c>
      <c r="T654" s="604">
        <f t="shared" si="218"/>
        <v>0</v>
      </c>
      <c r="U654" s="604">
        <f t="shared" si="219"/>
        <v>0</v>
      </c>
      <c r="V654" s="604">
        <f t="shared" si="220"/>
        <v>0</v>
      </c>
      <c r="W654" s="604">
        <f t="shared" si="221"/>
        <v>0</v>
      </c>
      <c r="X654" s="746">
        <v>0</v>
      </c>
      <c r="Y654" s="746">
        <f t="shared" si="222"/>
        <v>0</v>
      </c>
    </row>
    <row r="655" spans="2:25">
      <c r="B655" s="598" t="s">
        <v>2595</v>
      </c>
      <c r="C655" s="604" t="s">
        <v>1107</v>
      </c>
      <c r="D655" s="745">
        <v>2020</v>
      </c>
      <c r="E655" s="604" t="s">
        <v>1599</v>
      </c>
      <c r="F655" s="738">
        <v>0.4</v>
      </c>
      <c r="G655" s="739">
        <v>5000</v>
      </c>
      <c r="H655" s="741">
        <v>3000</v>
      </c>
      <c r="I655" s="742">
        <f t="shared" si="208"/>
        <v>2000</v>
      </c>
      <c r="J655" s="740">
        <f t="shared" si="209"/>
        <v>2000</v>
      </c>
      <c r="K655" s="739">
        <f t="shared" si="210"/>
        <v>5000</v>
      </c>
      <c r="L655" s="860">
        <f t="shared" si="211"/>
        <v>0</v>
      </c>
      <c r="M655" s="740">
        <f t="shared" si="223"/>
        <v>0</v>
      </c>
      <c r="N655" s="604">
        <f t="shared" si="212"/>
        <v>0</v>
      </c>
      <c r="O655" s="604">
        <f t="shared" si="213"/>
        <v>0</v>
      </c>
      <c r="P655" s="604">
        <f t="shared" si="214"/>
        <v>0</v>
      </c>
      <c r="Q655" s="604">
        <f t="shared" si="215"/>
        <v>0</v>
      </c>
      <c r="R655" s="604">
        <f t="shared" si="216"/>
        <v>0</v>
      </c>
      <c r="S655" s="604">
        <f t="shared" si="217"/>
        <v>0</v>
      </c>
      <c r="T655" s="604">
        <f t="shared" si="218"/>
        <v>0</v>
      </c>
      <c r="U655" s="604">
        <f t="shared" si="219"/>
        <v>0</v>
      </c>
      <c r="V655" s="604">
        <f t="shared" si="220"/>
        <v>0</v>
      </c>
      <c r="W655" s="604">
        <f t="shared" si="221"/>
        <v>0</v>
      </c>
      <c r="X655" s="746">
        <v>0</v>
      </c>
      <c r="Y655" s="746">
        <f t="shared" si="222"/>
        <v>0</v>
      </c>
    </row>
    <row r="656" spans="2:25">
      <c r="B656" s="598" t="s">
        <v>2595</v>
      </c>
      <c r="C656" s="604" t="s">
        <v>1107</v>
      </c>
      <c r="D656" s="745">
        <v>2020</v>
      </c>
      <c r="E656" s="604" t="s">
        <v>1600</v>
      </c>
      <c r="F656" s="738">
        <v>0.4</v>
      </c>
      <c r="G656" s="739">
        <v>1400</v>
      </c>
      <c r="H656" s="741">
        <v>840</v>
      </c>
      <c r="I656" s="742">
        <f t="shared" si="208"/>
        <v>560</v>
      </c>
      <c r="J656" s="740">
        <f t="shared" si="209"/>
        <v>560</v>
      </c>
      <c r="K656" s="739">
        <f t="shared" si="210"/>
        <v>1400</v>
      </c>
      <c r="L656" s="860">
        <f t="shared" si="211"/>
        <v>0</v>
      </c>
      <c r="M656" s="740">
        <f t="shared" si="223"/>
        <v>0</v>
      </c>
      <c r="N656" s="604">
        <f t="shared" si="212"/>
        <v>0</v>
      </c>
      <c r="O656" s="604">
        <f t="shared" si="213"/>
        <v>0</v>
      </c>
      <c r="P656" s="604">
        <f t="shared" si="214"/>
        <v>0</v>
      </c>
      <c r="Q656" s="604">
        <f t="shared" si="215"/>
        <v>0</v>
      </c>
      <c r="R656" s="604">
        <f t="shared" si="216"/>
        <v>0</v>
      </c>
      <c r="S656" s="604">
        <f t="shared" si="217"/>
        <v>0</v>
      </c>
      <c r="T656" s="604">
        <f t="shared" si="218"/>
        <v>0</v>
      </c>
      <c r="U656" s="604">
        <f t="shared" si="219"/>
        <v>0</v>
      </c>
      <c r="V656" s="604">
        <f t="shared" si="220"/>
        <v>0</v>
      </c>
      <c r="W656" s="604">
        <f t="shared" si="221"/>
        <v>0</v>
      </c>
      <c r="X656" s="746">
        <v>0</v>
      </c>
      <c r="Y656" s="746">
        <f t="shared" si="222"/>
        <v>0</v>
      </c>
    </row>
    <row r="657" spans="2:25">
      <c r="B657" s="598" t="s">
        <v>2595</v>
      </c>
      <c r="C657" s="604" t="s">
        <v>1107</v>
      </c>
      <c r="D657" s="745">
        <v>2020</v>
      </c>
      <c r="E657" s="604" t="s">
        <v>1601</v>
      </c>
      <c r="F657" s="738">
        <v>0.4</v>
      </c>
      <c r="G657" s="739">
        <v>4750</v>
      </c>
      <c r="H657" s="741">
        <v>2850</v>
      </c>
      <c r="I657" s="742">
        <f t="shared" si="208"/>
        <v>1900</v>
      </c>
      <c r="J657" s="740">
        <f t="shared" si="209"/>
        <v>1900</v>
      </c>
      <c r="K657" s="739">
        <f t="shared" si="210"/>
        <v>4750</v>
      </c>
      <c r="L657" s="860">
        <f t="shared" si="211"/>
        <v>0</v>
      </c>
      <c r="M657" s="740">
        <f t="shared" si="223"/>
        <v>0</v>
      </c>
      <c r="N657" s="604">
        <f t="shared" si="212"/>
        <v>0</v>
      </c>
      <c r="O657" s="604">
        <f t="shared" si="213"/>
        <v>0</v>
      </c>
      <c r="P657" s="604">
        <f t="shared" si="214"/>
        <v>0</v>
      </c>
      <c r="Q657" s="604">
        <f t="shared" si="215"/>
        <v>0</v>
      </c>
      <c r="R657" s="604">
        <f t="shared" si="216"/>
        <v>0</v>
      </c>
      <c r="S657" s="604">
        <f t="shared" si="217"/>
        <v>0</v>
      </c>
      <c r="T657" s="604">
        <f t="shared" si="218"/>
        <v>0</v>
      </c>
      <c r="U657" s="604">
        <f t="shared" si="219"/>
        <v>0</v>
      </c>
      <c r="V657" s="604">
        <f t="shared" si="220"/>
        <v>0</v>
      </c>
      <c r="W657" s="604">
        <f t="shared" si="221"/>
        <v>0</v>
      </c>
      <c r="X657" s="746">
        <v>0</v>
      </c>
      <c r="Y657" s="746">
        <f t="shared" si="222"/>
        <v>0</v>
      </c>
    </row>
    <row r="658" spans="2:25">
      <c r="B658" s="598" t="s">
        <v>2595</v>
      </c>
      <c r="C658" s="604" t="s">
        <v>1107</v>
      </c>
      <c r="D658" s="745">
        <v>2020</v>
      </c>
      <c r="E658" s="604" t="s">
        <v>1602</v>
      </c>
      <c r="F658" s="738">
        <v>0.4</v>
      </c>
      <c r="G658" s="739">
        <v>13700</v>
      </c>
      <c r="H658" s="741">
        <v>8220</v>
      </c>
      <c r="I658" s="742">
        <f t="shared" si="208"/>
        <v>5480</v>
      </c>
      <c r="J658" s="740">
        <f t="shared" si="209"/>
        <v>5480</v>
      </c>
      <c r="K658" s="739">
        <f t="shared" si="210"/>
        <v>13700</v>
      </c>
      <c r="L658" s="860">
        <f t="shared" si="211"/>
        <v>0</v>
      </c>
      <c r="M658" s="740">
        <f t="shared" si="223"/>
        <v>0</v>
      </c>
      <c r="N658" s="604">
        <f t="shared" si="212"/>
        <v>0</v>
      </c>
      <c r="O658" s="604">
        <f t="shared" si="213"/>
        <v>0</v>
      </c>
      <c r="P658" s="604">
        <f t="shared" si="214"/>
        <v>0</v>
      </c>
      <c r="Q658" s="604">
        <f t="shared" si="215"/>
        <v>0</v>
      </c>
      <c r="R658" s="604">
        <f t="shared" si="216"/>
        <v>0</v>
      </c>
      <c r="S658" s="604">
        <f t="shared" si="217"/>
        <v>0</v>
      </c>
      <c r="T658" s="604">
        <f t="shared" si="218"/>
        <v>0</v>
      </c>
      <c r="U658" s="604">
        <f t="shared" si="219"/>
        <v>0</v>
      </c>
      <c r="V658" s="604">
        <f t="shared" si="220"/>
        <v>0</v>
      </c>
      <c r="W658" s="604">
        <f t="shared" si="221"/>
        <v>0</v>
      </c>
      <c r="X658" s="746">
        <v>0</v>
      </c>
      <c r="Y658" s="746">
        <f t="shared" si="222"/>
        <v>0</v>
      </c>
    </row>
    <row r="659" spans="2:25">
      <c r="B659" s="598" t="s">
        <v>2595</v>
      </c>
      <c r="C659" s="604" t="s">
        <v>1107</v>
      </c>
      <c r="D659" s="745">
        <v>2020</v>
      </c>
      <c r="E659" s="604" t="s">
        <v>1603</v>
      </c>
      <c r="F659" s="738">
        <v>0.4</v>
      </c>
      <c r="G659" s="739">
        <v>2000</v>
      </c>
      <c r="H659" s="741">
        <v>1200</v>
      </c>
      <c r="I659" s="742">
        <f t="shared" si="208"/>
        <v>800</v>
      </c>
      <c r="J659" s="740">
        <f t="shared" si="209"/>
        <v>800</v>
      </c>
      <c r="K659" s="739">
        <f t="shared" si="210"/>
        <v>2000</v>
      </c>
      <c r="L659" s="860">
        <f t="shared" si="211"/>
        <v>0</v>
      </c>
      <c r="M659" s="740">
        <f t="shared" si="223"/>
        <v>0</v>
      </c>
      <c r="N659" s="604">
        <f t="shared" si="212"/>
        <v>0</v>
      </c>
      <c r="O659" s="604">
        <f t="shared" si="213"/>
        <v>0</v>
      </c>
      <c r="P659" s="604">
        <f t="shared" si="214"/>
        <v>0</v>
      </c>
      <c r="Q659" s="604">
        <f t="shared" si="215"/>
        <v>0</v>
      </c>
      <c r="R659" s="604">
        <f t="shared" si="216"/>
        <v>0</v>
      </c>
      <c r="S659" s="604">
        <f t="shared" si="217"/>
        <v>0</v>
      </c>
      <c r="T659" s="604">
        <f t="shared" si="218"/>
        <v>0</v>
      </c>
      <c r="U659" s="604">
        <f t="shared" si="219"/>
        <v>0</v>
      </c>
      <c r="V659" s="604">
        <f t="shared" si="220"/>
        <v>0</v>
      </c>
      <c r="W659" s="604">
        <f t="shared" si="221"/>
        <v>0</v>
      </c>
      <c r="X659" s="746">
        <v>0</v>
      </c>
      <c r="Y659" s="746">
        <f t="shared" si="222"/>
        <v>0</v>
      </c>
    </row>
    <row r="660" spans="2:25">
      <c r="B660" s="598" t="s">
        <v>2595</v>
      </c>
      <c r="C660" s="604" t="s">
        <v>1107</v>
      </c>
      <c r="D660" s="745">
        <v>2020</v>
      </c>
      <c r="E660" s="604" t="s">
        <v>1604</v>
      </c>
      <c r="F660" s="738">
        <v>0.4</v>
      </c>
      <c r="G660" s="739">
        <v>2000</v>
      </c>
      <c r="H660" s="741">
        <v>1200</v>
      </c>
      <c r="I660" s="742">
        <f t="shared" si="208"/>
        <v>800</v>
      </c>
      <c r="J660" s="740">
        <f t="shared" si="209"/>
        <v>800</v>
      </c>
      <c r="K660" s="739">
        <f t="shared" si="210"/>
        <v>2000</v>
      </c>
      <c r="L660" s="860">
        <f t="shared" si="211"/>
        <v>0</v>
      </c>
      <c r="M660" s="740">
        <f t="shared" si="223"/>
        <v>0</v>
      </c>
      <c r="N660" s="604">
        <f t="shared" si="212"/>
        <v>0</v>
      </c>
      <c r="O660" s="604">
        <f t="shared" si="213"/>
        <v>0</v>
      </c>
      <c r="P660" s="604">
        <f t="shared" si="214"/>
        <v>0</v>
      </c>
      <c r="Q660" s="604">
        <f t="shared" si="215"/>
        <v>0</v>
      </c>
      <c r="R660" s="604">
        <f t="shared" si="216"/>
        <v>0</v>
      </c>
      <c r="S660" s="604">
        <f t="shared" si="217"/>
        <v>0</v>
      </c>
      <c r="T660" s="604">
        <f t="shared" si="218"/>
        <v>0</v>
      </c>
      <c r="U660" s="604">
        <f t="shared" si="219"/>
        <v>0</v>
      </c>
      <c r="V660" s="604">
        <f t="shared" si="220"/>
        <v>0</v>
      </c>
      <c r="W660" s="604">
        <f t="shared" si="221"/>
        <v>0</v>
      </c>
      <c r="X660" s="746">
        <v>0</v>
      </c>
      <c r="Y660" s="746">
        <f t="shared" si="222"/>
        <v>0</v>
      </c>
    </row>
    <row r="661" spans="2:25">
      <c r="B661" s="598" t="s">
        <v>2595</v>
      </c>
      <c r="C661" s="604" t="s">
        <v>1107</v>
      </c>
      <c r="D661" s="745">
        <v>2020</v>
      </c>
      <c r="E661" s="604" t="s">
        <v>1605</v>
      </c>
      <c r="F661" s="738">
        <v>0.4</v>
      </c>
      <c r="G661" s="739">
        <v>1000</v>
      </c>
      <c r="H661" s="741">
        <v>600</v>
      </c>
      <c r="I661" s="742">
        <f t="shared" si="208"/>
        <v>400</v>
      </c>
      <c r="J661" s="740">
        <f t="shared" si="209"/>
        <v>400</v>
      </c>
      <c r="K661" s="739">
        <f t="shared" si="210"/>
        <v>1000</v>
      </c>
      <c r="L661" s="860">
        <f t="shared" si="211"/>
        <v>0</v>
      </c>
      <c r="M661" s="740">
        <f t="shared" si="223"/>
        <v>0</v>
      </c>
      <c r="N661" s="604">
        <f t="shared" si="212"/>
        <v>0</v>
      </c>
      <c r="O661" s="604">
        <f t="shared" si="213"/>
        <v>0</v>
      </c>
      <c r="P661" s="604">
        <f t="shared" si="214"/>
        <v>0</v>
      </c>
      <c r="Q661" s="604">
        <f t="shared" si="215"/>
        <v>0</v>
      </c>
      <c r="R661" s="604">
        <f t="shared" si="216"/>
        <v>0</v>
      </c>
      <c r="S661" s="604">
        <f t="shared" si="217"/>
        <v>0</v>
      </c>
      <c r="T661" s="604">
        <f t="shared" si="218"/>
        <v>0</v>
      </c>
      <c r="U661" s="604">
        <f t="shared" si="219"/>
        <v>0</v>
      </c>
      <c r="V661" s="604">
        <f t="shared" si="220"/>
        <v>0</v>
      </c>
      <c r="W661" s="604">
        <f t="shared" si="221"/>
        <v>0</v>
      </c>
      <c r="X661" s="746">
        <v>0</v>
      </c>
      <c r="Y661" s="746">
        <f t="shared" si="222"/>
        <v>0</v>
      </c>
    </row>
    <row r="662" spans="2:25">
      <c r="B662" s="598" t="s">
        <v>2595</v>
      </c>
      <c r="C662" s="604" t="s">
        <v>1107</v>
      </c>
      <c r="D662" s="745">
        <v>2020</v>
      </c>
      <c r="E662" s="604" t="s">
        <v>1606</v>
      </c>
      <c r="F662" s="738">
        <v>0.4</v>
      </c>
      <c r="G662" s="739">
        <v>4600</v>
      </c>
      <c r="H662" s="741">
        <v>2760</v>
      </c>
      <c r="I662" s="742">
        <f t="shared" si="208"/>
        <v>1840</v>
      </c>
      <c r="J662" s="740">
        <f t="shared" si="209"/>
        <v>1840</v>
      </c>
      <c r="K662" s="739">
        <f t="shared" si="210"/>
        <v>4600</v>
      </c>
      <c r="L662" s="860">
        <f t="shared" si="211"/>
        <v>0</v>
      </c>
      <c r="M662" s="740">
        <f t="shared" si="223"/>
        <v>0</v>
      </c>
      <c r="N662" s="604">
        <f t="shared" si="212"/>
        <v>0</v>
      </c>
      <c r="O662" s="604">
        <f t="shared" si="213"/>
        <v>0</v>
      </c>
      <c r="P662" s="604">
        <f t="shared" si="214"/>
        <v>0</v>
      </c>
      <c r="Q662" s="604">
        <f t="shared" si="215"/>
        <v>0</v>
      </c>
      <c r="R662" s="604">
        <f t="shared" si="216"/>
        <v>0</v>
      </c>
      <c r="S662" s="604">
        <f t="shared" si="217"/>
        <v>0</v>
      </c>
      <c r="T662" s="604">
        <f t="shared" si="218"/>
        <v>0</v>
      </c>
      <c r="U662" s="604">
        <f t="shared" si="219"/>
        <v>0</v>
      </c>
      <c r="V662" s="604">
        <f t="shared" si="220"/>
        <v>0</v>
      </c>
      <c r="W662" s="604">
        <f t="shared" si="221"/>
        <v>0</v>
      </c>
      <c r="X662" s="746">
        <v>0</v>
      </c>
      <c r="Y662" s="746">
        <f t="shared" si="222"/>
        <v>0</v>
      </c>
    </row>
    <row r="663" spans="2:25">
      <c r="B663" s="598" t="s">
        <v>2595</v>
      </c>
      <c r="C663" s="604" t="s">
        <v>1107</v>
      </c>
      <c r="D663" s="745">
        <v>2020</v>
      </c>
      <c r="E663" s="604" t="s">
        <v>1607</v>
      </c>
      <c r="F663" s="738">
        <v>0.4</v>
      </c>
      <c r="G663" s="739">
        <v>2200</v>
      </c>
      <c r="H663" s="741">
        <v>1320</v>
      </c>
      <c r="I663" s="742">
        <f t="shared" si="208"/>
        <v>880</v>
      </c>
      <c r="J663" s="740">
        <f t="shared" si="209"/>
        <v>880</v>
      </c>
      <c r="K663" s="739">
        <f t="shared" si="210"/>
        <v>2200</v>
      </c>
      <c r="L663" s="860">
        <f t="shared" si="211"/>
        <v>0</v>
      </c>
      <c r="M663" s="740">
        <f t="shared" si="223"/>
        <v>0</v>
      </c>
      <c r="N663" s="604">
        <f t="shared" si="212"/>
        <v>0</v>
      </c>
      <c r="O663" s="604">
        <f t="shared" si="213"/>
        <v>0</v>
      </c>
      <c r="P663" s="604">
        <f t="shared" si="214"/>
        <v>0</v>
      </c>
      <c r="Q663" s="604">
        <f t="shared" si="215"/>
        <v>0</v>
      </c>
      <c r="R663" s="604">
        <f t="shared" si="216"/>
        <v>0</v>
      </c>
      <c r="S663" s="604">
        <f t="shared" si="217"/>
        <v>0</v>
      </c>
      <c r="T663" s="604">
        <f t="shared" si="218"/>
        <v>0</v>
      </c>
      <c r="U663" s="604">
        <f t="shared" si="219"/>
        <v>0</v>
      </c>
      <c r="V663" s="604">
        <f t="shared" si="220"/>
        <v>0</v>
      </c>
      <c r="W663" s="604">
        <f t="shared" si="221"/>
        <v>0</v>
      </c>
      <c r="X663" s="746">
        <v>0</v>
      </c>
      <c r="Y663" s="746">
        <f t="shared" si="222"/>
        <v>0</v>
      </c>
    </row>
    <row r="664" spans="2:25">
      <c r="B664" s="598" t="s">
        <v>2595</v>
      </c>
      <c r="C664" s="604" t="s">
        <v>1107</v>
      </c>
      <c r="D664" s="745">
        <v>2020</v>
      </c>
      <c r="E664" s="604" t="s">
        <v>1608</v>
      </c>
      <c r="F664" s="738">
        <v>0.4</v>
      </c>
      <c r="G664" s="739">
        <v>16200</v>
      </c>
      <c r="H664" s="741">
        <v>9720</v>
      </c>
      <c r="I664" s="742">
        <f t="shared" si="208"/>
        <v>6480</v>
      </c>
      <c r="J664" s="740">
        <f t="shared" si="209"/>
        <v>6480</v>
      </c>
      <c r="K664" s="739">
        <f t="shared" si="210"/>
        <v>16200</v>
      </c>
      <c r="L664" s="860">
        <f t="shared" si="211"/>
        <v>0</v>
      </c>
      <c r="M664" s="740">
        <f t="shared" si="223"/>
        <v>0</v>
      </c>
      <c r="N664" s="604">
        <f t="shared" si="212"/>
        <v>0</v>
      </c>
      <c r="O664" s="604">
        <f t="shared" si="213"/>
        <v>0</v>
      </c>
      <c r="P664" s="604">
        <f t="shared" si="214"/>
        <v>0</v>
      </c>
      <c r="Q664" s="604">
        <f t="shared" si="215"/>
        <v>0</v>
      </c>
      <c r="R664" s="604">
        <f t="shared" si="216"/>
        <v>0</v>
      </c>
      <c r="S664" s="604">
        <f t="shared" si="217"/>
        <v>0</v>
      </c>
      <c r="T664" s="604">
        <f t="shared" si="218"/>
        <v>0</v>
      </c>
      <c r="U664" s="604">
        <f t="shared" si="219"/>
        <v>0</v>
      </c>
      <c r="V664" s="604">
        <f t="shared" si="220"/>
        <v>0</v>
      </c>
      <c r="W664" s="604">
        <f t="shared" si="221"/>
        <v>0</v>
      </c>
      <c r="X664" s="746">
        <v>0</v>
      </c>
      <c r="Y664" s="746">
        <f t="shared" si="222"/>
        <v>0</v>
      </c>
    </row>
    <row r="665" spans="2:25">
      <c r="B665" s="598" t="s">
        <v>2595</v>
      </c>
      <c r="C665" s="604" t="s">
        <v>1107</v>
      </c>
      <c r="D665" s="745">
        <v>2021</v>
      </c>
      <c r="E665" s="604" t="s">
        <v>1609</v>
      </c>
      <c r="F665" s="738">
        <v>1</v>
      </c>
      <c r="G665" s="739">
        <v>1800</v>
      </c>
      <c r="H665" s="741">
        <v>1800</v>
      </c>
      <c r="I665" s="742">
        <f t="shared" si="208"/>
        <v>0</v>
      </c>
      <c r="J665" s="740">
        <f t="shared" si="209"/>
        <v>0</v>
      </c>
      <c r="K665" s="739">
        <f t="shared" si="210"/>
        <v>1800</v>
      </c>
      <c r="L665" s="860">
        <f t="shared" si="211"/>
        <v>0</v>
      </c>
      <c r="M665" s="740">
        <f t="shared" si="223"/>
        <v>0</v>
      </c>
      <c r="N665" s="604">
        <f t="shared" si="212"/>
        <v>0</v>
      </c>
      <c r="O665" s="604">
        <f t="shared" si="213"/>
        <v>0</v>
      </c>
      <c r="P665" s="604">
        <f t="shared" si="214"/>
        <v>0</v>
      </c>
      <c r="Q665" s="604">
        <f t="shared" si="215"/>
        <v>0</v>
      </c>
      <c r="R665" s="604">
        <f t="shared" si="216"/>
        <v>0</v>
      </c>
      <c r="S665" s="604">
        <f t="shared" si="217"/>
        <v>0</v>
      </c>
      <c r="T665" s="604">
        <f t="shared" si="218"/>
        <v>0</v>
      </c>
      <c r="U665" s="604">
        <f t="shared" si="219"/>
        <v>0</v>
      </c>
      <c r="V665" s="604">
        <f t="shared" si="220"/>
        <v>0</v>
      </c>
      <c r="W665" s="604">
        <f t="shared" si="221"/>
        <v>0</v>
      </c>
      <c r="X665" s="746">
        <v>0</v>
      </c>
      <c r="Y665" s="746">
        <f t="shared" si="222"/>
        <v>0</v>
      </c>
    </row>
    <row r="666" spans="2:25">
      <c r="B666" s="598" t="s">
        <v>2595</v>
      </c>
      <c r="C666" s="604" t="s">
        <v>1107</v>
      </c>
      <c r="D666" s="745">
        <v>2021</v>
      </c>
      <c r="E666" s="604" t="s">
        <v>1610</v>
      </c>
      <c r="F666" s="738">
        <v>0.4</v>
      </c>
      <c r="G666" s="739">
        <v>2000</v>
      </c>
      <c r="H666" s="741">
        <v>400</v>
      </c>
      <c r="I666" s="742">
        <f t="shared" si="208"/>
        <v>1600</v>
      </c>
      <c r="J666" s="740">
        <f t="shared" si="209"/>
        <v>800</v>
      </c>
      <c r="K666" s="739">
        <f t="shared" si="210"/>
        <v>1200</v>
      </c>
      <c r="L666" s="860">
        <f t="shared" si="211"/>
        <v>800</v>
      </c>
      <c r="M666" s="740">
        <f t="shared" si="223"/>
        <v>800</v>
      </c>
      <c r="N666" s="604">
        <f t="shared" si="212"/>
        <v>0</v>
      </c>
      <c r="O666" s="604">
        <f t="shared" si="213"/>
        <v>0</v>
      </c>
      <c r="P666" s="604">
        <f t="shared" si="214"/>
        <v>0</v>
      </c>
      <c r="Q666" s="604">
        <f t="shared" si="215"/>
        <v>0</v>
      </c>
      <c r="R666" s="604">
        <f t="shared" si="216"/>
        <v>0</v>
      </c>
      <c r="S666" s="604">
        <f t="shared" si="217"/>
        <v>0</v>
      </c>
      <c r="T666" s="604">
        <f t="shared" si="218"/>
        <v>0</v>
      </c>
      <c r="U666" s="604">
        <f t="shared" si="219"/>
        <v>0</v>
      </c>
      <c r="V666" s="604">
        <f t="shared" si="220"/>
        <v>0</v>
      </c>
      <c r="W666" s="604">
        <f t="shared" si="221"/>
        <v>0</v>
      </c>
      <c r="X666" s="746">
        <v>0</v>
      </c>
      <c r="Y666" s="746">
        <f t="shared" si="222"/>
        <v>0</v>
      </c>
    </row>
    <row r="667" spans="2:25">
      <c r="B667" s="598" t="s">
        <v>2595</v>
      </c>
      <c r="C667" s="604" t="s">
        <v>1107</v>
      </c>
      <c r="D667" s="745">
        <v>2021</v>
      </c>
      <c r="E667" s="604" t="s">
        <v>1611</v>
      </c>
      <c r="F667" s="738">
        <v>1</v>
      </c>
      <c r="G667" s="739">
        <v>2100</v>
      </c>
      <c r="H667" s="741">
        <v>2100</v>
      </c>
      <c r="I667" s="742">
        <f t="shared" si="208"/>
        <v>0</v>
      </c>
      <c r="J667" s="740">
        <f t="shared" si="209"/>
        <v>0</v>
      </c>
      <c r="K667" s="739">
        <f t="shared" si="210"/>
        <v>2100</v>
      </c>
      <c r="L667" s="860">
        <f t="shared" si="211"/>
        <v>0</v>
      </c>
      <c r="M667" s="740">
        <f t="shared" si="223"/>
        <v>0</v>
      </c>
      <c r="N667" s="604">
        <f t="shared" si="212"/>
        <v>0</v>
      </c>
      <c r="O667" s="604">
        <f t="shared" si="213"/>
        <v>0</v>
      </c>
      <c r="P667" s="604">
        <f t="shared" si="214"/>
        <v>0</v>
      </c>
      <c r="Q667" s="604">
        <f t="shared" si="215"/>
        <v>0</v>
      </c>
      <c r="R667" s="604">
        <f t="shared" si="216"/>
        <v>0</v>
      </c>
      <c r="S667" s="604">
        <f t="shared" si="217"/>
        <v>0</v>
      </c>
      <c r="T667" s="604">
        <f t="shared" si="218"/>
        <v>0</v>
      </c>
      <c r="U667" s="604">
        <f t="shared" si="219"/>
        <v>0</v>
      </c>
      <c r="V667" s="604">
        <f t="shared" si="220"/>
        <v>0</v>
      </c>
      <c r="W667" s="604">
        <f t="shared" si="221"/>
        <v>0</v>
      </c>
      <c r="X667" s="746">
        <v>0</v>
      </c>
      <c r="Y667" s="746">
        <f t="shared" si="222"/>
        <v>0</v>
      </c>
    </row>
    <row r="668" spans="2:25">
      <c r="B668" s="598" t="s">
        <v>2595</v>
      </c>
      <c r="C668" s="604" t="s">
        <v>1107</v>
      </c>
      <c r="D668" s="745">
        <v>2021</v>
      </c>
      <c r="E668" s="604" t="s">
        <v>1612</v>
      </c>
      <c r="F668" s="738">
        <v>1</v>
      </c>
      <c r="G668" s="739">
        <v>350</v>
      </c>
      <c r="H668" s="741">
        <v>350</v>
      </c>
      <c r="I668" s="742">
        <f t="shared" si="208"/>
        <v>0</v>
      </c>
      <c r="J668" s="740">
        <f t="shared" si="209"/>
        <v>0</v>
      </c>
      <c r="K668" s="739">
        <f t="shared" si="210"/>
        <v>350</v>
      </c>
      <c r="L668" s="860">
        <f t="shared" si="211"/>
        <v>0</v>
      </c>
      <c r="M668" s="740">
        <f t="shared" si="223"/>
        <v>0</v>
      </c>
      <c r="N668" s="604">
        <f t="shared" si="212"/>
        <v>0</v>
      </c>
      <c r="O668" s="604">
        <f t="shared" si="213"/>
        <v>0</v>
      </c>
      <c r="P668" s="604">
        <f t="shared" si="214"/>
        <v>0</v>
      </c>
      <c r="Q668" s="604">
        <f t="shared" si="215"/>
        <v>0</v>
      </c>
      <c r="R668" s="604">
        <f t="shared" si="216"/>
        <v>0</v>
      </c>
      <c r="S668" s="604">
        <f t="shared" si="217"/>
        <v>0</v>
      </c>
      <c r="T668" s="604">
        <f t="shared" si="218"/>
        <v>0</v>
      </c>
      <c r="U668" s="604">
        <f t="shared" si="219"/>
        <v>0</v>
      </c>
      <c r="V668" s="604">
        <f t="shared" si="220"/>
        <v>0</v>
      </c>
      <c r="W668" s="604">
        <f t="shared" si="221"/>
        <v>0</v>
      </c>
      <c r="X668" s="746">
        <v>0</v>
      </c>
      <c r="Y668" s="746">
        <f t="shared" si="222"/>
        <v>0</v>
      </c>
    </row>
    <row r="669" spans="2:25">
      <c r="B669" s="598" t="s">
        <v>2595</v>
      </c>
      <c r="C669" s="604" t="s">
        <v>1107</v>
      </c>
      <c r="D669" s="745">
        <v>2021</v>
      </c>
      <c r="E669" s="604" t="s">
        <v>1613</v>
      </c>
      <c r="F669" s="738">
        <v>1</v>
      </c>
      <c r="G669" s="739">
        <v>1200</v>
      </c>
      <c r="H669" s="741">
        <v>1200</v>
      </c>
      <c r="I669" s="742">
        <f t="shared" si="208"/>
        <v>0</v>
      </c>
      <c r="J669" s="740">
        <f t="shared" si="209"/>
        <v>0</v>
      </c>
      <c r="K669" s="739">
        <f t="shared" si="210"/>
        <v>1200</v>
      </c>
      <c r="L669" s="860">
        <f t="shared" si="211"/>
        <v>0</v>
      </c>
      <c r="M669" s="740">
        <f t="shared" si="223"/>
        <v>0</v>
      </c>
      <c r="N669" s="604">
        <f t="shared" si="212"/>
        <v>0</v>
      </c>
      <c r="O669" s="604">
        <f t="shared" si="213"/>
        <v>0</v>
      </c>
      <c r="P669" s="604">
        <f t="shared" si="214"/>
        <v>0</v>
      </c>
      <c r="Q669" s="604">
        <f t="shared" si="215"/>
        <v>0</v>
      </c>
      <c r="R669" s="604">
        <f t="shared" si="216"/>
        <v>0</v>
      </c>
      <c r="S669" s="604">
        <f t="shared" si="217"/>
        <v>0</v>
      </c>
      <c r="T669" s="604">
        <f t="shared" si="218"/>
        <v>0</v>
      </c>
      <c r="U669" s="604">
        <f t="shared" si="219"/>
        <v>0</v>
      </c>
      <c r="V669" s="604">
        <f t="shared" si="220"/>
        <v>0</v>
      </c>
      <c r="W669" s="604">
        <f t="shared" si="221"/>
        <v>0</v>
      </c>
      <c r="X669" s="746">
        <v>0</v>
      </c>
      <c r="Y669" s="746">
        <f t="shared" si="222"/>
        <v>0</v>
      </c>
    </row>
    <row r="670" spans="2:25">
      <c r="B670" s="598" t="s">
        <v>2595</v>
      </c>
      <c r="C670" s="604" t="s">
        <v>1107</v>
      </c>
      <c r="D670" s="745">
        <v>2021</v>
      </c>
      <c r="E670" s="604" t="s">
        <v>1614</v>
      </c>
      <c r="F670" s="738">
        <v>0.4</v>
      </c>
      <c r="G670" s="739">
        <v>400</v>
      </c>
      <c r="H670" s="741">
        <v>80</v>
      </c>
      <c r="I670" s="742">
        <f t="shared" si="208"/>
        <v>320</v>
      </c>
      <c r="J670" s="740">
        <f t="shared" si="209"/>
        <v>160</v>
      </c>
      <c r="K670" s="739">
        <f t="shared" si="210"/>
        <v>240</v>
      </c>
      <c r="L670" s="860">
        <f t="shared" si="211"/>
        <v>160</v>
      </c>
      <c r="M670" s="740">
        <f t="shared" si="223"/>
        <v>160</v>
      </c>
      <c r="N670" s="604">
        <f t="shared" si="212"/>
        <v>0</v>
      </c>
      <c r="O670" s="604">
        <f t="shared" si="213"/>
        <v>0</v>
      </c>
      <c r="P670" s="604">
        <f t="shared" si="214"/>
        <v>0</v>
      </c>
      <c r="Q670" s="604">
        <f t="shared" si="215"/>
        <v>0</v>
      </c>
      <c r="R670" s="604">
        <f t="shared" si="216"/>
        <v>0</v>
      </c>
      <c r="S670" s="604">
        <f t="shared" si="217"/>
        <v>0</v>
      </c>
      <c r="T670" s="604">
        <f t="shared" si="218"/>
        <v>0</v>
      </c>
      <c r="U670" s="604">
        <f t="shared" si="219"/>
        <v>0</v>
      </c>
      <c r="V670" s="604">
        <f t="shared" si="220"/>
        <v>0</v>
      </c>
      <c r="W670" s="604">
        <f t="shared" si="221"/>
        <v>0</v>
      </c>
      <c r="X670" s="746">
        <v>0</v>
      </c>
      <c r="Y670" s="746">
        <f t="shared" si="222"/>
        <v>0</v>
      </c>
    </row>
    <row r="671" spans="2:25">
      <c r="B671" s="598" t="s">
        <v>2595</v>
      </c>
      <c r="C671" s="604" t="s">
        <v>1107</v>
      </c>
      <c r="D671" s="745">
        <v>2021</v>
      </c>
      <c r="E671" s="604" t="s">
        <v>1615</v>
      </c>
      <c r="F671" s="738">
        <v>0.4</v>
      </c>
      <c r="G671" s="739">
        <v>1500</v>
      </c>
      <c r="H671" s="741">
        <v>300</v>
      </c>
      <c r="I671" s="742">
        <f t="shared" si="208"/>
        <v>1200</v>
      </c>
      <c r="J671" s="740">
        <f t="shared" si="209"/>
        <v>600</v>
      </c>
      <c r="K671" s="739">
        <f t="shared" si="210"/>
        <v>900</v>
      </c>
      <c r="L671" s="860">
        <f t="shared" si="211"/>
        <v>600</v>
      </c>
      <c r="M671" s="740">
        <f t="shared" si="223"/>
        <v>600</v>
      </c>
      <c r="N671" s="604">
        <f t="shared" si="212"/>
        <v>0</v>
      </c>
      <c r="O671" s="604">
        <f t="shared" si="213"/>
        <v>0</v>
      </c>
      <c r="P671" s="604">
        <f t="shared" si="214"/>
        <v>0</v>
      </c>
      <c r="Q671" s="604">
        <f t="shared" si="215"/>
        <v>0</v>
      </c>
      <c r="R671" s="604">
        <f t="shared" si="216"/>
        <v>0</v>
      </c>
      <c r="S671" s="604">
        <f t="shared" si="217"/>
        <v>0</v>
      </c>
      <c r="T671" s="604">
        <f t="shared" si="218"/>
        <v>0</v>
      </c>
      <c r="U671" s="604">
        <f t="shared" si="219"/>
        <v>0</v>
      </c>
      <c r="V671" s="604">
        <f t="shared" si="220"/>
        <v>0</v>
      </c>
      <c r="W671" s="604">
        <f t="shared" si="221"/>
        <v>0</v>
      </c>
      <c r="X671" s="746">
        <v>0</v>
      </c>
      <c r="Y671" s="746">
        <f t="shared" si="222"/>
        <v>0</v>
      </c>
    </row>
    <row r="672" spans="2:25">
      <c r="B672" s="598" t="s">
        <v>2595</v>
      </c>
      <c r="C672" s="604" t="s">
        <v>1107</v>
      </c>
      <c r="D672" s="745">
        <v>2021</v>
      </c>
      <c r="E672" s="604" t="s">
        <v>1616</v>
      </c>
      <c r="F672" s="738">
        <v>1</v>
      </c>
      <c r="G672" s="739">
        <v>800</v>
      </c>
      <c r="H672" s="741">
        <v>800</v>
      </c>
      <c r="I672" s="742">
        <f t="shared" si="208"/>
        <v>0</v>
      </c>
      <c r="J672" s="740">
        <f t="shared" si="209"/>
        <v>0</v>
      </c>
      <c r="K672" s="739">
        <f t="shared" si="210"/>
        <v>800</v>
      </c>
      <c r="L672" s="860">
        <f t="shared" si="211"/>
        <v>0</v>
      </c>
      <c r="M672" s="740">
        <f t="shared" si="223"/>
        <v>0</v>
      </c>
      <c r="N672" s="604">
        <f t="shared" si="212"/>
        <v>0</v>
      </c>
      <c r="O672" s="604">
        <f t="shared" si="213"/>
        <v>0</v>
      </c>
      <c r="P672" s="604">
        <f t="shared" si="214"/>
        <v>0</v>
      </c>
      <c r="Q672" s="604">
        <f t="shared" si="215"/>
        <v>0</v>
      </c>
      <c r="R672" s="604">
        <f t="shared" si="216"/>
        <v>0</v>
      </c>
      <c r="S672" s="604">
        <f t="shared" si="217"/>
        <v>0</v>
      </c>
      <c r="T672" s="604">
        <f t="shared" si="218"/>
        <v>0</v>
      </c>
      <c r="U672" s="604">
        <f t="shared" si="219"/>
        <v>0</v>
      </c>
      <c r="V672" s="604">
        <f t="shared" si="220"/>
        <v>0</v>
      </c>
      <c r="W672" s="604">
        <f t="shared" si="221"/>
        <v>0</v>
      </c>
      <c r="X672" s="746">
        <v>0</v>
      </c>
      <c r="Y672" s="746">
        <f t="shared" si="222"/>
        <v>0</v>
      </c>
    </row>
    <row r="673" spans="2:25">
      <c r="B673" s="598" t="s">
        <v>2595</v>
      </c>
      <c r="C673" s="604" t="s">
        <v>1107</v>
      </c>
      <c r="D673" s="745">
        <v>2021</v>
      </c>
      <c r="E673" s="604" t="s">
        <v>1617</v>
      </c>
      <c r="F673" s="738">
        <v>0.4</v>
      </c>
      <c r="G673" s="739">
        <v>200</v>
      </c>
      <c r="H673" s="741">
        <v>40</v>
      </c>
      <c r="I673" s="742">
        <f t="shared" si="208"/>
        <v>160</v>
      </c>
      <c r="J673" s="740">
        <f t="shared" si="209"/>
        <v>80</v>
      </c>
      <c r="K673" s="739">
        <f t="shared" si="210"/>
        <v>120</v>
      </c>
      <c r="L673" s="860">
        <f t="shared" si="211"/>
        <v>80</v>
      </c>
      <c r="M673" s="740">
        <f t="shared" si="223"/>
        <v>80</v>
      </c>
      <c r="N673" s="604">
        <f t="shared" si="212"/>
        <v>0</v>
      </c>
      <c r="O673" s="604">
        <f t="shared" si="213"/>
        <v>0</v>
      </c>
      <c r="P673" s="604">
        <f t="shared" si="214"/>
        <v>0</v>
      </c>
      <c r="Q673" s="604">
        <f t="shared" si="215"/>
        <v>0</v>
      </c>
      <c r="R673" s="604">
        <f t="shared" si="216"/>
        <v>0</v>
      </c>
      <c r="S673" s="604">
        <f t="shared" si="217"/>
        <v>0</v>
      </c>
      <c r="T673" s="604">
        <f t="shared" si="218"/>
        <v>0</v>
      </c>
      <c r="U673" s="604">
        <f t="shared" si="219"/>
        <v>0</v>
      </c>
      <c r="V673" s="604">
        <f t="shared" si="220"/>
        <v>0</v>
      </c>
      <c r="W673" s="604">
        <f t="shared" si="221"/>
        <v>0</v>
      </c>
      <c r="X673" s="746">
        <v>0</v>
      </c>
      <c r="Y673" s="746">
        <f t="shared" si="222"/>
        <v>0</v>
      </c>
    </row>
    <row r="674" spans="2:25">
      <c r="B674" s="598" t="s">
        <v>2595</v>
      </c>
      <c r="C674" s="604" t="s">
        <v>1107</v>
      </c>
      <c r="D674" s="745">
        <v>2022</v>
      </c>
      <c r="E674" s="604"/>
      <c r="F674" s="738">
        <v>0</v>
      </c>
      <c r="G674" s="739">
        <v>34000</v>
      </c>
      <c r="H674" s="741">
        <v>0</v>
      </c>
      <c r="I674" s="742">
        <f t="shared" si="208"/>
        <v>34000</v>
      </c>
      <c r="J674" s="740">
        <f>IF(I674=0,0,G674*F674/2)</f>
        <v>0</v>
      </c>
      <c r="K674" s="739">
        <f t="shared" si="210"/>
        <v>0</v>
      </c>
      <c r="L674" s="860">
        <v>0</v>
      </c>
      <c r="M674" s="740">
        <f t="shared" si="223"/>
        <v>0</v>
      </c>
      <c r="N674" s="604">
        <f t="shared" si="212"/>
        <v>0</v>
      </c>
      <c r="O674" s="604">
        <f t="shared" si="213"/>
        <v>0</v>
      </c>
      <c r="P674" s="604">
        <f t="shared" si="214"/>
        <v>0</v>
      </c>
      <c r="Q674" s="604">
        <f t="shared" si="215"/>
        <v>0</v>
      </c>
      <c r="R674" s="604">
        <f t="shared" si="216"/>
        <v>0</v>
      </c>
      <c r="S674" s="604">
        <f t="shared" si="217"/>
        <v>0</v>
      </c>
      <c r="T674" s="604">
        <f t="shared" si="218"/>
        <v>0</v>
      </c>
      <c r="U674" s="604">
        <f t="shared" si="219"/>
        <v>0</v>
      </c>
      <c r="V674" s="604">
        <f t="shared" si="220"/>
        <v>0</v>
      </c>
      <c r="W674" s="604">
        <f t="shared" si="221"/>
        <v>0</v>
      </c>
      <c r="X674" s="746">
        <v>0</v>
      </c>
      <c r="Y674" s="746">
        <f t="shared" si="222"/>
        <v>0</v>
      </c>
    </row>
    <row r="675" spans="2:25">
      <c r="B675" s="598" t="s">
        <v>2595</v>
      </c>
      <c r="C675" s="604" t="s">
        <v>1107</v>
      </c>
      <c r="D675" s="745">
        <v>2021</v>
      </c>
      <c r="E675" s="604" t="s">
        <v>1618</v>
      </c>
      <c r="F675" s="738">
        <v>1</v>
      </c>
      <c r="G675" s="739">
        <v>1000</v>
      </c>
      <c r="H675" s="741">
        <v>1000</v>
      </c>
      <c r="I675" s="742">
        <f t="shared" si="208"/>
        <v>0</v>
      </c>
      <c r="J675" s="740">
        <f t="shared" ref="J675:J680" si="224">IF(I675=0,0,G675*F675)</f>
        <v>0</v>
      </c>
      <c r="K675" s="739">
        <f t="shared" si="210"/>
        <v>1000</v>
      </c>
      <c r="L675" s="860">
        <f t="shared" si="211"/>
        <v>0</v>
      </c>
      <c r="M675" s="740">
        <f t="shared" si="223"/>
        <v>0</v>
      </c>
      <c r="N675" s="604">
        <f t="shared" si="212"/>
        <v>0</v>
      </c>
      <c r="O675" s="604">
        <f t="shared" si="213"/>
        <v>0</v>
      </c>
      <c r="P675" s="604">
        <f t="shared" si="214"/>
        <v>0</v>
      </c>
      <c r="Q675" s="604">
        <f t="shared" si="215"/>
        <v>0</v>
      </c>
      <c r="R675" s="604">
        <f t="shared" si="216"/>
        <v>0</v>
      </c>
      <c r="S675" s="604">
        <f t="shared" si="217"/>
        <v>0</v>
      </c>
      <c r="T675" s="604">
        <f t="shared" si="218"/>
        <v>0</v>
      </c>
      <c r="U675" s="604">
        <f t="shared" si="219"/>
        <v>0</v>
      </c>
      <c r="V675" s="604">
        <f t="shared" si="220"/>
        <v>0</v>
      </c>
      <c r="W675" s="604">
        <f t="shared" si="221"/>
        <v>0</v>
      </c>
      <c r="X675" s="746">
        <v>0</v>
      </c>
      <c r="Y675" s="746">
        <f t="shared" si="222"/>
        <v>0</v>
      </c>
    </row>
    <row r="676" spans="2:25">
      <c r="B676" s="598" t="s">
        <v>2595</v>
      </c>
      <c r="C676" s="604" t="s">
        <v>1107</v>
      </c>
      <c r="D676" s="745">
        <v>2021</v>
      </c>
      <c r="E676" s="604" t="s">
        <v>1619</v>
      </c>
      <c r="F676" s="738">
        <v>0.4</v>
      </c>
      <c r="G676" s="739">
        <v>2420</v>
      </c>
      <c r="H676" s="741">
        <v>484</v>
      </c>
      <c r="I676" s="742">
        <f t="shared" si="208"/>
        <v>1936</v>
      </c>
      <c r="J676" s="740">
        <f t="shared" si="224"/>
        <v>968</v>
      </c>
      <c r="K676" s="739">
        <f t="shared" si="210"/>
        <v>1452</v>
      </c>
      <c r="L676" s="860">
        <f t="shared" si="211"/>
        <v>968</v>
      </c>
      <c r="M676" s="740">
        <f t="shared" si="223"/>
        <v>968</v>
      </c>
      <c r="N676" s="604">
        <f t="shared" si="212"/>
        <v>0</v>
      </c>
      <c r="O676" s="604">
        <f t="shared" si="213"/>
        <v>0</v>
      </c>
      <c r="P676" s="604">
        <f t="shared" si="214"/>
        <v>0</v>
      </c>
      <c r="Q676" s="604">
        <f t="shared" si="215"/>
        <v>0</v>
      </c>
      <c r="R676" s="604">
        <f t="shared" si="216"/>
        <v>0</v>
      </c>
      <c r="S676" s="604">
        <f t="shared" si="217"/>
        <v>0</v>
      </c>
      <c r="T676" s="604">
        <f t="shared" si="218"/>
        <v>0</v>
      </c>
      <c r="U676" s="604">
        <f t="shared" si="219"/>
        <v>0</v>
      </c>
      <c r="V676" s="604">
        <f t="shared" si="220"/>
        <v>0</v>
      </c>
      <c r="W676" s="604">
        <f t="shared" si="221"/>
        <v>0</v>
      </c>
      <c r="X676" s="746">
        <v>0</v>
      </c>
      <c r="Y676" s="746">
        <f t="shared" si="222"/>
        <v>0</v>
      </c>
    </row>
    <row r="677" spans="2:25">
      <c r="B677" s="598" t="s">
        <v>2595</v>
      </c>
      <c r="C677" s="604" t="s">
        <v>1107</v>
      </c>
      <c r="D677" s="745">
        <v>2021</v>
      </c>
      <c r="E677" s="604" t="s">
        <v>1620</v>
      </c>
      <c r="F677" s="738">
        <v>0.4</v>
      </c>
      <c r="G677" s="739">
        <v>1750</v>
      </c>
      <c r="H677" s="741">
        <v>350</v>
      </c>
      <c r="I677" s="742">
        <f t="shared" si="208"/>
        <v>1400</v>
      </c>
      <c r="J677" s="740">
        <f t="shared" si="224"/>
        <v>700</v>
      </c>
      <c r="K677" s="739">
        <f t="shared" si="210"/>
        <v>1050</v>
      </c>
      <c r="L677" s="860">
        <f t="shared" si="211"/>
        <v>700</v>
      </c>
      <c r="M677" s="740">
        <f t="shared" si="223"/>
        <v>700</v>
      </c>
      <c r="N677" s="604">
        <f t="shared" si="212"/>
        <v>0</v>
      </c>
      <c r="O677" s="604">
        <f t="shared" si="213"/>
        <v>0</v>
      </c>
      <c r="P677" s="604">
        <f t="shared" si="214"/>
        <v>0</v>
      </c>
      <c r="Q677" s="604">
        <f t="shared" si="215"/>
        <v>0</v>
      </c>
      <c r="R677" s="604">
        <f t="shared" si="216"/>
        <v>0</v>
      </c>
      <c r="S677" s="604">
        <f t="shared" si="217"/>
        <v>0</v>
      </c>
      <c r="T677" s="604">
        <f t="shared" si="218"/>
        <v>0</v>
      </c>
      <c r="U677" s="604">
        <f t="shared" si="219"/>
        <v>0</v>
      </c>
      <c r="V677" s="604">
        <f t="shared" si="220"/>
        <v>0</v>
      </c>
      <c r="W677" s="604">
        <f t="shared" si="221"/>
        <v>0</v>
      </c>
      <c r="X677" s="746">
        <v>0</v>
      </c>
      <c r="Y677" s="746">
        <f t="shared" si="222"/>
        <v>0</v>
      </c>
    </row>
    <row r="678" spans="2:25">
      <c r="B678" s="598" t="s">
        <v>2595</v>
      </c>
      <c r="C678" s="604" t="s">
        <v>1107</v>
      </c>
      <c r="D678" s="745">
        <v>2021</v>
      </c>
      <c r="E678" s="604" t="s">
        <v>1621</v>
      </c>
      <c r="F678" s="738">
        <v>0.4</v>
      </c>
      <c r="G678" s="739">
        <v>1750</v>
      </c>
      <c r="H678" s="741">
        <v>350</v>
      </c>
      <c r="I678" s="742">
        <f t="shared" si="208"/>
        <v>1400</v>
      </c>
      <c r="J678" s="740">
        <f t="shared" si="224"/>
        <v>700</v>
      </c>
      <c r="K678" s="739">
        <f t="shared" si="210"/>
        <v>1050</v>
      </c>
      <c r="L678" s="860">
        <f t="shared" si="211"/>
        <v>700</v>
      </c>
      <c r="M678" s="740">
        <f t="shared" si="223"/>
        <v>700</v>
      </c>
      <c r="N678" s="604">
        <f t="shared" si="212"/>
        <v>0</v>
      </c>
      <c r="O678" s="604">
        <f t="shared" si="213"/>
        <v>0</v>
      </c>
      <c r="P678" s="604">
        <f t="shared" si="214"/>
        <v>0</v>
      </c>
      <c r="Q678" s="604">
        <f t="shared" si="215"/>
        <v>0</v>
      </c>
      <c r="R678" s="604">
        <f t="shared" si="216"/>
        <v>0</v>
      </c>
      <c r="S678" s="604">
        <f t="shared" si="217"/>
        <v>0</v>
      </c>
      <c r="T678" s="604">
        <f t="shared" si="218"/>
        <v>0</v>
      </c>
      <c r="U678" s="604">
        <f t="shared" si="219"/>
        <v>0</v>
      </c>
      <c r="V678" s="604">
        <f t="shared" si="220"/>
        <v>0</v>
      </c>
      <c r="W678" s="604">
        <f t="shared" si="221"/>
        <v>0</v>
      </c>
      <c r="X678" s="746">
        <v>0</v>
      </c>
      <c r="Y678" s="746">
        <f t="shared" si="222"/>
        <v>0</v>
      </c>
    </row>
    <row r="679" spans="2:25">
      <c r="B679" s="598" t="s">
        <v>2595</v>
      </c>
      <c r="C679" s="604" t="s">
        <v>1107</v>
      </c>
      <c r="D679" s="745">
        <v>2021</v>
      </c>
      <c r="E679" s="604" t="s">
        <v>1622</v>
      </c>
      <c r="F679" s="738">
        <v>0.4</v>
      </c>
      <c r="G679" s="739">
        <v>1445</v>
      </c>
      <c r="H679" s="741">
        <v>289</v>
      </c>
      <c r="I679" s="742">
        <f t="shared" si="208"/>
        <v>1156</v>
      </c>
      <c r="J679" s="740">
        <f t="shared" si="224"/>
        <v>578</v>
      </c>
      <c r="K679" s="739">
        <f t="shared" si="210"/>
        <v>867</v>
      </c>
      <c r="L679" s="860">
        <f t="shared" si="211"/>
        <v>578</v>
      </c>
      <c r="M679" s="740">
        <f t="shared" si="223"/>
        <v>578</v>
      </c>
      <c r="N679" s="604">
        <f t="shared" si="212"/>
        <v>0</v>
      </c>
      <c r="O679" s="604">
        <f t="shared" si="213"/>
        <v>0</v>
      </c>
      <c r="P679" s="604">
        <f t="shared" si="214"/>
        <v>0</v>
      </c>
      <c r="Q679" s="604">
        <f t="shared" si="215"/>
        <v>0</v>
      </c>
      <c r="R679" s="604">
        <f t="shared" si="216"/>
        <v>0</v>
      </c>
      <c r="S679" s="604">
        <f t="shared" si="217"/>
        <v>0</v>
      </c>
      <c r="T679" s="604">
        <f t="shared" si="218"/>
        <v>0</v>
      </c>
      <c r="U679" s="604">
        <f t="shared" si="219"/>
        <v>0</v>
      </c>
      <c r="V679" s="604">
        <f t="shared" si="220"/>
        <v>0</v>
      </c>
      <c r="W679" s="604">
        <f t="shared" si="221"/>
        <v>0</v>
      </c>
      <c r="X679" s="746">
        <v>0</v>
      </c>
      <c r="Y679" s="746">
        <f t="shared" si="222"/>
        <v>0</v>
      </c>
    </row>
    <row r="680" spans="2:25">
      <c r="B680" s="598" t="s">
        <v>2595</v>
      </c>
      <c r="C680" s="604" t="s">
        <v>1107</v>
      </c>
      <c r="D680" s="745">
        <v>2021</v>
      </c>
      <c r="E680" s="604" t="s">
        <v>1623</v>
      </c>
      <c r="F680" s="738">
        <v>0.4</v>
      </c>
      <c r="G680" s="739">
        <v>28152.26</v>
      </c>
      <c r="H680" s="741">
        <v>5630.45</v>
      </c>
      <c r="I680" s="742">
        <f t="shared" si="208"/>
        <v>22521.809999999998</v>
      </c>
      <c r="J680" s="740">
        <f t="shared" si="224"/>
        <v>11260.904</v>
      </c>
      <c r="K680" s="739">
        <f t="shared" si="210"/>
        <v>16891.353999999999</v>
      </c>
      <c r="L680" s="860">
        <f t="shared" si="211"/>
        <v>11260.905999999999</v>
      </c>
      <c r="M680" s="740">
        <f t="shared" si="223"/>
        <v>11260.904</v>
      </c>
      <c r="N680" s="604">
        <f>+IF(L680-M680&gt;0,G680*F680,0)-X680</f>
        <v>1.9999999985884642E-3</v>
      </c>
      <c r="O680" s="604">
        <f t="shared" si="213"/>
        <v>0</v>
      </c>
      <c r="P680" s="604">
        <f t="shared" si="214"/>
        <v>0</v>
      </c>
      <c r="Q680" s="604">
        <f t="shared" si="215"/>
        <v>0</v>
      </c>
      <c r="R680" s="604">
        <f t="shared" si="216"/>
        <v>0</v>
      </c>
      <c r="S680" s="604">
        <f t="shared" si="217"/>
        <v>0</v>
      </c>
      <c r="T680" s="604">
        <f t="shared" si="218"/>
        <v>0</v>
      </c>
      <c r="U680" s="604">
        <f t="shared" si="219"/>
        <v>0</v>
      </c>
      <c r="V680" s="604">
        <f t="shared" si="220"/>
        <v>0</v>
      </c>
      <c r="W680" s="604">
        <f t="shared" si="221"/>
        <v>0</v>
      </c>
      <c r="X680" s="746">
        <v>11260.902000000002</v>
      </c>
      <c r="Y680" s="746">
        <f t="shared" si="222"/>
        <v>0</v>
      </c>
    </row>
    <row r="681" spans="2:25">
      <c r="B681" s="598" t="s">
        <v>2595</v>
      </c>
      <c r="C681" s="604" t="s">
        <v>1107</v>
      </c>
      <c r="D681" s="745">
        <v>2022</v>
      </c>
      <c r="E681" s="604" t="s">
        <v>2549</v>
      </c>
      <c r="F681" s="738">
        <v>0.4</v>
      </c>
      <c r="G681" s="739">
        <v>1150</v>
      </c>
      <c r="H681" s="741">
        <v>0</v>
      </c>
      <c r="I681" s="742">
        <f t="shared" si="208"/>
        <v>1150</v>
      </c>
      <c r="J681" s="740">
        <f t="shared" ref="J681:J690" si="225">IF(I681=0,0,G681*F681/2)</f>
        <v>230</v>
      </c>
      <c r="K681" s="739">
        <f t="shared" si="210"/>
        <v>230</v>
      </c>
      <c r="L681" s="860">
        <f t="shared" si="211"/>
        <v>920</v>
      </c>
      <c r="M681" s="740">
        <f t="shared" si="223"/>
        <v>460</v>
      </c>
      <c r="N681" s="604">
        <f t="shared" si="212"/>
        <v>460</v>
      </c>
      <c r="O681" s="604">
        <f t="shared" si="213"/>
        <v>0</v>
      </c>
      <c r="P681" s="604">
        <f t="shared" si="214"/>
        <v>0</v>
      </c>
      <c r="Q681" s="604">
        <f t="shared" si="215"/>
        <v>0</v>
      </c>
      <c r="R681" s="604">
        <f t="shared" si="216"/>
        <v>0</v>
      </c>
      <c r="S681" s="604">
        <f t="shared" si="217"/>
        <v>0</v>
      </c>
      <c r="T681" s="604">
        <f t="shared" si="218"/>
        <v>0</v>
      </c>
      <c r="U681" s="604">
        <f t="shared" si="219"/>
        <v>0</v>
      </c>
      <c r="V681" s="604">
        <f t="shared" si="220"/>
        <v>0</v>
      </c>
      <c r="W681" s="604">
        <f t="shared" si="221"/>
        <v>0</v>
      </c>
      <c r="X681" s="746">
        <v>0</v>
      </c>
      <c r="Y681" s="746">
        <f t="shared" si="222"/>
        <v>0</v>
      </c>
    </row>
    <row r="682" spans="2:25">
      <c r="B682" s="598" t="s">
        <v>2595</v>
      </c>
      <c r="C682" s="604" t="s">
        <v>1107</v>
      </c>
      <c r="D682" s="745">
        <v>2022</v>
      </c>
      <c r="E682" s="604" t="s">
        <v>2550</v>
      </c>
      <c r="F682" s="738">
        <v>0</v>
      </c>
      <c r="G682" s="739">
        <v>21000</v>
      </c>
      <c r="H682" s="741">
        <v>0</v>
      </c>
      <c r="I682" s="742">
        <f t="shared" si="208"/>
        <v>21000</v>
      </c>
      <c r="J682" s="740">
        <f t="shared" si="225"/>
        <v>0</v>
      </c>
      <c r="K682" s="739">
        <f t="shared" si="210"/>
        <v>0</v>
      </c>
      <c r="L682" s="860">
        <v>0</v>
      </c>
      <c r="M682" s="740">
        <f t="shared" si="223"/>
        <v>0</v>
      </c>
      <c r="N682" s="604">
        <f t="shared" si="212"/>
        <v>0</v>
      </c>
      <c r="O682" s="604">
        <f t="shared" si="213"/>
        <v>0</v>
      </c>
      <c r="P682" s="604">
        <f t="shared" si="214"/>
        <v>0</v>
      </c>
      <c r="Q682" s="604">
        <f t="shared" si="215"/>
        <v>0</v>
      </c>
      <c r="R682" s="604">
        <f t="shared" si="216"/>
        <v>0</v>
      </c>
      <c r="S682" s="604">
        <f t="shared" si="217"/>
        <v>0</v>
      </c>
      <c r="T682" s="604">
        <f t="shared" si="218"/>
        <v>0</v>
      </c>
      <c r="U682" s="604">
        <f t="shared" si="219"/>
        <v>0</v>
      </c>
      <c r="V682" s="604">
        <f t="shared" si="220"/>
        <v>0</v>
      </c>
      <c r="W682" s="604">
        <f t="shared" si="221"/>
        <v>0</v>
      </c>
      <c r="X682" s="746">
        <v>0</v>
      </c>
      <c r="Y682" s="746">
        <f t="shared" si="222"/>
        <v>0</v>
      </c>
    </row>
    <row r="683" spans="2:25">
      <c r="B683" s="598" t="s">
        <v>2595</v>
      </c>
      <c r="C683" s="604" t="s">
        <v>1107</v>
      </c>
      <c r="D683" s="745">
        <v>2022</v>
      </c>
      <c r="E683" s="604" t="s">
        <v>2551</v>
      </c>
      <c r="F683" s="738">
        <v>0.4</v>
      </c>
      <c r="G683" s="739">
        <v>5600</v>
      </c>
      <c r="H683" s="741">
        <v>0</v>
      </c>
      <c r="I683" s="742">
        <f t="shared" si="208"/>
        <v>5600</v>
      </c>
      <c r="J683" s="740">
        <f t="shared" si="225"/>
        <v>1120</v>
      </c>
      <c r="K683" s="739">
        <f t="shared" si="210"/>
        <v>1120</v>
      </c>
      <c r="L683" s="860">
        <f t="shared" si="211"/>
        <v>4480</v>
      </c>
      <c r="M683" s="740">
        <f t="shared" si="223"/>
        <v>2240</v>
      </c>
      <c r="N683" s="604">
        <f t="shared" si="212"/>
        <v>2240</v>
      </c>
      <c r="O683" s="604">
        <f t="shared" si="213"/>
        <v>0</v>
      </c>
      <c r="P683" s="604">
        <f t="shared" si="214"/>
        <v>0</v>
      </c>
      <c r="Q683" s="604">
        <f t="shared" si="215"/>
        <v>0</v>
      </c>
      <c r="R683" s="604">
        <f t="shared" si="216"/>
        <v>0</v>
      </c>
      <c r="S683" s="604">
        <f t="shared" si="217"/>
        <v>0</v>
      </c>
      <c r="T683" s="604">
        <f t="shared" si="218"/>
        <v>0</v>
      </c>
      <c r="U683" s="604">
        <f t="shared" si="219"/>
        <v>0</v>
      </c>
      <c r="V683" s="604">
        <f t="shared" si="220"/>
        <v>0</v>
      </c>
      <c r="W683" s="604">
        <f t="shared" si="221"/>
        <v>0</v>
      </c>
      <c r="X683" s="746">
        <v>0</v>
      </c>
      <c r="Y683" s="746">
        <f t="shared" si="222"/>
        <v>0</v>
      </c>
    </row>
    <row r="684" spans="2:25">
      <c r="B684" s="598" t="s">
        <v>2595</v>
      </c>
      <c r="C684" s="604" t="s">
        <v>1107</v>
      </c>
      <c r="D684" s="745">
        <v>2022</v>
      </c>
      <c r="E684" s="604" t="s">
        <v>2552</v>
      </c>
      <c r="F684" s="738">
        <v>0.4</v>
      </c>
      <c r="G684" s="739">
        <v>6000</v>
      </c>
      <c r="H684" s="741">
        <v>0</v>
      </c>
      <c r="I684" s="742">
        <f t="shared" si="208"/>
        <v>6000</v>
      </c>
      <c r="J684" s="740">
        <f t="shared" si="225"/>
        <v>1200</v>
      </c>
      <c r="K684" s="739">
        <f t="shared" si="210"/>
        <v>1200</v>
      </c>
      <c r="L684" s="860">
        <f t="shared" si="211"/>
        <v>4800</v>
      </c>
      <c r="M684" s="740">
        <f t="shared" si="223"/>
        <v>2400</v>
      </c>
      <c r="N684" s="604">
        <f t="shared" si="212"/>
        <v>2400</v>
      </c>
      <c r="O684" s="604">
        <f t="shared" si="213"/>
        <v>0</v>
      </c>
      <c r="P684" s="604">
        <f t="shared" si="214"/>
        <v>0</v>
      </c>
      <c r="Q684" s="604">
        <f t="shared" si="215"/>
        <v>0</v>
      </c>
      <c r="R684" s="604">
        <f t="shared" si="216"/>
        <v>0</v>
      </c>
      <c r="S684" s="604">
        <f t="shared" si="217"/>
        <v>0</v>
      </c>
      <c r="T684" s="604">
        <f t="shared" si="218"/>
        <v>0</v>
      </c>
      <c r="U684" s="604">
        <f t="shared" si="219"/>
        <v>0</v>
      </c>
      <c r="V684" s="604">
        <f t="shared" si="220"/>
        <v>0</v>
      </c>
      <c r="W684" s="604">
        <f t="shared" si="221"/>
        <v>0</v>
      </c>
      <c r="X684" s="746">
        <v>0</v>
      </c>
      <c r="Y684" s="746">
        <f t="shared" si="222"/>
        <v>0</v>
      </c>
    </row>
    <row r="685" spans="2:25">
      <c r="B685" s="598" t="s">
        <v>2595</v>
      </c>
      <c r="C685" s="604" t="s">
        <v>1107</v>
      </c>
      <c r="D685" s="745">
        <v>2022</v>
      </c>
      <c r="E685" s="604" t="s">
        <v>2553</v>
      </c>
      <c r="F685" s="738">
        <v>0.4</v>
      </c>
      <c r="G685" s="739">
        <v>8800</v>
      </c>
      <c r="H685" s="741">
        <v>0</v>
      </c>
      <c r="I685" s="742">
        <f t="shared" si="208"/>
        <v>8800</v>
      </c>
      <c r="J685" s="740">
        <f t="shared" si="225"/>
        <v>1760</v>
      </c>
      <c r="K685" s="739">
        <f t="shared" si="210"/>
        <v>1760</v>
      </c>
      <c r="L685" s="860">
        <f t="shared" si="211"/>
        <v>7040</v>
      </c>
      <c r="M685" s="740">
        <f t="shared" si="223"/>
        <v>3520</v>
      </c>
      <c r="N685" s="604">
        <f t="shared" si="212"/>
        <v>3520</v>
      </c>
      <c r="O685" s="604">
        <f t="shared" si="213"/>
        <v>0</v>
      </c>
      <c r="P685" s="604">
        <f t="shared" si="214"/>
        <v>0</v>
      </c>
      <c r="Q685" s="604">
        <f t="shared" si="215"/>
        <v>0</v>
      </c>
      <c r="R685" s="604">
        <f t="shared" si="216"/>
        <v>0</v>
      </c>
      <c r="S685" s="604">
        <f t="shared" si="217"/>
        <v>0</v>
      </c>
      <c r="T685" s="604">
        <f t="shared" si="218"/>
        <v>0</v>
      </c>
      <c r="U685" s="604">
        <f t="shared" si="219"/>
        <v>0</v>
      </c>
      <c r="V685" s="604">
        <f t="shared" si="220"/>
        <v>0</v>
      </c>
      <c r="W685" s="604">
        <f t="shared" si="221"/>
        <v>0</v>
      </c>
      <c r="X685" s="746">
        <v>0</v>
      </c>
      <c r="Y685" s="746">
        <f t="shared" si="222"/>
        <v>0</v>
      </c>
    </row>
    <row r="686" spans="2:25">
      <c r="B686" s="598" t="s">
        <v>2595</v>
      </c>
      <c r="C686" s="604" t="s">
        <v>1107</v>
      </c>
      <c r="D686" s="745">
        <v>2022</v>
      </c>
      <c r="E686" s="604" t="s">
        <v>2554</v>
      </c>
      <c r="F686" s="738">
        <v>0.4</v>
      </c>
      <c r="G686" s="739">
        <v>827.05</v>
      </c>
      <c r="H686" s="741">
        <v>0</v>
      </c>
      <c r="I686" s="742">
        <f t="shared" si="208"/>
        <v>827.05</v>
      </c>
      <c r="J686" s="740">
        <f t="shared" si="225"/>
        <v>165.41</v>
      </c>
      <c r="K686" s="739">
        <f t="shared" si="210"/>
        <v>165.41</v>
      </c>
      <c r="L686" s="860">
        <f t="shared" si="211"/>
        <v>661.64</v>
      </c>
      <c r="M686" s="740">
        <f t="shared" si="223"/>
        <v>330.82</v>
      </c>
      <c r="N686" s="604">
        <f t="shared" si="212"/>
        <v>330.82</v>
      </c>
      <c r="O686" s="604">
        <f t="shared" si="213"/>
        <v>0</v>
      </c>
      <c r="P686" s="604">
        <f t="shared" si="214"/>
        <v>0</v>
      </c>
      <c r="Q686" s="604">
        <f t="shared" si="215"/>
        <v>0</v>
      </c>
      <c r="R686" s="604">
        <f t="shared" si="216"/>
        <v>0</v>
      </c>
      <c r="S686" s="604">
        <f t="shared" si="217"/>
        <v>0</v>
      </c>
      <c r="T686" s="604">
        <f t="shared" si="218"/>
        <v>0</v>
      </c>
      <c r="U686" s="604">
        <f t="shared" si="219"/>
        <v>0</v>
      </c>
      <c r="V686" s="604">
        <f t="shared" si="220"/>
        <v>0</v>
      </c>
      <c r="W686" s="604">
        <f t="shared" si="221"/>
        <v>0</v>
      </c>
      <c r="X686" s="746">
        <v>0</v>
      </c>
      <c r="Y686" s="746">
        <f t="shared" si="222"/>
        <v>0</v>
      </c>
    </row>
    <row r="687" spans="2:25">
      <c r="B687" s="598" t="s">
        <v>2595</v>
      </c>
      <c r="C687" s="604" t="s">
        <v>1107</v>
      </c>
      <c r="D687" s="745">
        <v>2022</v>
      </c>
      <c r="E687" s="604" t="s">
        <v>2555</v>
      </c>
      <c r="F687" s="738">
        <v>0.4</v>
      </c>
      <c r="G687" s="739">
        <v>2000</v>
      </c>
      <c r="H687" s="741">
        <v>0</v>
      </c>
      <c r="I687" s="742">
        <f t="shared" ref="I687:I690" si="226">+G687-H687</f>
        <v>2000</v>
      </c>
      <c r="J687" s="740">
        <f t="shared" si="225"/>
        <v>400</v>
      </c>
      <c r="K687" s="739">
        <f t="shared" ref="K687:K690" si="227">+H687+J687</f>
        <v>400</v>
      </c>
      <c r="L687" s="860">
        <f t="shared" ref="L687:L690" si="228">+G687-K687</f>
        <v>1600</v>
      </c>
      <c r="M687" s="740">
        <f t="shared" si="223"/>
        <v>800</v>
      </c>
      <c r="N687" s="604">
        <f t="shared" si="212"/>
        <v>800</v>
      </c>
      <c r="O687" s="604">
        <f t="shared" si="213"/>
        <v>0</v>
      </c>
      <c r="P687" s="604">
        <f t="shared" si="214"/>
        <v>0</v>
      </c>
      <c r="Q687" s="604">
        <f t="shared" si="215"/>
        <v>0</v>
      </c>
      <c r="R687" s="604">
        <f t="shared" si="216"/>
        <v>0</v>
      </c>
      <c r="S687" s="604">
        <f t="shared" si="217"/>
        <v>0</v>
      </c>
      <c r="T687" s="604">
        <f t="shared" si="218"/>
        <v>0</v>
      </c>
      <c r="U687" s="604">
        <f t="shared" si="219"/>
        <v>0</v>
      </c>
      <c r="V687" s="604">
        <f t="shared" si="220"/>
        <v>0</v>
      </c>
      <c r="W687" s="604">
        <f t="shared" si="221"/>
        <v>0</v>
      </c>
      <c r="X687" s="746">
        <v>0</v>
      </c>
      <c r="Y687" s="746">
        <f t="shared" si="222"/>
        <v>0</v>
      </c>
    </row>
    <row r="688" spans="2:25">
      <c r="B688" s="598" t="s">
        <v>2595</v>
      </c>
      <c r="C688" s="604" t="s">
        <v>1107</v>
      </c>
      <c r="D688" s="745">
        <v>2022</v>
      </c>
      <c r="E688" s="604" t="s">
        <v>2556</v>
      </c>
      <c r="F688" s="738">
        <v>0</v>
      </c>
      <c r="G688" s="739">
        <v>51000</v>
      </c>
      <c r="H688" s="741">
        <v>0</v>
      </c>
      <c r="I688" s="742">
        <f t="shared" si="226"/>
        <v>51000</v>
      </c>
      <c r="J688" s="740">
        <f t="shared" si="225"/>
        <v>0</v>
      </c>
      <c r="K688" s="739">
        <f t="shared" si="227"/>
        <v>0</v>
      </c>
      <c r="L688" s="860">
        <v>0</v>
      </c>
      <c r="M688" s="740">
        <f t="shared" si="223"/>
        <v>0</v>
      </c>
      <c r="N688" s="604">
        <f t="shared" si="212"/>
        <v>0</v>
      </c>
      <c r="O688" s="604">
        <f t="shared" si="213"/>
        <v>0</v>
      </c>
      <c r="P688" s="604">
        <f t="shared" si="214"/>
        <v>0</v>
      </c>
      <c r="Q688" s="604">
        <f t="shared" si="215"/>
        <v>0</v>
      </c>
      <c r="R688" s="604">
        <f t="shared" si="216"/>
        <v>0</v>
      </c>
      <c r="S688" s="604">
        <f t="shared" si="217"/>
        <v>0</v>
      </c>
      <c r="T688" s="604">
        <f t="shared" si="218"/>
        <v>0</v>
      </c>
      <c r="U688" s="604">
        <f t="shared" si="219"/>
        <v>0</v>
      </c>
      <c r="V688" s="604">
        <f t="shared" si="220"/>
        <v>0</v>
      </c>
      <c r="W688" s="604">
        <f t="shared" si="221"/>
        <v>0</v>
      </c>
      <c r="X688" s="746">
        <v>0</v>
      </c>
      <c r="Y688" s="746">
        <f t="shared" si="222"/>
        <v>0</v>
      </c>
    </row>
    <row r="689" spans="2:26">
      <c r="B689" s="598" t="s">
        <v>2595</v>
      </c>
      <c r="C689" s="604" t="s">
        <v>1107</v>
      </c>
      <c r="D689" s="745">
        <v>2022</v>
      </c>
      <c r="E689" s="604" t="s">
        <v>3475</v>
      </c>
      <c r="F689" s="738">
        <v>0.4</v>
      </c>
      <c r="G689" s="739">
        <v>557.46</v>
      </c>
      <c r="H689" s="741"/>
      <c r="I689" s="742">
        <f t="shared" si="226"/>
        <v>557.46</v>
      </c>
      <c r="J689" s="740">
        <f t="shared" ref="J689" si="229">IF(I689=0,0,G689*F689/2)</f>
        <v>111.49200000000002</v>
      </c>
      <c r="K689" s="739">
        <f>+H689+J689</f>
        <v>111.49200000000002</v>
      </c>
      <c r="L689" s="860">
        <f t="shared" si="228"/>
        <v>445.96800000000002</v>
      </c>
      <c r="M689" s="740">
        <f>+IF(L689=0,0,G689*F689)</f>
        <v>222.98400000000004</v>
      </c>
      <c r="N689" s="604">
        <f t="shared" ref="N689" si="230">+IF(L689-M689&gt;0,G689*F689,0)</f>
        <v>222.98400000000004</v>
      </c>
      <c r="O689" s="604">
        <f t="shared" ref="O689" si="231">+IF(L689-SUM(M689:N689)&gt;0,G689*F689,0)</f>
        <v>0</v>
      </c>
      <c r="P689" s="604">
        <f t="shared" ref="P689" si="232">+IF(L689-SUM(M689:O689)&gt;0,G689*F689,0)</f>
        <v>0</v>
      </c>
      <c r="Q689" s="604">
        <f t="shared" ref="Q689" si="233">+IF(L689-SUM(M689:P689)&gt;0,G689*F689,0)</f>
        <v>0</v>
      </c>
      <c r="R689" s="604">
        <f t="shared" ref="R689" si="234">+IF(L689-SUM(M689:Q689)&gt;0,G689*F689,0)</f>
        <v>0</v>
      </c>
      <c r="S689" s="604">
        <f t="shared" ref="S689" si="235">+IF(L689-SUM(M689:R689)&gt;0,G689*F689,0)</f>
        <v>0</v>
      </c>
      <c r="T689" s="604">
        <f t="shared" ref="T689" si="236">+IF(L689-SUM(M689:S689)&gt;0,G689*F689,0)</f>
        <v>0</v>
      </c>
      <c r="U689" s="604">
        <f t="shared" ref="U689" si="237">+IF(L689-SUM(M689:T689)&gt;0,G689*F689,0)</f>
        <v>0</v>
      </c>
      <c r="V689" s="604">
        <f t="shared" ref="V689" si="238">+IF(L689-SUM(M689:U689)&gt;0,G689*F689,0)</f>
        <v>0</v>
      </c>
      <c r="W689" s="604">
        <f t="shared" ref="W689" si="239">+IF(L689-SUM(M689:V689)&gt;0,G689*F689,0)</f>
        <v>0</v>
      </c>
      <c r="X689" s="746">
        <v>0</v>
      </c>
      <c r="Y689" s="746">
        <f t="shared" ref="Y689" si="240">+SUM(M689:W689)-L689</f>
        <v>0</v>
      </c>
    </row>
    <row r="690" spans="2:26" ht="12.75" thickBot="1">
      <c r="B690" s="598" t="s">
        <v>2595</v>
      </c>
      <c r="C690" s="604" t="s">
        <v>1107</v>
      </c>
      <c r="D690" s="745">
        <v>2022</v>
      </c>
      <c r="E690" s="604" t="s">
        <v>2557</v>
      </c>
      <c r="F690" s="738">
        <v>0.4</v>
      </c>
      <c r="G690" s="739">
        <v>5800</v>
      </c>
      <c r="H690" s="741">
        <v>0</v>
      </c>
      <c r="I690" s="742">
        <f t="shared" si="226"/>
        <v>5800</v>
      </c>
      <c r="J690" s="740">
        <f t="shared" si="225"/>
        <v>1160</v>
      </c>
      <c r="K690" s="739">
        <f t="shared" si="227"/>
        <v>1160</v>
      </c>
      <c r="L690" s="861">
        <f t="shared" si="228"/>
        <v>4640</v>
      </c>
      <c r="M690" s="740">
        <f t="shared" si="223"/>
        <v>2320</v>
      </c>
      <c r="N690" s="604">
        <f t="shared" si="212"/>
        <v>2320</v>
      </c>
      <c r="O690" s="604">
        <f t="shared" si="213"/>
        <v>0</v>
      </c>
      <c r="P690" s="604">
        <f t="shared" si="214"/>
        <v>0</v>
      </c>
      <c r="Q690" s="604">
        <f t="shared" si="215"/>
        <v>0</v>
      </c>
      <c r="R690" s="604">
        <f t="shared" si="216"/>
        <v>0</v>
      </c>
      <c r="S690" s="604">
        <f t="shared" si="217"/>
        <v>0</v>
      </c>
      <c r="T690" s="604">
        <f t="shared" si="218"/>
        <v>0</v>
      </c>
      <c r="U690" s="604">
        <f t="shared" si="219"/>
        <v>0</v>
      </c>
      <c r="V690" s="604">
        <f t="shared" si="220"/>
        <v>0</v>
      </c>
      <c r="W690" s="604">
        <f t="shared" si="221"/>
        <v>0</v>
      </c>
      <c r="X690" s="746">
        <v>0</v>
      </c>
      <c r="Y690" s="746">
        <f t="shared" si="222"/>
        <v>0</v>
      </c>
    </row>
    <row r="691" spans="2:26">
      <c r="B691" s="598" t="s">
        <v>2595</v>
      </c>
      <c r="C691" s="604" t="s">
        <v>864</v>
      </c>
      <c r="D691" s="745">
        <v>1999</v>
      </c>
      <c r="E691" s="604" t="s">
        <v>3476</v>
      </c>
      <c r="F691" s="738">
        <v>0.15</v>
      </c>
      <c r="G691" s="739">
        <v>0</v>
      </c>
      <c r="H691" s="741"/>
      <c r="I691" s="742"/>
      <c r="J691" s="740"/>
      <c r="K691" s="739">
        <v>0</v>
      </c>
      <c r="L691" s="864">
        <f>+G691-K691</f>
        <v>0</v>
      </c>
      <c r="M691" s="740">
        <f t="shared" si="223"/>
        <v>0</v>
      </c>
      <c r="N691" s="604">
        <f t="shared" si="212"/>
        <v>0</v>
      </c>
      <c r="O691" s="604">
        <f t="shared" si="213"/>
        <v>0</v>
      </c>
      <c r="P691" s="604">
        <f t="shared" si="214"/>
        <v>0</v>
      </c>
      <c r="Q691" s="604">
        <f t="shared" si="215"/>
        <v>0</v>
      </c>
      <c r="R691" s="604">
        <f t="shared" si="216"/>
        <v>0</v>
      </c>
      <c r="S691" s="604">
        <f t="shared" si="217"/>
        <v>0</v>
      </c>
      <c r="T691" s="604">
        <f t="shared" si="218"/>
        <v>0</v>
      </c>
      <c r="U691" s="604">
        <f t="shared" si="219"/>
        <v>0</v>
      </c>
      <c r="V691" s="604">
        <f t="shared" si="220"/>
        <v>0</v>
      </c>
      <c r="W691" s="604">
        <f t="shared" si="221"/>
        <v>0</v>
      </c>
      <c r="X691" s="746">
        <v>0</v>
      </c>
      <c r="Y691" s="746">
        <f t="shared" si="222"/>
        <v>0</v>
      </c>
      <c r="Z691" s="746">
        <f>+SUM(L691:L1082)</f>
        <v>5117629.1499999994</v>
      </c>
    </row>
    <row r="692" spans="2:26">
      <c r="B692" s="598" t="s">
        <v>2595</v>
      </c>
      <c r="C692" s="604" t="s">
        <v>864</v>
      </c>
      <c r="D692" s="745"/>
      <c r="E692" s="604" t="s">
        <v>3477</v>
      </c>
      <c r="F692" s="738">
        <v>0.15</v>
      </c>
      <c r="G692" s="739">
        <v>0</v>
      </c>
      <c r="H692" s="741"/>
      <c r="I692" s="742"/>
      <c r="J692" s="740"/>
      <c r="K692" s="739">
        <v>0</v>
      </c>
      <c r="L692" s="864">
        <f t="shared" ref="L692:L755" si="241">+G692-K692</f>
        <v>0</v>
      </c>
      <c r="M692" s="740">
        <f t="shared" si="223"/>
        <v>0</v>
      </c>
      <c r="N692" s="604">
        <f t="shared" si="212"/>
        <v>0</v>
      </c>
      <c r="O692" s="604">
        <f t="shared" si="213"/>
        <v>0</v>
      </c>
      <c r="P692" s="604">
        <f t="shared" si="214"/>
        <v>0</v>
      </c>
      <c r="Q692" s="604">
        <f t="shared" si="215"/>
        <v>0</v>
      </c>
      <c r="R692" s="604">
        <f t="shared" si="216"/>
        <v>0</v>
      </c>
      <c r="S692" s="604">
        <f t="shared" si="217"/>
        <v>0</v>
      </c>
      <c r="T692" s="604">
        <f t="shared" si="218"/>
        <v>0</v>
      </c>
      <c r="U692" s="604">
        <f t="shared" si="219"/>
        <v>0</v>
      </c>
      <c r="V692" s="604">
        <f t="shared" si="220"/>
        <v>0</v>
      </c>
      <c r="W692" s="604">
        <f t="shared" si="221"/>
        <v>0</v>
      </c>
      <c r="X692" s="746">
        <v>0</v>
      </c>
      <c r="Y692" s="746">
        <f t="shared" si="222"/>
        <v>0</v>
      </c>
      <c r="Z692" s="746">
        <f>+Z691-BdV!I25-BdV!I30</f>
        <v>0</v>
      </c>
    </row>
    <row r="693" spans="2:26">
      <c r="B693" s="598" t="s">
        <v>2595</v>
      </c>
      <c r="C693" s="604" t="s">
        <v>864</v>
      </c>
      <c r="D693" s="745">
        <v>2000</v>
      </c>
      <c r="E693" s="604" t="s">
        <v>3478</v>
      </c>
      <c r="F693" s="738">
        <v>0.15</v>
      </c>
      <c r="G693" s="739">
        <v>0</v>
      </c>
      <c r="H693" s="741"/>
      <c r="I693" s="742"/>
      <c r="J693" s="740"/>
      <c r="K693" s="739">
        <v>0</v>
      </c>
      <c r="L693" s="864">
        <f t="shared" si="241"/>
        <v>0</v>
      </c>
      <c r="M693" s="740">
        <f t="shared" si="223"/>
        <v>0</v>
      </c>
      <c r="N693" s="604">
        <f t="shared" si="212"/>
        <v>0</v>
      </c>
      <c r="O693" s="604">
        <f t="shared" si="213"/>
        <v>0</v>
      </c>
      <c r="P693" s="604">
        <f t="shared" si="214"/>
        <v>0</v>
      </c>
      <c r="Q693" s="604">
        <f t="shared" si="215"/>
        <v>0</v>
      </c>
      <c r="R693" s="604">
        <f t="shared" si="216"/>
        <v>0</v>
      </c>
      <c r="S693" s="604">
        <f t="shared" si="217"/>
        <v>0</v>
      </c>
      <c r="T693" s="604">
        <f t="shared" si="218"/>
        <v>0</v>
      </c>
      <c r="U693" s="604">
        <f t="shared" si="219"/>
        <v>0</v>
      </c>
      <c r="V693" s="604">
        <f t="shared" si="220"/>
        <v>0</v>
      </c>
      <c r="W693" s="604">
        <f t="shared" si="221"/>
        <v>0</v>
      </c>
      <c r="X693" s="746">
        <v>0</v>
      </c>
      <c r="Y693" s="746">
        <f t="shared" si="222"/>
        <v>0</v>
      </c>
    </row>
    <row r="694" spans="2:26">
      <c r="B694" s="598" t="s">
        <v>2595</v>
      </c>
      <c r="C694" s="604" t="s">
        <v>864</v>
      </c>
      <c r="D694" s="745"/>
      <c r="E694" s="604" t="s">
        <v>3479</v>
      </c>
      <c r="F694" s="738">
        <v>0.15</v>
      </c>
      <c r="G694" s="739">
        <v>0</v>
      </c>
      <c r="H694" s="741"/>
      <c r="I694" s="742"/>
      <c r="J694" s="740"/>
      <c r="K694" s="739">
        <v>0</v>
      </c>
      <c r="L694" s="864">
        <f t="shared" si="241"/>
        <v>0</v>
      </c>
      <c r="M694" s="740">
        <f t="shared" si="223"/>
        <v>0</v>
      </c>
      <c r="N694" s="604">
        <f t="shared" si="212"/>
        <v>0</v>
      </c>
      <c r="O694" s="604">
        <f t="shared" si="213"/>
        <v>0</v>
      </c>
      <c r="P694" s="604">
        <f t="shared" si="214"/>
        <v>0</v>
      </c>
      <c r="Q694" s="604">
        <f t="shared" si="215"/>
        <v>0</v>
      </c>
      <c r="R694" s="604">
        <f t="shared" si="216"/>
        <v>0</v>
      </c>
      <c r="S694" s="604">
        <f t="shared" si="217"/>
        <v>0</v>
      </c>
      <c r="T694" s="604">
        <f t="shared" si="218"/>
        <v>0</v>
      </c>
      <c r="U694" s="604">
        <f t="shared" si="219"/>
        <v>0</v>
      </c>
      <c r="V694" s="604">
        <f t="shared" si="220"/>
        <v>0</v>
      </c>
      <c r="W694" s="604">
        <f t="shared" si="221"/>
        <v>0</v>
      </c>
      <c r="X694" s="746">
        <v>0</v>
      </c>
      <c r="Y694" s="746">
        <f t="shared" si="222"/>
        <v>0</v>
      </c>
    </row>
    <row r="695" spans="2:26">
      <c r="B695" s="598" t="s">
        <v>2595</v>
      </c>
      <c r="C695" s="604" t="s">
        <v>864</v>
      </c>
      <c r="D695" s="745">
        <v>2001</v>
      </c>
      <c r="E695" s="604" t="s">
        <v>3476</v>
      </c>
      <c r="F695" s="738">
        <v>0.15</v>
      </c>
      <c r="G695" s="739">
        <v>0</v>
      </c>
      <c r="H695" s="741"/>
      <c r="I695" s="742"/>
      <c r="J695" s="740"/>
      <c r="K695" s="739">
        <v>0</v>
      </c>
      <c r="L695" s="864">
        <f t="shared" si="241"/>
        <v>0</v>
      </c>
      <c r="M695" s="740">
        <f t="shared" si="223"/>
        <v>0</v>
      </c>
      <c r="N695" s="604">
        <f t="shared" si="212"/>
        <v>0</v>
      </c>
      <c r="O695" s="604">
        <f t="shared" si="213"/>
        <v>0</v>
      </c>
      <c r="P695" s="604">
        <f t="shared" si="214"/>
        <v>0</v>
      </c>
      <c r="Q695" s="604">
        <f t="shared" si="215"/>
        <v>0</v>
      </c>
      <c r="R695" s="604">
        <f t="shared" si="216"/>
        <v>0</v>
      </c>
      <c r="S695" s="604">
        <f t="shared" si="217"/>
        <v>0</v>
      </c>
      <c r="T695" s="604">
        <f t="shared" si="218"/>
        <v>0</v>
      </c>
      <c r="U695" s="604">
        <f t="shared" si="219"/>
        <v>0</v>
      </c>
      <c r="V695" s="604">
        <f t="shared" si="220"/>
        <v>0</v>
      </c>
      <c r="W695" s="604">
        <f t="shared" si="221"/>
        <v>0</v>
      </c>
      <c r="X695" s="746">
        <v>0</v>
      </c>
      <c r="Y695" s="746">
        <f t="shared" si="222"/>
        <v>0</v>
      </c>
    </row>
    <row r="696" spans="2:26">
      <c r="B696" s="598" t="s">
        <v>2595</v>
      </c>
      <c r="C696" s="604" t="s">
        <v>864</v>
      </c>
      <c r="D696" s="745">
        <v>2001</v>
      </c>
      <c r="E696" s="604" t="s">
        <v>3480</v>
      </c>
      <c r="F696" s="738">
        <v>0.15</v>
      </c>
      <c r="G696" s="739">
        <v>0</v>
      </c>
      <c r="H696" s="741"/>
      <c r="I696" s="742"/>
      <c r="J696" s="740"/>
      <c r="K696" s="739">
        <v>0</v>
      </c>
      <c r="L696" s="864">
        <f t="shared" si="241"/>
        <v>0</v>
      </c>
      <c r="M696" s="740">
        <f t="shared" si="223"/>
        <v>0</v>
      </c>
      <c r="N696" s="604">
        <f t="shared" si="212"/>
        <v>0</v>
      </c>
      <c r="O696" s="604">
        <f t="shared" si="213"/>
        <v>0</v>
      </c>
      <c r="P696" s="604">
        <f t="shared" si="214"/>
        <v>0</v>
      </c>
      <c r="Q696" s="604">
        <f t="shared" si="215"/>
        <v>0</v>
      </c>
      <c r="R696" s="604">
        <f t="shared" si="216"/>
        <v>0</v>
      </c>
      <c r="S696" s="604">
        <f t="shared" si="217"/>
        <v>0</v>
      </c>
      <c r="T696" s="604">
        <f t="shared" si="218"/>
        <v>0</v>
      </c>
      <c r="U696" s="604">
        <f t="shared" si="219"/>
        <v>0</v>
      </c>
      <c r="V696" s="604">
        <f t="shared" si="220"/>
        <v>0</v>
      </c>
      <c r="W696" s="604">
        <f t="shared" si="221"/>
        <v>0</v>
      </c>
      <c r="X696" s="746">
        <v>0</v>
      </c>
      <c r="Y696" s="746">
        <f t="shared" si="222"/>
        <v>0</v>
      </c>
    </row>
    <row r="697" spans="2:26">
      <c r="B697" s="598" t="s">
        <v>2595</v>
      </c>
      <c r="C697" s="604" t="s">
        <v>864</v>
      </c>
      <c r="D697" s="745">
        <v>2002</v>
      </c>
      <c r="E697" s="604" t="s">
        <v>3481</v>
      </c>
      <c r="F697" s="738">
        <v>0.15</v>
      </c>
      <c r="G697" s="739">
        <v>0</v>
      </c>
      <c r="H697" s="741"/>
      <c r="I697" s="742"/>
      <c r="J697" s="740"/>
      <c r="K697" s="739">
        <v>0</v>
      </c>
      <c r="L697" s="864">
        <f t="shared" si="241"/>
        <v>0</v>
      </c>
      <c r="M697" s="740">
        <f t="shared" si="223"/>
        <v>0</v>
      </c>
      <c r="N697" s="604">
        <f t="shared" si="212"/>
        <v>0</v>
      </c>
      <c r="O697" s="604">
        <f t="shared" si="213"/>
        <v>0</v>
      </c>
      <c r="P697" s="604">
        <f t="shared" si="214"/>
        <v>0</v>
      </c>
      <c r="Q697" s="604">
        <f t="shared" si="215"/>
        <v>0</v>
      </c>
      <c r="R697" s="604">
        <f t="shared" si="216"/>
        <v>0</v>
      </c>
      <c r="S697" s="604">
        <f t="shared" si="217"/>
        <v>0</v>
      </c>
      <c r="T697" s="604">
        <f t="shared" si="218"/>
        <v>0</v>
      </c>
      <c r="U697" s="604">
        <f t="shared" si="219"/>
        <v>0</v>
      </c>
      <c r="V697" s="604">
        <f t="shared" si="220"/>
        <v>0</v>
      </c>
      <c r="W697" s="604">
        <f t="shared" si="221"/>
        <v>0</v>
      </c>
      <c r="X697" s="746">
        <v>0</v>
      </c>
      <c r="Y697" s="746">
        <f t="shared" si="222"/>
        <v>0</v>
      </c>
    </row>
    <row r="698" spans="2:26">
      <c r="B698" s="598" t="s">
        <v>2595</v>
      </c>
      <c r="C698" s="604" t="s">
        <v>864</v>
      </c>
      <c r="D698" s="745">
        <v>2002</v>
      </c>
      <c r="E698" s="604" t="s">
        <v>3482</v>
      </c>
      <c r="F698" s="738">
        <v>0.15</v>
      </c>
      <c r="G698" s="739">
        <v>0</v>
      </c>
      <c r="H698" s="741"/>
      <c r="I698" s="742"/>
      <c r="J698" s="740"/>
      <c r="K698" s="739">
        <v>0</v>
      </c>
      <c r="L698" s="864">
        <f t="shared" si="241"/>
        <v>0</v>
      </c>
      <c r="M698" s="740">
        <f t="shared" si="223"/>
        <v>0</v>
      </c>
      <c r="N698" s="604">
        <f t="shared" si="212"/>
        <v>0</v>
      </c>
      <c r="O698" s="604">
        <f t="shared" si="213"/>
        <v>0</v>
      </c>
      <c r="P698" s="604">
        <f t="shared" si="214"/>
        <v>0</v>
      </c>
      <c r="Q698" s="604">
        <f t="shared" si="215"/>
        <v>0</v>
      </c>
      <c r="R698" s="604">
        <f t="shared" si="216"/>
        <v>0</v>
      </c>
      <c r="S698" s="604">
        <f t="shared" si="217"/>
        <v>0</v>
      </c>
      <c r="T698" s="604">
        <f t="shared" si="218"/>
        <v>0</v>
      </c>
      <c r="U698" s="604">
        <f t="shared" si="219"/>
        <v>0</v>
      </c>
      <c r="V698" s="604">
        <f t="shared" si="220"/>
        <v>0</v>
      </c>
      <c r="W698" s="604">
        <f t="shared" si="221"/>
        <v>0</v>
      </c>
      <c r="X698" s="746">
        <v>0</v>
      </c>
      <c r="Y698" s="746">
        <f t="shared" si="222"/>
        <v>0</v>
      </c>
    </row>
    <row r="699" spans="2:26">
      <c r="B699" s="598" t="s">
        <v>2595</v>
      </c>
      <c r="C699" s="604" t="s">
        <v>864</v>
      </c>
      <c r="D699" s="745">
        <v>2003</v>
      </c>
      <c r="E699" s="604" t="s">
        <v>3482</v>
      </c>
      <c r="F699" s="738">
        <v>0.15</v>
      </c>
      <c r="G699" s="739">
        <v>0</v>
      </c>
      <c r="H699" s="741"/>
      <c r="I699" s="742"/>
      <c r="J699" s="740"/>
      <c r="K699" s="739">
        <v>0</v>
      </c>
      <c r="L699" s="864">
        <f t="shared" si="241"/>
        <v>0</v>
      </c>
      <c r="M699" s="740">
        <f t="shared" si="223"/>
        <v>0</v>
      </c>
      <c r="N699" s="604">
        <f t="shared" si="212"/>
        <v>0</v>
      </c>
      <c r="O699" s="604">
        <f t="shared" si="213"/>
        <v>0</v>
      </c>
      <c r="P699" s="604">
        <f t="shared" si="214"/>
        <v>0</v>
      </c>
      <c r="Q699" s="604">
        <f t="shared" si="215"/>
        <v>0</v>
      </c>
      <c r="R699" s="604">
        <f t="shared" si="216"/>
        <v>0</v>
      </c>
      <c r="S699" s="604">
        <f t="shared" si="217"/>
        <v>0</v>
      </c>
      <c r="T699" s="604">
        <f t="shared" si="218"/>
        <v>0</v>
      </c>
      <c r="U699" s="604">
        <f t="shared" si="219"/>
        <v>0</v>
      </c>
      <c r="V699" s="604">
        <f t="shared" si="220"/>
        <v>0</v>
      </c>
      <c r="W699" s="604">
        <f t="shared" si="221"/>
        <v>0</v>
      </c>
      <c r="X699" s="746">
        <v>0</v>
      </c>
      <c r="Y699" s="746">
        <f t="shared" si="222"/>
        <v>0</v>
      </c>
    </row>
    <row r="700" spans="2:26">
      <c r="B700" s="598" t="s">
        <v>2595</v>
      </c>
      <c r="C700" s="604" t="s">
        <v>864</v>
      </c>
      <c r="D700" s="745">
        <v>2003</v>
      </c>
      <c r="E700" s="604" t="s">
        <v>3483</v>
      </c>
      <c r="F700" s="738">
        <v>0.15</v>
      </c>
      <c r="G700" s="739">
        <v>0</v>
      </c>
      <c r="H700" s="741"/>
      <c r="I700" s="742"/>
      <c r="J700" s="740"/>
      <c r="K700" s="739">
        <v>0</v>
      </c>
      <c r="L700" s="864">
        <f t="shared" si="241"/>
        <v>0</v>
      </c>
      <c r="M700" s="740">
        <f t="shared" si="223"/>
        <v>0</v>
      </c>
      <c r="N700" s="604">
        <f t="shared" si="212"/>
        <v>0</v>
      </c>
      <c r="O700" s="604">
        <f t="shared" si="213"/>
        <v>0</v>
      </c>
      <c r="P700" s="604">
        <f t="shared" si="214"/>
        <v>0</v>
      </c>
      <c r="Q700" s="604">
        <f t="shared" si="215"/>
        <v>0</v>
      </c>
      <c r="R700" s="604">
        <f t="shared" si="216"/>
        <v>0</v>
      </c>
      <c r="S700" s="604">
        <f t="shared" si="217"/>
        <v>0</v>
      </c>
      <c r="T700" s="604">
        <f t="shared" si="218"/>
        <v>0</v>
      </c>
      <c r="U700" s="604">
        <f t="shared" si="219"/>
        <v>0</v>
      </c>
      <c r="V700" s="604">
        <f t="shared" si="220"/>
        <v>0</v>
      </c>
      <c r="W700" s="604">
        <f t="shared" si="221"/>
        <v>0</v>
      </c>
      <c r="X700" s="746">
        <v>0</v>
      </c>
      <c r="Y700" s="746">
        <f t="shared" si="222"/>
        <v>0</v>
      </c>
    </row>
    <row r="701" spans="2:26">
      <c r="B701" s="598" t="s">
        <v>2595</v>
      </c>
      <c r="C701" s="604" t="s">
        <v>864</v>
      </c>
      <c r="D701" s="745">
        <v>2003</v>
      </c>
      <c r="E701" s="604" t="s">
        <v>3484</v>
      </c>
      <c r="F701" s="738">
        <v>0.15</v>
      </c>
      <c r="G701" s="739">
        <v>0</v>
      </c>
      <c r="H701" s="741"/>
      <c r="I701" s="742"/>
      <c r="J701" s="740"/>
      <c r="K701" s="739">
        <v>0</v>
      </c>
      <c r="L701" s="864">
        <f t="shared" si="241"/>
        <v>0</v>
      </c>
      <c r="M701" s="740">
        <f t="shared" si="223"/>
        <v>0</v>
      </c>
      <c r="N701" s="604">
        <f t="shared" si="212"/>
        <v>0</v>
      </c>
      <c r="O701" s="604">
        <f t="shared" si="213"/>
        <v>0</v>
      </c>
      <c r="P701" s="604">
        <f t="shared" si="214"/>
        <v>0</v>
      </c>
      <c r="Q701" s="604">
        <f t="shared" si="215"/>
        <v>0</v>
      </c>
      <c r="R701" s="604">
        <f t="shared" si="216"/>
        <v>0</v>
      </c>
      <c r="S701" s="604">
        <f t="shared" si="217"/>
        <v>0</v>
      </c>
      <c r="T701" s="604">
        <f t="shared" si="218"/>
        <v>0</v>
      </c>
      <c r="U701" s="604">
        <f t="shared" si="219"/>
        <v>0</v>
      </c>
      <c r="V701" s="604">
        <f t="shared" si="220"/>
        <v>0</v>
      </c>
      <c r="W701" s="604">
        <f t="shared" si="221"/>
        <v>0</v>
      </c>
      <c r="X701" s="746">
        <v>0</v>
      </c>
      <c r="Y701" s="746">
        <f t="shared" si="222"/>
        <v>0</v>
      </c>
    </row>
    <row r="702" spans="2:26">
      <c r="B702" s="598" t="s">
        <v>2595</v>
      </c>
      <c r="C702" s="604" t="s">
        <v>864</v>
      </c>
      <c r="D702" s="745">
        <v>2003</v>
      </c>
      <c r="E702" s="604" t="s">
        <v>3484</v>
      </c>
      <c r="F702" s="738">
        <v>0.15</v>
      </c>
      <c r="G702" s="739">
        <v>0</v>
      </c>
      <c r="H702" s="741"/>
      <c r="I702" s="742"/>
      <c r="J702" s="740"/>
      <c r="K702" s="739">
        <v>0</v>
      </c>
      <c r="L702" s="864">
        <f t="shared" si="241"/>
        <v>0</v>
      </c>
      <c r="M702" s="740">
        <f t="shared" si="223"/>
        <v>0</v>
      </c>
      <c r="N702" s="604">
        <f t="shared" si="212"/>
        <v>0</v>
      </c>
      <c r="O702" s="604">
        <f t="shared" si="213"/>
        <v>0</v>
      </c>
      <c r="P702" s="604">
        <f t="shared" si="214"/>
        <v>0</v>
      </c>
      <c r="Q702" s="604">
        <f t="shared" si="215"/>
        <v>0</v>
      </c>
      <c r="R702" s="604">
        <f t="shared" si="216"/>
        <v>0</v>
      </c>
      <c r="S702" s="604">
        <f t="shared" si="217"/>
        <v>0</v>
      </c>
      <c r="T702" s="604">
        <f t="shared" si="218"/>
        <v>0</v>
      </c>
      <c r="U702" s="604">
        <f t="shared" si="219"/>
        <v>0</v>
      </c>
      <c r="V702" s="604">
        <f t="shared" si="220"/>
        <v>0</v>
      </c>
      <c r="W702" s="604">
        <f t="shared" si="221"/>
        <v>0</v>
      </c>
      <c r="X702" s="746">
        <v>0</v>
      </c>
      <c r="Y702" s="746">
        <f t="shared" si="222"/>
        <v>0</v>
      </c>
    </row>
    <row r="703" spans="2:26">
      <c r="B703" s="598" t="s">
        <v>2595</v>
      </c>
      <c r="C703" s="604" t="s">
        <v>864</v>
      </c>
      <c r="D703" s="745">
        <v>2004</v>
      </c>
      <c r="E703" s="604" t="s">
        <v>3485</v>
      </c>
      <c r="F703" s="738">
        <v>0.15</v>
      </c>
      <c r="G703" s="739">
        <v>0</v>
      </c>
      <c r="H703" s="741"/>
      <c r="I703" s="742"/>
      <c r="J703" s="740"/>
      <c r="K703" s="739">
        <v>0</v>
      </c>
      <c r="L703" s="864">
        <f t="shared" si="241"/>
        <v>0</v>
      </c>
      <c r="M703" s="740">
        <f t="shared" si="223"/>
        <v>0</v>
      </c>
      <c r="N703" s="604">
        <f t="shared" si="212"/>
        <v>0</v>
      </c>
      <c r="O703" s="604">
        <f t="shared" si="213"/>
        <v>0</v>
      </c>
      <c r="P703" s="604">
        <f t="shared" si="214"/>
        <v>0</v>
      </c>
      <c r="Q703" s="604">
        <f t="shared" si="215"/>
        <v>0</v>
      </c>
      <c r="R703" s="604">
        <f t="shared" si="216"/>
        <v>0</v>
      </c>
      <c r="S703" s="604">
        <f t="shared" si="217"/>
        <v>0</v>
      </c>
      <c r="T703" s="604">
        <f t="shared" si="218"/>
        <v>0</v>
      </c>
      <c r="U703" s="604">
        <f t="shared" si="219"/>
        <v>0</v>
      </c>
      <c r="V703" s="604">
        <f t="shared" si="220"/>
        <v>0</v>
      </c>
      <c r="W703" s="604">
        <f t="shared" si="221"/>
        <v>0</v>
      </c>
      <c r="X703" s="746">
        <v>0</v>
      </c>
      <c r="Y703" s="746">
        <f t="shared" si="222"/>
        <v>0</v>
      </c>
    </row>
    <row r="704" spans="2:26">
      <c r="B704" s="598" t="s">
        <v>2595</v>
      </c>
      <c r="C704" s="604" t="s">
        <v>864</v>
      </c>
      <c r="D704" s="745">
        <v>2012</v>
      </c>
      <c r="E704" s="604" t="s">
        <v>3486</v>
      </c>
      <c r="F704" s="738">
        <v>0.15</v>
      </c>
      <c r="G704" s="739">
        <v>0</v>
      </c>
      <c r="H704" s="741"/>
      <c r="I704" s="742"/>
      <c r="J704" s="740"/>
      <c r="K704" s="739">
        <v>0</v>
      </c>
      <c r="L704" s="864">
        <f t="shared" si="241"/>
        <v>0</v>
      </c>
      <c r="M704" s="740">
        <f t="shared" si="223"/>
        <v>0</v>
      </c>
      <c r="N704" s="604">
        <f t="shared" si="212"/>
        <v>0</v>
      </c>
      <c r="O704" s="604">
        <f t="shared" si="213"/>
        <v>0</v>
      </c>
      <c r="P704" s="604">
        <f t="shared" si="214"/>
        <v>0</v>
      </c>
      <c r="Q704" s="604">
        <f t="shared" si="215"/>
        <v>0</v>
      </c>
      <c r="R704" s="604">
        <f t="shared" si="216"/>
        <v>0</v>
      </c>
      <c r="S704" s="604">
        <f t="shared" si="217"/>
        <v>0</v>
      </c>
      <c r="T704" s="604">
        <f t="shared" si="218"/>
        <v>0</v>
      </c>
      <c r="U704" s="604">
        <f t="shared" si="219"/>
        <v>0</v>
      </c>
      <c r="V704" s="604">
        <f t="shared" si="220"/>
        <v>0</v>
      </c>
      <c r="W704" s="604">
        <f t="shared" si="221"/>
        <v>0</v>
      </c>
      <c r="X704" s="746">
        <v>0</v>
      </c>
      <c r="Y704" s="746">
        <f t="shared" si="222"/>
        <v>0</v>
      </c>
    </row>
    <row r="705" spans="2:25">
      <c r="B705" s="598" t="s">
        <v>2595</v>
      </c>
      <c r="C705" s="604" t="s">
        <v>864</v>
      </c>
      <c r="D705" s="745">
        <v>2004</v>
      </c>
      <c r="E705" s="604" t="s">
        <v>872</v>
      </c>
      <c r="F705" s="738">
        <v>0.15</v>
      </c>
      <c r="G705" s="739">
        <v>0</v>
      </c>
      <c r="H705" s="741"/>
      <c r="I705" s="742"/>
      <c r="J705" s="740"/>
      <c r="K705" s="739">
        <v>0</v>
      </c>
      <c r="L705" s="864">
        <f t="shared" si="241"/>
        <v>0</v>
      </c>
      <c r="M705" s="740">
        <f t="shared" si="223"/>
        <v>0</v>
      </c>
      <c r="N705" s="604">
        <f t="shared" si="212"/>
        <v>0</v>
      </c>
      <c r="O705" s="604">
        <f t="shared" si="213"/>
        <v>0</v>
      </c>
      <c r="P705" s="604">
        <f t="shared" si="214"/>
        <v>0</v>
      </c>
      <c r="Q705" s="604">
        <f t="shared" si="215"/>
        <v>0</v>
      </c>
      <c r="R705" s="604">
        <f t="shared" si="216"/>
        <v>0</v>
      </c>
      <c r="S705" s="604">
        <f t="shared" si="217"/>
        <v>0</v>
      </c>
      <c r="T705" s="604">
        <f t="shared" si="218"/>
        <v>0</v>
      </c>
      <c r="U705" s="604">
        <f t="shared" si="219"/>
        <v>0</v>
      </c>
      <c r="V705" s="604">
        <f t="shared" si="220"/>
        <v>0</v>
      </c>
      <c r="W705" s="604">
        <f t="shared" si="221"/>
        <v>0</v>
      </c>
      <c r="X705" s="746">
        <v>0</v>
      </c>
      <c r="Y705" s="746">
        <f t="shared" si="222"/>
        <v>0</v>
      </c>
    </row>
    <row r="706" spans="2:25">
      <c r="B706" s="598" t="s">
        <v>2595</v>
      </c>
      <c r="C706" s="604" t="s">
        <v>864</v>
      </c>
      <c r="D706" s="745">
        <v>2005</v>
      </c>
      <c r="E706" s="604" t="s">
        <v>3485</v>
      </c>
      <c r="F706" s="738">
        <v>0.15</v>
      </c>
      <c r="G706" s="739">
        <v>0</v>
      </c>
      <c r="H706" s="741"/>
      <c r="I706" s="742"/>
      <c r="J706" s="740"/>
      <c r="K706" s="739">
        <v>0</v>
      </c>
      <c r="L706" s="864">
        <f t="shared" si="241"/>
        <v>0</v>
      </c>
      <c r="M706" s="740">
        <f t="shared" si="223"/>
        <v>0</v>
      </c>
      <c r="N706" s="604">
        <f t="shared" si="212"/>
        <v>0</v>
      </c>
      <c r="O706" s="604">
        <f t="shared" si="213"/>
        <v>0</v>
      </c>
      <c r="P706" s="604">
        <f t="shared" si="214"/>
        <v>0</v>
      </c>
      <c r="Q706" s="604">
        <f t="shared" si="215"/>
        <v>0</v>
      </c>
      <c r="R706" s="604">
        <f t="shared" si="216"/>
        <v>0</v>
      </c>
      <c r="S706" s="604">
        <f t="shared" si="217"/>
        <v>0</v>
      </c>
      <c r="T706" s="604">
        <f t="shared" si="218"/>
        <v>0</v>
      </c>
      <c r="U706" s="604">
        <f t="shared" si="219"/>
        <v>0</v>
      </c>
      <c r="V706" s="604">
        <f t="shared" si="220"/>
        <v>0</v>
      </c>
      <c r="W706" s="604">
        <f t="shared" si="221"/>
        <v>0</v>
      </c>
      <c r="X706" s="746">
        <v>0</v>
      </c>
      <c r="Y706" s="746">
        <f t="shared" si="222"/>
        <v>0</v>
      </c>
    </row>
    <row r="707" spans="2:25">
      <c r="B707" s="598" t="s">
        <v>2595</v>
      </c>
      <c r="C707" s="604" t="s">
        <v>864</v>
      </c>
      <c r="D707" s="745">
        <v>2005</v>
      </c>
      <c r="E707" s="604" t="s">
        <v>3487</v>
      </c>
      <c r="F707" s="738">
        <v>0.15</v>
      </c>
      <c r="G707" s="739">
        <v>0</v>
      </c>
      <c r="H707" s="741"/>
      <c r="I707" s="742"/>
      <c r="J707" s="740"/>
      <c r="K707" s="739">
        <v>0</v>
      </c>
      <c r="L707" s="864">
        <f t="shared" si="241"/>
        <v>0</v>
      </c>
      <c r="M707" s="740">
        <f t="shared" si="223"/>
        <v>0</v>
      </c>
      <c r="N707" s="604">
        <f t="shared" si="212"/>
        <v>0</v>
      </c>
      <c r="O707" s="604">
        <f t="shared" si="213"/>
        <v>0</v>
      </c>
      <c r="P707" s="604">
        <f t="shared" si="214"/>
        <v>0</v>
      </c>
      <c r="Q707" s="604">
        <f t="shared" si="215"/>
        <v>0</v>
      </c>
      <c r="R707" s="604">
        <f t="shared" si="216"/>
        <v>0</v>
      </c>
      <c r="S707" s="604">
        <f t="shared" si="217"/>
        <v>0</v>
      </c>
      <c r="T707" s="604">
        <f t="shared" si="218"/>
        <v>0</v>
      </c>
      <c r="U707" s="604">
        <f t="shared" si="219"/>
        <v>0</v>
      </c>
      <c r="V707" s="604">
        <f t="shared" si="220"/>
        <v>0</v>
      </c>
      <c r="W707" s="604">
        <f t="shared" si="221"/>
        <v>0</v>
      </c>
      <c r="X707" s="746">
        <v>0</v>
      </c>
      <c r="Y707" s="746">
        <f t="shared" si="222"/>
        <v>0</v>
      </c>
    </row>
    <row r="708" spans="2:25">
      <c r="B708" s="598" t="s">
        <v>2595</v>
      </c>
      <c r="C708" s="604" t="s">
        <v>864</v>
      </c>
      <c r="D708" s="745">
        <v>2005</v>
      </c>
      <c r="E708" s="604" t="s">
        <v>3488</v>
      </c>
      <c r="F708" s="738">
        <v>0.15</v>
      </c>
      <c r="G708" s="739">
        <v>0</v>
      </c>
      <c r="H708" s="741"/>
      <c r="I708" s="742"/>
      <c r="J708" s="740"/>
      <c r="K708" s="739">
        <v>0</v>
      </c>
      <c r="L708" s="864">
        <f t="shared" si="241"/>
        <v>0</v>
      </c>
      <c r="M708" s="740">
        <f t="shared" si="223"/>
        <v>0</v>
      </c>
      <c r="N708" s="604">
        <f t="shared" si="212"/>
        <v>0</v>
      </c>
      <c r="O708" s="604">
        <f t="shared" si="213"/>
        <v>0</v>
      </c>
      <c r="P708" s="604">
        <f t="shared" si="214"/>
        <v>0</v>
      </c>
      <c r="Q708" s="604">
        <f t="shared" si="215"/>
        <v>0</v>
      </c>
      <c r="R708" s="604">
        <f t="shared" si="216"/>
        <v>0</v>
      </c>
      <c r="S708" s="604">
        <f t="shared" si="217"/>
        <v>0</v>
      </c>
      <c r="T708" s="604">
        <f t="shared" si="218"/>
        <v>0</v>
      </c>
      <c r="U708" s="604">
        <f t="shared" si="219"/>
        <v>0</v>
      </c>
      <c r="V708" s="604">
        <f t="shared" si="220"/>
        <v>0</v>
      </c>
      <c r="W708" s="604">
        <f t="shared" si="221"/>
        <v>0</v>
      </c>
      <c r="X708" s="746">
        <v>0</v>
      </c>
      <c r="Y708" s="746">
        <f t="shared" si="222"/>
        <v>0</v>
      </c>
    </row>
    <row r="709" spans="2:25">
      <c r="B709" s="598" t="s">
        <v>2595</v>
      </c>
      <c r="C709" s="604" t="s">
        <v>864</v>
      </c>
      <c r="D709" s="745">
        <v>2005</v>
      </c>
      <c r="E709" s="604" t="s">
        <v>3489</v>
      </c>
      <c r="F709" s="738">
        <v>0.15</v>
      </c>
      <c r="G709" s="739">
        <v>5422</v>
      </c>
      <c r="H709" s="741"/>
      <c r="I709" s="742"/>
      <c r="J709" s="740"/>
      <c r="K709" s="739">
        <v>5422</v>
      </c>
      <c r="L709" s="864">
        <f t="shared" si="241"/>
        <v>0</v>
      </c>
      <c r="M709" s="740">
        <f>+IF(L709=0,0,G709*F709)</f>
        <v>0</v>
      </c>
      <c r="N709" s="604">
        <f t="shared" si="212"/>
        <v>0</v>
      </c>
      <c r="O709" s="604">
        <f t="shared" si="213"/>
        <v>0</v>
      </c>
      <c r="P709" s="604">
        <f t="shared" si="214"/>
        <v>0</v>
      </c>
      <c r="Q709" s="604">
        <f t="shared" si="215"/>
        <v>0</v>
      </c>
      <c r="R709" s="604">
        <f t="shared" si="216"/>
        <v>0</v>
      </c>
      <c r="S709" s="604">
        <f t="shared" si="217"/>
        <v>0</v>
      </c>
      <c r="T709" s="604">
        <f t="shared" si="218"/>
        <v>0</v>
      </c>
      <c r="U709" s="604">
        <f t="shared" si="219"/>
        <v>0</v>
      </c>
      <c r="V709" s="604">
        <f t="shared" si="220"/>
        <v>0</v>
      </c>
      <c r="W709" s="604">
        <f t="shared" si="221"/>
        <v>0</v>
      </c>
      <c r="X709" s="746">
        <v>0</v>
      </c>
      <c r="Y709" s="746">
        <f t="shared" si="222"/>
        <v>0</v>
      </c>
    </row>
    <row r="710" spans="2:25">
      <c r="B710" s="598" t="s">
        <v>2595</v>
      </c>
      <c r="C710" s="604" t="s">
        <v>864</v>
      </c>
      <c r="D710" s="745">
        <v>2005</v>
      </c>
      <c r="E710" s="604" t="s">
        <v>3489</v>
      </c>
      <c r="F710" s="738">
        <v>0.15</v>
      </c>
      <c r="G710" s="739">
        <v>4400</v>
      </c>
      <c r="H710" s="741"/>
      <c r="I710" s="742"/>
      <c r="J710" s="740"/>
      <c r="K710" s="739">
        <v>4400</v>
      </c>
      <c r="L710" s="864">
        <f t="shared" si="241"/>
        <v>0</v>
      </c>
      <c r="M710" s="740">
        <f t="shared" si="223"/>
        <v>0</v>
      </c>
      <c r="N710" s="604">
        <f t="shared" si="212"/>
        <v>0</v>
      </c>
      <c r="O710" s="604">
        <f t="shared" si="213"/>
        <v>0</v>
      </c>
      <c r="P710" s="604">
        <f t="shared" si="214"/>
        <v>0</v>
      </c>
      <c r="Q710" s="604">
        <f t="shared" si="215"/>
        <v>0</v>
      </c>
      <c r="R710" s="604">
        <f t="shared" si="216"/>
        <v>0</v>
      </c>
      <c r="S710" s="604">
        <f t="shared" si="217"/>
        <v>0</v>
      </c>
      <c r="T710" s="604">
        <f t="shared" si="218"/>
        <v>0</v>
      </c>
      <c r="U710" s="604">
        <f t="shared" si="219"/>
        <v>0</v>
      </c>
      <c r="V710" s="604">
        <f t="shared" si="220"/>
        <v>0</v>
      </c>
      <c r="W710" s="604">
        <f t="shared" si="221"/>
        <v>0</v>
      </c>
      <c r="X710" s="746">
        <v>0</v>
      </c>
      <c r="Y710" s="746">
        <f t="shared" si="222"/>
        <v>0</v>
      </c>
    </row>
    <row r="711" spans="2:25">
      <c r="B711" s="598" t="s">
        <v>2595</v>
      </c>
      <c r="C711" s="604" t="s">
        <v>864</v>
      </c>
      <c r="D711" s="745">
        <v>2005</v>
      </c>
      <c r="E711" s="604" t="s">
        <v>3490</v>
      </c>
      <c r="F711" s="738">
        <v>0.15</v>
      </c>
      <c r="G711" s="739">
        <v>0</v>
      </c>
      <c r="H711" s="741"/>
      <c r="I711" s="742"/>
      <c r="J711" s="740"/>
      <c r="K711" s="739">
        <v>0</v>
      </c>
      <c r="L711" s="864">
        <f t="shared" si="241"/>
        <v>0</v>
      </c>
      <c r="M711" s="740">
        <f t="shared" si="223"/>
        <v>0</v>
      </c>
      <c r="N711" s="604">
        <f t="shared" si="212"/>
        <v>0</v>
      </c>
      <c r="O711" s="604">
        <f t="shared" si="213"/>
        <v>0</v>
      </c>
      <c r="P711" s="604">
        <f t="shared" si="214"/>
        <v>0</v>
      </c>
      <c r="Q711" s="604">
        <f t="shared" si="215"/>
        <v>0</v>
      </c>
      <c r="R711" s="604">
        <f t="shared" si="216"/>
        <v>0</v>
      </c>
      <c r="S711" s="604">
        <f t="shared" si="217"/>
        <v>0</v>
      </c>
      <c r="T711" s="604">
        <f t="shared" si="218"/>
        <v>0</v>
      </c>
      <c r="U711" s="604">
        <f t="shared" si="219"/>
        <v>0</v>
      </c>
      <c r="V711" s="604">
        <f t="shared" si="220"/>
        <v>0</v>
      </c>
      <c r="W711" s="604">
        <f t="shared" si="221"/>
        <v>0</v>
      </c>
      <c r="X711" s="746">
        <v>0</v>
      </c>
      <c r="Y711" s="746">
        <f t="shared" si="222"/>
        <v>0</v>
      </c>
    </row>
    <row r="712" spans="2:25">
      <c r="B712" s="598" t="s">
        <v>2595</v>
      </c>
      <c r="C712" s="604" t="s">
        <v>864</v>
      </c>
      <c r="D712" s="745">
        <v>2006</v>
      </c>
      <c r="E712" s="604" t="s">
        <v>3491</v>
      </c>
      <c r="F712" s="738">
        <v>0.15</v>
      </c>
      <c r="G712" s="739">
        <v>0</v>
      </c>
      <c r="H712" s="741"/>
      <c r="I712" s="742"/>
      <c r="J712" s="740"/>
      <c r="K712" s="739">
        <v>0</v>
      </c>
      <c r="L712" s="864">
        <f t="shared" si="241"/>
        <v>0</v>
      </c>
      <c r="M712" s="740">
        <f t="shared" si="223"/>
        <v>0</v>
      </c>
      <c r="N712" s="604">
        <f t="shared" si="212"/>
        <v>0</v>
      </c>
      <c r="O712" s="604">
        <f t="shared" si="213"/>
        <v>0</v>
      </c>
      <c r="P712" s="604">
        <f t="shared" si="214"/>
        <v>0</v>
      </c>
      <c r="Q712" s="604">
        <f t="shared" si="215"/>
        <v>0</v>
      </c>
      <c r="R712" s="604">
        <f t="shared" si="216"/>
        <v>0</v>
      </c>
      <c r="S712" s="604">
        <f t="shared" si="217"/>
        <v>0</v>
      </c>
      <c r="T712" s="604">
        <f t="shared" si="218"/>
        <v>0</v>
      </c>
      <c r="U712" s="604">
        <f t="shared" si="219"/>
        <v>0</v>
      </c>
      <c r="V712" s="604">
        <f t="shared" si="220"/>
        <v>0</v>
      </c>
      <c r="W712" s="604">
        <f t="shared" si="221"/>
        <v>0</v>
      </c>
      <c r="X712" s="746">
        <v>0</v>
      </c>
      <c r="Y712" s="746">
        <f t="shared" si="222"/>
        <v>0</v>
      </c>
    </row>
    <row r="713" spans="2:25">
      <c r="B713" s="598" t="s">
        <v>2595</v>
      </c>
      <c r="C713" s="604" t="s">
        <v>864</v>
      </c>
      <c r="D713" s="745">
        <v>2012</v>
      </c>
      <c r="E713" s="604" t="s">
        <v>3491</v>
      </c>
      <c r="F713" s="738">
        <v>0.15</v>
      </c>
      <c r="G713" s="739">
        <v>0</v>
      </c>
      <c r="H713" s="741"/>
      <c r="I713" s="742"/>
      <c r="J713" s="740"/>
      <c r="K713" s="739">
        <v>0</v>
      </c>
      <c r="L713" s="864">
        <f t="shared" si="241"/>
        <v>0</v>
      </c>
      <c r="M713" s="740">
        <f t="shared" si="223"/>
        <v>0</v>
      </c>
      <c r="N713" s="604">
        <f t="shared" ref="N713:N776" si="242">+IF(L713-M713&gt;0,G713*F713,0)</f>
        <v>0</v>
      </c>
      <c r="O713" s="604">
        <f t="shared" ref="O713:O776" si="243">+IF(L713-SUM(M713:N713)&gt;0,G713*F713,0)</f>
        <v>0</v>
      </c>
      <c r="P713" s="604">
        <f t="shared" ref="P713:P776" si="244">+IF(L713-SUM(M713:O713)&gt;0,G713*F713,0)</f>
        <v>0</v>
      </c>
      <c r="Q713" s="604">
        <f t="shared" ref="Q713:Q776" si="245">+IF(L713-SUM(M713:P713)&gt;0,G713*F713,0)</f>
        <v>0</v>
      </c>
      <c r="R713" s="604">
        <f t="shared" ref="R713:R776" si="246">+IF(L713-SUM(M713:Q713)&gt;0,G713*F713,0)</f>
        <v>0</v>
      </c>
      <c r="S713" s="604">
        <f t="shared" ref="S713:S776" si="247">+IF(L713-SUM(M713:R713)&gt;0,G713*F713,0)</f>
        <v>0</v>
      </c>
      <c r="T713" s="604">
        <f t="shared" ref="T713:T776" si="248">+IF(L713-SUM(M713:S713)&gt;0,G713*F713,0)</f>
        <v>0</v>
      </c>
      <c r="U713" s="604">
        <f t="shared" ref="U713:U776" si="249">+IF(L713-SUM(M713:T713)&gt;0,G713*F713,0)</f>
        <v>0</v>
      </c>
      <c r="V713" s="604">
        <f t="shared" ref="V713:V776" si="250">+IF(L713-SUM(M713:U713)&gt;0,G713*F713,0)</f>
        <v>0</v>
      </c>
      <c r="W713" s="604">
        <f t="shared" ref="W713:W776" si="251">+IF(L713-SUM(M713:V713)&gt;0,G713*F713,0)</f>
        <v>0</v>
      </c>
      <c r="X713" s="746">
        <v>0</v>
      </c>
      <c r="Y713" s="746">
        <f t="shared" ref="Y713:Y776" si="252">+SUM(M713:W713)-L713</f>
        <v>0</v>
      </c>
    </row>
    <row r="714" spans="2:25">
      <c r="B714" s="598" t="s">
        <v>2595</v>
      </c>
      <c r="C714" s="604" t="s">
        <v>864</v>
      </c>
      <c r="D714" s="745">
        <v>2006</v>
      </c>
      <c r="E714" s="604" t="s">
        <v>3492</v>
      </c>
      <c r="F714" s="738">
        <v>0.15</v>
      </c>
      <c r="G714" s="739">
        <v>18075.990000000002</v>
      </c>
      <c r="H714" s="741"/>
      <c r="I714" s="742"/>
      <c r="J714" s="740"/>
      <c r="K714" s="739">
        <v>18075.990000000002</v>
      </c>
      <c r="L714" s="864">
        <f t="shared" si="241"/>
        <v>0</v>
      </c>
      <c r="M714" s="740">
        <f t="shared" si="223"/>
        <v>0</v>
      </c>
      <c r="N714" s="604">
        <f t="shared" si="242"/>
        <v>0</v>
      </c>
      <c r="O714" s="604">
        <f t="shared" si="243"/>
        <v>0</v>
      </c>
      <c r="P714" s="604">
        <f t="shared" si="244"/>
        <v>0</v>
      </c>
      <c r="Q714" s="604">
        <f t="shared" si="245"/>
        <v>0</v>
      </c>
      <c r="R714" s="604">
        <f t="shared" si="246"/>
        <v>0</v>
      </c>
      <c r="S714" s="604">
        <f t="shared" si="247"/>
        <v>0</v>
      </c>
      <c r="T714" s="604">
        <f t="shared" si="248"/>
        <v>0</v>
      </c>
      <c r="U714" s="604">
        <f t="shared" si="249"/>
        <v>0</v>
      </c>
      <c r="V714" s="604">
        <f t="shared" si="250"/>
        <v>0</v>
      </c>
      <c r="W714" s="604">
        <f t="shared" si="251"/>
        <v>0</v>
      </c>
      <c r="X714" s="746">
        <v>0</v>
      </c>
      <c r="Y714" s="746">
        <f t="shared" si="252"/>
        <v>0</v>
      </c>
    </row>
    <row r="715" spans="2:25">
      <c r="B715" s="598" t="s">
        <v>2595</v>
      </c>
      <c r="C715" s="604" t="s">
        <v>864</v>
      </c>
      <c r="D715" s="745">
        <v>2011</v>
      </c>
      <c r="E715" s="604" t="s">
        <v>3493</v>
      </c>
      <c r="F715" s="738">
        <v>0.15</v>
      </c>
      <c r="G715" s="739">
        <v>20000</v>
      </c>
      <c r="H715" s="741"/>
      <c r="I715" s="742"/>
      <c r="J715" s="740"/>
      <c r="K715" s="739">
        <v>20000</v>
      </c>
      <c r="L715" s="864">
        <f t="shared" si="241"/>
        <v>0</v>
      </c>
      <c r="M715" s="740">
        <f t="shared" si="223"/>
        <v>0</v>
      </c>
      <c r="N715" s="604">
        <f t="shared" si="242"/>
        <v>0</v>
      </c>
      <c r="O715" s="604">
        <f t="shared" si="243"/>
        <v>0</v>
      </c>
      <c r="P715" s="604">
        <f t="shared" si="244"/>
        <v>0</v>
      </c>
      <c r="Q715" s="604">
        <f t="shared" si="245"/>
        <v>0</v>
      </c>
      <c r="R715" s="604">
        <f t="shared" si="246"/>
        <v>0</v>
      </c>
      <c r="S715" s="604">
        <f t="shared" si="247"/>
        <v>0</v>
      </c>
      <c r="T715" s="604">
        <f t="shared" si="248"/>
        <v>0</v>
      </c>
      <c r="U715" s="604">
        <f t="shared" si="249"/>
        <v>0</v>
      </c>
      <c r="V715" s="604">
        <f t="shared" si="250"/>
        <v>0</v>
      </c>
      <c r="W715" s="604">
        <f t="shared" si="251"/>
        <v>0</v>
      </c>
      <c r="X715" s="746">
        <v>0</v>
      </c>
      <c r="Y715" s="746">
        <f t="shared" si="252"/>
        <v>0</v>
      </c>
    </row>
    <row r="716" spans="2:25">
      <c r="B716" s="598" t="s">
        <v>2595</v>
      </c>
      <c r="C716" s="604" t="s">
        <v>864</v>
      </c>
      <c r="D716" s="745">
        <v>2006</v>
      </c>
      <c r="E716" s="604" t="s">
        <v>3494</v>
      </c>
      <c r="F716" s="738">
        <v>0.15</v>
      </c>
      <c r="G716" s="739">
        <v>24250</v>
      </c>
      <c r="H716" s="741"/>
      <c r="I716" s="742"/>
      <c r="J716" s="740"/>
      <c r="K716" s="739">
        <v>24250</v>
      </c>
      <c r="L716" s="864">
        <f t="shared" si="241"/>
        <v>0</v>
      </c>
      <c r="M716" s="740">
        <f t="shared" ref="M716:M779" si="253">+IF(L716=0,0,G716*F716)</f>
        <v>0</v>
      </c>
      <c r="N716" s="604">
        <f t="shared" si="242"/>
        <v>0</v>
      </c>
      <c r="O716" s="604">
        <f t="shared" si="243"/>
        <v>0</v>
      </c>
      <c r="P716" s="604">
        <f t="shared" si="244"/>
        <v>0</v>
      </c>
      <c r="Q716" s="604">
        <f t="shared" si="245"/>
        <v>0</v>
      </c>
      <c r="R716" s="604">
        <f t="shared" si="246"/>
        <v>0</v>
      </c>
      <c r="S716" s="604">
        <f t="shared" si="247"/>
        <v>0</v>
      </c>
      <c r="T716" s="604">
        <f t="shared" si="248"/>
        <v>0</v>
      </c>
      <c r="U716" s="604">
        <f t="shared" si="249"/>
        <v>0</v>
      </c>
      <c r="V716" s="604">
        <f t="shared" si="250"/>
        <v>0</v>
      </c>
      <c r="W716" s="604">
        <f t="shared" si="251"/>
        <v>0</v>
      </c>
      <c r="X716" s="746">
        <v>0</v>
      </c>
      <c r="Y716" s="746">
        <f t="shared" si="252"/>
        <v>0</v>
      </c>
    </row>
    <row r="717" spans="2:25">
      <c r="B717" s="598" t="s">
        <v>2595</v>
      </c>
      <c r="C717" s="604" t="s">
        <v>864</v>
      </c>
      <c r="D717" s="745">
        <v>2009</v>
      </c>
      <c r="E717" s="604" t="s">
        <v>3495</v>
      </c>
      <c r="F717" s="738">
        <v>0.15</v>
      </c>
      <c r="G717" s="739">
        <v>0</v>
      </c>
      <c r="H717" s="741"/>
      <c r="I717" s="742"/>
      <c r="J717" s="740"/>
      <c r="K717" s="739">
        <v>0</v>
      </c>
      <c r="L717" s="864">
        <f t="shared" si="241"/>
        <v>0</v>
      </c>
      <c r="M717" s="740">
        <f t="shared" si="253"/>
        <v>0</v>
      </c>
      <c r="N717" s="604">
        <f t="shared" si="242"/>
        <v>0</v>
      </c>
      <c r="O717" s="604">
        <f t="shared" si="243"/>
        <v>0</v>
      </c>
      <c r="P717" s="604">
        <f t="shared" si="244"/>
        <v>0</v>
      </c>
      <c r="Q717" s="604">
        <f t="shared" si="245"/>
        <v>0</v>
      </c>
      <c r="R717" s="604">
        <f t="shared" si="246"/>
        <v>0</v>
      </c>
      <c r="S717" s="604">
        <f t="shared" si="247"/>
        <v>0</v>
      </c>
      <c r="T717" s="604">
        <f t="shared" si="248"/>
        <v>0</v>
      </c>
      <c r="U717" s="604">
        <f t="shared" si="249"/>
        <v>0</v>
      </c>
      <c r="V717" s="604">
        <f t="shared" si="250"/>
        <v>0</v>
      </c>
      <c r="W717" s="604">
        <f t="shared" si="251"/>
        <v>0</v>
      </c>
      <c r="X717" s="746">
        <v>0</v>
      </c>
      <c r="Y717" s="746">
        <f t="shared" si="252"/>
        <v>0</v>
      </c>
    </row>
    <row r="718" spans="2:25">
      <c r="B718" s="598" t="s">
        <v>2595</v>
      </c>
      <c r="C718" s="604" t="s">
        <v>864</v>
      </c>
      <c r="D718" s="745">
        <v>2006</v>
      </c>
      <c r="E718" s="604" t="s">
        <v>3496</v>
      </c>
      <c r="F718" s="738">
        <v>0.15</v>
      </c>
      <c r="G718" s="739">
        <v>0</v>
      </c>
      <c r="H718" s="741"/>
      <c r="I718" s="742"/>
      <c r="J718" s="740"/>
      <c r="K718" s="739">
        <v>0</v>
      </c>
      <c r="L718" s="864">
        <f t="shared" si="241"/>
        <v>0</v>
      </c>
      <c r="M718" s="740">
        <f t="shared" si="253"/>
        <v>0</v>
      </c>
      <c r="N718" s="604">
        <f t="shared" si="242"/>
        <v>0</v>
      </c>
      <c r="O718" s="604">
        <f t="shared" si="243"/>
        <v>0</v>
      </c>
      <c r="P718" s="604">
        <f t="shared" si="244"/>
        <v>0</v>
      </c>
      <c r="Q718" s="604">
        <f t="shared" si="245"/>
        <v>0</v>
      </c>
      <c r="R718" s="604">
        <f t="shared" si="246"/>
        <v>0</v>
      </c>
      <c r="S718" s="604">
        <f t="shared" si="247"/>
        <v>0</v>
      </c>
      <c r="T718" s="604">
        <f t="shared" si="248"/>
        <v>0</v>
      </c>
      <c r="U718" s="604">
        <f t="shared" si="249"/>
        <v>0</v>
      </c>
      <c r="V718" s="604">
        <f t="shared" si="250"/>
        <v>0</v>
      </c>
      <c r="W718" s="604">
        <f t="shared" si="251"/>
        <v>0</v>
      </c>
      <c r="X718" s="746">
        <v>0</v>
      </c>
      <c r="Y718" s="746">
        <f t="shared" si="252"/>
        <v>0</v>
      </c>
    </row>
    <row r="719" spans="2:25">
      <c r="B719" s="598" t="s">
        <v>2595</v>
      </c>
      <c r="C719" s="604" t="s">
        <v>864</v>
      </c>
      <c r="D719" s="745">
        <v>2012</v>
      </c>
      <c r="E719" s="604" t="s">
        <v>3497</v>
      </c>
      <c r="F719" s="738">
        <v>0.15</v>
      </c>
      <c r="G719" s="739">
        <v>0</v>
      </c>
      <c r="H719" s="741"/>
      <c r="I719" s="742"/>
      <c r="J719" s="740"/>
      <c r="K719" s="739">
        <v>0</v>
      </c>
      <c r="L719" s="864">
        <f t="shared" si="241"/>
        <v>0</v>
      </c>
      <c r="M719" s="740">
        <f t="shared" si="253"/>
        <v>0</v>
      </c>
      <c r="N719" s="604">
        <f t="shared" si="242"/>
        <v>0</v>
      </c>
      <c r="O719" s="604">
        <f t="shared" si="243"/>
        <v>0</v>
      </c>
      <c r="P719" s="604">
        <f t="shared" si="244"/>
        <v>0</v>
      </c>
      <c r="Q719" s="604">
        <f t="shared" si="245"/>
        <v>0</v>
      </c>
      <c r="R719" s="604">
        <f t="shared" si="246"/>
        <v>0</v>
      </c>
      <c r="S719" s="604">
        <f t="shared" si="247"/>
        <v>0</v>
      </c>
      <c r="T719" s="604">
        <f t="shared" si="248"/>
        <v>0</v>
      </c>
      <c r="U719" s="604">
        <f t="shared" si="249"/>
        <v>0</v>
      </c>
      <c r="V719" s="604">
        <f t="shared" si="250"/>
        <v>0</v>
      </c>
      <c r="W719" s="604">
        <f t="shared" si="251"/>
        <v>0</v>
      </c>
      <c r="X719" s="746">
        <v>0</v>
      </c>
      <c r="Y719" s="746">
        <f t="shared" si="252"/>
        <v>0</v>
      </c>
    </row>
    <row r="720" spans="2:25">
      <c r="B720" s="598" t="s">
        <v>2595</v>
      </c>
      <c r="C720" s="604" t="s">
        <v>864</v>
      </c>
      <c r="D720" s="745">
        <v>2012</v>
      </c>
      <c r="E720" s="604" t="s">
        <v>3498</v>
      </c>
      <c r="F720" s="738">
        <v>0.15</v>
      </c>
      <c r="G720" s="739">
        <v>0</v>
      </c>
      <c r="H720" s="741"/>
      <c r="I720" s="742"/>
      <c r="J720" s="740"/>
      <c r="K720" s="739">
        <v>0</v>
      </c>
      <c r="L720" s="864">
        <f t="shared" si="241"/>
        <v>0</v>
      </c>
      <c r="M720" s="740">
        <f t="shared" si="253"/>
        <v>0</v>
      </c>
      <c r="N720" s="604">
        <f t="shared" si="242"/>
        <v>0</v>
      </c>
      <c r="O720" s="604">
        <f t="shared" si="243"/>
        <v>0</v>
      </c>
      <c r="P720" s="604">
        <f t="shared" si="244"/>
        <v>0</v>
      </c>
      <c r="Q720" s="604">
        <f t="shared" si="245"/>
        <v>0</v>
      </c>
      <c r="R720" s="604">
        <f t="shared" si="246"/>
        <v>0</v>
      </c>
      <c r="S720" s="604">
        <f t="shared" si="247"/>
        <v>0</v>
      </c>
      <c r="T720" s="604">
        <f t="shared" si="248"/>
        <v>0</v>
      </c>
      <c r="U720" s="604">
        <f t="shared" si="249"/>
        <v>0</v>
      </c>
      <c r="V720" s="604">
        <f t="shared" si="250"/>
        <v>0</v>
      </c>
      <c r="W720" s="604">
        <f t="shared" si="251"/>
        <v>0</v>
      </c>
      <c r="X720" s="746">
        <v>0</v>
      </c>
      <c r="Y720" s="746">
        <f t="shared" si="252"/>
        <v>0</v>
      </c>
    </row>
    <row r="721" spans="2:25">
      <c r="B721" s="598" t="s">
        <v>2595</v>
      </c>
      <c r="C721" s="604" t="s">
        <v>864</v>
      </c>
      <c r="D721" s="745">
        <v>2022</v>
      </c>
      <c r="E721" s="604" t="s">
        <v>3499</v>
      </c>
      <c r="F721" s="738">
        <v>0.15</v>
      </c>
      <c r="G721" s="739">
        <v>6570</v>
      </c>
      <c r="H721" s="741"/>
      <c r="I721" s="742"/>
      <c r="J721" s="740"/>
      <c r="K721" s="739">
        <v>6570</v>
      </c>
      <c r="L721" s="864">
        <f t="shared" si="241"/>
        <v>0</v>
      </c>
      <c r="M721" s="740">
        <f t="shared" si="253"/>
        <v>0</v>
      </c>
      <c r="N721" s="604">
        <f t="shared" si="242"/>
        <v>0</v>
      </c>
      <c r="O721" s="604">
        <f t="shared" si="243"/>
        <v>0</v>
      </c>
      <c r="P721" s="604">
        <f t="shared" si="244"/>
        <v>0</v>
      </c>
      <c r="Q721" s="604">
        <f t="shared" si="245"/>
        <v>0</v>
      </c>
      <c r="R721" s="604">
        <f t="shared" si="246"/>
        <v>0</v>
      </c>
      <c r="S721" s="604">
        <f t="shared" si="247"/>
        <v>0</v>
      </c>
      <c r="T721" s="604">
        <f t="shared" si="248"/>
        <v>0</v>
      </c>
      <c r="U721" s="604">
        <f t="shared" si="249"/>
        <v>0</v>
      </c>
      <c r="V721" s="604">
        <f t="shared" si="250"/>
        <v>0</v>
      </c>
      <c r="W721" s="604">
        <f t="shared" si="251"/>
        <v>0</v>
      </c>
      <c r="X721" s="746">
        <v>0</v>
      </c>
      <c r="Y721" s="746">
        <f t="shared" si="252"/>
        <v>0</v>
      </c>
    </row>
    <row r="722" spans="2:25">
      <c r="B722" s="598" t="s">
        <v>2595</v>
      </c>
      <c r="C722" s="604" t="s">
        <v>864</v>
      </c>
      <c r="D722" s="745">
        <v>2007</v>
      </c>
      <c r="E722" s="604" t="s">
        <v>3500</v>
      </c>
      <c r="F722" s="738">
        <v>0.15</v>
      </c>
      <c r="G722" s="739">
        <v>0</v>
      </c>
      <c r="H722" s="741"/>
      <c r="I722" s="742"/>
      <c r="J722" s="740"/>
      <c r="K722" s="739">
        <v>0</v>
      </c>
      <c r="L722" s="864">
        <f t="shared" si="241"/>
        <v>0</v>
      </c>
      <c r="M722" s="740">
        <f t="shared" si="253"/>
        <v>0</v>
      </c>
      <c r="N722" s="604">
        <f t="shared" si="242"/>
        <v>0</v>
      </c>
      <c r="O722" s="604">
        <f t="shared" si="243"/>
        <v>0</v>
      </c>
      <c r="P722" s="604">
        <f t="shared" si="244"/>
        <v>0</v>
      </c>
      <c r="Q722" s="604">
        <f t="shared" si="245"/>
        <v>0</v>
      </c>
      <c r="R722" s="604">
        <f t="shared" si="246"/>
        <v>0</v>
      </c>
      <c r="S722" s="604">
        <f t="shared" si="247"/>
        <v>0</v>
      </c>
      <c r="T722" s="604">
        <f t="shared" si="248"/>
        <v>0</v>
      </c>
      <c r="U722" s="604">
        <f t="shared" si="249"/>
        <v>0</v>
      </c>
      <c r="V722" s="604">
        <f t="shared" si="250"/>
        <v>0</v>
      </c>
      <c r="W722" s="604">
        <f t="shared" si="251"/>
        <v>0</v>
      </c>
      <c r="X722" s="746">
        <v>0</v>
      </c>
      <c r="Y722" s="746">
        <f t="shared" si="252"/>
        <v>0</v>
      </c>
    </row>
    <row r="723" spans="2:25">
      <c r="B723" s="598" t="s">
        <v>2595</v>
      </c>
      <c r="C723" s="604" t="s">
        <v>864</v>
      </c>
      <c r="D723" s="745">
        <v>2007</v>
      </c>
      <c r="E723" s="604" t="s">
        <v>3501</v>
      </c>
      <c r="F723" s="738">
        <v>0.15</v>
      </c>
      <c r="G723" s="739">
        <v>0</v>
      </c>
      <c r="H723" s="741"/>
      <c r="I723" s="742"/>
      <c r="J723" s="740"/>
      <c r="K723" s="739">
        <v>0</v>
      </c>
      <c r="L723" s="864">
        <f t="shared" si="241"/>
        <v>0</v>
      </c>
      <c r="M723" s="740">
        <f t="shared" si="253"/>
        <v>0</v>
      </c>
      <c r="N723" s="604">
        <f t="shared" si="242"/>
        <v>0</v>
      </c>
      <c r="O723" s="604">
        <f t="shared" si="243"/>
        <v>0</v>
      </c>
      <c r="P723" s="604">
        <f t="shared" si="244"/>
        <v>0</v>
      </c>
      <c r="Q723" s="604">
        <f t="shared" si="245"/>
        <v>0</v>
      </c>
      <c r="R723" s="604">
        <f t="shared" si="246"/>
        <v>0</v>
      </c>
      <c r="S723" s="604">
        <f t="shared" si="247"/>
        <v>0</v>
      </c>
      <c r="T723" s="604">
        <f t="shared" si="248"/>
        <v>0</v>
      </c>
      <c r="U723" s="604">
        <f t="shared" si="249"/>
        <v>0</v>
      </c>
      <c r="V723" s="604">
        <f t="shared" si="250"/>
        <v>0</v>
      </c>
      <c r="W723" s="604">
        <f t="shared" si="251"/>
        <v>0</v>
      </c>
      <c r="X723" s="746">
        <v>0</v>
      </c>
      <c r="Y723" s="746">
        <f t="shared" si="252"/>
        <v>0</v>
      </c>
    </row>
    <row r="724" spans="2:25">
      <c r="B724" s="598" t="s">
        <v>2595</v>
      </c>
      <c r="C724" s="604" t="s">
        <v>864</v>
      </c>
      <c r="D724" s="745">
        <v>2008</v>
      </c>
      <c r="E724" s="604" t="s">
        <v>3502</v>
      </c>
      <c r="F724" s="738">
        <v>0.15</v>
      </c>
      <c r="G724" s="739">
        <v>16000</v>
      </c>
      <c r="H724" s="741"/>
      <c r="I724" s="742"/>
      <c r="J724" s="740"/>
      <c r="K724" s="739">
        <v>16000</v>
      </c>
      <c r="L724" s="864">
        <f t="shared" si="241"/>
        <v>0</v>
      </c>
      <c r="M724" s="740">
        <f t="shared" si="253"/>
        <v>0</v>
      </c>
      <c r="N724" s="604">
        <f t="shared" si="242"/>
        <v>0</v>
      </c>
      <c r="O724" s="604">
        <f t="shared" si="243"/>
        <v>0</v>
      </c>
      <c r="P724" s="604">
        <f t="shared" si="244"/>
        <v>0</v>
      </c>
      <c r="Q724" s="604">
        <f t="shared" si="245"/>
        <v>0</v>
      </c>
      <c r="R724" s="604">
        <f t="shared" si="246"/>
        <v>0</v>
      </c>
      <c r="S724" s="604">
        <f t="shared" si="247"/>
        <v>0</v>
      </c>
      <c r="T724" s="604">
        <f t="shared" si="248"/>
        <v>0</v>
      </c>
      <c r="U724" s="604">
        <f t="shared" si="249"/>
        <v>0</v>
      </c>
      <c r="V724" s="604">
        <f t="shared" si="250"/>
        <v>0</v>
      </c>
      <c r="W724" s="604">
        <f t="shared" si="251"/>
        <v>0</v>
      </c>
      <c r="X724" s="746">
        <v>0</v>
      </c>
      <c r="Y724" s="746">
        <f t="shared" si="252"/>
        <v>0</v>
      </c>
    </row>
    <row r="725" spans="2:25">
      <c r="B725" s="598" t="s">
        <v>2595</v>
      </c>
      <c r="C725" s="604" t="s">
        <v>864</v>
      </c>
      <c r="D725" s="745">
        <v>2013</v>
      </c>
      <c r="E725" s="604" t="s">
        <v>3503</v>
      </c>
      <c r="F725" s="738">
        <v>0.15</v>
      </c>
      <c r="G725" s="739">
        <v>0</v>
      </c>
      <c r="H725" s="741"/>
      <c r="I725" s="742"/>
      <c r="J725" s="740"/>
      <c r="K725" s="739">
        <v>0</v>
      </c>
      <c r="L725" s="864">
        <f t="shared" si="241"/>
        <v>0</v>
      </c>
      <c r="M725" s="740">
        <f t="shared" si="253"/>
        <v>0</v>
      </c>
      <c r="N725" s="604">
        <f t="shared" si="242"/>
        <v>0</v>
      </c>
      <c r="O725" s="604">
        <f t="shared" si="243"/>
        <v>0</v>
      </c>
      <c r="P725" s="604">
        <f t="shared" si="244"/>
        <v>0</v>
      </c>
      <c r="Q725" s="604">
        <f t="shared" si="245"/>
        <v>0</v>
      </c>
      <c r="R725" s="604">
        <f t="shared" si="246"/>
        <v>0</v>
      </c>
      <c r="S725" s="604">
        <f t="shared" si="247"/>
        <v>0</v>
      </c>
      <c r="T725" s="604">
        <f t="shared" si="248"/>
        <v>0</v>
      </c>
      <c r="U725" s="604">
        <f t="shared" si="249"/>
        <v>0</v>
      </c>
      <c r="V725" s="604">
        <f t="shared" si="250"/>
        <v>0</v>
      </c>
      <c r="W725" s="604">
        <f t="shared" si="251"/>
        <v>0</v>
      </c>
      <c r="X725" s="746">
        <v>0</v>
      </c>
      <c r="Y725" s="746">
        <f t="shared" si="252"/>
        <v>0</v>
      </c>
    </row>
    <row r="726" spans="2:25">
      <c r="B726" s="598" t="s">
        <v>2595</v>
      </c>
      <c r="C726" s="604" t="s">
        <v>864</v>
      </c>
      <c r="D726" s="745">
        <v>2008</v>
      </c>
      <c r="E726" s="604" t="s">
        <v>3504</v>
      </c>
      <c r="F726" s="738">
        <v>0.15</v>
      </c>
      <c r="G726" s="739">
        <v>537.12</v>
      </c>
      <c r="H726" s="741"/>
      <c r="I726" s="742"/>
      <c r="J726" s="740"/>
      <c r="K726" s="739">
        <v>537.12</v>
      </c>
      <c r="L726" s="864">
        <f t="shared" si="241"/>
        <v>0</v>
      </c>
      <c r="M726" s="740">
        <f t="shared" si="253"/>
        <v>0</v>
      </c>
      <c r="N726" s="604">
        <f t="shared" si="242"/>
        <v>0</v>
      </c>
      <c r="O726" s="604">
        <f t="shared" si="243"/>
        <v>0</v>
      </c>
      <c r="P726" s="604">
        <f t="shared" si="244"/>
        <v>0</v>
      </c>
      <c r="Q726" s="604">
        <f t="shared" si="245"/>
        <v>0</v>
      </c>
      <c r="R726" s="604">
        <f t="shared" si="246"/>
        <v>0</v>
      </c>
      <c r="S726" s="604">
        <f t="shared" si="247"/>
        <v>0</v>
      </c>
      <c r="T726" s="604">
        <f t="shared" si="248"/>
        <v>0</v>
      </c>
      <c r="U726" s="604">
        <f t="shared" si="249"/>
        <v>0</v>
      </c>
      <c r="V726" s="604">
        <f t="shared" si="250"/>
        <v>0</v>
      </c>
      <c r="W726" s="604">
        <f t="shared" si="251"/>
        <v>0</v>
      </c>
      <c r="X726" s="746">
        <v>0</v>
      </c>
      <c r="Y726" s="746">
        <f t="shared" si="252"/>
        <v>0</v>
      </c>
    </row>
    <row r="727" spans="2:25">
      <c r="B727" s="598" t="s">
        <v>2595</v>
      </c>
      <c r="C727" s="604" t="s">
        <v>864</v>
      </c>
      <c r="D727" s="745">
        <v>2021</v>
      </c>
      <c r="E727" s="604" t="s">
        <v>3505</v>
      </c>
      <c r="F727" s="738">
        <v>0.15</v>
      </c>
      <c r="G727" s="739">
        <v>0</v>
      </c>
      <c r="H727" s="741"/>
      <c r="I727" s="742"/>
      <c r="J727" s="740"/>
      <c r="K727" s="739">
        <v>0</v>
      </c>
      <c r="L727" s="864">
        <f t="shared" si="241"/>
        <v>0</v>
      </c>
      <c r="M727" s="740">
        <f t="shared" si="253"/>
        <v>0</v>
      </c>
      <c r="N727" s="604">
        <f t="shared" si="242"/>
        <v>0</v>
      </c>
      <c r="O727" s="604">
        <f t="shared" si="243"/>
        <v>0</v>
      </c>
      <c r="P727" s="604">
        <f t="shared" si="244"/>
        <v>0</v>
      </c>
      <c r="Q727" s="604">
        <f t="shared" si="245"/>
        <v>0</v>
      </c>
      <c r="R727" s="604">
        <f t="shared" si="246"/>
        <v>0</v>
      </c>
      <c r="S727" s="604">
        <f t="shared" si="247"/>
        <v>0</v>
      </c>
      <c r="T727" s="604">
        <f t="shared" si="248"/>
        <v>0</v>
      </c>
      <c r="U727" s="604">
        <f t="shared" si="249"/>
        <v>0</v>
      </c>
      <c r="V727" s="604">
        <f t="shared" si="250"/>
        <v>0</v>
      </c>
      <c r="W727" s="604">
        <f t="shared" si="251"/>
        <v>0</v>
      </c>
      <c r="X727" s="746">
        <v>0</v>
      </c>
      <c r="Y727" s="746">
        <f t="shared" si="252"/>
        <v>0</v>
      </c>
    </row>
    <row r="728" spans="2:25">
      <c r="B728" s="598" t="s">
        <v>2595</v>
      </c>
      <c r="C728" s="604" t="s">
        <v>864</v>
      </c>
      <c r="D728" s="745">
        <v>2008</v>
      </c>
      <c r="E728" s="604" t="s">
        <v>3506</v>
      </c>
      <c r="F728" s="738">
        <v>0.15</v>
      </c>
      <c r="G728" s="739">
        <v>0</v>
      </c>
      <c r="H728" s="741"/>
      <c r="I728" s="742"/>
      <c r="J728" s="740"/>
      <c r="K728" s="739">
        <v>0</v>
      </c>
      <c r="L728" s="864">
        <f t="shared" si="241"/>
        <v>0</v>
      </c>
      <c r="M728" s="740">
        <f t="shared" si="253"/>
        <v>0</v>
      </c>
      <c r="N728" s="604">
        <f t="shared" si="242"/>
        <v>0</v>
      </c>
      <c r="O728" s="604">
        <f t="shared" si="243"/>
        <v>0</v>
      </c>
      <c r="P728" s="604">
        <f t="shared" si="244"/>
        <v>0</v>
      </c>
      <c r="Q728" s="604">
        <f t="shared" si="245"/>
        <v>0</v>
      </c>
      <c r="R728" s="604">
        <f t="shared" si="246"/>
        <v>0</v>
      </c>
      <c r="S728" s="604">
        <f t="shared" si="247"/>
        <v>0</v>
      </c>
      <c r="T728" s="604">
        <f t="shared" si="248"/>
        <v>0</v>
      </c>
      <c r="U728" s="604">
        <f t="shared" si="249"/>
        <v>0</v>
      </c>
      <c r="V728" s="604">
        <f t="shared" si="250"/>
        <v>0</v>
      </c>
      <c r="W728" s="604">
        <f t="shared" si="251"/>
        <v>0</v>
      </c>
      <c r="X728" s="746">
        <v>0</v>
      </c>
      <c r="Y728" s="746">
        <f t="shared" si="252"/>
        <v>0</v>
      </c>
    </row>
    <row r="729" spans="2:25">
      <c r="B729" s="598" t="s">
        <v>2595</v>
      </c>
      <c r="C729" s="604" t="s">
        <v>864</v>
      </c>
      <c r="D729" s="745">
        <v>2012</v>
      </c>
      <c r="E729" s="604" t="s">
        <v>3507</v>
      </c>
      <c r="F729" s="738">
        <v>0.15</v>
      </c>
      <c r="G729" s="739">
        <v>0</v>
      </c>
      <c r="H729" s="741"/>
      <c r="I729" s="742"/>
      <c r="J729" s="740"/>
      <c r="K729" s="739">
        <v>0</v>
      </c>
      <c r="L729" s="864">
        <f t="shared" si="241"/>
        <v>0</v>
      </c>
      <c r="M729" s="740">
        <f t="shared" si="253"/>
        <v>0</v>
      </c>
      <c r="N729" s="604">
        <f t="shared" si="242"/>
        <v>0</v>
      </c>
      <c r="O729" s="604">
        <f t="shared" si="243"/>
        <v>0</v>
      </c>
      <c r="P729" s="604">
        <f t="shared" si="244"/>
        <v>0</v>
      </c>
      <c r="Q729" s="604">
        <f t="shared" si="245"/>
        <v>0</v>
      </c>
      <c r="R729" s="604">
        <f t="shared" si="246"/>
        <v>0</v>
      </c>
      <c r="S729" s="604">
        <f t="shared" si="247"/>
        <v>0</v>
      </c>
      <c r="T729" s="604">
        <f t="shared" si="248"/>
        <v>0</v>
      </c>
      <c r="U729" s="604">
        <f t="shared" si="249"/>
        <v>0</v>
      </c>
      <c r="V729" s="604">
        <f t="shared" si="250"/>
        <v>0</v>
      </c>
      <c r="W729" s="604">
        <f t="shared" si="251"/>
        <v>0</v>
      </c>
      <c r="X729" s="746">
        <v>0</v>
      </c>
      <c r="Y729" s="746">
        <f t="shared" si="252"/>
        <v>0</v>
      </c>
    </row>
    <row r="730" spans="2:25">
      <c r="B730" s="598" t="s">
        <v>2595</v>
      </c>
      <c r="C730" s="604" t="s">
        <v>864</v>
      </c>
      <c r="D730" s="745">
        <v>2008</v>
      </c>
      <c r="E730" s="604" t="s">
        <v>3504</v>
      </c>
      <c r="F730" s="738">
        <v>0.15</v>
      </c>
      <c r="G730" s="739">
        <v>19400</v>
      </c>
      <c r="H730" s="741"/>
      <c r="I730" s="742"/>
      <c r="J730" s="740"/>
      <c r="K730" s="739">
        <v>19400</v>
      </c>
      <c r="L730" s="864">
        <f t="shared" si="241"/>
        <v>0</v>
      </c>
      <c r="M730" s="740">
        <f t="shared" si="253"/>
        <v>0</v>
      </c>
      <c r="N730" s="604">
        <f t="shared" si="242"/>
        <v>0</v>
      </c>
      <c r="O730" s="604">
        <f t="shared" si="243"/>
        <v>0</v>
      </c>
      <c r="P730" s="604">
        <f t="shared" si="244"/>
        <v>0</v>
      </c>
      <c r="Q730" s="604">
        <f t="shared" si="245"/>
        <v>0</v>
      </c>
      <c r="R730" s="604">
        <f t="shared" si="246"/>
        <v>0</v>
      </c>
      <c r="S730" s="604">
        <f t="shared" si="247"/>
        <v>0</v>
      </c>
      <c r="T730" s="604">
        <f t="shared" si="248"/>
        <v>0</v>
      </c>
      <c r="U730" s="604">
        <f t="shared" si="249"/>
        <v>0</v>
      </c>
      <c r="V730" s="604">
        <f t="shared" si="250"/>
        <v>0</v>
      </c>
      <c r="W730" s="604">
        <f t="shared" si="251"/>
        <v>0</v>
      </c>
      <c r="X730" s="746">
        <v>0</v>
      </c>
      <c r="Y730" s="746">
        <f t="shared" si="252"/>
        <v>0</v>
      </c>
    </row>
    <row r="731" spans="2:25">
      <c r="B731" s="598" t="s">
        <v>2595</v>
      </c>
      <c r="C731" s="604" t="s">
        <v>864</v>
      </c>
      <c r="D731" s="745">
        <v>2008</v>
      </c>
      <c r="E731" s="604" t="s">
        <v>3508</v>
      </c>
      <c r="F731" s="738">
        <v>0.15</v>
      </c>
      <c r="G731" s="739">
        <v>1621.67</v>
      </c>
      <c r="H731" s="741"/>
      <c r="I731" s="742"/>
      <c r="J731" s="740"/>
      <c r="K731" s="739">
        <v>1621.67</v>
      </c>
      <c r="L731" s="864">
        <f t="shared" si="241"/>
        <v>0</v>
      </c>
      <c r="M731" s="740">
        <f t="shared" si="253"/>
        <v>0</v>
      </c>
      <c r="N731" s="604">
        <f t="shared" si="242"/>
        <v>0</v>
      </c>
      <c r="O731" s="604">
        <f t="shared" si="243"/>
        <v>0</v>
      </c>
      <c r="P731" s="604">
        <f t="shared" si="244"/>
        <v>0</v>
      </c>
      <c r="Q731" s="604">
        <f t="shared" si="245"/>
        <v>0</v>
      </c>
      <c r="R731" s="604">
        <f t="shared" si="246"/>
        <v>0</v>
      </c>
      <c r="S731" s="604">
        <f t="shared" si="247"/>
        <v>0</v>
      </c>
      <c r="T731" s="604">
        <f t="shared" si="248"/>
        <v>0</v>
      </c>
      <c r="U731" s="604">
        <f t="shared" si="249"/>
        <v>0</v>
      </c>
      <c r="V731" s="604">
        <f t="shared" si="250"/>
        <v>0</v>
      </c>
      <c r="W731" s="604">
        <f t="shared" si="251"/>
        <v>0</v>
      </c>
      <c r="X731" s="746">
        <v>0</v>
      </c>
      <c r="Y731" s="746">
        <f t="shared" si="252"/>
        <v>0</v>
      </c>
    </row>
    <row r="732" spans="2:25">
      <c r="B732" s="598" t="s">
        <v>2595</v>
      </c>
      <c r="C732" s="604" t="s">
        <v>864</v>
      </c>
      <c r="D732" s="745">
        <v>2008</v>
      </c>
      <c r="E732" s="604" t="s">
        <v>3509</v>
      </c>
      <c r="F732" s="738">
        <v>0.15</v>
      </c>
      <c r="G732" s="739">
        <v>0</v>
      </c>
      <c r="H732" s="741"/>
      <c r="I732" s="742"/>
      <c r="J732" s="740"/>
      <c r="K732" s="739">
        <v>0</v>
      </c>
      <c r="L732" s="864">
        <f t="shared" si="241"/>
        <v>0</v>
      </c>
      <c r="M732" s="740">
        <f t="shared" si="253"/>
        <v>0</v>
      </c>
      <c r="N732" s="604">
        <f t="shared" si="242"/>
        <v>0</v>
      </c>
      <c r="O732" s="604">
        <f t="shared" si="243"/>
        <v>0</v>
      </c>
      <c r="P732" s="604">
        <f t="shared" si="244"/>
        <v>0</v>
      </c>
      <c r="Q732" s="604">
        <f t="shared" si="245"/>
        <v>0</v>
      </c>
      <c r="R732" s="604">
        <f t="shared" si="246"/>
        <v>0</v>
      </c>
      <c r="S732" s="604">
        <f t="shared" si="247"/>
        <v>0</v>
      </c>
      <c r="T732" s="604">
        <f t="shared" si="248"/>
        <v>0</v>
      </c>
      <c r="U732" s="604">
        <f t="shared" si="249"/>
        <v>0</v>
      </c>
      <c r="V732" s="604">
        <f t="shared" si="250"/>
        <v>0</v>
      </c>
      <c r="W732" s="604">
        <f t="shared" si="251"/>
        <v>0</v>
      </c>
      <c r="X732" s="746">
        <v>0</v>
      </c>
      <c r="Y732" s="746">
        <f t="shared" si="252"/>
        <v>0</v>
      </c>
    </row>
    <row r="733" spans="2:25">
      <c r="B733" s="598" t="s">
        <v>2595</v>
      </c>
      <c r="C733" s="604" t="s">
        <v>864</v>
      </c>
      <c r="D733" s="745">
        <v>2008</v>
      </c>
      <c r="E733" s="604" t="s">
        <v>3504</v>
      </c>
      <c r="F733" s="738">
        <v>0.15</v>
      </c>
      <c r="G733" s="739">
        <v>0</v>
      </c>
      <c r="H733" s="741"/>
      <c r="I733" s="742"/>
      <c r="J733" s="740"/>
      <c r="K733" s="739">
        <v>0</v>
      </c>
      <c r="L733" s="864">
        <f t="shared" si="241"/>
        <v>0</v>
      </c>
      <c r="M733" s="740">
        <f t="shared" si="253"/>
        <v>0</v>
      </c>
      <c r="N733" s="604">
        <f t="shared" si="242"/>
        <v>0</v>
      </c>
      <c r="O733" s="604">
        <f t="shared" si="243"/>
        <v>0</v>
      </c>
      <c r="P733" s="604">
        <f t="shared" si="244"/>
        <v>0</v>
      </c>
      <c r="Q733" s="604">
        <f t="shared" si="245"/>
        <v>0</v>
      </c>
      <c r="R733" s="604">
        <f t="shared" si="246"/>
        <v>0</v>
      </c>
      <c r="S733" s="604">
        <f t="shared" si="247"/>
        <v>0</v>
      </c>
      <c r="T733" s="604">
        <f t="shared" si="248"/>
        <v>0</v>
      </c>
      <c r="U733" s="604">
        <f t="shared" si="249"/>
        <v>0</v>
      </c>
      <c r="V733" s="604">
        <f t="shared" si="250"/>
        <v>0</v>
      </c>
      <c r="W733" s="604">
        <f t="shared" si="251"/>
        <v>0</v>
      </c>
      <c r="X733" s="746">
        <v>0</v>
      </c>
      <c r="Y733" s="746">
        <f t="shared" si="252"/>
        <v>0</v>
      </c>
    </row>
    <row r="734" spans="2:25">
      <c r="B734" s="598" t="s">
        <v>2595</v>
      </c>
      <c r="C734" s="604" t="s">
        <v>864</v>
      </c>
      <c r="D734" s="745">
        <v>2008</v>
      </c>
      <c r="E734" s="604" t="s">
        <v>3510</v>
      </c>
      <c r="F734" s="738">
        <v>0.15</v>
      </c>
      <c r="G734" s="739">
        <v>6500</v>
      </c>
      <c r="H734" s="741"/>
      <c r="I734" s="742"/>
      <c r="J734" s="740"/>
      <c r="K734" s="739">
        <v>6500</v>
      </c>
      <c r="L734" s="864">
        <f t="shared" si="241"/>
        <v>0</v>
      </c>
      <c r="M734" s="740">
        <f t="shared" si="253"/>
        <v>0</v>
      </c>
      <c r="N734" s="604">
        <f t="shared" si="242"/>
        <v>0</v>
      </c>
      <c r="O734" s="604">
        <f t="shared" si="243"/>
        <v>0</v>
      </c>
      <c r="P734" s="604">
        <f t="shared" si="244"/>
        <v>0</v>
      </c>
      <c r="Q734" s="604">
        <f t="shared" si="245"/>
        <v>0</v>
      </c>
      <c r="R734" s="604">
        <f t="shared" si="246"/>
        <v>0</v>
      </c>
      <c r="S734" s="604">
        <f t="shared" si="247"/>
        <v>0</v>
      </c>
      <c r="T734" s="604">
        <f t="shared" si="248"/>
        <v>0</v>
      </c>
      <c r="U734" s="604">
        <f t="shared" si="249"/>
        <v>0</v>
      </c>
      <c r="V734" s="604">
        <f t="shared" si="250"/>
        <v>0</v>
      </c>
      <c r="W734" s="604">
        <f t="shared" si="251"/>
        <v>0</v>
      </c>
      <c r="X734" s="746">
        <v>0</v>
      </c>
      <c r="Y734" s="746">
        <f t="shared" si="252"/>
        <v>0</v>
      </c>
    </row>
    <row r="735" spans="2:25">
      <c r="B735" s="598" t="s">
        <v>2595</v>
      </c>
      <c r="C735" s="604" t="s">
        <v>864</v>
      </c>
      <c r="D735" s="745">
        <v>2008</v>
      </c>
      <c r="E735" s="604" t="s">
        <v>3481</v>
      </c>
      <c r="F735" s="738">
        <v>0.15</v>
      </c>
      <c r="G735" s="739">
        <v>0</v>
      </c>
      <c r="H735" s="741"/>
      <c r="I735" s="742"/>
      <c r="J735" s="740"/>
      <c r="K735" s="739">
        <v>0</v>
      </c>
      <c r="L735" s="864">
        <f t="shared" si="241"/>
        <v>0</v>
      </c>
      <c r="M735" s="740">
        <f t="shared" si="253"/>
        <v>0</v>
      </c>
      <c r="N735" s="604">
        <f t="shared" si="242"/>
        <v>0</v>
      </c>
      <c r="O735" s="604">
        <f t="shared" si="243"/>
        <v>0</v>
      </c>
      <c r="P735" s="604">
        <f t="shared" si="244"/>
        <v>0</v>
      </c>
      <c r="Q735" s="604">
        <f t="shared" si="245"/>
        <v>0</v>
      </c>
      <c r="R735" s="604">
        <f t="shared" si="246"/>
        <v>0</v>
      </c>
      <c r="S735" s="604">
        <f t="shared" si="247"/>
        <v>0</v>
      </c>
      <c r="T735" s="604">
        <f t="shared" si="248"/>
        <v>0</v>
      </c>
      <c r="U735" s="604">
        <f t="shared" si="249"/>
        <v>0</v>
      </c>
      <c r="V735" s="604">
        <f t="shared" si="250"/>
        <v>0</v>
      </c>
      <c r="W735" s="604">
        <f t="shared" si="251"/>
        <v>0</v>
      </c>
      <c r="X735" s="746">
        <v>0</v>
      </c>
      <c r="Y735" s="746">
        <f t="shared" si="252"/>
        <v>0</v>
      </c>
    </row>
    <row r="736" spans="2:25">
      <c r="B736" s="598" t="s">
        <v>2595</v>
      </c>
      <c r="C736" s="604" t="s">
        <v>864</v>
      </c>
      <c r="D736" s="745">
        <v>2008</v>
      </c>
      <c r="E736" s="604" t="s">
        <v>3509</v>
      </c>
      <c r="F736" s="738">
        <v>0.15</v>
      </c>
      <c r="G736" s="739">
        <v>0</v>
      </c>
      <c r="H736" s="741"/>
      <c r="I736" s="742"/>
      <c r="J736" s="740"/>
      <c r="K736" s="739">
        <v>0</v>
      </c>
      <c r="L736" s="864">
        <f t="shared" si="241"/>
        <v>0</v>
      </c>
      <c r="M736" s="740">
        <f t="shared" si="253"/>
        <v>0</v>
      </c>
      <c r="N736" s="604">
        <f t="shared" si="242"/>
        <v>0</v>
      </c>
      <c r="O736" s="604">
        <f t="shared" si="243"/>
        <v>0</v>
      </c>
      <c r="P736" s="604">
        <f t="shared" si="244"/>
        <v>0</v>
      </c>
      <c r="Q736" s="604">
        <f t="shared" si="245"/>
        <v>0</v>
      </c>
      <c r="R736" s="604">
        <f t="shared" si="246"/>
        <v>0</v>
      </c>
      <c r="S736" s="604">
        <f t="shared" si="247"/>
        <v>0</v>
      </c>
      <c r="T736" s="604">
        <f t="shared" si="248"/>
        <v>0</v>
      </c>
      <c r="U736" s="604">
        <f t="shared" si="249"/>
        <v>0</v>
      </c>
      <c r="V736" s="604">
        <f t="shared" si="250"/>
        <v>0</v>
      </c>
      <c r="W736" s="604">
        <f t="shared" si="251"/>
        <v>0</v>
      </c>
      <c r="X736" s="746">
        <v>0</v>
      </c>
      <c r="Y736" s="746">
        <f t="shared" si="252"/>
        <v>0</v>
      </c>
    </row>
    <row r="737" spans="2:25">
      <c r="B737" s="598" t="s">
        <v>2595</v>
      </c>
      <c r="C737" s="604" t="s">
        <v>864</v>
      </c>
      <c r="D737" s="745">
        <v>2008</v>
      </c>
      <c r="E737" s="604" t="s">
        <v>3504</v>
      </c>
      <c r="F737" s="738">
        <v>0.15</v>
      </c>
      <c r="G737" s="739">
        <v>0</v>
      </c>
      <c r="H737" s="741"/>
      <c r="I737" s="742"/>
      <c r="J737" s="740"/>
      <c r="K737" s="739">
        <v>0</v>
      </c>
      <c r="L737" s="864">
        <f t="shared" si="241"/>
        <v>0</v>
      </c>
      <c r="M737" s="740">
        <f t="shared" si="253"/>
        <v>0</v>
      </c>
      <c r="N737" s="604">
        <f t="shared" si="242"/>
        <v>0</v>
      </c>
      <c r="O737" s="604">
        <f t="shared" si="243"/>
        <v>0</v>
      </c>
      <c r="P737" s="604">
        <f t="shared" si="244"/>
        <v>0</v>
      </c>
      <c r="Q737" s="604">
        <f t="shared" si="245"/>
        <v>0</v>
      </c>
      <c r="R737" s="604">
        <f t="shared" si="246"/>
        <v>0</v>
      </c>
      <c r="S737" s="604">
        <f t="shared" si="247"/>
        <v>0</v>
      </c>
      <c r="T737" s="604">
        <f t="shared" si="248"/>
        <v>0</v>
      </c>
      <c r="U737" s="604">
        <f t="shared" si="249"/>
        <v>0</v>
      </c>
      <c r="V737" s="604">
        <f t="shared" si="250"/>
        <v>0</v>
      </c>
      <c r="W737" s="604">
        <f t="shared" si="251"/>
        <v>0</v>
      </c>
      <c r="X737" s="746">
        <v>0</v>
      </c>
      <c r="Y737" s="746">
        <f t="shared" si="252"/>
        <v>0</v>
      </c>
    </row>
    <row r="738" spans="2:25">
      <c r="B738" s="598" t="s">
        <v>2595</v>
      </c>
      <c r="C738" s="604" t="s">
        <v>864</v>
      </c>
      <c r="D738" s="745">
        <v>2012</v>
      </c>
      <c r="E738" s="604" t="s">
        <v>3511</v>
      </c>
      <c r="F738" s="738">
        <v>0.15</v>
      </c>
      <c r="G738" s="739">
        <v>707.55</v>
      </c>
      <c r="H738" s="741"/>
      <c r="I738" s="742"/>
      <c r="J738" s="740"/>
      <c r="K738" s="739">
        <v>707.55</v>
      </c>
      <c r="L738" s="864">
        <f t="shared" si="241"/>
        <v>0</v>
      </c>
      <c r="M738" s="740">
        <f t="shared" si="253"/>
        <v>0</v>
      </c>
      <c r="N738" s="604">
        <f t="shared" si="242"/>
        <v>0</v>
      </c>
      <c r="O738" s="604">
        <f t="shared" si="243"/>
        <v>0</v>
      </c>
      <c r="P738" s="604">
        <f t="shared" si="244"/>
        <v>0</v>
      </c>
      <c r="Q738" s="604">
        <f t="shared" si="245"/>
        <v>0</v>
      </c>
      <c r="R738" s="604">
        <f t="shared" si="246"/>
        <v>0</v>
      </c>
      <c r="S738" s="604">
        <f t="shared" si="247"/>
        <v>0</v>
      </c>
      <c r="T738" s="604">
        <f t="shared" si="248"/>
        <v>0</v>
      </c>
      <c r="U738" s="604">
        <f t="shared" si="249"/>
        <v>0</v>
      </c>
      <c r="V738" s="604">
        <f t="shared" si="250"/>
        <v>0</v>
      </c>
      <c r="W738" s="604">
        <f t="shared" si="251"/>
        <v>0</v>
      </c>
      <c r="X738" s="746">
        <v>0</v>
      </c>
      <c r="Y738" s="746">
        <f t="shared" si="252"/>
        <v>0</v>
      </c>
    </row>
    <row r="739" spans="2:25">
      <c r="B739" s="598" t="s">
        <v>2595</v>
      </c>
      <c r="C739" s="604" t="s">
        <v>864</v>
      </c>
      <c r="D739" s="745">
        <v>2013</v>
      </c>
      <c r="E739" s="604" t="s">
        <v>3512</v>
      </c>
      <c r="F739" s="738">
        <v>0.15</v>
      </c>
      <c r="G739" s="739">
        <v>464.81</v>
      </c>
      <c r="H739" s="741"/>
      <c r="I739" s="742"/>
      <c r="J739" s="740"/>
      <c r="K739" s="739">
        <v>464.81</v>
      </c>
      <c r="L739" s="864">
        <f t="shared" si="241"/>
        <v>0</v>
      </c>
      <c r="M739" s="740">
        <f t="shared" si="253"/>
        <v>0</v>
      </c>
      <c r="N739" s="604">
        <f t="shared" si="242"/>
        <v>0</v>
      </c>
      <c r="O739" s="604">
        <f t="shared" si="243"/>
        <v>0</v>
      </c>
      <c r="P739" s="604">
        <f t="shared" si="244"/>
        <v>0</v>
      </c>
      <c r="Q739" s="604">
        <f t="shared" si="245"/>
        <v>0</v>
      </c>
      <c r="R739" s="604">
        <f t="shared" si="246"/>
        <v>0</v>
      </c>
      <c r="S739" s="604">
        <f t="shared" si="247"/>
        <v>0</v>
      </c>
      <c r="T739" s="604">
        <f t="shared" si="248"/>
        <v>0</v>
      </c>
      <c r="U739" s="604">
        <f t="shared" si="249"/>
        <v>0</v>
      </c>
      <c r="V739" s="604">
        <f t="shared" si="250"/>
        <v>0</v>
      </c>
      <c r="W739" s="604">
        <f t="shared" si="251"/>
        <v>0</v>
      </c>
      <c r="X739" s="746">
        <v>0</v>
      </c>
      <c r="Y739" s="746">
        <f t="shared" si="252"/>
        <v>0</v>
      </c>
    </row>
    <row r="740" spans="2:25">
      <c r="B740" s="598" t="s">
        <v>2595</v>
      </c>
      <c r="C740" s="604" t="s">
        <v>864</v>
      </c>
      <c r="D740" s="745">
        <v>2013</v>
      </c>
      <c r="E740" s="604" t="s">
        <v>3513</v>
      </c>
      <c r="F740" s="738">
        <v>0.15</v>
      </c>
      <c r="G740" s="739">
        <v>1807.6</v>
      </c>
      <c r="H740" s="741"/>
      <c r="I740" s="742"/>
      <c r="J740" s="740"/>
      <c r="K740" s="739">
        <v>1807.6</v>
      </c>
      <c r="L740" s="864">
        <f t="shared" si="241"/>
        <v>0</v>
      </c>
      <c r="M740" s="740">
        <f t="shared" si="253"/>
        <v>0</v>
      </c>
      <c r="N740" s="604">
        <f t="shared" si="242"/>
        <v>0</v>
      </c>
      <c r="O740" s="604">
        <f t="shared" si="243"/>
        <v>0</v>
      </c>
      <c r="P740" s="604">
        <f t="shared" si="244"/>
        <v>0</v>
      </c>
      <c r="Q740" s="604">
        <f t="shared" si="245"/>
        <v>0</v>
      </c>
      <c r="R740" s="604">
        <f t="shared" si="246"/>
        <v>0</v>
      </c>
      <c r="S740" s="604">
        <f t="shared" si="247"/>
        <v>0</v>
      </c>
      <c r="T740" s="604">
        <f t="shared" si="248"/>
        <v>0</v>
      </c>
      <c r="U740" s="604">
        <f t="shared" si="249"/>
        <v>0</v>
      </c>
      <c r="V740" s="604">
        <f t="shared" si="250"/>
        <v>0</v>
      </c>
      <c r="W740" s="604">
        <f t="shared" si="251"/>
        <v>0</v>
      </c>
      <c r="X740" s="746">
        <v>0</v>
      </c>
      <c r="Y740" s="746">
        <f t="shared" si="252"/>
        <v>0</v>
      </c>
    </row>
    <row r="741" spans="2:25">
      <c r="B741" s="598" t="s">
        <v>2595</v>
      </c>
      <c r="C741" s="604" t="s">
        <v>864</v>
      </c>
      <c r="D741" s="745">
        <v>2013</v>
      </c>
      <c r="E741" s="604" t="s">
        <v>3514</v>
      </c>
      <c r="F741" s="738">
        <v>0.15</v>
      </c>
      <c r="G741" s="739">
        <v>2774.08</v>
      </c>
      <c r="H741" s="741"/>
      <c r="I741" s="742"/>
      <c r="J741" s="740"/>
      <c r="K741" s="739">
        <v>2774.08</v>
      </c>
      <c r="L741" s="864">
        <f t="shared" si="241"/>
        <v>0</v>
      </c>
      <c r="M741" s="740">
        <f t="shared" si="253"/>
        <v>0</v>
      </c>
      <c r="N741" s="604">
        <f t="shared" si="242"/>
        <v>0</v>
      </c>
      <c r="O741" s="604">
        <f t="shared" si="243"/>
        <v>0</v>
      </c>
      <c r="P741" s="604">
        <f t="shared" si="244"/>
        <v>0</v>
      </c>
      <c r="Q741" s="604">
        <f t="shared" si="245"/>
        <v>0</v>
      </c>
      <c r="R741" s="604">
        <f t="shared" si="246"/>
        <v>0</v>
      </c>
      <c r="S741" s="604">
        <f t="shared" si="247"/>
        <v>0</v>
      </c>
      <c r="T741" s="604">
        <f t="shared" si="248"/>
        <v>0</v>
      </c>
      <c r="U741" s="604">
        <f t="shared" si="249"/>
        <v>0</v>
      </c>
      <c r="V741" s="604">
        <f t="shared" si="250"/>
        <v>0</v>
      </c>
      <c r="W741" s="604">
        <f t="shared" si="251"/>
        <v>0</v>
      </c>
      <c r="X741" s="746">
        <v>0</v>
      </c>
      <c r="Y741" s="746">
        <f t="shared" si="252"/>
        <v>0</v>
      </c>
    </row>
    <row r="742" spans="2:25">
      <c r="B742" s="598" t="s">
        <v>2595</v>
      </c>
      <c r="C742" s="604" t="s">
        <v>864</v>
      </c>
      <c r="D742" s="745">
        <v>2018</v>
      </c>
      <c r="E742" s="604" t="s">
        <v>3515</v>
      </c>
      <c r="F742" s="738">
        <v>0.15</v>
      </c>
      <c r="G742" s="739">
        <v>6000</v>
      </c>
      <c r="H742" s="741"/>
      <c r="I742" s="742"/>
      <c r="J742" s="740"/>
      <c r="K742" s="739">
        <v>6000</v>
      </c>
      <c r="L742" s="864">
        <f t="shared" si="241"/>
        <v>0</v>
      </c>
      <c r="M742" s="740">
        <f t="shared" si="253"/>
        <v>0</v>
      </c>
      <c r="N742" s="604">
        <f t="shared" si="242"/>
        <v>0</v>
      </c>
      <c r="O742" s="604">
        <f t="shared" si="243"/>
        <v>0</v>
      </c>
      <c r="P742" s="604">
        <f t="shared" si="244"/>
        <v>0</v>
      </c>
      <c r="Q742" s="604">
        <f t="shared" si="245"/>
        <v>0</v>
      </c>
      <c r="R742" s="604">
        <f t="shared" si="246"/>
        <v>0</v>
      </c>
      <c r="S742" s="604">
        <f t="shared" si="247"/>
        <v>0</v>
      </c>
      <c r="T742" s="604">
        <f t="shared" si="248"/>
        <v>0</v>
      </c>
      <c r="U742" s="604">
        <f t="shared" si="249"/>
        <v>0</v>
      </c>
      <c r="V742" s="604">
        <f t="shared" si="250"/>
        <v>0</v>
      </c>
      <c r="W742" s="604">
        <f t="shared" si="251"/>
        <v>0</v>
      </c>
      <c r="X742" s="746">
        <v>0</v>
      </c>
      <c r="Y742" s="746">
        <f t="shared" si="252"/>
        <v>0</v>
      </c>
    </row>
    <row r="743" spans="2:25">
      <c r="B743" s="598" t="s">
        <v>2595</v>
      </c>
      <c r="C743" s="604" t="s">
        <v>864</v>
      </c>
      <c r="D743" s="745">
        <v>2021</v>
      </c>
      <c r="E743" s="604" t="s">
        <v>3516</v>
      </c>
      <c r="F743" s="738">
        <v>0.15</v>
      </c>
      <c r="G743" s="739">
        <v>0</v>
      </c>
      <c r="H743" s="741"/>
      <c r="I743" s="742"/>
      <c r="J743" s="740"/>
      <c r="K743" s="739">
        <v>0</v>
      </c>
      <c r="L743" s="864">
        <f t="shared" si="241"/>
        <v>0</v>
      </c>
      <c r="M743" s="740">
        <f t="shared" si="253"/>
        <v>0</v>
      </c>
      <c r="N743" s="604">
        <f t="shared" si="242"/>
        <v>0</v>
      </c>
      <c r="O743" s="604">
        <f t="shared" si="243"/>
        <v>0</v>
      </c>
      <c r="P743" s="604">
        <f t="shared" si="244"/>
        <v>0</v>
      </c>
      <c r="Q743" s="604">
        <f t="shared" si="245"/>
        <v>0</v>
      </c>
      <c r="R743" s="604">
        <f t="shared" si="246"/>
        <v>0</v>
      </c>
      <c r="S743" s="604">
        <f t="shared" si="247"/>
        <v>0</v>
      </c>
      <c r="T743" s="604">
        <f t="shared" si="248"/>
        <v>0</v>
      </c>
      <c r="U743" s="604">
        <f t="shared" si="249"/>
        <v>0</v>
      </c>
      <c r="V743" s="604">
        <f t="shared" si="250"/>
        <v>0</v>
      </c>
      <c r="W743" s="604">
        <f t="shared" si="251"/>
        <v>0</v>
      </c>
      <c r="X743" s="746">
        <v>0</v>
      </c>
      <c r="Y743" s="746">
        <f t="shared" si="252"/>
        <v>0</v>
      </c>
    </row>
    <row r="744" spans="2:25">
      <c r="B744" s="598" t="s">
        <v>2595</v>
      </c>
      <c r="C744" s="604" t="s">
        <v>864</v>
      </c>
      <c r="D744" s="745">
        <v>2009</v>
      </c>
      <c r="E744" s="604" t="s">
        <v>3517</v>
      </c>
      <c r="F744" s="738">
        <v>0.15</v>
      </c>
      <c r="G744" s="739">
        <v>0</v>
      </c>
      <c r="H744" s="741"/>
      <c r="I744" s="742"/>
      <c r="J744" s="740"/>
      <c r="K744" s="739">
        <v>0</v>
      </c>
      <c r="L744" s="864">
        <f t="shared" si="241"/>
        <v>0</v>
      </c>
      <c r="M744" s="740">
        <f t="shared" si="253"/>
        <v>0</v>
      </c>
      <c r="N744" s="604">
        <f t="shared" si="242"/>
        <v>0</v>
      </c>
      <c r="O744" s="604">
        <f t="shared" si="243"/>
        <v>0</v>
      </c>
      <c r="P744" s="604">
        <f t="shared" si="244"/>
        <v>0</v>
      </c>
      <c r="Q744" s="604">
        <f t="shared" si="245"/>
        <v>0</v>
      </c>
      <c r="R744" s="604">
        <f t="shared" si="246"/>
        <v>0</v>
      </c>
      <c r="S744" s="604">
        <f t="shared" si="247"/>
        <v>0</v>
      </c>
      <c r="T744" s="604">
        <f t="shared" si="248"/>
        <v>0</v>
      </c>
      <c r="U744" s="604">
        <f t="shared" si="249"/>
        <v>0</v>
      </c>
      <c r="V744" s="604">
        <f t="shared" si="250"/>
        <v>0</v>
      </c>
      <c r="W744" s="604">
        <f t="shared" si="251"/>
        <v>0</v>
      </c>
      <c r="X744" s="746">
        <v>0</v>
      </c>
      <c r="Y744" s="746">
        <f t="shared" si="252"/>
        <v>0</v>
      </c>
    </row>
    <row r="745" spans="2:25">
      <c r="B745" s="598" t="s">
        <v>2595</v>
      </c>
      <c r="C745" s="604" t="s">
        <v>864</v>
      </c>
      <c r="D745" s="745">
        <v>2009</v>
      </c>
      <c r="E745" s="604" t="s">
        <v>3504</v>
      </c>
      <c r="F745" s="738">
        <v>0.15</v>
      </c>
      <c r="G745" s="739">
        <v>0</v>
      </c>
      <c r="H745" s="741"/>
      <c r="I745" s="742"/>
      <c r="J745" s="740"/>
      <c r="K745" s="739">
        <v>0</v>
      </c>
      <c r="L745" s="864">
        <f t="shared" si="241"/>
        <v>0</v>
      </c>
      <c r="M745" s="740">
        <f t="shared" si="253"/>
        <v>0</v>
      </c>
      <c r="N745" s="604">
        <f t="shared" si="242"/>
        <v>0</v>
      </c>
      <c r="O745" s="604">
        <f t="shared" si="243"/>
        <v>0</v>
      </c>
      <c r="P745" s="604">
        <f t="shared" si="244"/>
        <v>0</v>
      </c>
      <c r="Q745" s="604">
        <f t="shared" si="245"/>
        <v>0</v>
      </c>
      <c r="R745" s="604">
        <f t="shared" si="246"/>
        <v>0</v>
      </c>
      <c r="S745" s="604">
        <f t="shared" si="247"/>
        <v>0</v>
      </c>
      <c r="T745" s="604">
        <f t="shared" si="248"/>
        <v>0</v>
      </c>
      <c r="U745" s="604">
        <f t="shared" si="249"/>
        <v>0</v>
      </c>
      <c r="V745" s="604">
        <f t="shared" si="250"/>
        <v>0</v>
      </c>
      <c r="W745" s="604">
        <f t="shared" si="251"/>
        <v>0</v>
      </c>
      <c r="X745" s="746">
        <v>0</v>
      </c>
      <c r="Y745" s="746">
        <f t="shared" si="252"/>
        <v>0</v>
      </c>
    </row>
    <row r="746" spans="2:25">
      <c r="B746" s="598" t="s">
        <v>2595</v>
      </c>
      <c r="C746" s="604" t="s">
        <v>864</v>
      </c>
      <c r="D746" s="745">
        <v>2009</v>
      </c>
      <c r="E746" s="604" t="s">
        <v>3513</v>
      </c>
      <c r="F746" s="738">
        <v>0.15</v>
      </c>
      <c r="G746" s="739">
        <v>0</v>
      </c>
      <c r="H746" s="741"/>
      <c r="I746" s="742"/>
      <c r="J746" s="740"/>
      <c r="K746" s="739">
        <v>0</v>
      </c>
      <c r="L746" s="864">
        <f t="shared" si="241"/>
        <v>0</v>
      </c>
      <c r="M746" s="740">
        <f t="shared" si="253"/>
        <v>0</v>
      </c>
      <c r="N746" s="604">
        <f t="shared" si="242"/>
        <v>0</v>
      </c>
      <c r="O746" s="604">
        <f t="shared" si="243"/>
        <v>0</v>
      </c>
      <c r="P746" s="604">
        <f t="shared" si="244"/>
        <v>0</v>
      </c>
      <c r="Q746" s="604">
        <f t="shared" si="245"/>
        <v>0</v>
      </c>
      <c r="R746" s="604">
        <f t="shared" si="246"/>
        <v>0</v>
      </c>
      <c r="S746" s="604">
        <f t="shared" si="247"/>
        <v>0</v>
      </c>
      <c r="T746" s="604">
        <f t="shared" si="248"/>
        <v>0</v>
      </c>
      <c r="U746" s="604">
        <f t="shared" si="249"/>
        <v>0</v>
      </c>
      <c r="V746" s="604">
        <f t="shared" si="250"/>
        <v>0</v>
      </c>
      <c r="W746" s="604">
        <f t="shared" si="251"/>
        <v>0</v>
      </c>
      <c r="X746" s="746">
        <v>0</v>
      </c>
      <c r="Y746" s="746">
        <f t="shared" si="252"/>
        <v>0</v>
      </c>
    </row>
    <row r="747" spans="2:25">
      <c r="B747" s="598" t="s">
        <v>2595</v>
      </c>
      <c r="C747" s="604" t="s">
        <v>864</v>
      </c>
      <c r="D747" s="745">
        <v>2009</v>
      </c>
      <c r="E747" s="604" t="s">
        <v>3518</v>
      </c>
      <c r="F747" s="738">
        <v>0.15</v>
      </c>
      <c r="G747" s="739">
        <v>20000</v>
      </c>
      <c r="H747" s="741"/>
      <c r="I747" s="742"/>
      <c r="J747" s="740"/>
      <c r="K747" s="739">
        <v>20000</v>
      </c>
      <c r="L747" s="864">
        <f t="shared" si="241"/>
        <v>0</v>
      </c>
      <c r="M747" s="740">
        <f t="shared" si="253"/>
        <v>0</v>
      </c>
      <c r="N747" s="604">
        <f t="shared" si="242"/>
        <v>0</v>
      </c>
      <c r="O747" s="604">
        <f t="shared" si="243"/>
        <v>0</v>
      </c>
      <c r="P747" s="604">
        <f t="shared" si="244"/>
        <v>0</v>
      </c>
      <c r="Q747" s="604">
        <f t="shared" si="245"/>
        <v>0</v>
      </c>
      <c r="R747" s="604">
        <f t="shared" si="246"/>
        <v>0</v>
      </c>
      <c r="S747" s="604">
        <f t="shared" si="247"/>
        <v>0</v>
      </c>
      <c r="T747" s="604">
        <f t="shared" si="248"/>
        <v>0</v>
      </c>
      <c r="U747" s="604">
        <f t="shared" si="249"/>
        <v>0</v>
      </c>
      <c r="V747" s="604">
        <f t="shared" si="250"/>
        <v>0</v>
      </c>
      <c r="W747" s="604">
        <f t="shared" si="251"/>
        <v>0</v>
      </c>
      <c r="X747" s="746">
        <v>0</v>
      </c>
      <c r="Y747" s="746">
        <f t="shared" si="252"/>
        <v>0</v>
      </c>
    </row>
    <row r="748" spans="2:25">
      <c r="B748" s="598" t="s">
        <v>2595</v>
      </c>
      <c r="C748" s="604" t="s">
        <v>864</v>
      </c>
      <c r="D748" s="745">
        <v>2013</v>
      </c>
      <c r="E748" s="604" t="s">
        <v>3519</v>
      </c>
      <c r="F748" s="738">
        <v>0.15</v>
      </c>
      <c r="G748" s="739">
        <v>0</v>
      </c>
      <c r="H748" s="741"/>
      <c r="I748" s="742"/>
      <c r="J748" s="740"/>
      <c r="K748" s="739">
        <v>0</v>
      </c>
      <c r="L748" s="864">
        <f t="shared" si="241"/>
        <v>0</v>
      </c>
      <c r="M748" s="740">
        <f t="shared" si="253"/>
        <v>0</v>
      </c>
      <c r="N748" s="604">
        <f t="shared" si="242"/>
        <v>0</v>
      </c>
      <c r="O748" s="604">
        <f t="shared" si="243"/>
        <v>0</v>
      </c>
      <c r="P748" s="604">
        <f t="shared" si="244"/>
        <v>0</v>
      </c>
      <c r="Q748" s="604">
        <f t="shared" si="245"/>
        <v>0</v>
      </c>
      <c r="R748" s="604">
        <f t="shared" si="246"/>
        <v>0</v>
      </c>
      <c r="S748" s="604">
        <f t="shared" si="247"/>
        <v>0</v>
      </c>
      <c r="T748" s="604">
        <f t="shared" si="248"/>
        <v>0</v>
      </c>
      <c r="U748" s="604">
        <f t="shared" si="249"/>
        <v>0</v>
      </c>
      <c r="V748" s="604">
        <f t="shared" si="250"/>
        <v>0</v>
      </c>
      <c r="W748" s="604">
        <f t="shared" si="251"/>
        <v>0</v>
      </c>
      <c r="X748" s="746">
        <v>0</v>
      </c>
      <c r="Y748" s="746">
        <f t="shared" si="252"/>
        <v>0</v>
      </c>
    </row>
    <row r="749" spans="2:25">
      <c r="B749" s="598" t="s">
        <v>2595</v>
      </c>
      <c r="C749" s="604" t="s">
        <v>864</v>
      </c>
      <c r="D749" s="745">
        <v>2009</v>
      </c>
      <c r="E749" s="604" t="s">
        <v>3520</v>
      </c>
      <c r="F749" s="738">
        <v>0.15</v>
      </c>
      <c r="G749" s="739">
        <v>0</v>
      </c>
      <c r="H749" s="741"/>
      <c r="I749" s="742"/>
      <c r="J749" s="740"/>
      <c r="K749" s="739">
        <v>0</v>
      </c>
      <c r="L749" s="864">
        <f t="shared" si="241"/>
        <v>0</v>
      </c>
      <c r="M749" s="740">
        <f t="shared" si="253"/>
        <v>0</v>
      </c>
      <c r="N749" s="604">
        <f t="shared" si="242"/>
        <v>0</v>
      </c>
      <c r="O749" s="604">
        <f t="shared" si="243"/>
        <v>0</v>
      </c>
      <c r="P749" s="604">
        <f t="shared" si="244"/>
        <v>0</v>
      </c>
      <c r="Q749" s="604">
        <f t="shared" si="245"/>
        <v>0</v>
      </c>
      <c r="R749" s="604">
        <f t="shared" si="246"/>
        <v>0</v>
      </c>
      <c r="S749" s="604">
        <f t="shared" si="247"/>
        <v>0</v>
      </c>
      <c r="T749" s="604">
        <f t="shared" si="248"/>
        <v>0</v>
      </c>
      <c r="U749" s="604">
        <f t="shared" si="249"/>
        <v>0</v>
      </c>
      <c r="V749" s="604">
        <f t="shared" si="250"/>
        <v>0</v>
      </c>
      <c r="W749" s="604">
        <f t="shared" si="251"/>
        <v>0</v>
      </c>
      <c r="X749" s="746">
        <v>0</v>
      </c>
      <c r="Y749" s="746">
        <f t="shared" si="252"/>
        <v>0</v>
      </c>
    </row>
    <row r="750" spans="2:25">
      <c r="B750" s="598" t="s">
        <v>2595</v>
      </c>
      <c r="C750" s="604" t="s">
        <v>864</v>
      </c>
      <c r="D750" s="745">
        <v>2012</v>
      </c>
      <c r="E750" s="604" t="s">
        <v>3521</v>
      </c>
      <c r="F750" s="738">
        <v>0.15</v>
      </c>
      <c r="G750" s="739">
        <v>35000</v>
      </c>
      <c r="H750" s="741"/>
      <c r="I750" s="742"/>
      <c r="J750" s="740"/>
      <c r="K750" s="739">
        <v>35000</v>
      </c>
      <c r="L750" s="864">
        <f t="shared" si="241"/>
        <v>0</v>
      </c>
      <c r="M750" s="740">
        <f t="shared" si="253"/>
        <v>0</v>
      </c>
      <c r="N750" s="604">
        <f t="shared" si="242"/>
        <v>0</v>
      </c>
      <c r="O750" s="604">
        <f t="shared" si="243"/>
        <v>0</v>
      </c>
      <c r="P750" s="604">
        <f t="shared" si="244"/>
        <v>0</v>
      </c>
      <c r="Q750" s="604">
        <f t="shared" si="245"/>
        <v>0</v>
      </c>
      <c r="R750" s="604">
        <f t="shared" si="246"/>
        <v>0</v>
      </c>
      <c r="S750" s="604">
        <f t="shared" si="247"/>
        <v>0</v>
      </c>
      <c r="T750" s="604">
        <f t="shared" si="248"/>
        <v>0</v>
      </c>
      <c r="U750" s="604">
        <f t="shared" si="249"/>
        <v>0</v>
      </c>
      <c r="V750" s="604">
        <f t="shared" si="250"/>
        <v>0</v>
      </c>
      <c r="W750" s="604">
        <f t="shared" si="251"/>
        <v>0</v>
      </c>
      <c r="X750" s="746">
        <v>0</v>
      </c>
      <c r="Y750" s="746">
        <f t="shared" si="252"/>
        <v>0</v>
      </c>
    </row>
    <row r="751" spans="2:25">
      <c r="B751" s="598" t="s">
        <v>2595</v>
      </c>
      <c r="C751" s="604" t="s">
        <v>864</v>
      </c>
      <c r="D751" s="745">
        <v>2009</v>
      </c>
      <c r="E751" s="604" t="s">
        <v>3508</v>
      </c>
      <c r="F751" s="738">
        <v>0.15</v>
      </c>
      <c r="G751" s="739">
        <v>2371.59</v>
      </c>
      <c r="H751" s="741"/>
      <c r="I751" s="742"/>
      <c r="J751" s="740"/>
      <c r="K751" s="739">
        <v>2371.59</v>
      </c>
      <c r="L751" s="864">
        <f t="shared" si="241"/>
        <v>0</v>
      </c>
      <c r="M751" s="740">
        <f t="shared" si="253"/>
        <v>0</v>
      </c>
      <c r="N751" s="604">
        <f t="shared" si="242"/>
        <v>0</v>
      </c>
      <c r="O751" s="604">
        <f t="shared" si="243"/>
        <v>0</v>
      </c>
      <c r="P751" s="604">
        <f t="shared" si="244"/>
        <v>0</v>
      </c>
      <c r="Q751" s="604">
        <f t="shared" si="245"/>
        <v>0</v>
      </c>
      <c r="R751" s="604">
        <f t="shared" si="246"/>
        <v>0</v>
      </c>
      <c r="S751" s="604">
        <f t="shared" si="247"/>
        <v>0</v>
      </c>
      <c r="T751" s="604">
        <f t="shared" si="248"/>
        <v>0</v>
      </c>
      <c r="U751" s="604">
        <f t="shared" si="249"/>
        <v>0</v>
      </c>
      <c r="V751" s="604">
        <f t="shared" si="250"/>
        <v>0</v>
      </c>
      <c r="W751" s="604">
        <f t="shared" si="251"/>
        <v>0</v>
      </c>
      <c r="X751" s="746">
        <v>0</v>
      </c>
      <c r="Y751" s="746">
        <f t="shared" si="252"/>
        <v>0</v>
      </c>
    </row>
    <row r="752" spans="2:25">
      <c r="B752" s="598" t="s">
        <v>2595</v>
      </c>
      <c r="C752" s="604" t="s">
        <v>864</v>
      </c>
      <c r="D752" s="745">
        <v>2012</v>
      </c>
      <c r="E752" s="604" t="s">
        <v>3522</v>
      </c>
      <c r="F752" s="738">
        <v>0.15</v>
      </c>
      <c r="G752" s="739">
        <v>19000</v>
      </c>
      <c r="H752" s="741"/>
      <c r="I752" s="742"/>
      <c r="J752" s="740"/>
      <c r="K752" s="739">
        <v>19000</v>
      </c>
      <c r="L752" s="864">
        <f t="shared" si="241"/>
        <v>0</v>
      </c>
      <c r="M752" s="740">
        <f t="shared" si="253"/>
        <v>0</v>
      </c>
      <c r="N752" s="604">
        <f t="shared" si="242"/>
        <v>0</v>
      </c>
      <c r="O752" s="604">
        <f t="shared" si="243"/>
        <v>0</v>
      </c>
      <c r="P752" s="604">
        <f t="shared" si="244"/>
        <v>0</v>
      </c>
      <c r="Q752" s="604">
        <f t="shared" si="245"/>
        <v>0</v>
      </c>
      <c r="R752" s="604">
        <f t="shared" si="246"/>
        <v>0</v>
      </c>
      <c r="S752" s="604">
        <f t="shared" si="247"/>
        <v>0</v>
      </c>
      <c r="T752" s="604">
        <f t="shared" si="248"/>
        <v>0</v>
      </c>
      <c r="U752" s="604">
        <f t="shared" si="249"/>
        <v>0</v>
      </c>
      <c r="V752" s="604">
        <f t="shared" si="250"/>
        <v>0</v>
      </c>
      <c r="W752" s="604">
        <f t="shared" si="251"/>
        <v>0</v>
      </c>
      <c r="X752" s="746">
        <v>0</v>
      </c>
      <c r="Y752" s="746">
        <f t="shared" si="252"/>
        <v>0</v>
      </c>
    </row>
    <row r="753" spans="2:25">
      <c r="B753" s="598" t="s">
        <v>2595</v>
      </c>
      <c r="C753" s="604" t="s">
        <v>864</v>
      </c>
      <c r="D753" s="745">
        <v>2009</v>
      </c>
      <c r="E753" s="604" t="s">
        <v>3513</v>
      </c>
      <c r="F753" s="738">
        <v>0.15</v>
      </c>
      <c r="G753" s="739">
        <v>0</v>
      </c>
      <c r="H753" s="741"/>
      <c r="I753" s="742"/>
      <c r="J753" s="740"/>
      <c r="K753" s="739">
        <v>0</v>
      </c>
      <c r="L753" s="864">
        <f t="shared" si="241"/>
        <v>0</v>
      </c>
      <c r="M753" s="740">
        <f t="shared" si="253"/>
        <v>0</v>
      </c>
      <c r="N753" s="604">
        <f t="shared" si="242"/>
        <v>0</v>
      </c>
      <c r="O753" s="604">
        <f t="shared" si="243"/>
        <v>0</v>
      </c>
      <c r="P753" s="604">
        <f t="shared" si="244"/>
        <v>0</v>
      </c>
      <c r="Q753" s="604">
        <f t="shared" si="245"/>
        <v>0</v>
      </c>
      <c r="R753" s="604">
        <f t="shared" si="246"/>
        <v>0</v>
      </c>
      <c r="S753" s="604">
        <f t="shared" si="247"/>
        <v>0</v>
      </c>
      <c r="T753" s="604">
        <f t="shared" si="248"/>
        <v>0</v>
      </c>
      <c r="U753" s="604">
        <f t="shared" si="249"/>
        <v>0</v>
      </c>
      <c r="V753" s="604">
        <f t="shared" si="250"/>
        <v>0</v>
      </c>
      <c r="W753" s="604">
        <f t="shared" si="251"/>
        <v>0</v>
      </c>
      <c r="X753" s="746">
        <v>0</v>
      </c>
      <c r="Y753" s="746">
        <f t="shared" si="252"/>
        <v>0</v>
      </c>
    </row>
    <row r="754" spans="2:25">
      <c r="B754" s="598" t="s">
        <v>2595</v>
      </c>
      <c r="C754" s="604" t="s">
        <v>864</v>
      </c>
      <c r="D754" s="745">
        <v>2009</v>
      </c>
      <c r="E754" s="604" t="s">
        <v>3523</v>
      </c>
      <c r="F754" s="738">
        <v>0.15</v>
      </c>
      <c r="G754" s="739">
        <v>0</v>
      </c>
      <c r="H754" s="741"/>
      <c r="I754" s="742"/>
      <c r="J754" s="740"/>
      <c r="K754" s="739">
        <v>0</v>
      </c>
      <c r="L754" s="864">
        <f t="shared" si="241"/>
        <v>0</v>
      </c>
      <c r="M754" s="740">
        <f t="shared" si="253"/>
        <v>0</v>
      </c>
      <c r="N754" s="604">
        <f t="shared" si="242"/>
        <v>0</v>
      </c>
      <c r="O754" s="604">
        <f t="shared" si="243"/>
        <v>0</v>
      </c>
      <c r="P754" s="604">
        <f t="shared" si="244"/>
        <v>0</v>
      </c>
      <c r="Q754" s="604">
        <f t="shared" si="245"/>
        <v>0</v>
      </c>
      <c r="R754" s="604">
        <f t="shared" si="246"/>
        <v>0</v>
      </c>
      <c r="S754" s="604">
        <f t="shared" si="247"/>
        <v>0</v>
      </c>
      <c r="T754" s="604">
        <f t="shared" si="248"/>
        <v>0</v>
      </c>
      <c r="U754" s="604">
        <f t="shared" si="249"/>
        <v>0</v>
      </c>
      <c r="V754" s="604">
        <f t="shared" si="250"/>
        <v>0</v>
      </c>
      <c r="W754" s="604">
        <f t="shared" si="251"/>
        <v>0</v>
      </c>
      <c r="X754" s="746">
        <v>0</v>
      </c>
      <c r="Y754" s="746">
        <f t="shared" si="252"/>
        <v>0</v>
      </c>
    </row>
    <row r="755" spans="2:25">
      <c r="B755" s="598" t="s">
        <v>2595</v>
      </c>
      <c r="C755" s="604" t="s">
        <v>864</v>
      </c>
      <c r="D755" s="745">
        <v>2012</v>
      </c>
      <c r="E755" s="604" t="s">
        <v>3513</v>
      </c>
      <c r="F755" s="738">
        <v>0.15</v>
      </c>
      <c r="G755" s="739">
        <v>0</v>
      </c>
      <c r="H755" s="741"/>
      <c r="I755" s="742"/>
      <c r="J755" s="740"/>
      <c r="K755" s="739">
        <v>0</v>
      </c>
      <c r="L755" s="864">
        <f t="shared" si="241"/>
        <v>0</v>
      </c>
      <c r="M755" s="740">
        <f t="shared" si="253"/>
        <v>0</v>
      </c>
      <c r="N755" s="604">
        <f t="shared" si="242"/>
        <v>0</v>
      </c>
      <c r="O755" s="604">
        <f t="shared" si="243"/>
        <v>0</v>
      </c>
      <c r="P755" s="604">
        <f t="shared" si="244"/>
        <v>0</v>
      </c>
      <c r="Q755" s="604">
        <f t="shared" si="245"/>
        <v>0</v>
      </c>
      <c r="R755" s="604">
        <f t="shared" si="246"/>
        <v>0</v>
      </c>
      <c r="S755" s="604">
        <f t="shared" si="247"/>
        <v>0</v>
      </c>
      <c r="T755" s="604">
        <f t="shared" si="248"/>
        <v>0</v>
      </c>
      <c r="U755" s="604">
        <f t="shared" si="249"/>
        <v>0</v>
      </c>
      <c r="V755" s="604">
        <f t="shared" si="250"/>
        <v>0</v>
      </c>
      <c r="W755" s="604">
        <f t="shared" si="251"/>
        <v>0</v>
      </c>
      <c r="X755" s="746">
        <v>0</v>
      </c>
      <c r="Y755" s="746">
        <f t="shared" si="252"/>
        <v>0</v>
      </c>
    </row>
    <row r="756" spans="2:25">
      <c r="B756" s="598" t="s">
        <v>2595</v>
      </c>
      <c r="C756" s="604" t="s">
        <v>864</v>
      </c>
      <c r="D756" s="745">
        <v>2022</v>
      </c>
      <c r="E756" s="604" t="s">
        <v>3524</v>
      </c>
      <c r="F756" s="738">
        <v>0.15</v>
      </c>
      <c r="G756" s="739">
        <v>20000</v>
      </c>
      <c r="H756" s="741"/>
      <c r="I756" s="742"/>
      <c r="J756" s="740"/>
      <c r="K756" s="739">
        <v>20000</v>
      </c>
      <c r="L756" s="864">
        <f t="shared" ref="L756:L819" si="254">+G756-K756</f>
        <v>0</v>
      </c>
      <c r="M756" s="740">
        <f t="shared" si="253"/>
        <v>0</v>
      </c>
      <c r="N756" s="604">
        <f t="shared" si="242"/>
        <v>0</v>
      </c>
      <c r="O756" s="604">
        <f t="shared" si="243"/>
        <v>0</v>
      </c>
      <c r="P756" s="604">
        <f t="shared" si="244"/>
        <v>0</v>
      </c>
      <c r="Q756" s="604">
        <f t="shared" si="245"/>
        <v>0</v>
      </c>
      <c r="R756" s="604">
        <f t="shared" si="246"/>
        <v>0</v>
      </c>
      <c r="S756" s="604">
        <f t="shared" si="247"/>
        <v>0</v>
      </c>
      <c r="T756" s="604">
        <f t="shared" si="248"/>
        <v>0</v>
      </c>
      <c r="U756" s="604">
        <f t="shared" si="249"/>
        <v>0</v>
      </c>
      <c r="V756" s="604">
        <f t="shared" si="250"/>
        <v>0</v>
      </c>
      <c r="W756" s="604">
        <f t="shared" si="251"/>
        <v>0</v>
      </c>
      <c r="X756" s="746">
        <v>0</v>
      </c>
      <c r="Y756" s="746">
        <f t="shared" si="252"/>
        <v>0</v>
      </c>
    </row>
    <row r="757" spans="2:25">
      <c r="B757" s="598" t="s">
        <v>2595</v>
      </c>
      <c r="C757" s="604" t="s">
        <v>864</v>
      </c>
      <c r="D757" s="745">
        <v>2009</v>
      </c>
      <c r="E757" s="604" t="s">
        <v>3525</v>
      </c>
      <c r="F757" s="738">
        <v>0.15</v>
      </c>
      <c r="G757" s="739">
        <v>0</v>
      </c>
      <c r="H757" s="741"/>
      <c r="I757" s="742"/>
      <c r="J757" s="740"/>
      <c r="K757" s="739">
        <v>0</v>
      </c>
      <c r="L757" s="864">
        <f t="shared" si="254"/>
        <v>0</v>
      </c>
      <c r="M757" s="740">
        <f t="shared" si="253"/>
        <v>0</v>
      </c>
      <c r="N757" s="604">
        <f t="shared" si="242"/>
        <v>0</v>
      </c>
      <c r="O757" s="604">
        <f t="shared" si="243"/>
        <v>0</v>
      </c>
      <c r="P757" s="604">
        <f t="shared" si="244"/>
        <v>0</v>
      </c>
      <c r="Q757" s="604">
        <f t="shared" si="245"/>
        <v>0</v>
      </c>
      <c r="R757" s="604">
        <f t="shared" si="246"/>
        <v>0</v>
      </c>
      <c r="S757" s="604">
        <f t="shared" si="247"/>
        <v>0</v>
      </c>
      <c r="T757" s="604">
        <f t="shared" si="248"/>
        <v>0</v>
      </c>
      <c r="U757" s="604">
        <f t="shared" si="249"/>
        <v>0</v>
      </c>
      <c r="V757" s="604">
        <f t="shared" si="250"/>
        <v>0</v>
      </c>
      <c r="W757" s="604">
        <f t="shared" si="251"/>
        <v>0</v>
      </c>
      <c r="X757" s="746">
        <v>0</v>
      </c>
      <c r="Y757" s="746">
        <f t="shared" si="252"/>
        <v>0</v>
      </c>
    </row>
    <row r="758" spans="2:25">
      <c r="B758" s="598" t="s">
        <v>2595</v>
      </c>
      <c r="C758" s="604" t="s">
        <v>864</v>
      </c>
      <c r="D758" s="745">
        <v>2009</v>
      </c>
      <c r="E758" s="604" t="s">
        <v>3526</v>
      </c>
      <c r="F758" s="738">
        <v>0.15</v>
      </c>
      <c r="G758" s="739">
        <v>45470.37</v>
      </c>
      <c r="H758" s="741"/>
      <c r="I758" s="742"/>
      <c r="J758" s="740"/>
      <c r="K758" s="739">
        <v>45470.37</v>
      </c>
      <c r="L758" s="864">
        <f t="shared" si="254"/>
        <v>0</v>
      </c>
      <c r="M758" s="740">
        <f t="shared" si="253"/>
        <v>0</v>
      </c>
      <c r="N758" s="604">
        <f t="shared" si="242"/>
        <v>0</v>
      </c>
      <c r="O758" s="604">
        <f t="shared" si="243"/>
        <v>0</v>
      </c>
      <c r="P758" s="604">
        <f t="shared" si="244"/>
        <v>0</v>
      </c>
      <c r="Q758" s="604">
        <f t="shared" si="245"/>
        <v>0</v>
      </c>
      <c r="R758" s="604">
        <f t="shared" si="246"/>
        <v>0</v>
      </c>
      <c r="S758" s="604">
        <f t="shared" si="247"/>
        <v>0</v>
      </c>
      <c r="T758" s="604">
        <f t="shared" si="248"/>
        <v>0</v>
      </c>
      <c r="U758" s="604">
        <f t="shared" si="249"/>
        <v>0</v>
      </c>
      <c r="V758" s="604">
        <f t="shared" si="250"/>
        <v>0</v>
      </c>
      <c r="W758" s="604">
        <f t="shared" si="251"/>
        <v>0</v>
      </c>
      <c r="X758" s="746">
        <v>0</v>
      </c>
      <c r="Y758" s="746">
        <f t="shared" si="252"/>
        <v>0</v>
      </c>
    </row>
    <row r="759" spans="2:25">
      <c r="B759" s="598" t="s">
        <v>2595</v>
      </c>
      <c r="C759" s="604" t="s">
        <v>864</v>
      </c>
      <c r="D759" s="745">
        <v>2010</v>
      </c>
      <c r="E759" s="604" t="s">
        <v>3525</v>
      </c>
      <c r="F759" s="738">
        <v>0.15</v>
      </c>
      <c r="G759" s="739">
        <v>0</v>
      </c>
      <c r="H759" s="741"/>
      <c r="I759" s="742"/>
      <c r="J759" s="740"/>
      <c r="K759" s="739">
        <v>0</v>
      </c>
      <c r="L759" s="864">
        <f t="shared" si="254"/>
        <v>0</v>
      </c>
      <c r="M759" s="740">
        <f t="shared" si="253"/>
        <v>0</v>
      </c>
      <c r="N759" s="604">
        <f t="shared" si="242"/>
        <v>0</v>
      </c>
      <c r="O759" s="604">
        <f t="shared" si="243"/>
        <v>0</v>
      </c>
      <c r="P759" s="604">
        <f t="shared" si="244"/>
        <v>0</v>
      </c>
      <c r="Q759" s="604">
        <f t="shared" si="245"/>
        <v>0</v>
      </c>
      <c r="R759" s="604">
        <f t="shared" si="246"/>
        <v>0</v>
      </c>
      <c r="S759" s="604">
        <f t="shared" si="247"/>
        <v>0</v>
      </c>
      <c r="T759" s="604">
        <f t="shared" si="248"/>
        <v>0</v>
      </c>
      <c r="U759" s="604">
        <f t="shared" si="249"/>
        <v>0</v>
      </c>
      <c r="V759" s="604">
        <f t="shared" si="250"/>
        <v>0</v>
      </c>
      <c r="W759" s="604">
        <f t="shared" si="251"/>
        <v>0</v>
      </c>
      <c r="X759" s="746">
        <v>0</v>
      </c>
      <c r="Y759" s="746">
        <f t="shared" si="252"/>
        <v>0</v>
      </c>
    </row>
    <row r="760" spans="2:25">
      <c r="B760" s="598" t="s">
        <v>2595</v>
      </c>
      <c r="C760" s="604" t="s">
        <v>864</v>
      </c>
      <c r="D760" s="745">
        <v>2010</v>
      </c>
      <c r="E760" s="604" t="s">
        <v>3527</v>
      </c>
      <c r="F760" s="738">
        <v>0.15</v>
      </c>
      <c r="G760" s="739">
        <v>285</v>
      </c>
      <c r="H760" s="741"/>
      <c r="I760" s="742"/>
      <c r="J760" s="740"/>
      <c r="K760" s="739">
        <v>285</v>
      </c>
      <c r="L760" s="864">
        <f t="shared" si="254"/>
        <v>0</v>
      </c>
      <c r="M760" s="740">
        <f t="shared" si="253"/>
        <v>0</v>
      </c>
      <c r="N760" s="604">
        <f t="shared" si="242"/>
        <v>0</v>
      </c>
      <c r="O760" s="604">
        <f t="shared" si="243"/>
        <v>0</v>
      </c>
      <c r="P760" s="604">
        <f t="shared" si="244"/>
        <v>0</v>
      </c>
      <c r="Q760" s="604">
        <f t="shared" si="245"/>
        <v>0</v>
      </c>
      <c r="R760" s="604">
        <f t="shared" si="246"/>
        <v>0</v>
      </c>
      <c r="S760" s="604">
        <f t="shared" si="247"/>
        <v>0</v>
      </c>
      <c r="T760" s="604">
        <f t="shared" si="248"/>
        <v>0</v>
      </c>
      <c r="U760" s="604">
        <f t="shared" si="249"/>
        <v>0</v>
      </c>
      <c r="V760" s="604">
        <f t="shared" si="250"/>
        <v>0</v>
      </c>
      <c r="W760" s="604">
        <f t="shared" si="251"/>
        <v>0</v>
      </c>
      <c r="X760" s="746">
        <v>0</v>
      </c>
      <c r="Y760" s="746">
        <f t="shared" si="252"/>
        <v>0</v>
      </c>
    </row>
    <row r="761" spans="2:25">
      <c r="B761" s="598" t="s">
        <v>2595</v>
      </c>
      <c r="C761" s="604" t="s">
        <v>864</v>
      </c>
      <c r="D761" s="745">
        <v>2010</v>
      </c>
      <c r="E761" s="604" t="s">
        <v>3525</v>
      </c>
      <c r="F761" s="738">
        <v>0.15</v>
      </c>
      <c r="G761" s="739">
        <v>4170</v>
      </c>
      <c r="H761" s="741"/>
      <c r="I761" s="742"/>
      <c r="J761" s="740"/>
      <c r="K761" s="739">
        <v>4170</v>
      </c>
      <c r="L761" s="864">
        <f t="shared" si="254"/>
        <v>0</v>
      </c>
      <c r="M761" s="740">
        <f t="shared" si="253"/>
        <v>0</v>
      </c>
      <c r="N761" s="604">
        <f t="shared" si="242"/>
        <v>0</v>
      </c>
      <c r="O761" s="604">
        <f t="shared" si="243"/>
        <v>0</v>
      </c>
      <c r="P761" s="604">
        <f t="shared" si="244"/>
        <v>0</v>
      </c>
      <c r="Q761" s="604">
        <f t="shared" si="245"/>
        <v>0</v>
      </c>
      <c r="R761" s="604">
        <f t="shared" si="246"/>
        <v>0</v>
      </c>
      <c r="S761" s="604">
        <f t="shared" si="247"/>
        <v>0</v>
      </c>
      <c r="T761" s="604">
        <f t="shared" si="248"/>
        <v>0</v>
      </c>
      <c r="U761" s="604">
        <f t="shared" si="249"/>
        <v>0</v>
      </c>
      <c r="V761" s="604">
        <f t="shared" si="250"/>
        <v>0</v>
      </c>
      <c r="W761" s="604">
        <f t="shared" si="251"/>
        <v>0</v>
      </c>
      <c r="X761" s="746">
        <v>0</v>
      </c>
      <c r="Y761" s="746">
        <f t="shared" si="252"/>
        <v>0</v>
      </c>
    </row>
    <row r="762" spans="2:25">
      <c r="B762" s="598" t="s">
        <v>2595</v>
      </c>
      <c r="C762" s="604" t="s">
        <v>864</v>
      </c>
      <c r="D762" s="745">
        <v>2010</v>
      </c>
      <c r="E762" s="604" t="s">
        <v>3513</v>
      </c>
      <c r="F762" s="738">
        <v>0.15</v>
      </c>
      <c r="G762" s="739">
        <v>111050</v>
      </c>
      <c r="H762" s="741"/>
      <c r="I762" s="742"/>
      <c r="J762" s="740"/>
      <c r="K762" s="739">
        <v>111050</v>
      </c>
      <c r="L762" s="864">
        <f t="shared" si="254"/>
        <v>0</v>
      </c>
      <c r="M762" s="740">
        <f t="shared" si="253"/>
        <v>0</v>
      </c>
      <c r="N762" s="604">
        <f t="shared" si="242"/>
        <v>0</v>
      </c>
      <c r="O762" s="604">
        <f t="shared" si="243"/>
        <v>0</v>
      </c>
      <c r="P762" s="604">
        <f t="shared" si="244"/>
        <v>0</v>
      </c>
      <c r="Q762" s="604">
        <f t="shared" si="245"/>
        <v>0</v>
      </c>
      <c r="R762" s="604">
        <f t="shared" si="246"/>
        <v>0</v>
      </c>
      <c r="S762" s="604">
        <f t="shared" si="247"/>
        <v>0</v>
      </c>
      <c r="T762" s="604">
        <f t="shared" si="248"/>
        <v>0</v>
      </c>
      <c r="U762" s="604">
        <f t="shared" si="249"/>
        <v>0</v>
      </c>
      <c r="V762" s="604">
        <f t="shared" si="250"/>
        <v>0</v>
      </c>
      <c r="W762" s="604">
        <f t="shared" si="251"/>
        <v>0</v>
      </c>
      <c r="X762" s="746">
        <v>0</v>
      </c>
      <c r="Y762" s="746">
        <f t="shared" si="252"/>
        <v>0</v>
      </c>
    </row>
    <row r="763" spans="2:25">
      <c r="B763" s="598" t="s">
        <v>2595</v>
      </c>
      <c r="C763" s="604" t="s">
        <v>864</v>
      </c>
      <c r="D763" s="745">
        <v>2021</v>
      </c>
      <c r="E763" s="604" t="s">
        <v>3528</v>
      </c>
      <c r="F763" s="738">
        <v>0.15</v>
      </c>
      <c r="G763" s="739">
        <v>8200</v>
      </c>
      <c r="H763" s="741"/>
      <c r="I763" s="742"/>
      <c r="J763" s="740"/>
      <c r="K763" s="739">
        <v>8200</v>
      </c>
      <c r="L763" s="864">
        <f t="shared" si="254"/>
        <v>0</v>
      </c>
      <c r="M763" s="740">
        <f t="shared" si="253"/>
        <v>0</v>
      </c>
      <c r="N763" s="604">
        <f t="shared" si="242"/>
        <v>0</v>
      </c>
      <c r="O763" s="604">
        <f t="shared" si="243"/>
        <v>0</v>
      </c>
      <c r="P763" s="604">
        <f t="shared" si="244"/>
        <v>0</v>
      </c>
      <c r="Q763" s="604">
        <f t="shared" si="245"/>
        <v>0</v>
      </c>
      <c r="R763" s="604">
        <f t="shared" si="246"/>
        <v>0</v>
      </c>
      <c r="S763" s="604">
        <f t="shared" si="247"/>
        <v>0</v>
      </c>
      <c r="T763" s="604">
        <f t="shared" si="248"/>
        <v>0</v>
      </c>
      <c r="U763" s="604">
        <f t="shared" si="249"/>
        <v>0</v>
      </c>
      <c r="V763" s="604">
        <f t="shared" si="250"/>
        <v>0</v>
      </c>
      <c r="W763" s="604">
        <f t="shared" si="251"/>
        <v>0</v>
      </c>
      <c r="X763" s="746">
        <v>0</v>
      </c>
      <c r="Y763" s="746">
        <f t="shared" si="252"/>
        <v>0</v>
      </c>
    </row>
    <row r="764" spans="2:25">
      <c r="B764" s="598" t="s">
        <v>2595</v>
      </c>
      <c r="C764" s="604" t="s">
        <v>864</v>
      </c>
      <c r="D764" s="745">
        <v>2010</v>
      </c>
      <c r="E764" s="604" t="s">
        <v>3529</v>
      </c>
      <c r="F764" s="738">
        <v>0.15</v>
      </c>
      <c r="G764" s="739">
        <v>12000</v>
      </c>
      <c r="H764" s="741"/>
      <c r="I764" s="742"/>
      <c r="J764" s="740"/>
      <c r="K764" s="739">
        <v>12000</v>
      </c>
      <c r="L764" s="864">
        <f t="shared" si="254"/>
        <v>0</v>
      </c>
      <c r="M764" s="740">
        <f t="shared" si="253"/>
        <v>0</v>
      </c>
      <c r="N764" s="604">
        <f t="shared" si="242"/>
        <v>0</v>
      </c>
      <c r="O764" s="604">
        <f t="shared" si="243"/>
        <v>0</v>
      </c>
      <c r="P764" s="604">
        <f t="shared" si="244"/>
        <v>0</v>
      </c>
      <c r="Q764" s="604">
        <f t="shared" si="245"/>
        <v>0</v>
      </c>
      <c r="R764" s="604">
        <f t="shared" si="246"/>
        <v>0</v>
      </c>
      <c r="S764" s="604">
        <f t="shared" si="247"/>
        <v>0</v>
      </c>
      <c r="T764" s="604">
        <f t="shared" si="248"/>
        <v>0</v>
      </c>
      <c r="U764" s="604">
        <f t="shared" si="249"/>
        <v>0</v>
      </c>
      <c r="V764" s="604">
        <f t="shared" si="250"/>
        <v>0</v>
      </c>
      <c r="W764" s="604">
        <f t="shared" si="251"/>
        <v>0</v>
      </c>
      <c r="X764" s="746">
        <v>0</v>
      </c>
      <c r="Y764" s="746">
        <f t="shared" si="252"/>
        <v>0</v>
      </c>
    </row>
    <row r="765" spans="2:25">
      <c r="B765" s="598" t="s">
        <v>2595</v>
      </c>
      <c r="C765" s="604" t="s">
        <v>864</v>
      </c>
      <c r="D765" s="745">
        <v>2010</v>
      </c>
      <c r="E765" s="604" t="s">
        <v>3530</v>
      </c>
      <c r="F765" s="738">
        <v>0.15</v>
      </c>
      <c r="G765" s="739">
        <v>0</v>
      </c>
      <c r="H765" s="741"/>
      <c r="I765" s="742"/>
      <c r="J765" s="740"/>
      <c r="K765" s="739">
        <v>0</v>
      </c>
      <c r="L765" s="864">
        <f t="shared" si="254"/>
        <v>0</v>
      </c>
      <c r="M765" s="740">
        <f t="shared" si="253"/>
        <v>0</v>
      </c>
      <c r="N765" s="604">
        <f t="shared" si="242"/>
        <v>0</v>
      </c>
      <c r="O765" s="604">
        <f t="shared" si="243"/>
        <v>0</v>
      </c>
      <c r="P765" s="604">
        <f t="shared" si="244"/>
        <v>0</v>
      </c>
      <c r="Q765" s="604">
        <f t="shared" si="245"/>
        <v>0</v>
      </c>
      <c r="R765" s="604">
        <f t="shared" si="246"/>
        <v>0</v>
      </c>
      <c r="S765" s="604">
        <f t="shared" si="247"/>
        <v>0</v>
      </c>
      <c r="T765" s="604">
        <f t="shared" si="248"/>
        <v>0</v>
      </c>
      <c r="U765" s="604">
        <f t="shared" si="249"/>
        <v>0</v>
      </c>
      <c r="V765" s="604">
        <f t="shared" si="250"/>
        <v>0</v>
      </c>
      <c r="W765" s="604">
        <f t="shared" si="251"/>
        <v>0</v>
      </c>
      <c r="X765" s="746">
        <v>0</v>
      </c>
      <c r="Y765" s="746">
        <f t="shared" si="252"/>
        <v>0</v>
      </c>
    </row>
    <row r="766" spans="2:25">
      <c r="B766" s="598" t="s">
        <v>2595</v>
      </c>
      <c r="C766" s="604" t="s">
        <v>864</v>
      </c>
      <c r="D766" s="745">
        <v>2010</v>
      </c>
      <c r="E766" s="604" t="s">
        <v>3530</v>
      </c>
      <c r="F766" s="738">
        <v>0.15</v>
      </c>
      <c r="G766" s="739">
        <v>0</v>
      </c>
      <c r="H766" s="741"/>
      <c r="I766" s="742"/>
      <c r="J766" s="740"/>
      <c r="K766" s="739">
        <v>0</v>
      </c>
      <c r="L766" s="864">
        <f t="shared" si="254"/>
        <v>0</v>
      </c>
      <c r="M766" s="740">
        <f t="shared" si="253"/>
        <v>0</v>
      </c>
      <c r="N766" s="604">
        <f t="shared" si="242"/>
        <v>0</v>
      </c>
      <c r="O766" s="604">
        <f t="shared" si="243"/>
        <v>0</v>
      </c>
      <c r="P766" s="604">
        <f t="shared" si="244"/>
        <v>0</v>
      </c>
      <c r="Q766" s="604">
        <f t="shared" si="245"/>
        <v>0</v>
      </c>
      <c r="R766" s="604">
        <f t="shared" si="246"/>
        <v>0</v>
      </c>
      <c r="S766" s="604">
        <f t="shared" si="247"/>
        <v>0</v>
      </c>
      <c r="T766" s="604">
        <f t="shared" si="248"/>
        <v>0</v>
      </c>
      <c r="U766" s="604">
        <f t="shared" si="249"/>
        <v>0</v>
      </c>
      <c r="V766" s="604">
        <f t="shared" si="250"/>
        <v>0</v>
      </c>
      <c r="W766" s="604">
        <f t="shared" si="251"/>
        <v>0</v>
      </c>
      <c r="X766" s="746">
        <v>0</v>
      </c>
      <c r="Y766" s="746">
        <f t="shared" si="252"/>
        <v>0</v>
      </c>
    </row>
    <row r="767" spans="2:25">
      <c r="B767" s="598" t="s">
        <v>2595</v>
      </c>
      <c r="C767" s="604" t="s">
        <v>864</v>
      </c>
      <c r="D767" s="745">
        <v>2010</v>
      </c>
      <c r="E767" s="604" t="s">
        <v>3531</v>
      </c>
      <c r="F767" s="738">
        <v>0.15</v>
      </c>
      <c r="G767" s="739">
        <v>0</v>
      </c>
      <c r="H767" s="741"/>
      <c r="I767" s="742"/>
      <c r="J767" s="740"/>
      <c r="K767" s="739">
        <v>0</v>
      </c>
      <c r="L767" s="864">
        <f t="shared" si="254"/>
        <v>0</v>
      </c>
      <c r="M767" s="740">
        <f t="shared" si="253"/>
        <v>0</v>
      </c>
      <c r="N767" s="604">
        <f t="shared" si="242"/>
        <v>0</v>
      </c>
      <c r="O767" s="604">
        <f t="shared" si="243"/>
        <v>0</v>
      </c>
      <c r="P767" s="604">
        <f t="shared" si="244"/>
        <v>0</v>
      </c>
      <c r="Q767" s="604">
        <f t="shared" si="245"/>
        <v>0</v>
      </c>
      <c r="R767" s="604">
        <f t="shared" si="246"/>
        <v>0</v>
      </c>
      <c r="S767" s="604">
        <f t="shared" si="247"/>
        <v>0</v>
      </c>
      <c r="T767" s="604">
        <f t="shared" si="248"/>
        <v>0</v>
      </c>
      <c r="U767" s="604">
        <f t="shared" si="249"/>
        <v>0</v>
      </c>
      <c r="V767" s="604">
        <f t="shared" si="250"/>
        <v>0</v>
      </c>
      <c r="W767" s="604">
        <f t="shared" si="251"/>
        <v>0</v>
      </c>
      <c r="X767" s="746">
        <v>0</v>
      </c>
      <c r="Y767" s="746">
        <f t="shared" si="252"/>
        <v>0</v>
      </c>
    </row>
    <row r="768" spans="2:25">
      <c r="B768" s="598" t="s">
        <v>2595</v>
      </c>
      <c r="C768" s="604" t="s">
        <v>864</v>
      </c>
      <c r="D768" s="745">
        <v>2010</v>
      </c>
      <c r="E768" s="604" t="s">
        <v>3532</v>
      </c>
      <c r="F768" s="738">
        <v>0.15</v>
      </c>
      <c r="G768" s="739">
        <v>600</v>
      </c>
      <c r="H768" s="741"/>
      <c r="I768" s="742"/>
      <c r="J768" s="740"/>
      <c r="K768" s="739">
        <v>600</v>
      </c>
      <c r="L768" s="864">
        <f t="shared" si="254"/>
        <v>0</v>
      </c>
      <c r="M768" s="740">
        <f t="shared" si="253"/>
        <v>0</v>
      </c>
      <c r="N768" s="604">
        <f t="shared" si="242"/>
        <v>0</v>
      </c>
      <c r="O768" s="604">
        <f t="shared" si="243"/>
        <v>0</v>
      </c>
      <c r="P768" s="604">
        <f t="shared" si="244"/>
        <v>0</v>
      </c>
      <c r="Q768" s="604">
        <f t="shared" si="245"/>
        <v>0</v>
      </c>
      <c r="R768" s="604">
        <f t="shared" si="246"/>
        <v>0</v>
      </c>
      <c r="S768" s="604">
        <f t="shared" si="247"/>
        <v>0</v>
      </c>
      <c r="T768" s="604">
        <f t="shared" si="248"/>
        <v>0</v>
      </c>
      <c r="U768" s="604">
        <f t="shared" si="249"/>
        <v>0</v>
      </c>
      <c r="V768" s="604">
        <f t="shared" si="250"/>
        <v>0</v>
      </c>
      <c r="W768" s="604">
        <f t="shared" si="251"/>
        <v>0</v>
      </c>
      <c r="X768" s="746">
        <v>0</v>
      </c>
      <c r="Y768" s="746">
        <f t="shared" si="252"/>
        <v>0</v>
      </c>
    </row>
    <row r="769" spans="2:25">
      <c r="B769" s="598" t="s">
        <v>2595</v>
      </c>
      <c r="C769" s="604" t="s">
        <v>864</v>
      </c>
      <c r="D769" s="745">
        <v>2012</v>
      </c>
      <c r="E769" s="604" t="s">
        <v>3533</v>
      </c>
      <c r="F769" s="738">
        <v>0.15</v>
      </c>
      <c r="G769" s="739">
        <v>4700</v>
      </c>
      <c r="H769" s="741"/>
      <c r="I769" s="742"/>
      <c r="J769" s="740"/>
      <c r="K769" s="739">
        <v>4700</v>
      </c>
      <c r="L769" s="864">
        <f t="shared" si="254"/>
        <v>0</v>
      </c>
      <c r="M769" s="740">
        <f t="shared" si="253"/>
        <v>0</v>
      </c>
      <c r="N769" s="604">
        <f t="shared" si="242"/>
        <v>0</v>
      </c>
      <c r="O769" s="604">
        <f t="shared" si="243"/>
        <v>0</v>
      </c>
      <c r="P769" s="604">
        <f t="shared" si="244"/>
        <v>0</v>
      </c>
      <c r="Q769" s="604">
        <f t="shared" si="245"/>
        <v>0</v>
      </c>
      <c r="R769" s="604">
        <f t="shared" si="246"/>
        <v>0</v>
      </c>
      <c r="S769" s="604">
        <f t="shared" si="247"/>
        <v>0</v>
      </c>
      <c r="T769" s="604">
        <f t="shared" si="248"/>
        <v>0</v>
      </c>
      <c r="U769" s="604">
        <f t="shared" si="249"/>
        <v>0</v>
      </c>
      <c r="V769" s="604">
        <f t="shared" si="250"/>
        <v>0</v>
      </c>
      <c r="W769" s="604">
        <f t="shared" si="251"/>
        <v>0</v>
      </c>
      <c r="X769" s="746">
        <v>0</v>
      </c>
      <c r="Y769" s="746">
        <f t="shared" si="252"/>
        <v>0</v>
      </c>
    </row>
    <row r="770" spans="2:25">
      <c r="B770" s="598" t="s">
        <v>2595</v>
      </c>
      <c r="C770" s="604" t="s">
        <v>864</v>
      </c>
      <c r="D770" s="745">
        <v>2012</v>
      </c>
      <c r="E770" s="604" t="s">
        <v>3534</v>
      </c>
      <c r="F770" s="738">
        <v>0.15</v>
      </c>
      <c r="G770" s="739">
        <v>1950</v>
      </c>
      <c r="H770" s="741"/>
      <c r="I770" s="742"/>
      <c r="J770" s="740"/>
      <c r="K770" s="739">
        <v>1950</v>
      </c>
      <c r="L770" s="864">
        <f t="shared" si="254"/>
        <v>0</v>
      </c>
      <c r="M770" s="740">
        <f t="shared" si="253"/>
        <v>0</v>
      </c>
      <c r="N770" s="604">
        <f t="shared" si="242"/>
        <v>0</v>
      </c>
      <c r="O770" s="604">
        <f t="shared" si="243"/>
        <v>0</v>
      </c>
      <c r="P770" s="604">
        <f t="shared" si="244"/>
        <v>0</v>
      </c>
      <c r="Q770" s="604">
        <f t="shared" si="245"/>
        <v>0</v>
      </c>
      <c r="R770" s="604">
        <f t="shared" si="246"/>
        <v>0</v>
      </c>
      <c r="S770" s="604">
        <f t="shared" si="247"/>
        <v>0</v>
      </c>
      <c r="T770" s="604">
        <f t="shared" si="248"/>
        <v>0</v>
      </c>
      <c r="U770" s="604">
        <f t="shared" si="249"/>
        <v>0</v>
      </c>
      <c r="V770" s="604">
        <f t="shared" si="250"/>
        <v>0</v>
      </c>
      <c r="W770" s="604">
        <f t="shared" si="251"/>
        <v>0</v>
      </c>
      <c r="X770" s="746">
        <v>0</v>
      </c>
      <c r="Y770" s="746">
        <f t="shared" si="252"/>
        <v>0</v>
      </c>
    </row>
    <row r="771" spans="2:25">
      <c r="B771" s="598" t="s">
        <v>2595</v>
      </c>
      <c r="C771" s="604" t="s">
        <v>864</v>
      </c>
      <c r="D771" s="745">
        <v>2012</v>
      </c>
      <c r="E771" s="604" t="s">
        <v>3535</v>
      </c>
      <c r="F771" s="738">
        <v>0.15</v>
      </c>
      <c r="G771" s="739">
        <v>4300</v>
      </c>
      <c r="H771" s="741"/>
      <c r="I771" s="742"/>
      <c r="J771" s="740"/>
      <c r="K771" s="739">
        <v>4300</v>
      </c>
      <c r="L771" s="864">
        <f t="shared" si="254"/>
        <v>0</v>
      </c>
      <c r="M771" s="740">
        <f t="shared" si="253"/>
        <v>0</v>
      </c>
      <c r="N771" s="604">
        <f t="shared" si="242"/>
        <v>0</v>
      </c>
      <c r="O771" s="604">
        <f t="shared" si="243"/>
        <v>0</v>
      </c>
      <c r="P771" s="604">
        <f t="shared" si="244"/>
        <v>0</v>
      </c>
      <c r="Q771" s="604">
        <f t="shared" si="245"/>
        <v>0</v>
      </c>
      <c r="R771" s="604">
        <f t="shared" si="246"/>
        <v>0</v>
      </c>
      <c r="S771" s="604">
        <f t="shared" si="247"/>
        <v>0</v>
      </c>
      <c r="T771" s="604">
        <f t="shared" si="248"/>
        <v>0</v>
      </c>
      <c r="U771" s="604">
        <f t="shared" si="249"/>
        <v>0</v>
      </c>
      <c r="V771" s="604">
        <f t="shared" si="250"/>
        <v>0</v>
      </c>
      <c r="W771" s="604">
        <f t="shared" si="251"/>
        <v>0</v>
      </c>
      <c r="X771" s="746">
        <v>0</v>
      </c>
      <c r="Y771" s="746">
        <f t="shared" si="252"/>
        <v>0</v>
      </c>
    </row>
    <row r="772" spans="2:25">
      <c r="B772" s="598" t="s">
        <v>2595</v>
      </c>
      <c r="C772" s="604" t="s">
        <v>864</v>
      </c>
      <c r="D772" s="745">
        <v>2012</v>
      </c>
      <c r="E772" s="604" t="s">
        <v>3536</v>
      </c>
      <c r="F772" s="738">
        <v>0.15</v>
      </c>
      <c r="G772" s="739">
        <v>500</v>
      </c>
      <c r="H772" s="741"/>
      <c r="I772" s="742"/>
      <c r="J772" s="740"/>
      <c r="K772" s="739">
        <v>500</v>
      </c>
      <c r="L772" s="864">
        <f t="shared" si="254"/>
        <v>0</v>
      </c>
      <c r="M772" s="740">
        <f t="shared" si="253"/>
        <v>0</v>
      </c>
      <c r="N772" s="604">
        <f t="shared" si="242"/>
        <v>0</v>
      </c>
      <c r="O772" s="604">
        <f t="shared" si="243"/>
        <v>0</v>
      </c>
      <c r="P772" s="604">
        <f t="shared" si="244"/>
        <v>0</v>
      </c>
      <c r="Q772" s="604">
        <f t="shared" si="245"/>
        <v>0</v>
      </c>
      <c r="R772" s="604">
        <f t="shared" si="246"/>
        <v>0</v>
      </c>
      <c r="S772" s="604">
        <f t="shared" si="247"/>
        <v>0</v>
      </c>
      <c r="T772" s="604">
        <f t="shared" si="248"/>
        <v>0</v>
      </c>
      <c r="U772" s="604">
        <f t="shared" si="249"/>
        <v>0</v>
      </c>
      <c r="V772" s="604">
        <f t="shared" si="250"/>
        <v>0</v>
      </c>
      <c r="W772" s="604">
        <f t="shared" si="251"/>
        <v>0</v>
      </c>
      <c r="X772" s="746">
        <v>0</v>
      </c>
      <c r="Y772" s="746">
        <f t="shared" si="252"/>
        <v>0</v>
      </c>
    </row>
    <row r="773" spans="2:25">
      <c r="B773" s="598" t="s">
        <v>2595</v>
      </c>
      <c r="C773" s="604" t="s">
        <v>864</v>
      </c>
      <c r="D773" s="745">
        <v>2012</v>
      </c>
      <c r="E773" s="604" t="s">
        <v>3537</v>
      </c>
      <c r="F773" s="738">
        <v>0.15</v>
      </c>
      <c r="G773" s="739">
        <v>5800</v>
      </c>
      <c r="H773" s="741"/>
      <c r="I773" s="742"/>
      <c r="J773" s="740"/>
      <c r="K773" s="739">
        <v>5800</v>
      </c>
      <c r="L773" s="864">
        <f t="shared" si="254"/>
        <v>0</v>
      </c>
      <c r="M773" s="740">
        <f t="shared" si="253"/>
        <v>0</v>
      </c>
      <c r="N773" s="604">
        <f t="shared" si="242"/>
        <v>0</v>
      </c>
      <c r="O773" s="604">
        <f t="shared" si="243"/>
        <v>0</v>
      </c>
      <c r="P773" s="604">
        <f t="shared" si="244"/>
        <v>0</v>
      </c>
      <c r="Q773" s="604">
        <f t="shared" si="245"/>
        <v>0</v>
      </c>
      <c r="R773" s="604">
        <f t="shared" si="246"/>
        <v>0</v>
      </c>
      <c r="S773" s="604">
        <f t="shared" si="247"/>
        <v>0</v>
      </c>
      <c r="T773" s="604">
        <f t="shared" si="248"/>
        <v>0</v>
      </c>
      <c r="U773" s="604">
        <f t="shared" si="249"/>
        <v>0</v>
      </c>
      <c r="V773" s="604">
        <f t="shared" si="250"/>
        <v>0</v>
      </c>
      <c r="W773" s="604">
        <f t="shared" si="251"/>
        <v>0</v>
      </c>
      <c r="X773" s="746">
        <v>0</v>
      </c>
      <c r="Y773" s="746">
        <f t="shared" si="252"/>
        <v>0</v>
      </c>
    </row>
    <row r="774" spans="2:25">
      <c r="B774" s="598" t="s">
        <v>2595</v>
      </c>
      <c r="C774" s="604" t="s">
        <v>864</v>
      </c>
      <c r="D774" s="745">
        <v>2013</v>
      </c>
      <c r="E774" s="604" t="s">
        <v>874</v>
      </c>
      <c r="F774" s="738">
        <v>0.15</v>
      </c>
      <c r="G774" s="739">
        <v>2550</v>
      </c>
      <c r="H774" s="741"/>
      <c r="I774" s="742"/>
      <c r="J774" s="740"/>
      <c r="K774" s="739">
        <v>2550</v>
      </c>
      <c r="L774" s="864">
        <f t="shared" si="254"/>
        <v>0</v>
      </c>
      <c r="M774" s="740">
        <f t="shared" si="253"/>
        <v>0</v>
      </c>
      <c r="N774" s="604">
        <f t="shared" si="242"/>
        <v>0</v>
      </c>
      <c r="O774" s="604">
        <f t="shared" si="243"/>
        <v>0</v>
      </c>
      <c r="P774" s="604">
        <f t="shared" si="244"/>
        <v>0</v>
      </c>
      <c r="Q774" s="604">
        <f t="shared" si="245"/>
        <v>0</v>
      </c>
      <c r="R774" s="604">
        <f t="shared" si="246"/>
        <v>0</v>
      </c>
      <c r="S774" s="604">
        <f t="shared" si="247"/>
        <v>0</v>
      </c>
      <c r="T774" s="604">
        <f t="shared" si="248"/>
        <v>0</v>
      </c>
      <c r="U774" s="604">
        <f t="shared" si="249"/>
        <v>0</v>
      </c>
      <c r="V774" s="604">
        <f t="shared" si="250"/>
        <v>0</v>
      </c>
      <c r="W774" s="604">
        <f t="shared" si="251"/>
        <v>0</v>
      </c>
      <c r="X774" s="746">
        <v>0</v>
      </c>
      <c r="Y774" s="746">
        <f t="shared" si="252"/>
        <v>0</v>
      </c>
    </row>
    <row r="775" spans="2:25">
      <c r="B775" s="598" t="s">
        <v>2595</v>
      </c>
      <c r="C775" s="604" t="s">
        <v>864</v>
      </c>
      <c r="D775" s="745">
        <v>2018</v>
      </c>
      <c r="E775" s="604" t="s">
        <v>3504</v>
      </c>
      <c r="F775" s="738">
        <v>0.15</v>
      </c>
      <c r="G775" s="739">
        <v>0</v>
      </c>
      <c r="H775" s="741"/>
      <c r="I775" s="742"/>
      <c r="J775" s="740"/>
      <c r="K775" s="739">
        <v>0</v>
      </c>
      <c r="L775" s="864">
        <f t="shared" si="254"/>
        <v>0</v>
      </c>
      <c r="M775" s="740">
        <f t="shared" si="253"/>
        <v>0</v>
      </c>
      <c r="N775" s="604">
        <f t="shared" si="242"/>
        <v>0</v>
      </c>
      <c r="O775" s="604">
        <f t="shared" si="243"/>
        <v>0</v>
      </c>
      <c r="P775" s="604">
        <f t="shared" si="244"/>
        <v>0</v>
      </c>
      <c r="Q775" s="604">
        <f t="shared" si="245"/>
        <v>0</v>
      </c>
      <c r="R775" s="604">
        <f t="shared" si="246"/>
        <v>0</v>
      </c>
      <c r="S775" s="604">
        <f t="shared" si="247"/>
        <v>0</v>
      </c>
      <c r="T775" s="604">
        <f t="shared" si="248"/>
        <v>0</v>
      </c>
      <c r="U775" s="604">
        <f t="shared" si="249"/>
        <v>0</v>
      </c>
      <c r="V775" s="604">
        <f t="shared" si="250"/>
        <v>0</v>
      </c>
      <c r="W775" s="604">
        <f t="shared" si="251"/>
        <v>0</v>
      </c>
      <c r="X775" s="746">
        <v>0</v>
      </c>
      <c r="Y775" s="746">
        <f t="shared" si="252"/>
        <v>0</v>
      </c>
    </row>
    <row r="776" spans="2:25">
      <c r="B776" s="598" t="s">
        <v>2595</v>
      </c>
      <c r="C776" s="604" t="s">
        <v>864</v>
      </c>
      <c r="D776" s="745">
        <v>2010</v>
      </c>
      <c r="E776" s="604" t="s">
        <v>3504</v>
      </c>
      <c r="F776" s="738">
        <v>0.15</v>
      </c>
      <c r="G776" s="739">
        <v>2690</v>
      </c>
      <c r="H776" s="741"/>
      <c r="I776" s="742"/>
      <c r="J776" s="740"/>
      <c r="K776" s="739">
        <v>2690</v>
      </c>
      <c r="L776" s="864">
        <f t="shared" si="254"/>
        <v>0</v>
      </c>
      <c r="M776" s="740">
        <f t="shared" si="253"/>
        <v>0</v>
      </c>
      <c r="N776" s="604">
        <f t="shared" si="242"/>
        <v>0</v>
      </c>
      <c r="O776" s="604">
        <f t="shared" si="243"/>
        <v>0</v>
      </c>
      <c r="P776" s="604">
        <f t="shared" si="244"/>
        <v>0</v>
      </c>
      <c r="Q776" s="604">
        <f t="shared" si="245"/>
        <v>0</v>
      </c>
      <c r="R776" s="604">
        <f t="shared" si="246"/>
        <v>0</v>
      </c>
      <c r="S776" s="604">
        <f t="shared" si="247"/>
        <v>0</v>
      </c>
      <c r="T776" s="604">
        <f t="shared" si="248"/>
        <v>0</v>
      </c>
      <c r="U776" s="604">
        <f t="shared" si="249"/>
        <v>0</v>
      </c>
      <c r="V776" s="604">
        <f t="shared" si="250"/>
        <v>0</v>
      </c>
      <c r="W776" s="604">
        <f t="shared" si="251"/>
        <v>0</v>
      </c>
      <c r="X776" s="746">
        <v>0</v>
      </c>
      <c r="Y776" s="746">
        <f t="shared" si="252"/>
        <v>0</v>
      </c>
    </row>
    <row r="777" spans="2:25">
      <c r="B777" s="598" t="s">
        <v>2595</v>
      </c>
      <c r="C777" s="604" t="s">
        <v>864</v>
      </c>
      <c r="D777" s="745">
        <v>2010</v>
      </c>
      <c r="E777" s="604" t="s">
        <v>3531</v>
      </c>
      <c r="F777" s="738">
        <v>0.15</v>
      </c>
      <c r="G777" s="739">
        <v>138019.26</v>
      </c>
      <c r="H777" s="741"/>
      <c r="I777" s="742"/>
      <c r="J777" s="740"/>
      <c r="K777" s="739">
        <v>138019.26</v>
      </c>
      <c r="L777" s="864">
        <f t="shared" si="254"/>
        <v>0</v>
      </c>
      <c r="M777" s="740">
        <f t="shared" si="253"/>
        <v>0</v>
      </c>
      <c r="N777" s="604">
        <f t="shared" ref="N777:N840" si="255">+IF(L777-M777&gt;0,G777*F777,0)</f>
        <v>0</v>
      </c>
      <c r="O777" s="604">
        <f t="shared" ref="O777:O840" si="256">+IF(L777-SUM(M777:N777)&gt;0,G777*F777,0)</f>
        <v>0</v>
      </c>
      <c r="P777" s="604">
        <f t="shared" ref="P777:P840" si="257">+IF(L777-SUM(M777:O777)&gt;0,G777*F777,0)</f>
        <v>0</v>
      </c>
      <c r="Q777" s="604">
        <f t="shared" ref="Q777:Q840" si="258">+IF(L777-SUM(M777:P777)&gt;0,G777*F777,0)</f>
        <v>0</v>
      </c>
      <c r="R777" s="604">
        <f t="shared" ref="R777:R840" si="259">+IF(L777-SUM(M777:Q777)&gt;0,G777*F777,0)</f>
        <v>0</v>
      </c>
      <c r="S777" s="604">
        <f t="shared" ref="S777:S840" si="260">+IF(L777-SUM(M777:R777)&gt;0,G777*F777,0)</f>
        <v>0</v>
      </c>
      <c r="T777" s="604">
        <f t="shared" ref="T777:T840" si="261">+IF(L777-SUM(M777:S777)&gt;0,G777*F777,0)</f>
        <v>0</v>
      </c>
      <c r="U777" s="604">
        <f t="shared" ref="U777:U840" si="262">+IF(L777-SUM(M777:T777)&gt;0,G777*F777,0)</f>
        <v>0</v>
      </c>
      <c r="V777" s="604">
        <f t="shared" ref="V777:V840" si="263">+IF(L777-SUM(M777:U777)&gt;0,G777*F777,0)</f>
        <v>0</v>
      </c>
      <c r="W777" s="604">
        <f t="shared" ref="W777:W840" si="264">+IF(L777-SUM(M777:V777)&gt;0,G777*F777,0)</f>
        <v>0</v>
      </c>
      <c r="X777" s="746">
        <v>0</v>
      </c>
      <c r="Y777" s="746">
        <f t="shared" ref="Y777:Y840" si="265">+SUM(M777:W777)-L777</f>
        <v>0</v>
      </c>
    </row>
    <row r="778" spans="2:25">
      <c r="B778" s="598" t="s">
        <v>2595</v>
      </c>
      <c r="C778" s="604" t="s">
        <v>864</v>
      </c>
      <c r="D778" s="745">
        <v>2012</v>
      </c>
      <c r="E778" s="604" t="s">
        <v>3538</v>
      </c>
      <c r="F778" s="738">
        <v>0.15</v>
      </c>
      <c r="G778" s="739">
        <v>55000</v>
      </c>
      <c r="H778" s="741"/>
      <c r="I778" s="742"/>
      <c r="J778" s="740"/>
      <c r="K778" s="739">
        <v>55000</v>
      </c>
      <c r="L778" s="864">
        <f t="shared" si="254"/>
        <v>0</v>
      </c>
      <c r="M778" s="740">
        <f t="shared" si="253"/>
        <v>0</v>
      </c>
      <c r="N778" s="604">
        <f t="shared" si="255"/>
        <v>0</v>
      </c>
      <c r="O778" s="604">
        <f t="shared" si="256"/>
        <v>0</v>
      </c>
      <c r="P778" s="604">
        <f t="shared" si="257"/>
        <v>0</v>
      </c>
      <c r="Q778" s="604">
        <f t="shared" si="258"/>
        <v>0</v>
      </c>
      <c r="R778" s="604">
        <f t="shared" si="259"/>
        <v>0</v>
      </c>
      <c r="S778" s="604">
        <f t="shared" si="260"/>
        <v>0</v>
      </c>
      <c r="T778" s="604">
        <f t="shared" si="261"/>
        <v>0</v>
      </c>
      <c r="U778" s="604">
        <f t="shared" si="262"/>
        <v>0</v>
      </c>
      <c r="V778" s="604">
        <f t="shared" si="263"/>
        <v>0</v>
      </c>
      <c r="W778" s="604">
        <f t="shared" si="264"/>
        <v>0</v>
      </c>
      <c r="X778" s="746">
        <v>0</v>
      </c>
      <c r="Y778" s="746">
        <f t="shared" si="265"/>
        <v>0</v>
      </c>
    </row>
    <row r="779" spans="2:25">
      <c r="B779" s="598" t="s">
        <v>2595</v>
      </c>
      <c r="C779" s="604" t="s">
        <v>864</v>
      </c>
      <c r="D779" s="745">
        <v>2010</v>
      </c>
      <c r="E779" s="604" t="s">
        <v>3538</v>
      </c>
      <c r="F779" s="738">
        <v>0.15</v>
      </c>
      <c r="G779" s="739">
        <v>39509.449999999997</v>
      </c>
      <c r="H779" s="741"/>
      <c r="I779" s="742"/>
      <c r="J779" s="740"/>
      <c r="K779" s="739">
        <v>39509.449999999997</v>
      </c>
      <c r="L779" s="864">
        <f t="shared" si="254"/>
        <v>0</v>
      </c>
      <c r="M779" s="740">
        <f t="shared" si="253"/>
        <v>0</v>
      </c>
      <c r="N779" s="604">
        <f t="shared" si="255"/>
        <v>0</v>
      </c>
      <c r="O779" s="604">
        <f t="shared" si="256"/>
        <v>0</v>
      </c>
      <c r="P779" s="604">
        <f t="shared" si="257"/>
        <v>0</v>
      </c>
      <c r="Q779" s="604">
        <f t="shared" si="258"/>
        <v>0</v>
      </c>
      <c r="R779" s="604">
        <f t="shared" si="259"/>
        <v>0</v>
      </c>
      <c r="S779" s="604">
        <f t="shared" si="260"/>
        <v>0</v>
      </c>
      <c r="T779" s="604">
        <f t="shared" si="261"/>
        <v>0</v>
      </c>
      <c r="U779" s="604">
        <f t="shared" si="262"/>
        <v>0</v>
      </c>
      <c r="V779" s="604">
        <f t="shared" si="263"/>
        <v>0</v>
      </c>
      <c r="W779" s="604">
        <f t="shared" si="264"/>
        <v>0</v>
      </c>
      <c r="X779" s="746">
        <v>0</v>
      </c>
      <c r="Y779" s="746">
        <f t="shared" si="265"/>
        <v>0</v>
      </c>
    </row>
    <row r="780" spans="2:25">
      <c r="B780" s="598" t="s">
        <v>2595</v>
      </c>
      <c r="C780" s="604" t="s">
        <v>864</v>
      </c>
      <c r="D780" s="745">
        <v>2010</v>
      </c>
      <c r="E780" s="604" t="s">
        <v>3539</v>
      </c>
      <c r="F780" s="738">
        <v>0.15</v>
      </c>
      <c r="G780" s="739">
        <v>174000</v>
      </c>
      <c r="H780" s="741"/>
      <c r="I780" s="742"/>
      <c r="J780" s="740"/>
      <c r="K780" s="739">
        <v>174000</v>
      </c>
      <c r="L780" s="864">
        <f t="shared" si="254"/>
        <v>0</v>
      </c>
      <c r="M780" s="740">
        <f t="shared" ref="M780:M843" si="266">+IF(L780=0,0,G780*F780)</f>
        <v>0</v>
      </c>
      <c r="N780" s="604">
        <f t="shared" si="255"/>
        <v>0</v>
      </c>
      <c r="O780" s="604">
        <f t="shared" si="256"/>
        <v>0</v>
      </c>
      <c r="P780" s="604">
        <f t="shared" si="257"/>
        <v>0</v>
      </c>
      <c r="Q780" s="604">
        <f t="shared" si="258"/>
        <v>0</v>
      </c>
      <c r="R780" s="604">
        <f t="shared" si="259"/>
        <v>0</v>
      </c>
      <c r="S780" s="604">
        <f t="shared" si="260"/>
        <v>0</v>
      </c>
      <c r="T780" s="604">
        <f t="shared" si="261"/>
        <v>0</v>
      </c>
      <c r="U780" s="604">
        <f t="shared" si="262"/>
        <v>0</v>
      </c>
      <c r="V780" s="604">
        <f t="shared" si="263"/>
        <v>0</v>
      </c>
      <c r="W780" s="604">
        <f t="shared" si="264"/>
        <v>0</v>
      </c>
      <c r="X780" s="746">
        <v>0</v>
      </c>
      <c r="Y780" s="746">
        <f t="shared" si="265"/>
        <v>0</v>
      </c>
    </row>
    <row r="781" spans="2:25">
      <c r="B781" s="598" t="s">
        <v>2595</v>
      </c>
      <c r="C781" s="604" t="s">
        <v>864</v>
      </c>
      <c r="D781" s="745">
        <v>2013</v>
      </c>
      <c r="E781" s="604" t="s">
        <v>3540</v>
      </c>
      <c r="F781" s="738">
        <v>0.15</v>
      </c>
      <c r="G781" s="739">
        <v>16050</v>
      </c>
      <c r="H781" s="741"/>
      <c r="I781" s="742"/>
      <c r="J781" s="740"/>
      <c r="K781" s="739">
        <v>16050</v>
      </c>
      <c r="L781" s="864">
        <f t="shared" si="254"/>
        <v>0</v>
      </c>
      <c r="M781" s="740">
        <f t="shared" si="266"/>
        <v>0</v>
      </c>
      <c r="N781" s="604">
        <f t="shared" si="255"/>
        <v>0</v>
      </c>
      <c r="O781" s="604">
        <f t="shared" si="256"/>
        <v>0</v>
      </c>
      <c r="P781" s="604">
        <f t="shared" si="257"/>
        <v>0</v>
      </c>
      <c r="Q781" s="604">
        <f t="shared" si="258"/>
        <v>0</v>
      </c>
      <c r="R781" s="604">
        <f t="shared" si="259"/>
        <v>0</v>
      </c>
      <c r="S781" s="604">
        <f t="shared" si="260"/>
        <v>0</v>
      </c>
      <c r="T781" s="604">
        <f t="shared" si="261"/>
        <v>0</v>
      </c>
      <c r="U781" s="604">
        <f t="shared" si="262"/>
        <v>0</v>
      </c>
      <c r="V781" s="604">
        <f t="shared" si="263"/>
        <v>0</v>
      </c>
      <c r="W781" s="604">
        <f t="shared" si="264"/>
        <v>0</v>
      </c>
      <c r="X781" s="746">
        <v>0</v>
      </c>
      <c r="Y781" s="746">
        <f t="shared" si="265"/>
        <v>0</v>
      </c>
    </row>
    <row r="782" spans="2:25">
      <c r="B782" s="598" t="s">
        <v>2595</v>
      </c>
      <c r="C782" s="604" t="s">
        <v>864</v>
      </c>
      <c r="D782" s="745">
        <v>2010</v>
      </c>
      <c r="E782" s="604" t="s">
        <v>3541</v>
      </c>
      <c r="F782" s="738">
        <v>0.15</v>
      </c>
      <c r="G782" s="739">
        <v>37000</v>
      </c>
      <c r="H782" s="741"/>
      <c r="I782" s="742"/>
      <c r="J782" s="740"/>
      <c r="K782" s="739">
        <v>37000</v>
      </c>
      <c r="L782" s="864">
        <f t="shared" si="254"/>
        <v>0</v>
      </c>
      <c r="M782" s="740">
        <f t="shared" si="266"/>
        <v>0</v>
      </c>
      <c r="N782" s="604">
        <f t="shared" si="255"/>
        <v>0</v>
      </c>
      <c r="O782" s="604">
        <f t="shared" si="256"/>
        <v>0</v>
      </c>
      <c r="P782" s="604">
        <f t="shared" si="257"/>
        <v>0</v>
      </c>
      <c r="Q782" s="604">
        <f t="shared" si="258"/>
        <v>0</v>
      </c>
      <c r="R782" s="604">
        <f t="shared" si="259"/>
        <v>0</v>
      </c>
      <c r="S782" s="604">
        <f t="shared" si="260"/>
        <v>0</v>
      </c>
      <c r="T782" s="604">
        <f t="shared" si="261"/>
        <v>0</v>
      </c>
      <c r="U782" s="604">
        <f t="shared" si="262"/>
        <v>0</v>
      </c>
      <c r="V782" s="604">
        <f t="shared" si="263"/>
        <v>0</v>
      </c>
      <c r="W782" s="604">
        <f t="shared" si="264"/>
        <v>0</v>
      </c>
      <c r="X782" s="746">
        <v>0</v>
      </c>
      <c r="Y782" s="746">
        <f t="shared" si="265"/>
        <v>0</v>
      </c>
    </row>
    <row r="783" spans="2:25">
      <c r="B783" s="598" t="s">
        <v>2595</v>
      </c>
      <c r="C783" s="604" t="s">
        <v>864</v>
      </c>
      <c r="D783" s="745">
        <v>2010</v>
      </c>
      <c r="E783" s="604" t="s">
        <v>3542</v>
      </c>
      <c r="F783" s="738">
        <v>0.15</v>
      </c>
      <c r="G783" s="739">
        <v>0</v>
      </c>
      <c r="H783" s="741"/>
      <c r="I783" s="742"/>
      <c r="J783" s="740"/>
      <c r="K783" s="739">
        <v>0</v>
      </c>
      <c r="L783" s="864">
        <f t="shared" si="254"/>
        <v>0</v>
      </c>
      <c r="M783" s="740">
        <f t="shared" si="266"/>
        <v>0</v>
      </c>
      <c r="N783" s="604">
        <f t="shared" si="255"/>
        <v>0</v>
      </c>
      <c r="O783" s="604">
        <f t="shared" si="256"/>
        <v>0</v>
      </c>
      <c r="P783" s="604">
        <f t="shared" si="257"/>
        <v>0</v>
      </c>
      <c r="Q783" s="604">
        <f t="shared" si="258"/>
        <v>0</v>
      </c>
      <c r="R783" s="604">
        <f t="shared" si="259"/>
        <v>0</v>
      </c>
      <c r="S783" s="604">
        <f t="shared" si="260"/>
        <v>0</v>
      </c>
      <c r="T783" s="604">
        <f t="shared" si="261"/>
        <v>0</v>
      </c>
      <c r="U783" s="604">
        <f t="shared" si="262"/>
        <v>0</v>
      </c>
      <c r="V783" s="604">
        <f t="shared" si="263"/>
        <v>0</v>
      </c>
      <c r="W783" s="604">
        <f t="shared" si="264"/>
        <v>0</v>
      </c>
      <c r="X783" s="746">
        <v>0</v>
      </c>
      <c r="Y783" s="746">
        <f t="shared" si="265"/>
        <v>0</v>
      </c>
    </row>
    <row r="784" spans="2:25">
      <c r="B784" s="598" t="s">
        <v>2595</v>
      </c>
      <c r="C784" s="604" t="s">
        <v>864</v>
      </c>
      <c r="D784" s="745">
        <v>2012</v>
      </c>
      <c r="E784" s="604" t="s">
        <v>3543</v>
      </c>
      <c r="F784" s="738">
        <v>0.15</v>
      </c>
      <c r="G784" s="739">
        <v>19500</v>
      </c>
      <c r="H784" s="741"/>
      <c r="I784" s="742"/>
      <c r="J784" s="740"/>
      <c r="K784" s="739">
        <v>19500</v>
      </c>
      <c r="L784" s="864">
        <f t="shared" si="254"/>
        <v>0</v>
      </c>
      <c r="M784" s="740">
        <f t="shared" si="266"/>
        <v>0</v>
      </c>
      <c r="N784" s="604">
        <f t="shared" si="255"/>
        <v>0</v>
      </c>
      <c r="O784" s="604">
        <f t="shared" si="256"/>
        <v>0</v>
      </c>
      <c r="P784" s="604">
        <f t="shared" si="257"/>
        <v>0</v>
      </c>
      <c r="Q784" s="604">
        <f t="shared" si="258"/>
        <v>0</v>
      </c>
      <c r="R784" s="604">
        <f t="shared" si="259"/>
        <v>0</v>
      </c>
      <c r="S784" s="604">
        <f t="shared" si="260"/>
        <v>0</v>
      </c>
      <c r="T784" s="604">
        <f t="shared" si="261"/>
        <v>0</v>
      </c>
      <c r="U784" s="604">
        <f t="shared" si="262"/>
        <v>0</v>
      </c>
      <c r="V784" s="604">
        <f t="shared" si="263"/>
        <v>0</v>
      </c>
      <c r="W784" s="604">
        <f t="shared" si="264"/>
        <v>0</v>
      </c>
      <c r="X784" s="746">
        <v>0</v>
      </c>
      <c r="Y784" s="746">
        <f t="shared" si="265"/>
        <v>0</v>
      </c>
    </row>
    <row r="785" spans="2:25">
      <c r="B785" s="598" t="s">
        <v>2595</v>
      </c>
      <c r="C785" s="604" t="s">
        <v>864</v>
      </c>
      <c r="D785" s="745">
        <v>2012</v>
      </c>
      <c r="E785" s="604" t="s">
        <v>3544</v>
      </c>
      <c r="F785" s="738">
        <v>0.15</v>
      </c>
      <c r="G785" s="739">
        <v>6000</v>
      </c>
      <c r="H785" s="741"/>
      <c r="I785" s="742"/>
      <c r="J785" s="740"/>
      <c r="K785" s="739">
        <v>6000</v>
      </c>
      <c r="L785" s="864">
        <f t="shared" si="254"/>
        <v>0</v>
      </c>
      <c r="M785" s="740">
        <f t="shared" si="266"/>
        <v>0</v>
      </c>
      <c r="N785" s="604">
        <f t="shared" si="255"/>
        <v>0</v>
      </c>
      <c r="O785" s="604">
        <f t="shared" si="256"/>
        <v>0</v>
      </c>
      <c r="P785" s="604">
        <f t="shared" si="257"/>
        <v>0</v>
      </c>
      <c r="Q785" s="604">
        <f t="shared" si="258"/>
        <v>0</v>
      </c>
      <c r="R785" s="604">
        <f t="shared" si="259"/>
        <v>0</v>
      </c>
      <c r="S785" s="604">
        <f t="shared" si="260"/>
        <v>0</v>
      </c>
      <c r="T785" s="604">
        <f t="shared" si="261"/>
        <v>0</v>
      </c>
      <c r="U785" s="604">
        <f t="shared" si="262"/>
        <v>0</v>
      </c>
      <c r="V785" s="604">
        <f t="shared" si="263"/>
        <v>0</v>
      </c>
      <c r="W785" s="604">
        <f t="shared" si="264"/>
        <v>0</v>
      </c>
      <c r="X785" s="746">
        <v>0</v>
      </c>
      <c r="Y785" s="746">
        <f t="shared" si="265"/>
        <v>0</v>
      </c>
    </row>
    <row r="786" spans="2:25">
      <c r="B786" s="598" t="s">
        <v>2595</v>
      </c>
      <c r="C786" s="604" t="s">
        <v>864</v>
      </c>
      <c r="D786" s="745">
        <v>2022</v>
      </c>
      <c r="E786" s="604" t="s">
        <v>3545</v>
      </c>
      <c r="F786" s="738">
        <v>0.15</v>
      </c>
      <c r="G786" s="739">
        <v>13762.27</v>
      </c>
      <c r="H786" s="741"/>
      <c r="I786" s="742"/>
      <c r="J786" s="740"/>
      <c r="K786" s="739">
        <v>13762.27</v>
      </c>
      <c r="L786" s="864">
        <f t="shared" si="254"/>
        <v>0</v>
      </c>
      <c r="M786" s="740">
        <f t="shared" si="266"/>
        <v>0</v>
      </c>
      <c r="N786" s="604">
        <f t="shared" si="255"/>
        <v>0</v>
      </c>
      <c r="O786" s="604">
        <f t="shared" si="256"/>
        <v>0</v>
      </c>
      <c r="P786" s="604">
        <f t="shared" si="257"/>
        <v>0</v>
      </c>
      <c r="Q786" s="604">
        <f t="shared" si="258"/>
        <v>0</v>
      </c>
      <c r="R786" s="604">
        <f t="shared" si="259"/>
        <v>0</v>
      </c>
      <c r="S786" s="604">
        <f t="shared" si="260"/>
        <v>0</v>
      </c>
      <c r="T786" s="604">
        <f t="shared" si="261"/>
        <v>0</v>
      </c>
      <c r="U786" s="604">
        <f t="shared" si="262"/>
        <v>0</v>
      </c>
      <c r="V786" s="604">
        <f t="shared" si="263"/>
        <v>0</v>
      </c>
      <c r="W786" s="604">
        <f t="shared" si="264"/>
        <v>0</v>
      </c>
      <c r="X786" s="746">
        <v>0</v>
      </c>
      <c r="Y786" s="746">
        <f t="shared" si="265"/>
        <v>0</v>
      </c>
    </row>
    <row r="787" spans="2:25">
      <c r="B787" s="598" t="s">
        <v>2595</v>
      </c>
      <c r="C787" s="604" t="s">
        <v>864</v>
      </c>
      <c r="D787" s="745">
        <v>2010</v>
      </c>
      <c r="E787" s="604" t="s">
        <v>3546</v>
      </c>
      <c r="F787" s="738">
        <v>0.15</v>
      </c>
      <c r="G787" s="739">
        <v>48500</v>
      </c>
      <c r="H787" s="741"/>
      <c r="I787" s="742"/>
      <c r="J787" s="740"/>
      <c r="K787" s="739">
        <v>48500</v>
      </c>
      <c r="L787" s="864">
        <f t="shared" si="254"/>
        <v>0</v>
      </c>
      <c r="M787" s="740">
        <f t="shared" si="266"/>
        <v>0</v>
      </c>
      <c r="N787" s="604">
        <f t="shared" si="255"/>
        <v>0</v>
      </c>
      <c r="O787" s="604">
        <f t="shared" si="256"/>
        <v>0</v>
      </c>
      <c r="P787" s="604">
        <f t="shared" si="257"/>
        <v>0</v>
      </c>
      <c r="Q787" s="604">
        <f t="shared" si="258"/>
        <v>0</v>
      </c>
      <c r="R787" s="604">
        <f t="shared" si="259"/>
        <v>0</v>
      </c>
      <c r="S787" s="604">
        <f t="shared" si="260"/>
        <v>0</v>
      </c>
      <c r="T787" s="604">
        <f t="shared" si="261"/>
        <v>0</v>
      </c>
      <c r="U787" s="604">
        <f t="shared" si="262"/>
        <v>0</v>
      </c>
      <c r="V787" s="604">
        <f t="shared" si="263"/>
        <v>0</v>
      </c>
      <c r="W787" s="604">
        <f t="shared" si="264"/>
        <v>0</v>
      </c>
      <c r="X787" s="746">
        <v>0</v>
      </c>
      <c r="Y787" s="746">
        <f t="shared" si="265"/>
        <v>0</v>
      </c>
    </row>
    <row r="788" spans="2:25">
      <c r="B788" s="598" t="s">
        <v>2595</v>
      </c>
      <c r="C788" s="604" t="s">
        <v>864</v>
      </c>
      <c r="D788" s="745">
        <v>2011</v>
      </c>
      <c r="E788" s="604" t="s">
        <v>3546</v>
      </c>
      <c r="F788" s="738">
        <v>0.15</v>
      </c>
      <c r="G788" s="739">
        <v>0</v>
      </c>
      <c r="H788" s="741"/>
      <c r="I788" s="742"/>
      <c r="J788" s="740"/>
      <c r="K788" s="739">
        <v>0</v>
      </c>
      <c r="L788" s="864">
        <f t="shared" si="254"/>
        <v>0</v>
      </c>
      <c r="M788" s="740">
        <f t="shared" si="266"/>
        <v>0</v>
      </c>
      <c r="N788" s="604">
        <f t="shared" si="255"/>
        <v>0</v>
      </c>
      <c r="O788" s="604">
        <f t="shared" si="256"/>
        <v>0</v>
      </c>
      <c r="P788" s="604">
        <f t="shared" si="257"/>
        <v>0</v>
      </c>
      <c r="Q788" s="604">
        <f t="shared" si="258"/>
        <v>0</v>
      </c>
      <c r="R788" s="604">
        <f t="shared" si="259"/>
        <v>0</v>
      </c>
      <c r="S788" s="604">
        <f t="shared" si="260"/>
        <v>0</v>
      </c>
      <c r="T788" s="604">
        <f t="shared" si="261"/>
        <v>0</v>
      </c>
      <c r="U788" s="604">
        <f t="shared" si="262"/>
        <v>0</v>
      </c>
      <c r="V788" s="604">
        <f t="shared" si="263"/>
        <v>0</v>
      </c>
      <c r="W788" s="604">
        <f t="shared" si="264"/>
        <v>0</v>
      </c>
      <c r="X788" s="746">
        <v>0</v>
      </c>
      <c r="Y788" s="746">
        <f t="shared" si="265"/>
        <v>0</v>
      </c>
    </row>
    <row r="789" spans="2:25">
      <c r="B789" s="598" t="s">
        <v>2595</v>
      </c>
      <c r="C789" s="604" t="s">
        <v>864</v>
      </c>
      <c r="D789" s="745">
        <v>2011</v>
      </c>
      <c r="E789" s="604" t="s">
        <v>3547</v>
      </c>
      <c r="F789" s="738">
        <v>0.15</v>
      </c>
      <c r="G789" s="739">
        <v>5485</v>
      </c>
      <c r="H789" s="741"/>
      <c r="I789" s="742"/>
      <c r="J789" s="740"/>
      <c r="K789" s="739">
        <v>5485</v>
      </c>
      <c r="L789" s="864">
        <f t="shared" si="254"/>
        <v>0</v>
      </c>
      <c r="M789" s="740">
        <f t="shared" si="266"/>
        <v>0</v>
      </c>
      <c r="N789" s="604">
        <f t="shared" si="255"/>
        <v>0</v>
      </c>
      <c r="O789" s="604">
        <f t="shared" si="256"/>
        <v>0</v>
      </c>
      <c r="P789" s="604">
        <f t="shared" si="257"/>
        <v>0</v>
      </c>
      <c r="Q789" s="604">
        <f t="shared" si="258"/>
        <v>0</v>
      </c>
      <c r="R789" s="604">
        <f t="shared" si="259"/>
        <v>0</v>
      </c>
      <c r="S789" s="604">
        <f t="shared" si="260"/>
        <v>0</v>
      </c>
      <c r="T789" s="604">
        <f t="shared" si="261"/>
        <v>0</v>
      </c>
      <c r="U789" s="604">
        <f t="shared" si="262"/>
        <v>0</v>
      </c>
      <c r="V789" s="604">
        <f t="shared" si="263"/>
        <v>0</v>
      </c>
      <c r="W789" s="604">
        <f t="shared" si="264"/>
        <v>0</v>
      </c>
      <c r="X789" s="746">
        <v>0</v>
      </c>
      <c r="Y789" s="746">
        <f t="shared" si="265"/>
        <v>0</v>
      </c>
    </row>
    <row r="790" spans="2:25">
      <c r="B790" s="598" t="s">
        <v>2595</v>
      </c>
      <c r="C790" s="604" t="s">
        <v>864</v>
      </c>
      <c r="D790" s="745">
        <v>2012</v>
      </c>
      <c r="E790" s="604" t="s">
        <v>3548</v>
      </c>
      <c r="F790" s="738">
        <v>0.15</v>
      </c>
      <c r="G790" s="739">
        <v>6100</v>
      </c>
      <c r="H790" s="741"/>
      <c r="I790" s="742"/>
      <c r="J790" s="740"/>
      <c r="K790" s="739">
        <v>6100</v>
      </c>
      <c r="L790" s="864">
        <f t="shared" si="254"/>
        <v>0</v>
      </c>
      <c r="M790" s="740">
        <f t="shared" si="266"/>
        <v>0</v>
      </c>
      <c r="N790" s="604">
        <f t="shared" si="255"/>
        <v>0</v>
      </c>
      <c r="O790" s="604">
        <f t="shared" si="256"/>
        <v>0</v>
      </c>
      <c r="P790" s="604">
        <f t="shared" si="257"/>
        <v>0</v>
      </c>
      <c r="Q790" s="604">
        <f t="shared" si="258"/>
        <v>0</v>
      </c>
      <c r="R790" s="604">
        <f t="shared" si="259"/>
        <v>0</v>
      </c>
      <c r="S790" s="604">
        <f t="shared" si="260"/>
        <v>0</v>
      </c>
      <c r="T790" s="604">
        <f t="shared" si="261"/>
        <v>0</v>
      </c>
      <c r="U790" s="604">
        <f t="shared" si="262"/>
        <v>0</v>
      </c>
      <c r="V790" s="604">
        <f t="shared" si="263"/>
        <v>0</v>
      </c>
      <c r="W790" s="604">
        <f t="shared" si="264"/>
        <v>0</v>
      </c>
      <c r="X790" s="746">
        <v>0</v>
      </c>
      <c r="Y790" s="746">
        <f t="shared" si="265"/>
        <v>0</v>
      </c>
    </row>
    <row r="791" spans="2:25">
      <c r="B791" s="598" t="s">
        <v>2595</v>
      </c>
      <c r="C791" s="604" t="s">
        <v>864</v>
      </c>
      <c r="D791" s="745">
        <v>2011</v>
      </c>
      <c r="E791" s="604" t="s">
        <v>3549</v>
      </c>
      <c r="F791" s="738">
        <v>0.15</v>
      </c>
      <c r="G791" s="739">
        <v>27825</v>
      </c>
      <c r="H791" s="741"/>
      <c r="I791" s="742"/>
      <c r="J791" s="740"/>
      <c r="K791" s="739">
        <v>27825</v>
      </c>
      <c r="L791" s="864">
        <f t="shared" si="254"/>
        <v>0</v>
      </c>
      <c r="M791" s="740">
        <f t="shared" si="266"/>
        <v>0</v>
      </c>
      <c r="N791" s="604">
        <f t="shared" si="255"/>
        <v>0</v>
      </c>
      <c r="O791" s="604">
        <f t="shared" si="256"/>
        <v>0</v>
      </c>
      <c r="P791" s="604">
        <f t="shared" si="257"/>
        <v>0</v>
      </c>
      <c r="Q791" s="604">
        <f t="shared" si="258"/>
        <v>0</v>
      </c>
      <c r="R791" s="604">
        <f t="shared" si="259"/>
        <v>0</v>
      </c>
      <c r="S791" s="604">
        <f t="shared" si="260"/>
        <v>0</v>
      </c>
      <c r="T791" s="604">
        <f t="shared" si="261"/>
        <v>0</v>
      </c>
      <c r="U791" s="604">
        <f t="shared" si="262"/>
        <v>0</v>
      </c>
      <c r="V791" s="604">
        <f t="shared" si="263"/>
        <v>0</v>
      </c>
      <c r="W791" s="604">
        <f t="shared" si="264"/>
        <v>0</v>
      </c>
      <c r="X791" s="746">
        <v>0</v>
      </c>
      <c r="Y791" s="746">
        <f t="shared" si="265"/>
        <v>0</v>
      </c>
    </row>
    <row r="792" spans="2:25">
      <c r="B792" s="598" t="s">
        <v>2595</v>
      </c>
      <c r="C792" s="604" t="s">
        <v>864</v>
      </c>
      <c r="D792" s="745">
        <v>2011</v>
      </c>
      <c r="E792" s="604" t="s">
        <v>3548</v>
      </c>
      <c r="F792" s="738">
        <v>0.15</v>
      </c>
      <c r="G792" s="739">
        <v>6100</v>
      </c>
      <c r="H792" s="741"/>
      <c r="I792" s="742"/>
      <c r="J792" s="740"/>
      <c r="K792" s="739">
        <v>6100</v>
      </c>
      <c r="L792" s="864">
        <f t="shared" si="254"/>
        <v>0</v>
      </c>
      <c r="M792" s="740">
        <f t="shared" si="266"/>
        <v>0</v>
      </c>
      <c r="N792" s="604">
        <f t="shared" si="255"/>
        <v>0</v>
      </c>
      <c r="O792" s="604">
        <f t="shared" si="256"/>
        <v>0</v>
      </c>
      <c r="P792" s="604">
        <f t="shared" si="257"/>
        <v>0</v>
      </c>
      <c r="Q792" s="604">
        <f t="shared" si="258"/>
        <v>0</v>
      </c>
      <c r="R792" s="604">
        <f t="shared" si="259"/>
        <v>0</v>
      </c>
      <c r="S792" s="604">
        <f t="shared" si="260"/>
        <v>0</v>
      </c>
      <c r="T792" s="604">
        <f t="shared" si="261"/>
        <v>0</v>
      </c>
      <c r="U792" s="604">
        <f t="shared" si="262"/>
        <v>0</v>
      </c>
      <c r="V792" s="604">
        <f t="shared" si="263"/>
        <v>0</v>
      </c>
      <c r="W792" s="604">
        <f t="shared" si="264"/>
        <v>0</v>
      </c>
      <c r="X792" s="746">
        <v>0</v>
      </c>
      <c r="Y792" s="746">
        <f t="shared" si="265"/>
        <v>0</v>
      </c>
    </row>
    <row r="793" spans="2:25">
      <c r="B793" s="598" t="s">
        <v>2595</v>
      </c>
      <c r="C793" s="604" t="s">
        <v>864</v>
      </c>
      <c r="D793" s="745">
        <v>2011</v>
      </c>
      <c r="E793" s="604" t="s">
        <v>3550</v>
      </c>
      <c r="F793" s="738">
        <v>0.15</v>
      </c>
      <c r="G793" s="739">
        <v>0</v>
      </c>
      <c r="H793" s="741"/>
      <c r="I793" s="742"/>
      <c r="J793" s="740"/>
      <c r="K793" s="739">
        <v>0</v>
      </c>
      <c r="L793" s="864">
        <f t="shared" si="254"/>
        <v>0</v>
      </c>
      <c r="M793" s="740">
        <f t="shared" si="266"/>
        <v>0</v>
      </c>
      <c r="N793" s="604">
        <f t="shared" si="255"/>
        <v>0</v>
      </c>
      <c r="O793" s="604">
        <f t="shared" si="256"/>
        <v>0</v>
      </c>
      <c r="P793" s="604">
        <f t="shared" si="257"/>
        <v>0</v>
      </c>
      <c r="Q793" s="604">
        <f t="shared" si="258"/>
        <v>0</v>
      </c>
      <c r="R793" s="604">
        <f t="shared" si="259"/>
        <v>0</v>
      </c>
      <c r="S793" s="604">
        <f t="shared" si="260"/>
        <v>0</v>
      </c>
      <c r="T793" s="604">
        <f t="shared" si="261"/>
        <v>0</v>
      </c>
      <c r="U793" s="604">
        <f t="shared" si="262"/>
        <v>0</v>
      </c>
      <c r="V793" s="604">
        <f t="shared" si="263"/>
        <v>0</v>
      </c>
      <c r="W793" s="604">
        <f t="shared" si="264"/>
        <v>0</v>
      </c>
      <c r="X793" s="746">
        <v>0</v>
      </c>
      <c r="Y793" s="746">
        <f t="shared" si="265"/>
        <v>0</v>
      </c>
    </row>
    <row r="794" spans="2:25">
      <c r="B794" s="598" t="s">
        <v>2595</v>
      </c>
      <c r="C794" s="604" t="s">
        <v>864</v>
      </c>
      <c r="D794" s="745">
        <v>2013</v>
      </c>
      <c r="E794" s="604" t="s">
        <v>3551</v>
      </c>
      <c r="F794" s="738">
        <v>0.15</v>
      </c>
      <c r="G794" s="739">
        <v>3200</v>
      </c>
      <c r="H794" s="741"/>
      <c r="I794" s="742"/>
      <c r="J794" s="740"/>
      <c r="K794" s="739">
        <v>3200</v>
      </c>
      <c r="L794" s="864">
        <f t="shared" si="254"/>
        <v>0</v>
      </c>
      <c r="M794" s="740">
        <f t="shared" si="266"/>
        <v>0</v>
      </c>
      <c r="N794" s="604">
        <f t="shared" si="255"/>
        <v>0</v>
      </c>
      <c r="O794" s="604">
        <f t="shared" si="256"/>
        <v>0</v>
      </c>
      <c r="P794" s="604">
        <f t="shared" si="257"/>
        <v>0</v>
      </c>
      <c r="Q794" s="604">
        <f t="shared" si="258"/>
        <v>0</v>
      </c>
      <c r="R794" s="604">
        <f t="shared" si="259"/>
        <v>0</v>
      </c>
      <c r="S794" s="604">
        <f t="shared" si="260"/>
        <v>0</v>
      </c>
      <c r="T794" s="604">
        <f t="shared" si="261"/>
        <v>0</v>
      </c>
      <c r="U794" s="604">
        <f t="shared" si="262"/>
        <v>0</v>
      </c>
      <c r="V794" s="604">
        <f t="shared" si="263"/>
        <v>0</v>
      </c>
      <c r="W794" s="604">
        <f t="shared" si="264"/>
        <v>0</v>
      </c>
      <c r="X794" s="746">
        <v>0</v>
      </c>
      <c r="Y794" s="746">
        <f t="shared" si="265"/>
        <v>0</v>
      </c>
    </row>
    <row r="795" spans="2:25">
      <c r="B795" s="598" t="s">
        <v>2595</v>
      </c>
      <c r="C795" s="604" t="s">
        <v>864</v>
      </c>
      <c r="D795" s="745">
        <v>2011</v>
      </c>
      <c r="E795" s="604" t="s">
        <v>3495</v>
      </c>
      <c r="F795" s="738">
        <v>0.15</v>
      </c>
      <c r="G795" s="739">
        <v>52380</v>
      </c>
      <c r="H795" s="741"/>
      <c r="I795" s="742"/>
      <c r="J795" s="740"/>
      <c r="K795" s="739">
        <v>52380</v>
      </c>
      <c r="L795" s="864">
        <f t="shared" si="254"/>
        <v>0</v>
      </c>
      <c r="M795" s="740">
        <f t="shared" si="266"/>
        <v>0</v>
      </c>
      <c r="N795" s="604">
        <f t="shared" si="255"/>
        <v>0</v>
      </c>
      <c r="O795" s="604">
        <f t="shared" si="256"/>
        <v>0</v>
      </c>
      <c r="P795" s="604">
        <f t="shared" si="257"/>
        <v>0</v>
      </c>
      <c r="Q795" s="604">
        <f t="shared" si="258"/>
        <v>0</v>
      </c>
      <c r="R795" s="604">
        <f t="shared" si="259"/>
        <v>0</v>
      </c>
      <c r="S795" s="604">
        <f t="shared" si="260"/>
        <v>0</v>
      </c>
      <c r="T795" s="604">
        <f t="shared" si="261"/>
        <v>0</v>
      </c>
      <c r="U795" s="604">
        <f t="shared" si="262"/>
        <v>0</v>
      </c>
      <c r="V795" s="604">
        <f t="shared" si="263"/>
        <v>0</v>
      </c>
      <c r="W795" s="604">
        <f t="shared" si="264"/>
        <v>0</v>
      </c>
      <c r="X795" s="746">
        <v>0</v>
      </c>
      <c r="Y795" s="746">
        <f t="shared" si="265"/>
        <v>0</v>
      </c>
    </row>
    <row r="796" spans="2:25">
      <c r="B796" s="598" t="s">
        <v>2595</v>
      </c>
      <c r="C796" s="604" t="s">
        <v>864</v>
      </c>
      <c r="D796" s="745">
        <v>2012</v>
      </c>
      <c r="E796" s="604" t="s">
        <v>3552</v>
      </c>
      <c r="F796" s="738">
        <v>0.15</v>
      </c>
      <c r="G796" s="739">
        <v>6823</v>
      </c>
      <c r="H796" s="741"/>
      <c r="I796" s="742"/>
      <c r="J796" s="740"/>
      <c r="K796" s="739">
        <v>6823</v>
      </c>
      <c r="L796" s="864">
        <f t="shared" si="254"/>
        <v>0</v>
      </c>
      <c r="M796" s="740">
        <f t="shared" si="266"/>
        <v>0</v>
      </c>
      <c r="N796" s="604">
        <f t="shared" si="255"/>
        <v>0</v>
      </c>
      <c r="O796" s="604">
        <f t="shared" si="256"/>
        <v>0</v>
      </c>
      <c r="P796" s="604">
        <f t="shared" si="257"/>
        <v>0</v>
      </c>
      <c r="Q796" s="604">
        <f t="shared" si="258"/>
        <v>0</v>
      </c>
      <c r="R796" s="604">
        <f t="shared" si="259"/>
        <v>0</v>
      </c>
      <c r="S796" s="604">
        <f t="shared" si="260"/>
        <v>0</v>
      </c>
      <c r="T796" s="604">
        <f t="shared" si="261"/>
        <v>0</v>
      </c>
      <c r="U796" s="604">
        <f t="shared" si="262"/>
        <v>0</v>
      </c>
      <c r="V796" s="604">
        <f t="shared" si="263"/>
        <v>0</v>
      </c>
      <c r="W796" s="604">
        <f t="shared" si="264"/>
        <v>0</v>
      </c>
      <c r="X796" s="746">
        <v>0</v>
      </c>
      <c r="Y796" s="746">
        <f t="shared" si="265"/>
        <v>0</v>
      </c>
    </row>
    <row r="797" spans="2:25">
      <c r="B797" s="598" t="s">
        <v>2595</v>
      </c>
      <c r="C797" s="604" t="s">
        <v>864</v>
      </c>
      <c r="D797" s="745">
        <v>2013</v>
      </c>
      <c r="E797" s="604" t="s">
        <v>3513</v>
      </c>
      <c r="F797" s="738">
        <v>0.15</v>
      </c>
      <c r="G797" s="739">
        <v>74871.149999999994</v>
      </c>
      <c r="H797" s="741"/>
      <c r="I797" s="742"/>
      <c r="J797" s="740"/>
      <c r="K797" s="739">
        <v>74871.149999999994</v>
      </c>
      <c r="L797" s="864">
        <f t="shared" si="254"/>
        <v>0</v>
      </c>
      <c r="M797" s="740">
        <f t="shared" si="266"/>
        <v>0</v>
      </c>
      <c r="N797" s="604">
        <f t="shared" si="255"/>
        <v>0</v>
      </c>
      <c r="O797" s="604">
        <f t="shared" si="256"/>
        <v>0</v>
      </c>
      <c r="P797" s="604">
        <f t="shared" si="257"/>
        <v>0</v>
      </c>
      <c r="Q797" s="604">
        <f t="shared" si="258"/>
        <v>0</v>
      </c>
      <c r="R797" s="604">
        <f t="shared" si="259"/>
        <v>0</v>
      </c>
      <c r="S797" s="604">
        <f t="shared" si="260"/>
        <v>0</v>
      </c>
      <c r="T797" s="604">
        <f t="shared" si="261"/>
        <v>0</v>
      </c>
      <c r="U797" s="604">
        <f t="shared" si="262"/>
        <v>0</v>
      </c>
      <c r="V797" s="604">
        <f t="shared" si="263"/>
        <v>0</v>
      </c>
      <c r="W797" s="604">
        <f t="shared" si="264"/>
        <v>0</v>
      </c>
      <c r="X797" s="746">
        <v>0</v>
      </c>
      <c r="Y797" s="746">
        <f t="shared" si="265"/>
        <v>0</v>
      </c>
    </row>
    <row r="798" spans="2:25">
      <c r="B798" s="598" t="s">
        <v>2595</v>
      </c>
      <c r="C798" s="604" t="s">
        <v>864</v>
      </c>
      <c r="D798" s="745">
        <v>2012</v>
      </c>
      <c r="E798" s="604" t="s">
        <v>3508</v>
      </c>
      <c r="F798" s="738">
        <v>0.15</v>
      </c>
      <c r="G798" s="739">
        <v>0</v>
      </c>
      <c r="H798" s="741"/>
      <c r="I798" s="742"/>
      <c r="J798" s="740"/>
      <c r="K798" s="739">
        <v>0</v>
      </c>
      <c r="L798" s="864">
        <f t="shared" si="254"/>
        <v>0</v>
      </c>
      <c r="M798" s="740">
        <f t="shared" si="266"/>
        <v>0</v>
      </c>
      <c r="N798" s="604">
        <f t="shared" si="255"/>
        <v>0</v>
      </c>
      <c r="O798" s="604">
        <f t="shared" si="256"/>
        <v>0</v>
      </c>
      <c r="P798" s="604">
        <f t="shared" si="257"/>
        <v>0</v>
      </c>
      <c r="Q798" s="604">
        <f t="shared" si="258"/>
        <v>0</v>
      </c>
      <c r="R798" s="604">
        <f t="shared" si="259"/>
        <v>0</v>
      </c>
      <c r="S798" s="604">
        <f t="shared" si="260"/>
        <v>0</v>
      </c>
      <c r="T798" s="604">
        <f t="shared" si="261"/>
        <v>0</v>
      </c>
      <c r="U798" s="604">
        <f t="shared" si="262"/>
        <v>0</v>
      </c>
      <c r="V798" s="604">
        <f t="shared" si="263"/>
        <v>0</v>
      </c>
      <c r="W798" s="604">
        <f t="shared" si="264"/>
        <v>0</v>
      </c>
      <c r="X798" s="746">
        <v>0</v>
      </c>
      <c r="Y798" s="746">
        <f t="shared" si="265"/>
        <v>0</v>
      </c>
    </row>
    <row r="799" spans="2:25">
      <c r="B799" s="598" t="s">
        <v>2595</v>
      </c>
      <c r="C799" s="604" t="s">
        <v>864</v>
      </c>
      <c r="D799" s="745">
        <v>2012</v>
      </c>
      <c r="E799" s="604" t="s">
        <v>3553</v>
      </c>
      <c r="F799" s="738">
        <v>0.15</v>
      </c>
      <c r="G799" s="739">
        <v>72495.89</v>
      </c>
      <c r="H799" s="741"/>
      <c r="I799" s="742"/>
      <c r="J799" s="740"/>
      <c r="K799" s="739">
        <v>72495.89</v>
      </c>
      <c r="L799" s="864">
        <f t="shared" si="254"/>
        <v>0</v>
      </c>
      <c r="M799" s="740">
        <f t="shared" si="266"/>
        <v>0</v>
      </c>
      <c r="N799" s="604">
        <f t="shared" si="255"/>
        <v>0</v>
      </c>
      <c r="O799" s="604">
        <f t="shared" si="256"/>
        <v>0</v>
      </c>
      <c r="P799" s="604">
        <f t="shared" si="257"/>
        <v>0</v>
      </c>
      <c r="Q799" s="604">
        <f t="shared" si="258"/>
        <v>0</v>
      </c>
      <c r="R799" s="604">
        <f t="shared" si="259"/>
        <v>0</v>
      </c>
      <c r="S799" s="604">
        <f t="shared" si="260"/>
        <v>0</v>
      </c>
      <c r="T799" s="604">
        <f t="shared" si="261"/>
        <v>0</v>
      </c>
      <c r="U799" s="604">
        <f t="shared" si="262"/>
        <v>0</v>
      </c>
      <c r="V799" s="604">
        <f t="shared" si="263"/>
        <v>0</v>
      </c>
      <c r="W799" s="604">
        <f t="shared" si="264"/>
        <v>0</v>
      </c>
      <c r="X799" s="746">
        <v>0</v>
      </c>
      <c r="Y799" s="746">
        <f t="shared" si="265"/>
        <v>0</v>
      </c>
    </row>
    <row r="800" spans="2:25">
      <c r="B800" s="598" t="s">
        <v>2595</v>
      </c>
      <c r="C800" s="604" t="s">
        <v>864</v>
      </c>
      <c r="D800" s="745">
        <v>2021</v>
      </c>
      <c r="E800" s="604" t="s">
        <v>3554</v>
      </c>
      <c r="F800" s="738">
        <v>0.15</v>
      </c>
      <c r="G800" s="739">
        <v>19000</v>
      </c>
      <c r="H800" s="741"/>
      <c r="I800" s="742"/>
      <c r="J800" s="740"/>
      <c r="K800" s="739">
        <v>19000</v>
      </c>
      <c r="L800" s="864">
        <f t="shared" si="254"/>
        <v>0</v>
      </c>
      <c r="M800" s="740">
        <f t="shared" si="266"/>
        <v>0</v>
      </c>
      <c r="N800" s="604">
        <f t="shared" si="255"/>
        <v>0</v>
      </c>
      <c r="O800" s="604">
        <f t="shared" si="256"/>
        <v>0</v>
      </c>
      <c r="P800" s="604">
        <f t="shared" si="257"/>
        <v>0</v>
      </c>
      <c r="Q800" s="604">
        <f t="shared" si="258"/>
        <v>0</v>
      </c>
      <c r="R800" s="604">
        <f t="shared" si="259"/>
        <v>0</v>
      </c>
      <c r="S800" s="604">
        <f t="shared" si="260"/>
        <v>0</v>
      </c>
      <c r="T800" s="604">
        <f t="shared" si="261"/>
        <v>0</v>
      </c>
      <c r="U800" s="604">
        <f t="shared" si="262"/>
        <v>0</v>
      </c>
      <c r="V800" s="604">
        <f t="shared" si="263"/>
        <v>0</v>
      </c>
      <c r="W800" s="604">
        <f t="shared" si="264"/>
        <v>0</v>
      </c>
      <c r="X800" s="746">
        <v>0</v>
      </c>
      <c r="Y800" s="746">
        <f t="shared" si="265"/>
        <v>0</v>
      </c>
    </row>
    <row r="801" spans="2:25">
      <c r="B801" s="598" t="s">
        <v>2595</v>
      </c>
      <c r="C801" s="604" t="s">
        <v>864</v>
      </c>
      <c r="D801" s="745">
        <v>2012</v>
      </c>
      <c r="E801" s="604" t="s">
        <v>3513</v>
      </c>
      <c r="F801" s="738">
        <v>0.15</v>
      </c>
      <c r="G801" s="739">
        <v>23234.17</v>
      </c>
      <c r="H801" s="741"/>
      <c r="I801" s="742"/>
      <c r="J801" s="740"/>
      <c r="K801" s="739">
        <v>23234.17</v>
      </c>
      <c r="L801" s="864">
        <f t="shared" si="254"/>
        <v>0</v>
      </c>
      <c r="M801" s="740">
        <f t="shared" si="266"/>
        <v>0</v>
      </c>
      <c r="N801" s="604">
        <f t="shared" si="255"/>
        <v>0</v>
      </c>
      <c r="O801" s="604">
        <f t="shared" si="256"/>
        <v>0</v>
      </c>
      <c r="P801" s="604">
        <f t="shared" si="257"/>
        <v>0</v>
      </c>
      <c r="Q801" s="604">
        <f t="shared" si="258"/>
        <v>0</v>
      </c>
      <c r="R801" s="604">
        <f t="shared" si="259"/>
        <v>0</v>
      </c>
      <c r="S801" s="604">
        <f t="shared" si="260"/>
        <v>0</v>
      </c>
      <c r="T801" s="604">
        <f t="shared" si="261"/>
        <v>0</v>
      </c>
      <c r="U801" s="604">
        <f t="shared" si="262"/>
        <v>0</v>
      </c>
      <c r="V801" s="604">
        <f t="shared" si="263"/>
        <v>0</v>
      </c>
      <c r="W801" s="604">
        <f t="shared" si="264"/>
        <v>0</v>
      </c>
      <c r="X801" s="746">
        <v>0</v>
      </c>
      <c r="Y801" s="746">
        <f t="shared" si="265"/>
        <v>0</v>
      </c>
    </row>
    <row r="802" spans="2:25">
      <c r="B802" s="598" t="s">
        <v>2595</v>
      </c>
      <c r="C802" s="604" t="s">
        <v>864</v>
      </c>
      <c r="D802" s="745">
        <v>2012</v>
      </c>
      <c r="E802" s="604" t="s">
        <v>3555</v>
      </c>
      <c r="F802" s="738">
        <v>0.15</v>
      </c>
      <c r="G802" s="739">
        <v>0</v>
      </c>
      <c r="H802" s="741"/>
      <c r="I802" s="742"/>
      <c r="J802" s="740"/>
      <c r="K802" s="739">
        <v>0</v>
      </c>
      <c r="L802" s="864">
        <f t="shared" si="254"/>
        <v>0</v>
      </c>
      <c r="M802" s="740">
        <f t="shared" si="266"/>
        <v>0</v>
      </c>
      <c r="N802" s="604">
        <f t="shared" si="255"/>
        <v>0</v>
      </c>
      <c r="O802" s="604">
        <f t="shared" si="256"/>
        <v>0</v>
      </c>
      <c r="P802" s="604">
        <f t="shared" si="257"/>
        <v>0</v>
      </c>
      <c r="Q802" s="604">
        <f t="shared" si="258"/>
        <v>0</v>
      </c>
      <c r="R802" s="604">
        <f t="shared" si="259"/>
        <v>0</v>
      </c>
      <c r="S802" s="604">
        <f t="shared" si="260"/>
        <v>0</v>
      </c>
      <c r="T802" s="604">
        <f t="shared" si="261"/>
        <v>0</v>
      </c>
      <c r="U802" s="604">
        <f t="shared" si="262"/>
        <v>0</v>
      </c>
      <c r="V802" s="604">
        <f t="shared" si="263"/>
        <v>0</v>
      </c>
      <c r="W802" s="604">
        <f t="shared" si="264"/>
        <v>0</v>
      </c>
      <c r="X802" s="746">
        <v>0</v>
      </c>
      <c r="Y802" s="746">
        <f t="shared" si="265"/>
        <v>0</v>
      </c>
    </row>
    <row r="803" spans="2:25">
      <c r="B803" s="598" t="s">
        <v>2595</v>
      </c>
      <c r="C803" s="604" t="s">
        <v>864</v>
      </c>
      <c r="D803" s="745">
        <v>2013</v>
      </c>
      <c r="E803" s="604" t="s">
        <v>3556</v>
      </c>
      <c r="F803" s="738">
        <v>0.15</v>
      </c>
      <c r="G803" s="739">
        <v>0</v>
      </c>
      <c r="H803" s="741"/>
      <c r="I803" s="742"/>
      <c r="J803" s="740"/>
      <c r="K803" s="739">
        <v>0</v>
      </c>
      <c r="L803" s="864">
        <f t="shared" si="254"/>
        <v>0</v>
      </c>
      <c r="M803" s="740">
        <f t="shared" si="266"/>
        <v>0</v>
      </c>
      <c r="N803" s="604">
        <f t="shared" si="255"/>
        <v>0</v>
      </c>
      <c r="O803" s="604">
        <f t="shared" si="256"/>
        <v>0</v>
      </c>
      <c r="P803" s="604">
        <f t="shared" si="257"/>
        <v>0</v>
      </c>
      <c r="Q803" s="604">
        <f t="shared" si="258"/>
        <v>0</v>
      </c>
      <c r="R803" s="604">
        <f t="shared" si="259"/>
        <v>0</v>
      </c>
      <c r="S803" s="604">
        <f t="shared" si="260"/>
        <v>0</v>
      </c>
      <c r="T803" s="604">
        <f t="shared" si="261"/>
        <v>0</v>
      </c>
      <c r="U803" s="604">
        <f t="shared" si="262"/>
        <v>0</v>
      </c>
      <c r="V803" s="604">
        <f t="shared" si="263"/>
        <v>0</v>
      </c>
      <c r="W803" s="604">
        <f t="shared" si="264"/>
        <v>0</v>
      </c>
      <c r="X803" s="746">
        <v>0</v>
      </c>
      <c r="Y803" s="746">
        <f t="shared" si="265"/>
        <v>0</v>
      </c>
    </row>
    <row r="804" spans="2:25">
      <c r="B804" s="598" t="s">
        <v>2595</v>
      </c>
      <c r="C804" s="604" t="s">
        <v>864</v>
      </c>
      <c r="D804" s="745">
        <v>2013</v>
      </c>
      <c r="E804" s="604" t="s">
        <v>3557</v>
      </c>
      <c r="F804" s="738">
        <v>0.15</v>
      </c>
      <c r="G804" s="739">
        <v>0</v>
      </c>
      <c r="H804" s="741"/>
      <c r="I804" s="742"/>
      <c r="J804" s="740"/>
      <c r="K804" s="739">
        <v>0</v>
      </c>
      <c r="L804" s="864">
        <f t="shared" si="254"/>
        <v>0</v>
      </c>
      <c r="M804" s="740">
        <f t="shared" si="266"/>
        <v>0</v>
      </c>
      <c r="N804" s="604">
        <f t="shared" si="255"/>
        <v>0</v>
      </c>
      <c r="O804" s="604">
        <f t="shared" si="256"/>
        <v>0</v>
      </c>
      <c r="P804" s="604">
        <f t="shared" si="257"/>
        <v>0</v>
      </c>
      <c r="Q804" s="604">
        <f t="shared" si="258"/>
        <v>0</v>
      </c>
      <c r="R804" s="604">
        <f t="shared" si="259"/>
        <v>0</v>
      </c>
      <c r="S804" s="604">
        <f t="shared" si="260"/>
        <v>0</v>
      </c>
      <c r="T804" s="604">
        <f t="shared" si="261"/>
        <v>0</v>
      </c>
      <c r="U804" s="604">
        <f t="shared" si="262"/>
        <v>0</v>
      </c>
      <c r="V804" s="604">
        <f t="shared" si="263"/>
        <v>0</v>
      </c>
      <c r="W804" s="604">
        <f t="shared" si="264"/>
        <v>0</v>
      </c>
      <c r="X804" s="746">
        <v>0</v>
      </c>
      <c r="Y804" s="746">
        <f t="shared" si="265"/>
        <v>0</v>
      </c>
    </row>
    <row r="805" spans="2:25">
      <c r="B805" s="598" t="s">
        <v>2595</v>
      </c>
      <c r="C805" s="604" t="s">
        <v>864</v>
      </c>
      <c r="D805" s="745">
        <v>2012</v>
      </c>
      <c r="E805" s="604" t="s">
        <v>3558</v>
      </c>
      <c r="F805" s="738">
        <v>0.15</v>
      </c>
      <c r="G805" s="739">
        <v>0</v>
      </c>
      <c r="H805" s="741"/>
      <c r="I805" s="742"/>
      <c r="J805" s="740"/>
      <c r="K805" s="739">
        <v>0</v>
      </c>
      <c r="L805" s="864">
        <f t="shared" si="254"/>
        <v>0</v>
      </c>
      <c r="M805" s="740">
        <f t="shared" si="266"/>
        <v>0</v>
      </c>
      <c r="N805" s="604">
        <f t="shared" si="255"/>
        <v>0</v>
      </c>
      <c r="O805" s="604">
        <f t="shared" si="256"/>
        <v>0</v>
      </c>
      <c r="P805" s="604">
        <f t="shared" si="257"/>
        <v>0</v>
      </c>
      <c r="Q805" s="604">
        <f t="shared" si="258"/>
        <v>0</v>
      </c>
      <c r="R805" s="604">
        <f t="shared" si="259"/>
        <v>0</v>
      </c>
      <c r="S805" s="604">
        <f t="shared" si="260"/>
        <v>0</v>
      </c>
      <c r="T805" s="604">
        <f t="shared" si="261"/>
        <v>0</v>
      </c>
      <c r="U805" s="604">
        <f t="shared" si="262"/>
        <v>0</v>
      </c>
      <c r="V805" s="604">
        <f t="shared" si="263"/>
        <v>0</v>
      </c>
      <c r="W805" s="604">
        <f t="shared" si="264"/>
        <v>0</v>
      </c>
      <c r="X805" s="746">
        <v>0</v>
      </c>
      <c r="Y805" s="746">
        <f t="shared" si="265"/>
        <v>0</v>
      </c>
    </row>
    <row r="806" spans="2:25">
      <c r="B806" s="598" t="s">
        <v>2595</v>
      </c>
      <c r="C806" s="604" t="s">
        <v>864</v>
      </c>
      <c r="D806" s="745">
        <v>2012</v>
      </c>
      <c r="E806" s="604" t="s">
        <v>3550</v>
      </c>
      <c r="F806" s="738">
        <v>0.15</v>
      </c>
      <c r="G806" s="739">
        <v>0</v>
      </c>
      <c r="H806" s="741"/>
      <c r="I806" s="742"/>
      <c r="J806" s="740"/>
      <c r="K806" s="739">
        <v>0</v>
      </c>
      <c r="L806" s="864">
        <f t="shared" si="254"/>
        <v>0</v>
      </c>
      <c r="M806" s="740">
        <f t="shared" si="266"/>
        <v>0</v>
      </c>
      <c r="N806" s="604">
        <f t="shared" si="255"/>
        <v>0</v>
      </c>
      <c r="O806" s="604">
        <f t="shared" si="256"/>
        <v>0</v>
      </c>
      <c r="P806" s="604">
        <f t="shared" si="257"/>
        <v>0</v>
      </c>
      <c r="Q806" s="604">
        <f t="shared" si="258"/>
        <v>0</v>
      </c>
      <c r="R806" s="604">
        <f t="shared" si="259"/>
        <v>0</v>
      </c>
      <c r="S806" s="604">
        <f t="shared" si="260"/>
        <v>0</v>
      </c>
      <c r="T806" s="604">
        <f t="shared" si="261"/>
        <v>0</v>
      </c>
      <c r="U806" s="604">
        <f t="shared" si="262"/>
        <v>0</v>
      </c>
      <c r="V806" s="604">
        <f t="shared" si="263"/>
        <v>0</v>
      </c>
      <c r="W806" s="604">
        <f t="shared" si="264"/>
        <v>0</v>
      </c>
      <c r="X806" s="746">
        <v>0</v>
      </c>
      <c r="Y806" s="746">
        <f t="shared" si="265"/>
        <v>0</v>
      </c>
    </row>
    <row r="807" spans="2:25">
      <c r="B807" s="598" t="s">
        <v>2595</v>
      </c>
      <c r="C807" s="604" t="s">
        <v>864</v>
      </c>
      <c r="D807" s="745">
        <v>2013</v>
      </c>
      <c r="E807" s="604" t="s">
        <v>3559</v>
      </c>
      <c r="F807" s="738">
        <v>0.15</v>
      </c>
      <c r="G807" s="739">
        <v>1500</v>
      </c>
      <c r="H807" s="741"/>
      <c r="I807" s="742"/>
      <c r="J807" s="740"/>
      <c r="K807" s="739">
        <v>1500</v>
      </c>
      <c r="L807" s="864">
        <f t="shared" si="254"/>
        <v>0</v>
      </c>
      <c r="M807" s="740">
        <f t="shared" si="266"/>
        <v>0</v>
      </c>
      <c r="N807" s="604">
        <f t="shared" si="255"/>
        <v>0</v>
      </c>
      <c r="O807" s="604">
        <f t="shared" si="256"/>
        <v>0</v>
      </c>
      <c r="P807" s="604">
        <f t="shared" si="257"/>
        <v>0</v>
      </c>
      <c r="Q807" s="604">
        <f t="shared" si="258"/>
        <v>0</v>
      </c>
      <c r="R807" s="604">
        <f t="shared" si="259"/>
        <v>0</v>
      </c>
      <c r="S807" s="604">
        <f t="shared" si="260"/>
        <v>0</v>
      </c>
      <c r="T807" s="604">
        <f t="shared" si="261"/>
        <v>0</v>
      </c>
      <c r="U807" s="604">
        <f t="shared" si="262"/>
        <v>0</v>
      </c>
      <c r="V807" s="604">
        <f t="shared" si="263"/>
        <v>0</v>
      </c>
      <c r="W807" s="604">
        <f t="shared" si="264"/>
        <v>0</v>
      </c>
      <c r="X807" s="746">
        <v>0</v>
      </c>
      <c r="Y807" s="746">
        <f t="shared" si="265"/>
        <v>0</v>
      </c>
    </row>
    <row r="808" spans="2:25">
      <c r="B808" s="598" t="s">
        <v>2595</v>
      </c>
      <c r="C808" s="604" t="s">
        <v>864</v>
      </c>
      <c r="D808" s="745">
        <v>2013</v>
      </c>
      <c r="E808" s="604" t="s">
        <v>3560</v>
      </c>
      <c r="F808" s="738">
        <v>0.15</v>
      </c>
      <c r="G808" s="739">
        <v>20000</v>
      </c>
      <c r="H808" s="741"/>
      <c r="I808" s="742"/>
      <c r="J808" s="740"/>
      <c r="K808" s="739">
        <v>20000</v>
      </c>
      <c r="L808" s="864">
        <f t="shared" si="254"/>
        <v>0</v>
      </c>
      <c r="M808" s="740">
        <f t="shared" si="266"/>
        <v>0</v>
      </c>
      <c r="N808" s="604">
        <f t="shared" si="255"/>
        <v>0</v>
      </c>
      <c r="O808" s="604">
        <f t="shared" si="256"/>
        <v>0</v>
      </c>
      <c r="P808" s="604">
        <f t="shared" si="257"/>
        <v>0</v>
      </c>
      <c r="Q808" s="604">
        <f t="shared" si="258"/>
        <v>0</v>
      </c>
      <c r="R808" s="604">
        <f t="shared" si="259"/>
        <v>0</v>
      </c>
      <c r="S808" s="604">
        <f t="shared" si="260"/>
        <v>0</v>
      </c>
      <c r="T808" s="604">
        <f t="shared" si="261"/>
        <v>0</v>
      </c>
      <c r="U808" s="604">
        <f t="shared" si="262"/>
        <v>0</v>
      </c>
      <c r="V808" s="604">
        <f t="shared" si="263"/>
        <v>0</v>
      </c>
      <c r="W808" s="604">
        <f t="shared" si="264"/>
        <v>0</v>
      </c>
      <c r="X808" s="746">
        <v>0</v>
      </c>
      <c r="Y808" s="746">
        <f t="shared" si="265"/>
        <v>0</v>
      </c>
    </row>
    <row r="809" spans="2:25">
      <c r="B809" s="598" t="s">
        <v>2595</v>
      </c>
      <c r="C809" s="604" t="s">
        <v>864</v>
      </c>
      <c r="D809" s="745">
        <v>2013</v>
      </c>
      <c r="E809" s="604" t="s">
        <v>3556</v>
      </c>
      <c r="F809" s="738">
        <v>0.15</v>
      </c>
      <c r="G809" s="739">
        <v>20000</v>
      </c>
      <c r="H809" s="741"/>
      <c r="I809" s="742"/>
      <c r="J809" s="740"/>
      <c r="K809" s="739">
        <v>20000</v>
      </c>
      <c r="L809" s="864">
        <f t="shared" si="254"/>
        <v>0</v>
      </c>
      <c r="M809" s="740">
        <f t="shared" si="266"/>
        <v>0</v>
      </c>
      <c r="N809" s="604">
        <f t="shared" si="255"/>
        <v>0</v>
      </c>
      <c r="O809" s="604">
        <f t="shared" si="256"/>
        <v>0</v>
      </c>
      <c r="P809" s="604">
        <f t="shared" si="257"/>
        <v>0</v>
      </c>
      <c r="Q809" s="604">
        <f t="shared" si="258"/>
        <v>0</v>
      </c>
      <c r="R809" s="604">
        <f t="shared" si="259"/>
        <v>0</v>
      </c>
      <c r="S809" s="604">
        <f t="shared" si="260"/>
        <v>0</v>
      </c>
      <c r="T809" s="604">
        <f t="shared" si="261"/>
        <v>0</v>
      </c>
      <c r="U809" s="604">
        <f t="shared" si="262"/>
        <v>0</v>
      </c>
      <c r="V809" s="604">
        <f t="shared" si="263"/>
        <v>0</v>
      </c>
      <c r="W809" s="604">
        <f t="shared" si="264"/>
        <v>0</v>
      </c>
      <c r="X809" s="746">
        <v>0</v>
      </c>
      <c r="Y809" s="746">
        <f t="shared" si="265"/>
        <v>0</v>
      </c>
    </row>
    <row r="810" spans="2:25">
      <c r="B810" s="598" t="s">
        <v>2595</v>
      </c>
      <c r="C810" s="604" t="s">
        <v>864</v>
      </c>
      <c r="D810" s="745">
        <v>2012</v>
      </c>
      <c r="E810" s="604" t="s">
        <v>3561</v>
      </c>
      <c r="F810" s="738">
        <v>0.15</v>
      </c>
      <c r="G810" s="739">
        <v>3000</v>
      </c>
      <c r="H810" s="741"/>
      <c r="I810" s="742"/>
      <c r="J810" s="740"/>
      <c r="K810" s="739">
        <v>3000</v>
      </c>
      <c r="L810" s="864">
        <f t="shared" si="254"/>
        <v>0</v>
      </c>
      <c r="M810" s="740">
        <f t="shared" si="266"/>
        <v>0</v>
      </c>
      <c r="N810" s="604">
        <f t="shared" si="255"/>
        <v>0</v>
      </c>
      <c r="O810" s="604">
        <f t="shared" si="256"/>
        <v>0</v>
      </c>
      <c r="P810" s="604">
        <f t="shared" si="257"/>
        <v>0</v>
      </c>
      <c r="Q810" s="604">
        <f t="shared" si="258"/>
        <v>0</v>
      </c>
      <c r="R810" s="604">
        <f t="shared" si="259"/>
        <v>0</v>
      </c>
      <c r="S810" s="604">
        <f t="shared" si="260"/>
        <v>0</v>
      </c>
      <c r="T810" s="604">
        <f t="shared" si="261"/>
        <v>0</v>
      </c>
      <c r="U810" s="604">
        <f t="shared" si="262"/>
        <v>0</v>
      </c>
      <c r="V810" s="604">
        <f t="shared" si="263"/>
        <v>0</v>
      </c>
      <c r="W810" s="604">
        <f t="shared" si="264"/>
        <v>0</v>
      </c>
      <c r="X810" s="746">
        <v>0</v>
      </c>
      <c r="Y810" s="746">
        <f t="shared" si="265"/>
        <v>0</v>
      </c>
    </row>
    <row r="811" spans="2:25">
      <c r="B811" s="598" t="s">
        <v>2595</v>
      </c>
      <c r="C811" s="604" t="s">
        <v>864</v>
      </c>
      <c r="D811" s="745">
        <v>2012</v>
      </c>
      <c r="E811" s="604" t="s">
        <v>3562</v>
      </c>
      <c r="F811" s="738">
        <v>0.15</v>
      </c>
      <c r="G811" s="739">
        <v>160</v>
      </c>
      <c r="H811" s="741"/>
      <c r="I811" s="742"/>
      <c r="J811" s="740"/>
      <c r="K811" s="739">
        <v>160</v>
      </c>
      <c r="L811" s="864">
        <f t="shared" si="254"/>
        <v>0</v>
      </c>
      <c r="M811" s="740">
        <f t="shared" si="266"/>
        <v>0</v>
      </c>
      <c r="N811" s="604">
        <f t="shared" si="255"/>
        <v>0</v>
      </c>
      <c r="O811" s="604">
        <f t="shared" si="256"/>
        <v>0</v>
      </c>
      <c r="P811" s="604">
        <f t="shared" si="257"/>
        <v>0</v>
      </c>
      <c r="Q811" s="604">
        <f t="shared" si="258"/>
        <v>0</v>
      </c>
      <c r="R811" s="604">
        <f t="shared" si="259"/>
        <v>0</v>
      </c>
      <c r="S811" s="604">
        <f t="shared" si="260"/>
        <v>0</v>
      </c>
      <c r="T811" s="604">
        <f t="shared" si="261"/>
        <v>0</v>
      </c>
      <c r="U811" s="604">
        <f t="shared" si="262"/>
        <v>0</v>
      </c>
      <c r="V811" s="604">
        <f t="shared" si="263"/>
        <v>0</v>
      </c>
      <c r="W811" s="604">
        <f t="shared" si="264"/>
        <v>0</v>
      </c>
      <c r="X811" s="746">
        <v>0</v>
      </c>
      <c r="Y811" s="746">
        <f t="shared" si="265"/>
        <v>0</v>
      </c>
    </row>
    <row r="812" spans="2:25">
      <c r="B812" s="598" t="s">
        <v>2595</v>
      </c>
      <c r="C812" s="604" t="s">
        <v>864</v>
      </c>
      <c r="D812" s="745">
        <v>2012</v>
      </c>
      <c r="E812" s="604" t="s">
        <v>3562</v>
      </c>
      <c r="F812" s="738">
        <v>0.15</v>
      </c>
      <c r="G812" s="739">
        <v>160</v>
      </c>
      <c r="H812" s="741"/>
      <c r="I812" s="742"/>
      <c r="J812" s="740"/>
      <c r="K812" s="739">
        <v>160</v>
      </c>
      <c r="L812" s="864">
        <f t="shared" si="254"/>
        <v>0</v>
      </c>
      <c r="M812" s="740">
        <f t="shared" si="266"/>
        <v>0</v>
      </c>
      <c r="N812" s="604">
        <f t="shared" si="255"/>
        <v>0</v>
      </c>
      <c r="O812" s="604">
        <f t="shared" si="256"/>
        <v>0</v>
      </c>
      <c r="P812" s="604">
        <f t="shared" si="257"/>
        <v>0</v>
      </c>
      <c r="Q812" s="604">
        <f t="shared" si="258"/>
        <v>0</v>
      </c>
      <c r="R812" s="604">
        <f t="shared" si="259"/>
        <v>0</v>
      </c>
      <c r="S812" s="604">
        <f t="shared" si="260"/>
        <v>0</v>
      </c>
      <c r="T812" s="604">
        <f t="shared" si="261"/>
        <v>0</v>
      </c>
      <c r="U812" s="604">
        <f t="shared" si="262"/>
        <v>0</v>
      </c>
      <c r="V812" s="604">
        <f t="shared" si="263"/>
        <v>0</v>
      </c>
      <c r="W812" s="604">
        <f t="shared" si="264"/>
        <v>0</v>
      </c>
      <c r="X812" s="746">
        <v>0</v>
      </c>
      <c r="Y812" s="746">
        <f t="shared" si="265"/>
        <v>0</v>
      </c>
    </row>
    <row r="813" spans="2:25">
      <c r="B813" s="598" t="s">
        <v>2595</v>
      </c>
      <c r="C813" s="604" t="s">
        <v>864</v>
      </c>
      <c r="D813" s="745">
        <v>2012</v>
      </c>
      <c r="E813" s="604" t="s">
        <v>3562</v>
      </c>
      <c r="F813" s="738">
        <v>0.15</v>
      </c>
      <c r="G813" s="739">
        <v>180</v>
      </c>
      <c r="H813" s="741"/>
      <c r="I813" s="742"/>
      <c r="J813" s="740"/>
      <c r="K813" s="739">
        <v>180</v>
      </c>
      <c r="L813" s="864">
        <f t="shared" si="254"/>
        <v>0</v>
      </c>
      <c r="M813" s="740">
        <f t="shared" si="266"/>
        <v>0</v>
      </c>
      <c r="N813" s="604">
        <f t="shared" si="255"/>
        <v>0</v>
      </c>
      <c r="O813" s="604">
        <f t="shared" si="256"/>
        <v>0</v>
      </c>
      <c r="P813" s="604">
        <f t="shared" si="257"/>
        <v>0</v>
      </c>
      <c r="Q813" s="604">
        <f t="shared" si="258"/>
        <v>0</v>
      </c>
      <c r="R813" s="604">
        <f t="shared" si="259"/>
        <v>0</v>
      </c>
      <c r="S813" s="604">
        <f t="shared" si="260"/>
        <v>0</v>
      </c>
      <c r="T813" s="604">
        <f t="shared" si="261"/>
        <v>0</v>
      </c>
      <c r="U813" s="604">
        <f t="shared" si="262"/>
        <v>0</v>
      </c>
      <c r="V813" s="604">
        <f t="shared" si="263"/>
        <v>0</v>
      </c>
      <c r="W813" s="604">
        <f t="shared" si="264"/>
        <v>0</v>
      </c>
      <c r="X813" s="746">
        <v>0</v>
      </c>
      <c r="Y813" s="746">
        <f t="shared" si="265"/>
        <v>0</v>
      </c>
    </row>
    <row r="814" spans="2:25">
      <c r="B814" s="598" t="s">
        <v>2595</v>
      </c>
      <c r="C814" s="604" t="s">
        <v>864</v>
      </c>
      <c r="D814" s="745">
        <v>2012</v>
      </c>
      <c r="E814" s="604" t="s">
        <v>3563</v>
      </c>
      <c r="F814" s="738">
        <v>0.15</v>
      </c>
      <c r="G814" s="739">
        <v>0</v>
      </c>
      <c r="H814" s="741"/>
      <c r="I814" s="742"/>
      <c r="J814" s="740"/>
      <c r="K814" s="739">
        <v>0</v>
      </c>
      <c r="L814" s="864">
        <f t="shared" si="254"/>
        <v>0</v>
      </c>
      <c r="M814" s="740">
        <f t="shared" si="266"/>
        <v>0</v>
      </c>
      <c r="N814" s="604">
        <f t="shared" si="255"/>
        <v>0</v>
      </c>
      <c r="O814" s="604">
        <f t="shared" si="256"/>
        <v>0</v>
      </c>
      <c r="P814" s="604">
        <f t="shared" si="257"/>
        <v>0</v>
      </c>
      <c r="Q814" s="604">
        <f t="shared" si="258"/>
        <v>0</v>
      </c>
      <c r="R814" s="604">
        <f t="shared" si="259"/>
        <v>0</v>
      </c>
      <c r="S814" s="604">
        <f t="shared" si="260"/>
        <v>0</v>
      </c>
      <c r="T814" s="604">
        <f t="shared" si="261"/>
        <v>0</v>
      </c>
      <c r="U814" s="604">
        <f t="shared" si="262"/>
        <v>0</v>
      </c>
      <c r="V814" s="604">
        <f t="shared" si="263"/>
        <v>0</v>
      </c>
      <c r="W814" s="604">
        <f t="shared" si="264"/>
        <v>0</v>
      </c>
      <c r="X814" s="746">
        <v>0</v>
      </c>
      <c r="Y814" s="746">
        <f t="shared" si="265"/>
        <v>0</v>
      </c>
    </row>
    <row r="815" spans="2:25">
      <c r="B815" s="598" t="s">
        <v>2595</v>
      </c>
      <c r="C815" s="604" t="s">
        <v>864</v>
      </c>
      <c r="D815" s="745">
        <v>2012</v>
      </c>
      <c r="E815" s="604" t="s">
        <v>3495</v>
      </c>
      <c r="F815" s="738">
        <v>0.15</v>
      </c>
      <c r="G815" s="739">
        <v>90850.05</v>
      </c>
      <c r="H815" s="741"/>
      <c r="I815" s="742"/>
      <c r="J815" s="740"/>
      <c r="K815" s="739">
        <v>90850.05</v>
      </c>
      <c r="L815" s="864">
        <f t="shared" si="254"/>
        <v>0</v>
      </c>
      <c r="M815" s="740">
        <f t="shared" si="266"/>
        <v>0</v>
      </c>
      <c r="N815" s="604">
        <f t="shared" si="255"/>
        <v>0</v>
      </c>
      <c r="O815" s="604">
        <f t="shared" si="256"/>
        <v>0</v>
      </c>
      <c r="P815" s="604">
        <f t="shared" si="257"/>
        <v>0</v>
      </c>
      <c r="Q815" s="604">
        <f t="shared" si="258"/>
        <v>0</v>
      </c>
      <c r="R815" s="604">
        <f t="shared" si="259"/>
        <v>0</v>
      </c>
      <c r="S815" s="604">
        <f t="shared" si="260"/>
        <v>0</v>
      </c>
      <c r="T815" s="604">
        <f t="shared" si="261"/>
        <v>0</v>
      </c>
      <c r="U815" s="604">
        <f t="shared" si="262"/>
        <v>0</v>
      </c>
      <c r="V815" s="604">
        <f t="shared" si="263"/>
        <v>0</v>
      </c>
      <c r="W815" s="604">
        <f t="shared" si="264"/>
        <v>0</v>
      </c>
      <c r="X815" s="746">
        <v>0</v>
      </c>
      <c r="Y815" s="746">
        <f t="shared" si="265"/>
        <v>0</v>
      </c>
    </row>
    <row r="816" spans="2:25">
      <c r="B816" s="598" t="s">
        <v>2595</v>
      </c>
      <c r="C816" s="604" t="s">
        <v>864</v>
      </c>
      <c r="D816" s="745">
        <v>2012</v>
      </c>
      <c r="E816" s="604" t="s">
        <v>3534</v>
      </c>
      <c r="F816" s="738">
        <v>0.15</v>
      </c>
      <c r="G816" s="739">
        <v>0</v>
      </c>
      <c r="H816" s="741"/>
      <c r="I816" s="742"/>
      <c r="J816" s="740"/>
      <c r="K816" s="739">
        <v>0</v>
      </c>
      <c r="L816" s="864">
        <f t="shared" si="254"/>
        <v>0</v>
      </c>
      <c r="M816" s="740">
        <f t="shared" si="266"/>
        <v>0</v>
      </c>
      <c r="N816" s="604">
        <f t="shared" si="255"/>
        <v>0</v>
      </c>
      <c r="O816" s="604">
        <f t="shared" si="256"/>
        <v>0</v>
      </c>
      <c r="P816" s="604">
        <f t="shared" si="257"/>
        <v>0</v>
      </c>
      <c r="Q816" s="604">
        <f t="shared" si="258"/>
        <v>0</v>
      </c>
      <c r="R816" s="604">
        <f t="shared" si="259"/>
        <v>0</v>
      </c>
      <c r="S816" s="604">
        <f t="shared" si="260"/>
        <v>0</v>
      </c>
      <c r="T816" s="604">
        <f t="shared" si="261"/>
        <v>0</v>
      </c>
      <c r="U816" s="604">
        <f t="shared" si="262"/>
        <v>0</v>
      </c>
      <c r="V816" s="604">
        <f t="shared" si="263"/>
        <v>0</v>
      </c>
      <c r="W816" s="604">
        <f t="shared" si="264"/>
        <v>0</v>
      </c>
      <c r="X816" s="746">
        <v>0</v>
      </c>
      <c r="Y816" s="746">
        <f t="shared" si="265"/>
        <v>0</v>
      </c>
    </row>
    <row r="817" spans="2:25">
      <c r="B817" s="598" t="s">
        <v>2595</v>
      </c>
      <c r="C817" s="604" t="s">
        <v>864</v>
      </c>
      <c r="D817" s="745">
        <v>2012</v>
      </c>
      <c r="E817" s="604" t="s">
        <v>3564</v>
      </c>
      <c r="F817" s="738">
        <v>0.15</v>
      </c>
      <c r="G817" s="739">
        <v>0</v>
      </c>
      <c r="H817" s="741"/>
      <c r="I817" s="742"/>
      <c r="J817" s="740"/>
      <c r="K817" s="739">
        <v>0</v>
      </c>
      <c r="L817" s="864">
        <f t="shared" si="254"/>
        <v>0</v>
      </c>
      <c r="M817" s="740">
        <f t="shared" si="266"/>
        <v>0</v>
      </c>
      <c r="N817" s="604">
        <f t="shared" si="255"/>
        <v>0</v>
      </c>
      <c r="O817" s="604">
        <f t="shared" si="256"/>
        <v>0</v>
      </c>
      <c r="P817" s="604">
        <f t="shared" si="257"/>
        <v>0</v>
      </c>
      <c r="Q817" s="604">
        <f t="shared" si="258"/>
        <v>0</v>
      </c>
      <c r="R817" s="604">
        <f t="shared" si="259"/>
        <v>0</v>
      </c>
      <c r="S817" s="604">
        <f t="shared" si="260"/>
        <v>0</v>
      </c>
      <c r="T817" s="604">
        <f t="shared" si="261"/>
        <v>0</v>
      </c>
      <c r="U817" s="604">
        <f t="shared" si="262"/>
        <v>0</v>
      </c>
      <c r="V817" s="604">
        <f t="shared" si="263"/>
        <v>0</v>
      </c>
      <c r="W817" s="604">
        <f t="shared" si="264"/>
        <v>0</v>
      </c>
      <c r="X817" s="746">
        <v>0</v>
      </c>
      <c r="Y817" s="746">
        <f t="shared" si="265"/>
        <v>0</v>
      </c>
    </row>
    <row r="818" spans="2:25">
      <c r="B818" s="598" t="s">
        <v>2595</v>
      </c>
      <c r="C818" s="604" t="s">
        <v>864</v>
      </c>
      <c r="D818" s="745">
        <v>2012</v>
      </c>
      <c r="E818" s="604" t="s">
        <v>3546</v>
      </c>
      <c r="F818" s="738">
        <v>0.15</v>
      </c>
      <c r="G818" s="739">
        <v>14500</v>
      </c>
      <c r="H818" s="741"/>
      <c r="I818" s="742"/>
      <c r="J818" s="740"/>
      <c r="K818" s="739">
        <v>14500</v>
      </c>
      <c r="L818" s="864">
        <f t="shared" si="254"/>
        <v>0</v>
      </c>
      <c r="M818" s="740">
        <f t="shared" si="266"/>
        <v>0</v>
      </c>
      <c r="N818" s="604">
        <f t="shared" si="255"/>
        <v>0</v>
      </c>
      <c r="O818" s="604">
        <f t="shared" si="256"/>
        <v>0</v>
      </c>
      <c r="P818" s="604">
        <f t="shared" si="257"/>
        <v>0</v>
      </c>
      <c r="Q818" s="604">
        <f t="shared" si="258"/>
        <v>0</v>
      </c>
      <c r="R818" s="604">
        <f t="shared" si="259"/>
        <v>0</v>
      </c>
      <c r="S818" s="604">
        <f t="shared" si="260"/>
        <v>0</v>
      </c>
      <c r="T818" s="604">
        <f t="shared" si="261"/>
        <v>0</v>
      </c>
      <c r="U818" s="604">
        <f t="shared" si="262"/>
        <v>0</v>
      </c>
      <c r="V818" s="604">
        <f t="shared" si="263"/>
        <v>0</v>
      </c>
      <c r="W818" s="604">
        <f t="shared" si="264"/>
        <v>0</v>
      </c>
      <c r="X818" s="746">
        <v>0</v>
      </c>
      <c r="Y818" s="746">
        <f t="shared" si="265"/>
        <v>0</v>
      </c>
    </row>
    <row r="819" spans="2:25">
      <c r="B819" s="598" t="s">
        <v>2595</v>
      </c>
      <c r="C819" s="604" t="s">
        <v>864</v>
      </c>
      <c r="D819" s="745">
        <v>2012</v>
      </c>
      <c r="E819" s="604" t="s">
        <v>3565</v>
      </c>
      <c r="F819" s="738">
        <v>0.15</v>
      </c>
      <c r="G819" s="739">
        <v>30176</v>
      </c>
      <c r="H819" s="741"/>
      <c r="I819" s="742"/>
      <c r="J819" s="740"/>
      <c r="K819" s="739">
        <v>30176</v>
      </c>
      <c r="L819" s="864">
        <f t="shared" si="254"/>
        <v>0</v>
      </c>
      <c r="M819" s="740">
        <f t="shared" si="266"/>
        <v>0</v>
      </c>
      <c r="N819" s="604">
        <f t="shared" si="255"/>
        <v>0</v>
      </c>
      <c r="O819" s="604">
        <f t="shared" si="256"/>
        <v>0</v>
      </c>
      <c r="P819" s="604">
        <f t="shared" si="257"/>
        <v>0</v>
      </c>
      <c r="Q819" s="604">
        <f t="shared" si="258"/>
        <v>0</v>
      </c>
      <c r="R819" s="604">
        <f t="shared" si="259"/>
        <v>0</v>
      </c>
      <c r="S819" s="604">
        <f t="shared" si="260"/>
        <v>0</v>
      </c>
      <c r="T819" s="604">
        <f t="shared" si="261"/>
        <v>0</v>
      </c>
      <c r="U819" s="604">
        <f t="shared" si="262"/>
        <v>0</v>
      </c>
      <c r="V819" s="604">
        <f t="shared" si="263"/>
        <v>0</v>
      </c>
      <c r="W819" s="604">
        <f t="shared" si="264"/>
        <v>0</v>
      </c>
      <c r="X819" s="746">
        <v>0</v>
      </c>
      <c r="Y819" s="746">
        <f t="shared" si="265"/>
        <v>0</v>
      </c>
    </row>
    <row r="820" spans="2:25">
      <c r="B820" s="598" t="s">
        <v>2595</v>
      </c>
      <c r="C820" s="604" t="s">
        <v>864</v>
      </c>
      <c r="D820" s="745">
        <v>2012</v>
      </c>
      <c r="E820" s="604" t="s">
        <v>3538</v>
      </c>
      <c r="F820" s="738">
        <v>0.15</v>
      </c>
      <c r="G820" s="739">
        <v>0</v>
      </c>
      <c r="H820" s="741"/>
      <c r="I820" s="742"/>
      <c r="J820" s="740"/>
      <c r="K820" s="739">
        <v>0</v>
      </c>
      <c r="L820" s="864">
        <f t="shared" ref="L820:L883" si="267">+G820-K820</f>
        <v>0</v>
      </c>
      <c r="M820" s="740">
        <f t="shared" si="266"/>
        <v>0</v>
      </c>
      <c r="N820" s="604">
        <f t="shared" si="255"/>
        <v>0</v>
      </c>
      <c r="O820" s="604">
        <f t="shared" si="256"/>
        <v>0</v>
      </c>
      <c r="P820" s="604">
        <f t="shared" si="257"/>
        <v>0</v>
      </c>
      <c r="Q820" s="604">
        <f t="shared" si="258"/>
        <v>0</v>
      </c>
      <c r="R820" s="604">
        <f t="shared" si="259"/>
        <v>0</v>
      </c>
      <c r="S820" s="604">
        <f t="shared" si="260"/>
        <v>0</v>
      </c>
      <c r="T820" s="604">
        <f t="shared" si="261"/>
        <v>0</v>
      </c>
      <c r="U820" s="604">
        <f t="shared" si="262"/>
        <v>0</v>
      </c>
      <c r="V820" s="604">
        <f t="shared" si="263"/>
        <v>0</v>
      </c>
      <c r="W820" s="604">
        <f t="shared" si="264"/>
        <v>0</v>
      </c>
      <c r="X820" s="746">
        <v>0</v>
      </c>
      <c r="Y820" s="746">
        <f t="shared" si="265"/>
        <v>0</v>
      </c>
    </row>
    <row r="821" spans="2:25">
      <c r="B821" s="598" t="s">
        <v>2595</v>
      </c>
      <c r="C821" s="604" t="s">
        <v>864</v>
      </c>
      <c r="D821" s="745">
        <v>2012</v>
      </c>
      <c r="E821" s="604" t="s">
        <v>3534</v>
      </c>
      <c r="F821" s="738">
        <v>0.15</v>
      </c>
      <c r="G821" s="739">
        <v>18032.849999999999</v>
      </c>
      <c r="H821" s="741"/>
      <c r="I821" s="742"/>
      <c r="J821" s="740"/>
      <c r="K821" s="739">
        <v>18032.849999999999</v>
      </c>
      <c r="L821" s="864">
        <f t="shared" si="267"/>
        <v>0</v>
      </c>
      <c r="M821" s="740">
        <f t="shared" si="266"/>
        <v>0</v>
      </c>
      <c r="N821" s="604">
        <f t="shared" si="255"/>
        <v>0</v>
      </c>
      <c r="O821" s="604">
        <f t="shared" si="256"/>
        <v>0</v>
      </c>
      <c r="P821" s="604">
        <f t="shared" si="257"/>
        <v>0</v>
      </c>
      <c r="Q821" s="604">
        <f t="shared" si="258"/>
        <v>0</v>
      </c>
      <c r="R821" s="604">
        <f t="shared" si="259"/>
        <v>0</v>
      </c>
      <c r="S821" s="604">
        <f t="shared" si="260"/>
        <v>0</v>
      </c>
      <c r="T821" s="604">
        <f t="shared" si="261"/>
        <v>0</v>
      </c>
      <c r="U821" s="604">
        <f t="shared" si="262"/>
        <v>0</v>
      </c>
      <c r="V821" s="604">
        <f t="shared" si="263"/>
        <v>0</v>
      </c>
      <c r="W821" s="604">
        <f t="shared" si="264"/>
        <v>0</v>
      </c>
      <c r="X821" s="746">
        <v>0</v>
      </c>
      <c r="Y821" s="746">
        <f t="shared" si="265"/>
        <v>0</v>
      </c>
    </row>
    <row r="822" spans="2:25">
      <c r="B822" s="598" t="s">
        <v>2595</v>
      </c>
      <c r="C822" s="604" t="s">
        <v>864</v>
      </c>
      <c r="D822" s="745">
        <v>2013</v>
      </c>
      <c r="E822" s="604" t="s">
        <v>3566</v>
      </c>
      <c r="F822" s="738">
        <v>0.15</v>
      </c>
      <c r="G822" s="739">
        <v>0</v>
      </c>
      <c r="H822" s="741"/>
      <c r="I822" s="742"/>
      <c r="J822" s="740"/>
      <c r="K822" s="739">
        <v>0</v>
      </c>
      <c r="L822" s="864">
        <f t="shared" si="267"/>
        <v>0</v>
      </c>
      <c r="M822" s="740">
        <f t="shared" si="266"/>
        <v>0</v>
      </c>
      <c r="N822" s="604">
        <f t="shared" si="255"/>
        <v>0</v>
      </c>
      <c r="O822" s="604">
        <f t="shared" si="256"/>
        <v>0</v>
      </c>
      <c r="P822" s="604">
        <f t="shared" si="257"/>
        <v>0</v>
      </c>
      <c r="Q822" s="604">
        <f t="shared" si="258"/>
        <v>0</v>
      </c>
      <c r="R822" s="604">
        <f t="shared" si="259"/>
        <v>0</v>
      </c>
      <c r="S822" s="604">
        <f t="shared" si="260"/>
        <v>0</v>
      </c>
      <c r="T822" s="604">
        <f t="shared" si="261"/>
        <v>0</v>
      </c>
      <c r="U822" s="604">
        <f t="shared" si="262"/>
        <v>0</v>
      </c>
      <c r="V822" s="604">
        <f t="shared" si="263"/>
        <v>0</v>
      </c>
      <c r="W822" s="604">
        <f t="shared" si="264"/>
        <v>0</v>
      </c>
      <c r="X822" s="746">
        <v>0</v>
      </c>
      <c r="Y822" s="746">
        <f t="shared" si="265"/>
        <v>0</v>
      </c>
    </row>
    <row r="823" spans="2:25">
      <c r="B823" s="598" t="s">
        <v>2595</v>
      </c>
      <c r="C823" s="604" t="s">
        <v>864</v>
      </c>
      <c r="D823" s="745">
        <v>2013</v>
      </c>
      <c r="E823" s="604" t="s">
        <v>3549</v>
      </c>
      <c r="F823" s="738">
        <v>0.15</v>
      </c>
      <c r="G823" s="739">
        <v>100</v>
      </c>
      <c r="H823" s="741"/>
      <c r="I823" s="742"/>
      <c r="J823" s="740"/>
      <c r="K823" s="739">
        <v>100</v>
      </c>
      <c r="L823" s="864">
        <f t="shared" si="267"/>
        <v>0</v>
      </c>
      <c r="M823" s="740">
        <f t="shared" si="266"/>
        <v>0</v>
      </c>
      <c r="N823" s="604">
        <f t="shared" si="255"/>
        <v>0</v>
      </c>
      <c r="O823" s="604">
        <f t="shared" si="256"/>
        <v>0</v>
      </c>
      <c r="P823" s="604">
        <f t="shared" si="257"/>
        <v>0</v>
      </c>
      <c r="Q823" s="604">
        <f t="shared" si="258"/>
        <v>0</v>
      </c>
      <c r="R823" s="604">
        <f t="shared" si="259"/>
        <v>0</v>
      </c>
      <c r="S823" s="604">
        <f t="shared" si="260"/>
        <v>0</v>
      </c>
      <c r="T823" s="604">
        <f t="shared" si="261"/>
        <v>0</v>
      </c>
      <c r="U823" s="604">
        <f t="shared" si="262"/>
        <v>0</v>
      </c>
      <c r="V823" s="604">
        <f t="shared" si="263"/>
        <v>0</v>
      </c>
      <c r="W823" s="604">
        <f t="shared" si="264"/>
        <v>0</v>
      </c>
      <c r="X823" s="746">
        <v>0</v>
      </c>
      <c r="Y823" s="746">
        <f t="shared" si="265"/>
        <v>0</v>
      </c>
    </row>
    <row r="824" spans="2:25">
      <c r="B824" s="598" t="s">
        <v>2595</v>
      </c>
      <c r="C824" s="604" t="s">
        <v>864</v>
      </c>
      <c r="D824" s="745">
        <v>2013</v>
      </c>
      <c r="E824" s="604" t="s">
        <v>3513</v>
      </c>
      <c r="F824" s="738">
        <v>0.15</v>
      </c>
      <c r="G824" s="739">
        <v>8900</v>
      </c>
      <c r="H824" s="741"/>
      <c r="I824" s="742"/>
      <c r="J824" s="740"/>
      <c r="K824" s="739">
        <v>8900</v>
      </c>
      <c r="L824" s="864">
        <f t="shared" si="267"/>
        <v>0</v>
      </c>
      <c r="M824" s="740">
        <f t="shared" si="266"/>
        <v>0</v>
      </c>
      <c r="N824" s="604">
        <f t="shared" si="255"/>
        <v>0</v>
      </c>
      <c r="O824" s="604">
        <f t="shared" si="256"/>
        <v>0</v>
      </c>
      <c r="P824" s="604">
        <f t="shared" si="257"/>
        <v>0</v>
      </c>
      <c r="Q824" s="604">
        <f t="shared" si="258"/>
        <v>0</v>
      </c>
      <c r="R824" s="604">
        <f t="shared" si="259"/>
        <v>0</v>
      </c>
      <c r="S824" s="604">
        <f t="shared" si="260"/>
        <v>0</v>
      </c>
      <c r="T824" s="604">
        <f t="shared" si="261"/>
        <v>0</v>
      </c>
      <c r="U824" s="604">
        <f t="shared" si="262"/>
        <v>0</v>
      </c>
      <c r="V824" s="604">
        <f t="shared" si="263"/>
        <v>0</v>
      </c>
      <c r="W824" s="604">
        <f t="shared" si="264"/>
        <v>0</v>
      </c>
      <c r="X824" s="746">
        <v>0</v>
      </c>
      <c r="Y824" s="746">
        <f t="shared" si="265"/>
        <v>0</v>
      </c>
    </row>
    <row r="825" spans="2:25">
      <c r="B825" s="598" t="s">
        <v>2595</v>
      </c>
      <c r="C825" s="604" t="s">
        <v>864</v>
      </c>
      <c r="D825" s="745">
        <v>2013</v>
      </c>
      <c r="E825" s="604" t="s">
        <v>3567</v>
      </c>
      <c r="F825" s="738">
        <v>0.15</v>
      </c>
      <c r="G825" s="739">
        <v>155000</v>
      </c>
      <c r="H825" s="741"/>
      <c r="I825" s="742"/>
      <c r="J825" s="740"/>
      <c r="K825" s="739">
        <v>155000</v>
      </c>
      <c r="L825" s="864">
        <f t="shared" si="267"/>
        <v>0</v>
      </c>
      <c r="M825" s="740">
        <f t="shared" si="266"/>
        <v>0</v>
      </c>
      <c r="N825" s="604">
        <f t="shared" si="255"/>
        <v>0</v>
      </c>
      <c r="O825" s="604">
        <f t="shared" si="256"/>
        <v>0</v>
      </c>
      <c r="P825" s="604">
        <f t="shared" si="257"/>
        <v>0</v>
      </c>
      <c r="Q825" s="604">
        <f t="shared" si="258"/>
        <v>0</v>
      </c>
      <c r="R825" s="604">
        <f t="shared" si="259"/>
        <v>0</v>
      </c>
      <c r="S825" s="604">
        <f t="shared" si="260"/>
        <v>0</v>
      </c>
      <c r="T825" s="604">
        <f t="shared" si="261"/>
        <v>0</v>
      </c>
      <c r="U825" s="604">
        <f t="shared" si="262"/>
        <v>0</v>
      </c>
      <c r="V825" s="604">
        <f t="shared" si="263"/>
        <v>0</v>
      </c>
      <c r="W825" s="604">
        <f t="shared" si="264"/>
        <v>0</v>
      </c>
      <c r="X825" s="746">
        <v>0</v>
      </c>
      <c r="Y825" s="746">
        <f t="shared" si="265"/>
        <v>0</v>
      </c>
    </row>
    <row r="826" spans="2:25">
      <c r="B826" s="598" t="s">
        <v>2595</v>
      </c>
      <c r="C826" s="604" t="s">
        <v>864</v>
      </c>
      <c r="D826" s="745">
        <v>2013</v>
      </c>
      <c r="E826" s="604" t="s">
        <v>3568</v>
      </c>
      <c r="F826" s="738">
        <v>0.15</v>
      </c>
      <c r="G826" s="739">
        <v>13524.59</v>
      </c>
      <c r="H826" s="741"/>
      <c r="I826" s="742"/>
      <c r="J826" s="740"/>
      <c r="K826" s="739">
        <v>13524.59</v>
      </c>
      <c r="L826" s="864">
        <f t="shared" si="267"/>
        <v>0</v>
      </c>
      <c r="M826" s="740">
        <f t="shared" si="266"/>
        <v>0</v>
      </c>
      <c r="N826" s="604">
        <f t="shared" si="255"/>
        <v>0</v>
      </c>
      <c r="O826" s="604">
        <f t="shared" si="256"/>
        <v>0</v>
      </c>
      <c r="P826" s="604">
        <f t="shared" si="257"/>
        <v>0</v>
      </c>
      <c r="Q826" s="604">
        <f t="shared" si="258"/>
        <v>0</v>
      </c>
      <c r="R826" s="604">
        <f t="shared" si="259"/>
        <v>0</v>
      </c>
      <c r="S826" s="604">
        <f t="shared" si="260"/>
        <v>0</v>
      </c>
      <c r="T826" s="604">
        <f t="shared" si="261"/>
        <v>0</v>
      </c>
      <c r="U826" s="604">
        <f t="shared" si="262"/>
        <v>0</v>
      </c>
      <c r="V826" s="604">
        <f t="shared" si="263"/>
        <v>0</v>
      </c>
      <c r="W826" s="604">
        <f t="shared" si="264"/>
        <v>0</v>
      </c>
      <c r="X826" s="746">
        <v>0</v>
      </c>
      <c r="Y826" s="746">
        <f t="shared" si="265"/>
        <v>0</v>
      </c>
    </row>
    <row r="827" spans="2:25">
      <c r="B827" s="598" t="s">
        <v>2595</v>
      </c>
      <c r="C827" s="604" t="s">
        <v>864</v>
      </c>
      <c r="D827" s="745">
        <v>2013</v>
      </c>
      <c r="E827" s="604" t="s">
        <v>3513</v>
      </c>
      <c r="F827" s="738">
        <v>0.15</v>
      </c>
      <c r="G827" s="739">
        <v>0</v>
      </c>
      <c r="H827" s="741"/>
      <c r="I827" s="742"/>
      <c r="J827" s="740"/>
      <c r="K827" s="739">
        <v>0</v>
      </c>
      <c r="L827" s="864">
        <f t="shared" si="267"/>
        <v>0</v>
      </c>
      <c r="M827" s="740">
        <f t="shared" si="266"/>
        <v>0</v>
      </c>
      <c r="N827" s="604">
        <f t="shared" si="255"/>
        <v>0</v>
      </c>
      <c r="O827" s="604">
        <f t="shared" si="256"/>
        <v>0</v>
      </c>
      <c r="P827" s="604">
        <f t="shared" si="257"/>
        <v>0</v>
      </c>
      <c r="Q827" s="604">
        <f t="shared" si="258"/>
        <v>0</v>
      </c>
      <c r="R827" s="604">
        <f t="shared" si="259"/>
        <v>0</v>
      </c>
      <c r="S827" s="604">
        <f t="shared" si="260"/>
        <v>0</v>
      </c>
      <c r="T827" s="604">
        <f t="shared" si="261"/>
        <v>0</v>
      </c>
      <c r="U827" s="604">
        <f t="shared" si="262"/>
        <v>0</v>
      </c>
      <c r="V827" s="604">
        <f t="shared" si="263"/>
        <v>0</v>
      </c>
      <c r="W827" s="604">
        <f t="shared" si="264"/>
        <v>0</v>
      </c>
      <c r="X827" s="746">
        <v>0</v>
      </c>
      <c r="Y827" s="746">
        <f t="shared" si="265"/>
        <v>0</v>
      </c>
    </row>
    <row r="828" spans="2:25">
      <c r="B828" s="598" t="s">
        <v>2595</v>
      </c>
      <c r="C828" s="604" t="s">
        <v>864</v>
      </c>
      <c r="D828" s="745">
        <v>2013</v>
      </c>
      <c r="E828" s="604" t="s">
        <v>3565</v>
      </c>
      <c r="F828" s="738">
        <v>0.15</v>
      </c>
      <c r="G828" s="739">
        <v>28000</v>
      </c>
      <c r="H828" s="741"/>
      <c r="I828" s="742"/>
      <c r="J828" s="740"/>
      <c r="K828" s="739">
        <v>28000</v>
      </c>
      <c r="L828" s="864">
        <f t="shared" si="267"/>
        <v>0</v>
      </c>
      <c r="M828" s="740">
        <f t="shared" si="266"/>
        <v>0</v>
      </c>
      <c r="N828" s="604">
        <f t="shared" si="255"/>
        <v>0</v>
      </c>
      <c r="O828" s="604">
        <f t="shared" si="256"/>
        <v>0</v>
      </c>
      <c r="P828" s="604">
        <f t="shared" si="257"/>
        <v>0</v>
      </c>
      <c r="Q828" s="604">
        <f t="shared" si="258"/>
        <v>0</v>
      </c>
      <c r="R828" s="604">
        <f t="shared" si="259"/>
        <v>0</v>
      </c>
      <c r="S828" s="604">
        <f t="shared" si="260"/>
        <v>0</v>
      </c>
      <c r="T828" s="604">
        <f t="shared" si="261"/>
        <v>0</v>
      </c>
      <c r="U828" s="604">
        <f t="shared" si="262"/>
        <v>0</v>
      </c>
      <c r="V828" s="604">
        <f t="shared" si="263"/>
        <v>0</v>
      </c>
      <c r="W828" s="604">
        <f t="shared" si="264"/>
        <v>0</v>
      </c>
      <c r="X828" s="746">
        <v>0</v>
      </c>
      <c r="Y828" s="746">
        <f t="shared" si="265"/>
        <v>0</v>
      </c>
    </row>
    <row r="829" spans="2:25">
      <c r="B829" s="598" t="s">
        <v>2595</v>
      </c>
      <c r="C829" s="604" t="s">
        <v>864</v>
      </c>
      <c r="D829" s="745">
        <v>2013</v>
      </c>
      <c r="E829" s="604" t="s">
        <v>3569</v>
      </c>
      <c r="F829" s="738">
        <v>0.15</v>
      </c>
      <c r="G829" s="739">
        <v>25000</v>
      </c>
      <c r="H829" s="741"/>
      <c r="I829" s="742"/>
      <c r="J829" s="740"/>
      <c r="K829" s="739">
        <v>25000</v>
      </c>
      <c r="L829" s="864">
        <f t="shared" si="267"/>
        <v>0</v>
      </c>
      <c r="M829" s="740">
        <f t="shared" si="266"/>
        <v>0</v>
      </c>
      <c r="N829" s="604">
        <f t="shared" si="255"/>
        <v>0</v>
      </c>
      <c r="O829" s="604">
        <f t="shared" si="256"/>
        <v>0</v>
      </c>
      <c r="P829" s="604">
        <f t="shared" si="257"/>
        <v>0</v>
      </c>
      <c r="Q829" s="604">
        <f t="shared" si="258"/>
        <v>0</v>
      </c>
      <c r="R829" s="604">
        <f t="shared" si="259"/>
        <v>0</v>
      </c>
      <c r="S829" s="604">
        <f t="shared" si="260"/>
        <v>0</v>
      </c>
      <c r="T829" s="604">
        <f t="shared" si="261"/>
        <v>0</v>
      </c>
      <c r="U829" s="604">
        <f t="shared" si="262"/>
        <v>0</v>
      </c>
      <c r="V829" s="604">
        <f t="shared" si="263"/>
        <v>0</v>
      </c>
      <c r="W829" s="604">
        <f t="shared" si="264"/>
        <v>0</v>
      </c>
      <c r="X829" s="746">
        <v>0</v>
      </c>
      <c r="Y829" s="746">
        <f t="shared" si="265"/>
        <v>0</v>
      </c>
    </row>
    <row r="830" spans="2:25">
      <c r="B830" s="598" t="s">
        <v>2595</v>
      </c>
      <c r="C830" s="604" t="s">
        <v>864</v>
      </c>
      <c r="D830" s="745">
        <v>2013</v>
      </c>
      <c r="E830" s="604" t="s">
        <v>3513</v>
      </c>
      <c r="F830" s="738">
        <v>0.15</v>
      </c>
      <c r="G830" s="739">
        <v>0</v>
      </c>
      <c r="H830" s="741"/>
      <c r="I830" s="742"/>
      <c r="J830" s="740"/>
      <c r="K830" s="739">
        <v>0</v>
      </c>
      <c r="L830" s="864">
        <f t="shared" si="267"/>
        <v>0</v>
      </c>
      <c r="M830" s="740">
        <f t="shared" si="266"/>
        <v>0</v>
      </c>
      <c r="N830" s="604">
        <f t="shared" si="255"/>
        <v>0</v>
      </c>
      <c r="O830" s="604">
        <f t="shared" si="256"/>
        <v>0</v>
      </c>
      <c r="P830" s="604">
        <f t="shared" si="257"/>
        <v>0</v>
      </c>
      <c r="Q830" s="604">
        <f t="shared" si="258"/>
        <v>0</v>
      </c>
      <c r="R830" s="604">
        <f t="shared" si="259"/>
        <v>0</v>
      </c>
      <c r="S830" s="604">
        <f t="shared" si="260"/>
        <v>0</v>
      </c>
      <c r="T830" s="604">
        <f t="shared" si="261"/>
        <v>0</v>
      </c>
      <c r="U830" s="604">
        <f t="shared" si="262"/>
        <v>0</v>
      </c>
      <c r="V830" s="604">
        <f t="shared" si="263"/>
        <v>0</v>
      </c>
      <c r="W830" s="604">
        <f t="shared" si="264"/>
        <v>0</v>
      </c>
      <c r="X830" s="746">
        <v>0</v>
      </c>
      <c r="Y830" s="746">
        <f t="shared" si="265"/>
        <v>0</v>
      </c>
    </row>
    <row r="831" spans="2:25">
      <c r="B831" s="598" t="s">
        <v>2595</v>
      </c>
      <c r="C831" s="604" t="s">
        <v>864</v>
      </c>
      <c r="D831" s="745">
        <v>2013</v>
      </c>
      <c r="E831" s="604" t="s">
        <v>3570</v>
      </c>
      <c r="F831" s="738">
        <v>0.15</v>
      </c>
      <c r="G831" s="739">
        <v>16000</v>
      </c>
      <c r="H831" s="741"/>
      <c r="I831" s="742"/>
      <c r="J831" s="740"/>
      <c r="K831" s="739">
        <v>16000</v>
      </c>
      <c r="L831" s="864">
        <f t="shared" si="267"/>
        <v>0</v>
      </c>
      <c r="M831" s="740">
        <f t="shared" si="266"/>
        <v>0</v>
      </c>
      <c r="N831" s="604">
        <f t="shared" si="255"/>
        <v>0</v>
      </c>
      <c r="O831" s="604">
        <f t="shared" si="256"/>
        <v>0</v>
      </c>
      <c r="P831" s="604">
        <f t="shared" si="257"/>
        <v>0</v>
      </c>
      <c r="Q831" s="604">
        <f t="shared" si="258"/>
        <v>0</v>
      </c>
      <c r="R831" s="604">
        <f t="shared" si="259"/>
        <v>0</v>
      </c>
      <c r="S831" s="604">
        <f t="shared" si="260"/>
        <v>0</v>
      </c>
      <c r="T831" s="604">
        <f t="shared" si="261"/>
        <v>0</v>
      </c>
      <c r="U831" s="604">
        <f t="shared" si="262"/>
        <v>0</v>
      </c>
      <c r="V831" s="604">
        <f t="shared" si="263"/>
        <v>0</v>
      </c>
      <c r="W831" s="604">
        <f t="shared" si="264"/>
        <v>0</v>
      </c>
      <c r="X831" s="746">
        <v>0</v>
      </c>
      <c r="Y831" s="746">
        <f t="shared" si="265"/>
        <v>0</v>
      </c>
    </row>
    <row r="832" spans="2:25">
      <c r="B832" s="598" t="s">
        <v>2595</v>
      </c>
      <c r="C832" s="604" t="s">
        <v>864</v>
      </c>
      <c r="D832" s="745">
        <v>2013</v>
      </c>
      <c r="E832" s="604" t="s">
        <v>3525</v>
      </c>
      <c r="F832" s="738">
        <v>0.15</v>
      </c>
      <c r="G832" s="739">
        <v>80000</v>
      </c>
      <c r="H832" s="741"/>
      <c r="I832" s="742"/>
      <c r="J832" s="740"/>
      <c r="K832" s="739">
        <v>80000</v>
      </c>
      <c r="L832" s="864">
        <f t="shared" si="267"/>
        <v>0</v>
      </c>
      <c r="M832" s="740">
        <f t="shared" si="266"/>
        <v>0</v>
      </c>
      <c r="N832" s="604">
        <f t="shared" si="255"/>
        <v>0</v>
      </c>
      <c r="O832" s="604">
        <f t="shared" si="256"/>
        <v>0</v>
      </c>
      <c r="P832" s="604">
        <f t="shared" si="257"/>
        <v>0</v>
      </c>
      <c r="Q832" s="604">
        <f t="shared" si="258"/>
        <v>0</v>
      </c>
      <c r="R832" s="604">
        <f t="shared" si="259"/>
        <v>0</v>
      </c>
      <c r="S832" s="604">
        <f t="shared" si="260"/>
        <v>0</v>
      </c>
      <c r="T832" s="604">
        <f t="shared" si="261"/>
        <v>0</v>
      </c>
      <c r="U832" s="604">
        <f t="shared" si="262"/>
        <v>0</v>
      </c>
      <c r="V832" s="604">
        <f t="shared" si="263"/>
        <v>0</v>
      </c>
      <c r="W832" s="604">
        <f t="shared" si="264"/>
        <v>0</v>
      </c>
      <c r="X832" s="746">
        <v>0</v>
      </c>
      <c r="Y832" s="746">
        <f t="shared" si="265"/>
        <v>0</v>
      </c>
    </row>
    <row r="833" spans="2:25">
      <c r="B833" s="598" t="s">
        <v>2595</v>
      </c>
      <c r="C833" s="604" t="s">
        <v>864</v>
      </c>
      <c r="D833" s="745">
        <v>2017</v>
      </c>
      <c r="E833" s="604" t="s">
        <v>3571</v>
      </c>
      <c r="F833" s="738">
        <v>0.15</v>
      </c>
      <c r="G833" s="739">
        <v>20000</v>
      </c>
      <c r="H833" s="741"/>
      <c r="I833" s="742"/>
      <c r="J833" s="740"/>
      <c r="K833" s="739">
        <v>20000</v>
      </c>
      <c r="L833" s="864">
        <f t="shared" si="267"/>
        <v>0</v>
      </c>
      <c r="M833" s="740">
        <f t="shared" si="266"/>
        <v>0</v>
      </c>
      <c r="N833" s="604">
        <f t="shared" si="255"/>
        <v>0</v>
      </c>
      <c r="O833" s="604">
        <f t="shared" si="256"/>
        <v>0</v>
      </c>
      <c r="P833" s="604">
        <f t="shared" si="257"/>
        <v>0</v>
      </c>
      <c r="Q833" s="604">
        <f t="shared" si="258"/>
        <v>0</v>
      </c>
      <c r="R833" s="604">
        <f t="shared" si="259"/>
        <v>0</v>
      </c>
      <c r="S833" s="604">
        <f t="shared" si="260"/>
        <v>0</v>
      </c>
      <c r="T833" s="604">
        <f t="shared" si="261"/>
        <v>0</v>
      </c>
      <c r="U833" s="604">
        <f t="shared" si="262"/>
        <v>0</v>
      </c>
      <c r="V833" s="604">
        <f t="shared" si="263"/>
        <v>0</v>
      </c>
      <c r="W833" s="604">
        <f t="shared" si="264"/>
        <v>0</v>
      </c>
      <c r="X833" s="746">
        <v>0</v>
      </c>
      <c r="Y833" s="746">
        <f t="shared" si="265"/>
        <v>0</v>
      </c>
    </row>
    <row r="834" spans="2:25">
      <c r="B834" s="598" t="s">
        <v>2595</v>
      </c>
      <c r="C834" s="604" t="s">
        <v>864</v>
      </c>
      <c r="D834" s="745">
        <v>2018</v>
      </c>
      <c r="E834" s="604" t="s">
        <v>3572</v>
      </c>
      <c r="F834" s="738">
        <v>0.15</v>
      </c>
      <c r="G834" s="739">
        <v>2000</v>
      </c>
      <c r="H834" s="741"/>
      <c r="I834" s="742"/>
      <c r="J834" s="740"/>
      <c r="K834" s="739">
        <v>2000</v>
      </c>
      <c r="L834" s="864">
        <f t="shared" si="267"/>
        <v>0</v>
      </c>
      <c r="M834" s="740">
        <f t="shared" si="266"/>
        <v>0</v>
      </c>
      <c r="N834" s="604">
        <f t="shared" si="255"/>
        <v>0</v>
      </c>
      <c r="O834" s="604">
        <f t="shared" si="256"/>
        <v>0</v>
      </c>
      <c r="P834" s="604">
        <f t="shared" si="257"/>
        <v>0</v>
      </c>
      <c r="Q834" s="604">
        <f t="shared" si="258"/>
        <v>0</v>
      </c>
      <c r="R834" s="604">
        <f t="shared" si="259"/>
        <v>0</v>
      </c>
      <c r="S834" s="604">
        <f t="shared" si="260"/>
        <v>0</v>
      </c>
      <c r="T834" s="604">
        <f t="shared" si="261"/>
        <v>0</v>
      </c>
      <c r="U834" s="604">
        <f t="shared" si="262"/>
        <v>0</v>
      </c>
      <c r="V834" s="604">
        <f t="shared" si="263"/>
        <v>0</v>
      </c>
      <c r="W834" s="604">
        <f t="shared" si="264"/>
        <v>0</v>
      </c>
      <c r="X834" s="746">
        <v>0</v>
      </c>
      <c r="Y834" s="746">
        <f t="shared" si="265"/>
        <v>0</v>
      </c>
    </row>
    <row r="835" spans="2:25">
      <c r="B835" s="598" t="s">
        <v>2595</v>
      </c>
      <c r="C835" s="604" t="s">
        <v>864</v>
      </c>
      <c r="D835" s="745">
        <v>2014</v>
      </c>
      <c r="E835" s="604" t="s">
        <v>3572</v>
      </c>
      <c r="F835" s="738">
        <v>0.15</v>
      </c>
      <c r="G835" s="739">
        <v>0</v>
      </c>
      <c r="H835" s="741"/>
      <c r="I835" s="742"/>
      <c r="J835" s="740"/>
      <c r="K835" s="739">
        <v>0</v>
      </c>
      <c r="L835" s="864">
        <f t="shared" si="267"/>
        <v>0</v>
      </c>
      <c r="M835" s="740">
        <f t="shared" si="266"/>
        <v>0</v>
      </c>
      <c r="N835" s="604">
        <f t="shared" si="255"/>
        <v>0</v>
      </c>
      <c r="O835" s="604">
        <f t="shared" si="256"/>
        <v>0</v>
      </c>
      <c r="P835" s="604">
        <f t="shared" si="257"/>
        <v>0</v>
      </c>
      <c r="Q835" s="604">
        <f t="shared" si="258"/>
        <v>0</v>
      </c>
      <c r="R835" s="604">
        <f t="shared" si="259"/>
        <v>0</v>
      </c>
      <c r="S835" s="604">
        <f t="shared" si="260"/>
        <v>0</v>
      </c>
      <c r="T835" s="604">
        <f t="shared" si="261"/>
        <v>0</v>
      </c>
      <c r="U835" s="604">
        <f t="shared" si="262"/>
        <v>0</v>
      </c>
      <c r="V835" s="604">
        <f t="shared" si="263"/>
        <v>0</v>
      </c>
      <c r="W835" s="604">
        <f t="shared" si="264"/>
        <v>0</v>
      </c>
      <c r="X835" s="746">
        <v>0</v>
      </c>
      <c r="Y835" s="746">
        <f t="shared" si="265"/>
        <v>0</v>
      </c>
    </row>
    <row r="836" spans="2:25">
      <c r="B836" s="598" t="s">
        <v>2595</v>
      </c>
      <c r="C836" s="604" t="s">
        <v>864</v>
      </c>
      <c r="D836" s="745">
        <v>2014</v>
      </c>
      <c r="E836" s="604" t="s">
        <v>3573</v>
      </c>
      <c r="F836" s="738">
        <v>0.15</v>
      </c>
      <c r="G836" s="739">
        <v>1000</v>
      </c>
      <c r="H836" s="741"/>
      <c r="I836" s="742"/>
      <c r="J836" s="740"/>
      <c r="K836" s="739">
        <v>1000</v>
      </c>
      <c r="L836" s="864">
        <f t="shared" si="267"/>
        <v>0</v>
      </c>
      <c r="M836" s="740">
        <f t="shared" si="266"/>
        <v>0</v>
      </c>
      <c r="N836" s="604">
        <f t="shared" si="255"/>
        <v>0</v>
      </c>
      <c r="O836" s="604">
        <f t="shared" si="256"/>
        <v>0</v>
      </c>
      <c r="P836" s="604">
        <f t="shared" si="257"/>
        <v>0</v>
      </c>
      <c r="Q836" s="604">
        <f t="shared" si="258"/>
        <v>0</v>
      </c>
      <c r="R836" s="604">
        <f t="shared" si="259"/>
        <v>0</v>
      </c>
      <c r="S836" s="604">
        <f t="shared" si="260"/>
        <v>0</v>
      </c>
      <c r="T836" s="604">
        <f t="shared" si="261"/>
        <v>0</v>
      </c>
      <c r="U836" s="604">
        <f t="shared" si="262"/>
        <v>0</v>
      </c>
      <c r="V836" s="604">
        <f t="shared" si="263"/>
        <v>0</v>
      </c>
      <c r="W836" s="604">
        <f t="shared" si="264"/>
        <v>0</v>
      </c>
      <c r="X836" s="746">
        <v>0</v>
      </c>
      <c r="Y836" s="746">
        <f t="shared" si="265"/>
        <v>0</v>
      </c>
    </row>
    <row r="837" spans="2:25">
      <c r="B837" s="598" t="s">
        <v>2595</v>
      </c>
      <c r="C837" s="604" t="s">
        <v>864</v>
      </c>
      <c r="D837" s="745">
        <v>2014</v>
      </c>
      <c r="E837" s="604" t="s">
        <v>3574</v>
      </c>
      <c r="F837" s="738">
        <v>0.15</v>
      </c>
      <c r="G837" s="739">
        <v>500</v>
      </c>
      <c r="H837" s="741"/>
      <c r="I837" s="742"/>
      <c r="J837" s="740"/>
      <c r="K837" s="739">
        <v>500</v>
      </c>
      <c r="L837" s="864">
        <f t="shared" si="267"/>
        <v>0</v>
      </c>
      <c r="M837" s="740">
        <f t="shared" si="266"/>
        <v>0</v>
      </c>
      <c r="N837" s="604">
        <f t="shared" si="255"/>
        <v>0</v>
      </c>
      <c r="O837" s="604">
        <f t="shared" si="256"/>
        <v>0</v>
      </c>
      <c r="P837" s="604">
        <f t="shared" si="257"/>
        <v>0</v>
      </c>
      <c r="Q837" s="604">
        <f t="shared" si="258"/>
        <v>0</v>
      </c>
      <c r="R837" s="604">
        <f t="shared" si="259"/>
        <v>0</v>
      </c>
      <c r="S837" s="604">
        <f t="shared" si="260"/>
        <v>0</v>
      </c>
      <c r="T837" s="604">
        <f t="shared" si="261"/>
        <v>0</v>
      </c>
      <c r="U837" s="604">
        <f t="shared" si="262"/>
        <v>0</v>
      </c>
      <c r="V837" s="604">
        <f t="shared" si="263"/>
        <v>0</v>
      </c>
      <c r="W837" s="604">
        <f t="shared" si="264"/>
        <v>0</v>
      </c>
      <c r="X837" s="746">
        <v>0</v>
      </c>
      <c r="Y837" s="746">
        <f t="shared" si="265"/>
        <v>0</v>
      </c>
    </row>
    <row r="838" spans="2:25">
      <c r="B838" s="598" t="s">
        <v>2595</v>
      </c>
      <c r="C838" s="604" t="s">
        <v>864</v>
      </c>
      <c r="D838" s="745">
        <v>2014</v>
      </c>
      <c r="E838" s="604" t="s">
        <v>3495</v>
      </c>
      <c r="F838" s="738">
        <v>0.15</v>
      </c>
      <c r="G838" s="739">
        <v>39000</v>
      </c>
      <c r="H838" s="741"/>
      <c r="I838" s="742"/>
      <c r="J838" s="740"/>
      <c r="K838" s="739">
        <v>39000</v>
      </c>
      <c r="L838" s="864">
        <f t="shared" si="267"/>
        <v>0</v>
      </c>
      <c r="M838" s="740">
        <f t="shared" si="266"/>
        <v>0</v>
      </c>
      <c r="N838" s="604">
        <f t="shared" si="255"/>
        <v>0</v>
      </c>
      <c r="O838" s="604">
        <f t="shared" si="256"/>
        <v>0</v>
      </c>
      <c r="P838" s="604">
        <f t="shared" si="257"/>
        <v>0</v>
      </c>
      <c r="Q838" s="604">
        <f t="shared" si="258"/>
        <v>0</v>
      </c>
      <c r="R838" s="604">
        <f t="shared" si="259"/>
        <v>0</v>
      </c>
      <c r="S838" s="604">
        <f t="shared" si="260"/>
        <v>0</v>
      </c>
      <c r="T838" s="604">
        <f t="shared" si="261"/>
        <v>0</v>
      </c>
      <c r="U838" s="604">
        <f t="shared" si="262"/>
        <v>0</v>
      </c>
      <c r="V838" s="604">
        <f t="shared" si="263"/>
        <v>0</v>
      </c>
      <c r="W838" s="604">
        <f t="shared" si="264"/>
        <v>0</v>
      </c>
      <c r="X838" s="746">
        <v>0</v>
      </c>
      <c r="Y838" s="746">
        <f t="shared" si="265"/>
        <v>0</v>
      </c>
    </row>
    <row r="839" spans="2:25">
      <c r="B839" s="598" t="s">
        <v>2595</v>
      </c>
      <c r="C839" s="604" t="s">
        <v>864</v>
      </c>
      <c r="D839" s="745">
        <v>2014</v>
      </c>
      <c r="E839" s="604" t="s">
        <v>3546</v>
      </c>
      <c r="F839" s="738">
        <v>0.15</v>
      </c>
      <c r="G839" s="739">
        <v>25100</v>
      </c>
      <c r="H839" s="741"/>
      <c r="I839" s="742"/>
      <c r="J839" s="740"/>
      <c r="K839" s="739">
        <v>25100</v>
      </c>
      <c r="L839" s="864">
        <f t="shared" si="267"/>
        <v>0</v>
      </c>
      <c r="M839" s="740">
        <f t="shared" si="266"/>
        <v>0</v>
      </c>
      <c r="N839" s="604">
        <f t="shared" si="255"/>
        <v>0</v>
      </c>
      <c r="O839" s="604">
        <f t="shared" si="256"/>
        <v>0</v>
      </c>
      <c r="P839" s="604">
        <f t="shared" si="257"/>
        <v>0</v>
      </c>
      <c r="Q839" s="604">
        <f t="shared" si="258"/>
        <v>0</v>
      </c>
      <c r="R839" s="604">
        <f t="shared" si="259"/>
        <v>0</v>
      </c>
      <c r="S839" s="604">
        <f t="shared" si="260"/>
        <v>0</v>
      </c>
      <c r="T839" s="604">
        <f t="shared" si="261"/>
        <v>0</v>
      </c>
      <c r="U839" s="604">
        <f t="shared" si="262"/>
        <v>0</v>
      </c>
      <c r="V839" s="604">
        <f t="shared" si="263"/>
        <v>0</v>
      </c>
      <c r="W839" s="604">
        <f t="shared" si="264"/>
        <v>0</v>
      </c>
      <c r="X839" s="746">
        <v>0</v>
      </c>
      <c r="Y839" s="746">
        <f t="shared" si="265"/>
        <v>0</v>
      </c>
    </row>
    <row r="840" spans="2:25">
      <c r="B840" s="598" t="s">
        <v>2595</v>
      </c>
      <c r="C840" s="604" t="s">
        <v>864</v>
      </c>
      <c r="D840" s="745">
        <v>2014</v>
      </c>
      <c r="E840" s="604" t="s">
        <v>3565</v>
      </c>
      <c r="F840" s="738">
        <v>0.15</v>
      </c>
      <c r="G840" s="739">
        <v>26150</v>
      </c>
      <c r="H840" s="741"/>
      <c r="I840" s="742"/>
      <c r="J840" s="740"/>
      <c r="K840" s="739">
        <v>26150</v>
      </c>
      <c r="L840" s="864">
        <f t="shared" si="267"/>
        <v>0</v>
      </c>
      <c r="M840" s="740">
        <f t="shared" si="266"/>
        <v>0</v>
      </c>
      <c r="N840" s="604">
        <f t="shared" si="255"/>
        <v>0</v>
      </c>
      <c r="O840" s="604">
        <f t="shared" si="256"/>
        <v>0</v>
      </c>
      <c r="P840" s="604">
        <f t="shared" si="257"/>
        <v>0</v>
      </c>
      <c r="Q840" s="604">
        <f t="shared" si="258"/>
        <v>0</v>
      </c>
      <c r="R840" s="604">
        <f t="shared" si="259"/>
        <v>0</v>
      </c>
      <c r="S840" s="604">
        <f t="shared" si="260"/>
        <v>0</v>
      </c>
      <c r="T840" s="604">
        <f t="shared" si="261"/>
        <v>0</v>
      </c>
      <c r="U840" s="604">
        <f t="shared" si="262"/>
        <v>0</v>
      </c>
      <c r="V840" s="604">
        <f t="shared" si="263"/>
        <v>0</v>
      </c>
      <c r="W840" s="604">
        <f t="shared" si="264"/>
        <v>0</v>
      </c>
      <c r="X840" s="746">
        <v>0</v>
      </c>
      <c r="Y840" s="746">
        <f t="shared" si="265"/>
        <v>0</v>
      </c>
    </row>
    <row r="841" spans="2:25">
      <c r="B841" s="598" t="s">
        <v>2595</v>
      </c>
      <c r="C841" s="604" t="s">
        <v>864</v>
      </c>
      <c r="D841" s="745">
        <v>2014</v>
      </c>
      <c r="E841" s="604" t="s">
        <v>3575</v>
      </c>
      <c r="F841" s="738">
        <v>0.15</v>
      </c>
      <c r="G841" s="739">
        <v>60000</v>
      </c>
      <c r="H841" s="741"/>
      <c r="I841" s="742"/>
      <c r="J841" s="740"/>
      <c r="K841" s="739">
        <v>60000</v>
      </c>
      <c r="L841" s="864">
        <f t="shared" si="267"/>
        <v>0</v>
      </c>
      <c r="M841" s="740">
        <f t="shared" si="266"/>
        <v>0</v>
      </c>
      <c r="N841" s="604">
        <f t="shared" ref="N841:N904" si="268">+IF(L841-M841&gt;0,G841*F841,0)</f>
        <v>0</v>
      </c>
      <c r="O841" s="604">
        <f t="shared" ref="O841:O904" si="269">+IF(L841-SUM(M841:N841)&gt;0,G841*F841,0)</f>
        <v>0</v>
      </c>
      <c r="P841" s="604">
        <f t="shared" ref="P841:P904" si="270">+IF(L841-SUM(M841:O841)&gt;0,G841*F841,0)</f>
        <v>0</v>
      </c>
      <c r="Q841" s="604">
        <f t="shared" ref="Q841:Q904" si="271">+IF(L841-SUM(M841:P841)&gt;0,G841*F841,0)</f>
        <v>0</v>
      </c>
      <c r="R841" s="604">
        <f t="shared" ref="R841:R904" si="272">+IF(L841-SUM(M841:Q841)&gt;0,G841*F841,0)</f>
        <v>0</v>
      </c>
      <c r="S841" s="604">
        <f t="shared" ref="S841:S904" si="273">+IF(L841-SUM(M841:R841)&gt;0,G841*F841,0)</f>
        <v>0</v>
      </c>
      <c r="T841" s="604">
        <f t="shared" ref="T841:T904" si="274">+IF(L841-SUM(M841:S841)&gt;0,G841*F841,0)</f>
        <v>0</v>
      </c>
      <c r="U841" s="604">
        <f t="shared" ref="U841:U904" si="275">+IF(L841-SUM(M841:T841)&gt;0,G841*F841,0)</f>
        <v>0</v>
      </c>
      <c r="V841" s="604">
        <f t="shared" ref="V841:V904" si="276">+IF(L841-SUM(M841:U841)&gt;0,G841*F841,0)</f>
        <v>0</v>
      </c>
      <c r="W841" s="604">
        <f t="shared" ref="W841:W904" si="277">+IF(L841-SUM(M841:V841)&gt;0,G841*F841,0)</f>
        <v>0</v>
      </c>
      <c r="X841" s="746">
        <v>0</v>
      </c>
      <c r="Y841" s="746">
        <f t="shared" ref="Y841:Y904" si="278">+SUM(M841:W841)-L841</f>
        <v>0</v>
      </c>
    </row>
    <row r="842" spans="2:25">
      <c r="B842" s="598" t="s">
        <v>2595</v>
      </c>
      <c r="C842" s="604" t="s">
        <v>864</v>
      </c>
      <c r="D842" s="745">
        <v>2014</v>
      </c>
      <c r="E842" s="604" t="s">
        <v>3576</v>
      </c>
      <c r="F842" s="738">
        <v>0.15</v>
      </c>
      <c r="G842" s="739">
        <v>20000</v>
      </c>
      <c r="H842" s="741"/>
      <c r="I842" s="742"/>
      <c r="J842" s="740"/>
      <c r="K842" s="739">
        <v>20000</v>
      </c>
      <c r="L842" s="864">
        <f t="shared" si="267"/>
        <v>0</v>
      </c>
      <c r="M842" s="740">
        <f t="shared" si="266"/>
        <v>0</v>
      </c>
      <c r="N842" s="604">
        <f t="shared" si="268"/>
        <v>0</v>
      </c>
      <c r="O842" s="604">
        <f t="shared" si="269"/>
        <v>0</v>
      </c>
      <c r="P842" s="604">
        <f t="shared" si="270"/>
        <v>0</v>
      </c>
      <c r="Q842" s="604">
        <f t="shared" si="271"/>
        <v>0</v>
      </c>
      <c r="R842" s="604">
        <f t="shared" si="272"/>
        <v>0</v>
      </c>
      <c r="S842" s="604">
        <f t="shared" si="273"/>
        <v>0</v>
      </c>
      <c r="T842" s="604">
        <f t="shared" si="274"/>
        <v>0</v>
      </c>
      <c r="U842" s="604">
        <f t="shared" si="275"/>
        <v>0</v>
      </c>
      <c r="V842" s="604">
        <f t="shared" si="276"/>
        <v>0</v>
      </c>
      <c r="W842" s="604">
        <f t="shared" si="277"/>
        <v>0</v>
      </c>
      <c r="X842" s="746">
        <v>0</v>
      </c>
      <c r="Y842" s="746">
        <f t="shared" si="278"/>
        <v>0</v>
      </c>
    </row>
    <row r="843" spans="2:25">
      <c r="B843" s="598" t="s">
        <v>2595</v>
      </c>
      <c r="C843" s="604" t="s">
        <v>864</v>
      </c>
      <c r="D843" s="745">
        <v>2022</v>
      </c>
      <c r="E843" s="604" t="s">
        <v>3513</v>
      </c>
      <c r="F843" s="738">
        <v>0.15</v>
      </c>
      <c r="G843" s="739">
        <v>70000</v>
      </c>
      <c r="H843" s="741"/>
      <c r="I843" s="742"/>
      <c r="J843" s="740"/>
      <c r="K843" s="739">
        <v>70000</v>
      </c>
      <c r="L843" s="864">
        <f t="shared" si="267"/>
        <v>0</v>
      </c>
      <c r="M843" s="740">
        <f t="shared" si="266"/>
        <v>0</v>
      </c>
      <c r="N843" s="604">
        <f t="shared" si="268"/>
        <v>0</v>
      </c>
      <c r="O843" s="604">
        <f t="shared" si="269"/>
        <v>0</v>
      </c>
      <c r="P843" s="604">
        <f t="shared" si="270"/>
        <v>0</v>
      </c>
      <c r="Q843" s="604">
        <f t="shared" si="271"/>
        <v>0</v>
      </c>
      <c r="R843" s="604">
        <f t="shared" si="272"/>
        <v>0</v>
      </c>
      <c r="S843" s="604">
        <f t="shared" si="273"/>
        <v>0</v>
      </c>
      <c r="T843" s="604">
        <f t="shared" si="274"/>
        <v>0</v>
      </c>
      <c r="U843" s="604">
        <f t="shared" si="275"/>
        <v>0</v>
      </c>
      <c r="V843" s="604">
        <f t="shared" si="276"/>
        <v>0</v>
      </c>
      <c r="W843" s="604">
        <f t="shared" si="277"/>
        <v>0</v>
      </c>
      <c r="X843" s="746">
        <v>0</v>
      </c>
      <c r="Y843" s="746">
        <f t="shared" si="278"/>
        <v>0</v>
      </c>
    </row>
    <row r="844" spans="2:25">
      <c r="B844" s="598" t="s">
        <v>2595</v>
      </c>
      <c r="C844" s="604" t="s">
        <v>864</v>
      </c>
      <c r="D844" s="745">
        <v>2014</v>
      </c>
      <c r="E844" s="604" t="s">
        <v>3495</v>
      </c>
      <c r="F844" s="738">
        <v>0.15</v>
      </c>
      <c r="G844" s="739">
        <v>1950</v>
      </c>
      <c r="H844" s="741"/>
      <c r="I844" s="742"/>
      <c r="J844" s="740"/>
      <c r="K844" s="739">
        <v>1950</v>
      </c>
      <c r="L844" s="864">
        <f t="shared" si="267"/>
        <v>0</v>
      </c>
      <c r="M844" s="740">
        <f t="shared" ref="M844:M896" si="279">+IF(L844=0,0,G844*F844)</f>
        <v>0</v>
      </c>
      <c r="N844" s="604">
        <f t="shared" si="268"/>
        <v>0</v>
      </c>
      <c r="O844" s="604">
        <f t="shared" si="269"/>
        <v>0</v>
      </c>
      <c r="P844" s="604">
        <f t="shared" si="270"/>
        <v>0</v>
      </c>
      <c r="Q844" s="604">
        <f t="shared" si="271"/>
        <v>0</v>
      </c>
      <c r="R844" s="604">
        <f t="shared" si="272"/>
        <v>0</v>
      </c>
      <c r="S844" s="604">
        <f t="shared" si="273"/>
        <v>0</v>
      </c>
      <c r="T844" s="604">
        <f t="shared" si="274"/>
        <v>0</v>
      </c>
      <c r="U844" s="604">
        <f t="shared" si="275"/>
        <v>0</v>
      </c>
      <c r="V844" s="604">
        <f t="shared" si="276"/>
        <v>0</v>
      </c>
      <c r="W844" s="604">
        <f t="shared" si="277"/>
        <v>0</v>
      </c>
      <c r="X844" s="746">
        <v>0</v>
      </c>
      <c r="Y844" s="746">
        <f t="shared" si="278"/>
        <v>0</v>
      </c>
    </row>
    <row r="845" spans="2:25">
      <c r="B845" s="598" t="s">
        <v>2595</v>
      </c>
      <c r="C845" s="604" t="s">
        <v>864</v>
      </c>
      <c r="D845" s="745">
        <v>2014</v>
      </c>
      <c r="E845" s="604" t="s">
        <v>3569</v>
      </c>
      <c r="F845" s="738">
        <v>0.15</v>
      </c>
      <c r="G845" s="739">
        <v>250</v>
      </c>
      <c r="H845" s="741"/>
      <c r="I845" s="742"/>
      <c r="J845" s="740"/>
      <c r="K845" s="739">
        <v>250</v>
      </c>
      <c r="L845" s="864">
        <f t="shared" si="267"/>
        <v>0</v>
      </c>
      <c r="M845" s="740">
        <f t="shared" si="279"/>
        <v>0</v>
      </c>
      <c r="N845" s="604">
        <f t="shared" si="268"/>
        <v>0</v>
      </c>
      <c r="O845" s="604">
        <f t="shared" si="269"/>
        <v>0</v>
      </c>
      <c r="P845" s="604">
        <f t="shared" si="270"/>
        <v>0</v>
      </c>
      <c r="Q845" s="604">
        <f t="shared" si="271"/>
        <v>0</v>
      </c>
      <c r="R845" s="604">
        <f t="shared" si="272"/>
        <v>0</v>
      </c>
      <c r="S845" s="604">
        <f t="shared" si="273"/>
        <v>0</v>
      </c>
      <c r="T845" s="604">
        <f t="shared" si="274"/>
        <v>0</v>
      </c>
      <c r="U845" s="604">
        <f t="shared" si="275"/>
        <v>0</v>
      </c>
      <c r="V845" s="604">
        <f t="shared" si="276"/>
        <v>0</v>
      </c>
      <c r="W845" s="604">
        <f t="shared" si="277"/>
        <v>0</v>
      </c>
      <c r="X845" s="746">
        <v>0</v>
      </c>
      <c r="Y845" s="746">
        <f t="shared" si="278"/>
        <v>0</v>
      </c>
    </row>
    <row r="846" spans="2:25">
      <c r="B846" s="598" t="s">
        <v>2595</v>
      </c>
      <c r="C846" s="604" t="s">
        <v>864</v>
      </c>
      <c r="D846" s="745">
        <v>2014</v>
      </c>
      <c r="E846" s="604" t="s">
        <v>3577</v>
      </c>
      <c r="F846" s="738">
        <v>0.15</v>
      </c>
      <c r="G846" s="739">
        <v>9345</v>
      </c>
      <c r="H846" s="741"/>
      <c r="I846" s="742"/>
      <c r="J846" s="740"/>
      <c r="K846" s="739">
        <v>9345</v>
      </c>
      <c r="L846" s="864">
        <f t="shared" si="267"/>
        <v>0</v>
      </c>
      <c r="M846" s="740">
        <f t="shared" si="279"/>
        <v>0</v>
      </c>
      <c r="N846" s="604">
        <f t="shared" si="268"/>
        <v>0</v>
      </c>
      <c r="O846" s="604">
        <f t="shared" si="269"/>
        <v>0</v>
      </c>
      <c r="P846" s="604">
        <f t="shared" si="270"/>
        <v>0</v>
      </c>
      <c r="Q846" s="604">
        <f t="shared" si="271"/>
        <v>0</v>
      </c>
      <c r="R846" s="604">
        <f t="shared" si="272"/>
        <v>0</v>
      </c>
      <c r="S846" s="604">
        <f t="shared" si="273"/>
        <v>0</v>
      </c>
      <c r="T846" s="604">
        <f t="shared" si="274"/>
        <v>0</v>
      </c>
      <c r="U846" s="604">
        <f t="shared" si="275"/>
        <v>0</v>
      </c>
      <c r="V846" s="604">
        <f t="shared" si="276"/>
        <v>0</v>
      </c>
      <c r="W846" s="604">
        <f t="shared" si="277"/>
        <v>0</v>
      </c>
      <c r="X846" s="746">
        <v>0</v>
      </c>
      <c r="Y846" s="746">
        <f t="shared" si="278"/>
        <v>0</v>
      </c>
    </row>
    <row r="847" spans="2:25">
      <c r="B847" s="598" t="s">
        <v>2595</v>
      </c>
      <c r="C847" s="604" t="s">
        <v>864</v>
      </c>
      <c r="D847" s="745">
        <v>2016</v>
      </c>
      <c r="E847" s="604" t="s">
        <v>3577</v>
      </c>
      <c r="F847" s="738">
        <v>0.15</v>
      </c>
      <c r="G847" s="739">
        <v>17962</v>
      </c>
      <c r="H847" s="741"/>
      <c r="I847" s="742"/>
      <c r="J847" s="740"/>
      <c r="K847" s="739">
        <v>17962</v>
      </c>
      <c r="L847" s="864">
        <f t="shared" si="267"/>
        <v>0</v>
      </c>
      <c r="M847" s="740">
        <f t="shared" si="279"/>
        <v>0</v>
      </c>
      <c r="N847" s="604">
        <f t="shared" si="268"/>
        <v>0</v>
      </c>
      <c r="O847" s="604">
        <f t="shared" si="269"/>
        <v>0</v>
      </c>
      <c r="P847" s="604">
        <f t="shared" si="270"/>
        <v>0</v>
      </c>
      <c r="Q847" s="604">
        <f t="shared" si="271"/>
        <v>0</v>
      </c>
      <c r="R847" s="604">
        <f t="shared" si="272"/>
        <v>0</v>
      </c>
      <c r="S847" s="604">
        <f t="shared" si="273"/>
        <v>0</v>
      </c>
      <c r="T847" s="604">
        <f t="shared" si="274"/>
        <v>0</v>
      </c>
      <c r="U847" s="604">
        <f t="shared" si="275"/>
        <v>0</v>
      </c>
      <c r="V847" s="604">
        <f t="shared" si="276"/>
        <v>0</v>
      </c>
      <c r="W847" s="604">
        <f t="shared" si="277"/>
        <v>0</v>
      </c>
      <c r="X847" s="746">
        <v>0</v>
      </c>
      <c r="Y847" s="746">
        <f t="shared" si="278"/>
        <v>0</v>
      </c>
    </row>
    <row r="848" spans="2:25">
      <c r="B848" s="598" t="s">
        <v>2595</v>
      </c>
      <c r="C848" s="604" t="s">
        <v>864</v>
      </c>
      <c r="D848" s="745">
        <v>2014</v>
      </c>
      <c r="E848" s="604" t="s">
        <v>3577</v>
      </c>
      <c r="F848" s="738">
        <v>0.15</v>
      </c>
      <c r="G848" s="739">
        <v>10299.6</v>
      </c>
      <c r="H848" s="741"/>
      <c r="I848" s="742"/>
      <c r="J848" s="740"/>
      <c r="K848" s="739">
        <v>10299.6</v>
      </c>
      <c r="L848" s="864">
        <f t="shared" si="267"/>
        <v>0</v>
      </c>
      <c r="M848" s="740">
        <f t="shared" si="279"/>
        <v>0</v>
      </c>
      <c r="N848" s="604">
        <f t="shared" si="268"/>
        <v>0</v>
      </c>
      <c r="O848" s="604">
        <f t="shared" si="269"/>
        <v>0</v>
      </c>
      <c r="P848" s="604">
        <f t="shared" si="270"/>
        <v>0</v>
      </c>
      <c r="Q848" s="604">
        <f t="shared" si="271"/>
        <v>0</v>
      </c>
      <c r="R848" s="604">
        <f t="shared" si="272"/>
        <v>0</v>
      </c>
      <c r="S848" s="604">
        <f t="shared" si="273"/>
        <v>0</v>
      </c>
      <c r="T848" s="604">
        <f t="shared" si="274"/>
        <v>0</v>
      </c>
      <c r="U848" s="604">
        <f t="shared" si="275"/>
        <v>0</v>
      </c>
      <c r="V848" s="604">
        <f t="shared" si="276"/>
        <v>0</v>
      </c>
      <c r="W848" s="604">
        <f t="shared" si="277"/>
        <v>0</v>
      </c>
      <c r="X848" s="746">
        <v>0</v>
      </c>
      <c r="Y848" s="746">
        <f t="shared" si="278"/>
        <v>0</v>
      </c>
    </row>
    <row r="849" spans="2:25">
      <c r="B849" s="598" t="s">
        <v>2595</v>
      </c>
      <c r="C849" s="604" t="s">
        <v>864</v>
      </c>
      <c r="D849" s="745">
        <v>2015</v>
      </c>
      <c r="E849" s="604" t="s">
        <v>3577</v>
      </c>
      <c r="F849" s="738">
        <v>0.15</v>
      </c>
      <c r="G849" s="739">
        <v>17234</v>
      </c>
      <c r="H849" s="741"/>
      <c r="I849" s="742"/>
      <c r="J849" s="740"/>
      <c r="K849" s="739">
        <v>17234</v>
      </c>
      <c r="L849" s="864">
        <f t="shared" si="267"/>
        <v>0</v>
      </c>
      <c r="M849" s="740">
        <f t="shared" si="279"/>
        <v>0</v>
      </c>
      <c r="N849" s="604">
        <f t="shared" si="268"/>
        <v>0</v>
      </c>
      <c r="O849" s="604">
        <f t="shared" si="269"/>
        <v>0</v>
      </c>
      <c r="P849" s="604">
        <f t="shared" si="270"/>
        <v>0</v>
      </c>
      <c r="Q849" s="604">
        <f t="shared" si="271"/>
        <v>0</v>
      </c>
      <c r="R849" s="604">
        <f t="shared" si="272"/>
        <v>0</v>
      </c>
      <c r="S849" s="604">
        <f t="shared" si="273"/>
        <v>0</v>
      </c>
      <c r="T849" s="604">
        <f t="shared" si="274"/>
        <v>0</v>
      </c>
      <c r="U849" s="604">
        <f t="shared" si="275"/>
        <v>0</v>
      </c>
      <c r="V849" s="604">
        <f t="shared" si="276"/>
        <v>0</v>
      </c>
      <c r="W849" s="604">
        <f t="shared" si="277"/>
        <v>0</v>
      </c>
      <c r="X849" s="746">
        <v>0</v>
      </c>
      <c r="Y849" s="746">
        <f t="shared" si="278"/>
        <v>0</v>
      </c>
    </row>
    <row r="850" spans="2:25">
      <c r="B850" s="598" t="s">
        <v>2595</v>
      </c>
      <c r="C850" s="604" t="s">
        <v>864</v>
      </c>
      <c r="D850" s="745">
        <v>2014</v>
      </c>
      <c r="E850" s="604" t="s">
        <v>3578</v>
      </c>
      <c r="F850" s="738">
        <v>0.15</v>
      </c>
      <c r="G850" s="739">
        <v>2720</v>
      </c>
      <c r="H850" s="741"/>
      <c r="I850" s="742"/>
      <c r="J850" s="740"/>
      <c r="K850" s="739">
        <v>2720</v>
      </c>
      <c r="L850" s="864">
        <f t="shared" si="267"/>
        <v>0</v>
      </c>
      <c r="M850" s="740">
        <f t="shared" si="279"/>
        <v>0</v>
      </c>
      <c r="N850" s="604">
        <f t="shared" si="268"/>
        <v>0</v>
      </c>
      <c r="O850" s="604">
        <f t="shared" si="269"/>
        <v>0</v>
      </c>
      <c r="P850" s="604">
        <f t="shared" si="270"/>
        <v>0</v>
      </c>
      <c r="Q850" s="604">
        <f t="shared" si="271"/>
        <v>0</v>
      </c>
      <c r="R850" s="604">
        <f t="shared" si="272"/>
        <v>0</v>
      </c>
      <c r="S850" s="604">
        <f t="shared" si="273"/>
        <v>0</v>
      </c>
      <c r="T850" s="604">
        <f t="shared" si="274"/>
        <v>0</v>
      </c>
      <c r="U850" s="604">
        <f t="shared" si="275"/>
        <v>0</v>
      </c>
      <c r="V850" s="604">
        <f t="shared" si="276"/>
        <v>0</v>
      </c>
      <c r="W850" s="604">
        <f t="shared" si="277"/>
        <v>0</v>
      </c>
      <c r="X850" s="746">
        <v>0</v>
      </c>
      <c r="Y850" s="746">
        <f t="shared" si="278"/>
        <v>0</v>
      </c>
    </row>
    <row r="851" spans="2:25">
      <c r="B851" s="598" t="s">
        <v>2595</v>
      </c>
      <c r="C851" s="604" t="s">
        <v>864</v>
      </c>
      <c r="D851" s="745">
        <v>2014</v>
      </c>
      <c r="E851" s="604" t="s">
        <v>3530</v>
      </c>
      <c r="F851" s="738">
        <v>0.15</v>
      </c>
      <c r="G851" s="739">
        <v>0</v>
      </c>
      <c r="H851" s="741"/>
      <c r="I851" s="742"/>
      <c r="J851" s="740"/>
      <c r="K851" s="739">
        <v>0</v>
      </c>
      <c r="L851" s="864">
        <f t="shared" si="267"/>
        <v>0</v>
      </c>
      <c r="M851" s="740">
        <f t="shared" si="279"/>
        <v>0</v>
      </c>
      <c r="N851" s="604">
        <f t="shared" si="268"/>
        <v>0</v>
      </c>
      <c r="O851" s="604">
        <f t="shared" si="269"/>
        <v>0</v>
      </c>
      <c r="P851" s="604">
        <f t="shared" si="270"/>
        <v>0</v>
      </c>
      <c r="Q851" s="604">
        <f t="shared" si="271"/>
        <v>0</v>
      </c>
      <c r="R851" s="604">
        <f t="shared" si="272"/>
        <v>0</v>
      </c>
      <c r="S851" s="604">
        <f t="shared" si="273"/>
        <v>0</v>
      </c>
      <c r="T851" s="604">
        <f t="shared" si="274"/>
        <v>0</v>
      </c>
      <c r="U851" s="604">
        <f t="shared" si="275"/>
        <v>0</v>
      </c>
      <c r="V851" s="604">
        <f t="shared" si="276"/>
        <v>0</v>
      </c>
      <c r="W851" s="604">
        <f t="shared" si="277"/>
        <v>0</v>
      </c>
      <c r="X851" s="746">
        <v>0</v>
      </c>
      <c r="Y851" s="746">
        <f t="shared" si="278"/>
        <v>0</v>
      </c>
    </row>
    <row r="852" spans="2:25">
      <c r="B852" s="598" t="s">
        <v>2595</v>
      </c>
      <c r="C852" s="604" t="s">
        <v>864</v>
      </c>
      <c r="D852" s="745">
        <v>2014</v>
      </c>
      <c r="E852" s="604" t="s">
        <v>3579</v>
      </c>
      <c r="F852" s="738">
        <v>0.15</v>
      </c>
      <c r="G852" s="739">
        <v>12316</v>
      </c>
      <c r="H852" s="741"/>
      <c r="I852" s="742"/>
      <c r="J852" s="740"/>
      <c r="K852" s="739">
        <v>12316</v>
      </c>
      <c r="L852" s="864">
        <f t="shared" si="267"/>
        <v>0</v>
      </c>
      <c r="M852" s="740">
        <f t="shared" si="279"/>
        <v>0</v>
      </c>
      <c r="N852" s="604">
        <f t="shared" si="268"/>
        <v>0</v>
      </c>
      <c r="O852" s="604">
        <f t="shared" si="269"/>
        <v>0</v>
      </c>
      <c r="P852" s="604">
        <f t="shared" si="270"/>
        <v>0</v>
      </c>
      <c r="Q852" s="604">
        <f t="shared" si="271"/>
        <v>0</v>
      </c>
      <c r="R852" s="604">
        <f t="shared" si="272"/>
        <v>0</v>
      </c>
      <c r="S852" s="604">
        <f t="shared" si="273"/>
        <v>0</v>
      </c>
      <c r="T852" s="604">
        <f t="shared" si="274"/>
        <v>0</v>
      </c>
      <c r="U852" s="604">
        <f t="shared" si="275"/>
        <v>0</v>
      </c>
      <c r="V852" s="604">
        <f t="shared" si="276"/>
        <v>0</v>
      </c>
      <c r="W852" s="604">
        <f t="shared" si="277"/>
        <v>0</v>
      </c>
      <c r="X852" s="746">
        <v>0</v>
      </c>
      <c r="Y852" s="746">
        <f t="shared" si="278"/>
        <v>0</v>
      </c>
    </row>
    <row r="853" spans="2:25">
      <c r="B853" s="598" t="s">
        <v>2595</v>
      </c>
      <c r="C853" s="604" t="s">
        <v>864</v>
      </c>
      <c r="D853" s="745">
        <v>2014</v>
      </c>
      <c r="E853" s="604" t="s">
        <v>3580</v>
      </c>
      <c r="F853" s="738">
        <v>0.15</v>
      </c>
      <c r="G853" s="739">
        <v>0</v>
      </c>
      <c r="H853" s="741"/>
      <c r="I853" s="742"/>
      <c r="J853" s="740"/>
      <c r="K853" s="739">
        <v>0</v>
      </c>
      <c r="L853" s="864">
        <f t="shared" si="267"/>
        <v>0</v>
      </c>
      <c r="M853" s="740">
        <f t="shared" si="279"/>
        <v>0</v>
      </c>
      <c r="N853" s="604">
        <f t="shared" si="268"/>
        <v>0</v>
      </c>
      <c r="O853" s="604">
        <f t="shared" si="269"/>
        <v>0</v>
      </c>
      <c r="P853" s="604">
        <f t="shared" si="270"/>
        <v>0</v>
      </c>
      <c r="Q853" s="604">
        <f t="shared" si="271"/>
        <v>0</v>
      </c>
      <c r="R853" s="604">
        <f t="shared" si="272"/>
        <v>0</v>
      </c>
      <c r="S853" s="604">
        <f t="shared" si="273"/>
        <v>0</v>
      </c>
      <c r="T853" s="604">
        <f t="shared" si="274"/>
        <v>0</v>
      </c>
      <c r="U853" s="604">
        <f t="shared" si="275"/>
        <v>0</v>
      </c>
      <c r="V853" s="604">
        <f t="shared" si="276"/>
        <v>0</v>
      </c>
      <c r="W853" s="604">
        <f t="shared" si="277"/>
        <v>0</v>
      </c>
      <c r="X853" s="746">
        <v>0</v>
      </c>
      <c r="Y853" s="746">
        <f t="shared" si="278"/>
        <v>0</v>
      </c>
    </row>
    <row r="854" spans="2:25">
      <c r="B854" s="598" t="s">
        <v>2595</v>
      </c>
      <c r="C854" s="604" t="s">
        <v>864</v>
      </c>
      <c r="D854" s="745">
        <v>2014</v>
      </c>
      <c r="E854" s="604" t="s">
        <v>3504</v>
      </c>
      <c r="F854" s="738">
        <v>0.15</v>
      </c>
      <c r="G854" s="739">
        <v>10000</v>
      </c>
      <c r="H854" s="741"/>
      <c r="I854" s="742"/>
      <c r="J854" s="740"/>
      <c r="K854" s="739">
        <v>10000</v>
      </c>
      <c r="L854" s="864">
        <f t="shared" si="267"/>
        <v>0</v>
      </c>
      <c r="M854" s="740">
        <f t="shared" si="279"/>
        <v>0</v>
      </c>
      <c r="N854" s="604">
        <f t="shared" si="268"/>
        <v>0</v>
      </c>
      <c r="O854" s="604">
        <f t="shared" si="269"/>
        <v>0</v>
      </c>
      <c r="P854" s="604">
        <f t="shared" si="270"/>
        <v>0</v>
      </c>
      <c r="Q854" s="604">
        <f t="shared" si="271"/>
        <v>0</v>
      </c>
      <c r="R854" s="604">
        <f t="shared" si="272"/>
        <v>0</v>
      </c>
      <c r="S854" s="604">
        <f t="shared" si="273"/>
        <v>0</v>
      </c>
      <c r="T854" s="604">
        <f t="shared" si="274"/>
        <v>0</v>
      </c>
      <c r="U854" s="604">
        <f t="shared" si="275"/>
        <v>0</v>
      </c>
      <c r="V854" s="604">
        <f t="shared" si="276"/>
        <v>0</v>
      </c>
      <c r="W854" s="604">
        <f t="shared" si="277"/>
        <v>0</v>
      </c>
      <c r="X854" s="746">
        <v>0</v>
      </c>
      <c r="Y854" s="746">
        <f t="shared" si="278"/>
        <v>0</v>
      </c>
    </row>
    <row r="855" spans="2:25">
      <c r="B855" s="598" t="s">
        <v>2595</v>
      </c>
      <c r="C855" s="604" t="s">
        <v>864</v>
      </c>
      <c r="D855" s="745">
        <v>2014</v>
      </c>
      <c r="E855" s="604" t="s">
        <v>3577</v>
      </c>
      <c r="F855" s="738">
        <v>0.15</v>
      </c>
      <c r="G855" s="739">
        <v>3625</v>
      </c>
      <c r="H855" s="741"/>
      <c r="I855" s="742"/>
      <c r="J855" s="740"/>
      <c r="K855" s="739">
        <v>3625</v>
      </c>
      <c r="L855" s="864">
        <f t="shared" si="267"/>
        <v>0</v>
      </c>
      <c r="M855" s="740">
        <f t="shared" si="279"/>
        <v>0</v>
      </c>
      <c r="N855" s="604">
        <f t="shared" si="268"/>
        <v>0</v>
      </c>
      <c r="O855" s="604">
        <f t="shared" si="269"/>
        <v>0</v>
      </c>
      <c r="P855" s="604">
        <f t="shared" si="270"/>
        <v>0</v>
      </c>
      <c r="Q855" s="604">
        <f t="shared" si="271"/>
        <v>0</v>
      </c>
      <c r="R855" s="604">
        <f t="shared" si="272"/>
        <v>0</v>
      </c>
      <c r="S855" s="604">
        <f t="shared" si="273"/>
        <v>0</v>
      </c>
      <c r="T855" s="604">
        <f t="shared" si="274"/>
        <v>0</v>
      </c>
      <c r="U855" s="604">
        <f t="shared" si="275"/>
        <v>0</v>
      </c>
      <c r="V855" s="604">
        <f t="shared" si="276"/>
        <v>0</v>
      </c>
      <c r="W855" s="604">
        <f t="shared" si="277"/>
        <v>0</v>
      </c>
      <c r="X855" s="746">
        <v>0</v>
      </c>
      <c r="Y855" s="746">
        <f t="shared" si="278"/>
        <v>0</v>
      </c>
    </row>
    <row r="856" spans="2:25">
      <c r="B856" s="598" t="s">
        <v>2595</v>
      </c>
      <c r="C856" s="604" t="s">
        <v>864</v>
      </c>
      <c r="D856" s="745">
        <v>2015</v>
      </c>
      <c r="E856" s="604" t="s">
        <v>3495</v>
      </c>
      <c r="F856" s="738">
        <v>0.15</v>
      </c>
      <c r="G856" s="739">
        <v>0</v>
      </c>
      <c r="H856" s="741"/>
      <c r="I856" s="742"/>
      <c r="J856" s="740"/>
      <c r="K856" s="739">
        <v>0</v>
      </c>
      <c r="L856" s="864">
        <f t="shared" si="267"/>
        <v>0</v>
      </c>
      <c r="M856" s="740">
        <f>+IF(L856=0,0,G856*F856)-X856</f>
        <v>0</v>
      </c>
      <c r="N856" s="604">
        <f t="shared" si="268"/>
        <v>0</v>
      </c>
      <c r="O856" s="604">
        <f t="shared" si="269"/>
        <v>0</v>
      </c>
      <c r="P856" s="604">
        <f t="shared" si="270"/>
        <v>0</v>
      </c>
      <c r="Q856" s="604">
        <f t="shared" si="271"/>
        <v>0</v>
      </c>
      <c r="R856" s="604">
        <f t="shared" si="272"/>
        <v>0</v>
      </c>
      <c r="S856" s="604">
        <f t="shared" si="273"/>
        <v>0</v>
      </c>
      <c r="T856" s="604">
        <f t="shared" si="274"/>
        <v>0</v>
      </c>
      <c r="U856" s="604">
        <f t="shared" si="275"/>
        <v>0</v>
      </c>
      <c r="V856" s="604">
        <f t="shared" si="276"/>
        <v>0</v>
      </c>
      <c r="W856" s="604">
        <f t="shared" si="277"/>
        <v>0</v>
      </c>
      <c r="X856" s="746">
        <v>0</v>
      </c>
      <c r="Y856" s="746">
        <f t="shared" si="278"/>
        <v>0</v>
      </c>
    </row>
    <row r="857" spans="2:25">
      <c r="B857" s="598" t="s">
        <v>2595</v>
      </c>
      <c r="C857" s="604" t="s">
        <v>864</v>
      </c>
      <c r="D857" s="745">
        <v>2015</v>
      </c>
      <c r="E857" s="604" t="s">
        <v>3581</v>
      </c>
      <c r="F857" s="738">
        <v>0.15</v>
      </c>
      <c r="G857" s="739">
        <v>9148.1</v>
      </c>
      <c r="H857" s="741"/>
      <c r="I857" s="742"/>
      <c r="J857" s="740"/>
      <c r="K857" s="739">
        <v>9148.1</v>
      </c>
      <c r="L857" s="864">
        <f t="shared" si="267"/>
        <v>0</v>
      </c>
      <c r="M857" s="740">
        <f t="shared" si="279"/>
        <v>0</v>
      </c>
      <c r="N857" s="604">
        <f t="shared" si="268"/>
        <v>0</v>
      </c>
      <c r="O857" s="604">
        <f t="shared" si="269"/>
        <v>0</v>
      </c>
      <c r="P857" s="604">
        <f t="shared" si="270"/>
        <v>0</v>
      </c>
      <c r="Q857" s="604">
        <f t="shared" si="271"/>
        <v>0</v>
      </c>
      <c r="R857" s="604">
        <f t="shared" si="272"/>
        <v>0</v>
      </c>
      <c r="S857" s="604">
        <f t="shared" si="273"/>
        <v>0</v>
      </c>
      <c r="T857" s="604">
        <f t="shared" si="274"/>
        <v>0</v>
      </c>
      <c r="U857" s="604">
        <f t="shared" si="275"/>
        <v>0</v>
      </c>
      <c r="V857" s="604">
        <f t="shared" si="276"/>
        <v>0</v>
      </c>
      <c r="W857" s="604">
        <f t="shared" si="277"/>
        <v>0</v>
      </c>
      <c r="X857" s="746">
        <v>0</v>
      </c>
      <c r="Y857" s="746">
        <f t="shared" si="278"/>
        <v>0</v>
      </c>
    </row>
    <row r="858" spans="2:25">
      <c r="B858" s="598" t="s">
        <v>2595</v>
      </c>
      <c r="C858" s="604" t="s">
        <v>864</v>
      </c>
      <c r="D858" s="745">
        <v>2015</v>
      </c>
      <c r="E858" s="604" t="s">
        <v>3554</v>
      </c>
      <c r="F858" s="738">
        <v>0.15</v>
      </c>
      <c r="G858" s="739">
        <v>0</v>
      </c>
      <c r="H858" s="741"/>
      <c r="I858" s="742"/>
      <c r="J858" s="740"/>
      <c r="K858" s="739">
        <v>0</v>
      </c>
      <c r="L858" s="864">
        <f t="shared" si="267"/>
        <v>0</v>
      </c>
      <c r="M858" s="740">
        <f t="shared" si="279"/>
        <v>0</v>
      </c>
      <c r="N858" s="604">
        <f t="shared" si="268"/>
        <v>0</v>
      </c>
      <c r="O858" s="604">
        <f t="shared" si="269"/>
        <v>0</v>
      </c>
      <c r="P858" s="604">
        <f t="shared" si="270"/>
        <v>0</v>
      </c>
      <c r="Q858" s="604">
        <f t="shared" si="271"/>
        <v>0</v>
      </c>
      <c r="R858" s="604">
        <f t="shared" si="272"/>
        <v>0</v>
      </c>
      <c r="S858" s="604">
        <f t="shared" si="273"/>
        <v>0</v>
      </c>
      <c r="T858" s="604">
        <f t="shared" si="274"/>
        <v>0</v>
      </c>
      <c r="U858" s="604">
        <f t="shared" si="275"/>
        <v>0</v>
      </c>
      <c r="V858" s="604">
        <f t="shared" si="276"/>
        <v>0</v>
      </c>
      <c r="W858" s="604">
        <f t="shared" si="277"/>
        <v>0</v>
      </c>
      <c r="X858" s="746">
        <v>0</v>
      </c>
      <c r="Y858" s="746">
        <f t="shared" si="278"/>
        <v>0</v>
      </c>
    </row>
    <row r="859" spans="2:25">
      <c r="B859" s="598" t="s">
        <v>2595</v>
      </c>
      <c r="C859" s="604" t="s">
        <v>864</v>
      </c>
      <c r="D859" s="745">
        <v>2015</v>
      </c>
      <c r="E859" s="604" t="s">
        <v>3582</v>
      </c>
      <c r="F859" s="738">
        <v>0.15</v>
      </c>
      <c r="G859" s="739">
        <v>11200</v>
      </c>
      <c r="H859" s="741"/>
      <c r="I859" s="742"/>
      <c r="J859" s="740"/>
      <c r="K859" s="739">
        <v>11200</v>
      </c>
      <c r="L859" s="864">
        <f t="shared" si="267"/>
        <v>0</v>
      </c>
      <c r="M859" s="740">
        <f t="shared" si="279"/>
        <v>0</v>
      </c>
      <c r="N859" s="604">
        <f t="shared" si="268"/>
        <v>0</v>
      </c>
      <c r="O859" s="604">
        <f t="shared" si="269"/>
        <v>0</v>
      </c>
      <c r="P859" s="604">
        <f t="shared" si="270"/>
        <v>0</v>
      </c>
      <c r="Q859" s="604">
        <f t="shared" si="271"/>
        <v>0</v>
      </c>
      <c r="R859" s="604">
        <f t="shared" si="272"/>
        <v>0</v>
      </c>
      <c r="S859" s="604">
        <f t="shared" si="273"/>
        <v>0</v>
      </c>
      <c r="T859" s="604">
        <f t="shared" si="274"/>
        <v>0</v>
      </c>
      <c r="U859" s="604">
        <f t="shared" si="275"/>
        <v>0</v>
      </c>
      <c r="V859" s="604">
        <f t="shared" si="276"/>
        <v>0</v>
      </c>
      <c r="W859" s="604">
        <f t="shared" si="277"/>
        <v>0</v>
      </c>
      <c r="X859" s="746">
        <v>0</v>
      </c>
      <c r="Y859" s="746">
        <f t="shared" si="278"/>
        <v>0</v>
      </c>
    </row>
    <row r="860" spans="2:25">
      <c r="B860" s="598" t="s">
        <v>2595</v>
      </c>
      <c r="C860" s="604" t="s">
        <v>864</v>
      </c>
      <c r="D860" s="745">
        <v>2015</v>
      </c>
      <c r="E860" s="604" t="s">
        <v>3575</v>
      </c>
      <c r="F860" s="738">
        <v>0.15</v>
      </c>
      <c r="G860" s="739">
        <v>155000</v>
      </c>
      <c r="H860" s="741"/>
      <c r="I860" s="742"/>
      <c r="J860" s="740"/>
      <c r="K860" s="739">
        <v>155000</v>
      </c>
      <c r="L860" s="864">
        <f t="shared" si="267"/>
        <v>0</v>
      </c>
      <c r="M860" s="740">
        <f t="shared" si="279"/>
        <v>0</v>
      </c>
      <c r="N860" s="604">
        <f t="shared" si="268"/>
        <v>0</v>
      </c>
      <c r="O860" s="604">
        <f t="shared" si="269"/>
        <v>0</v>
      </c>
      <c r="P860" s="604">
        <f t="shared" si="270"/>
        <v>0</v>
      </c>
      <c r="Q860" s="604">
        <f t="shared" si="271"/>
        <v>0</v>
      </c>
      <c r="R860" s="604">
        <f t="shared" si="272"/>
        <v>0</v>
      </c>
      <c r="S860" s="604">
        <f t="shared" si="273"/>
        <v>0</v>
      </c>
      <c r="T860" s="604">
        <f t="shared" si="274"/>
        <v>0</v>
      </c>
      <c r="U860" s="604">
        <f t="shared" si="275"/>
        <v>0</v>
      </c>
      <c r="V860" s="604">
        <f t="shared" si="276"/>
        <v>0</v>
      </c>
      <c r="W860" s="604">
        <f t="shared" si="277"/>
        <v>0</v>
      </c>
      <c r="X860" s="746">
        <v>0</v>
      </c>
      <c r="Y860" s="746">
        <f t="shared" si="278"/>
        <v>0</v>
      </c>
    </row>
    <row r="861" spans="2:25">
      <c r="B861" s="598" t="s">
        <v>2595</v>
      </c>
      <c r="C861" s="604" t="s">
        <v>864</v>
      </c>
      <c r="D861" s="745">
        <v>2015</v>
      </c>
      <c r="E861" s="604" t="s">
        <v>3513</v>
      </c>
      <c r="F861" s="738">
        <v>0.15</v>
      </c>
      <c r="G861" s="739">
        <v>150</v>
      </c>
      <c r="H861" s="741"/>
      <c r="I861" s="742"/>
      <c r="J861" s="740"/>
      <c r="K861" s="739">
        <v>150</v>
      </c>
      <c r="L861" s="864">
        <f t="shared" si="267"/>
        <v>0</v>
      </c>
      <c r="M861" s="740">
        <f t="shared" si="279"/>
        <v>0</v>
      </c>
      <c r="N861" s="604">
        <f t="shared" si="268"/>
        <v>0</v>
      </c>
      <c r="O861" s="604">
        <f t="shared" si="269"/>
        <v>0</v>
      </c>
      <c r="P861" s="604">
        <f t="shared" si="270"/>
        <v>0</v>
      </c>
      <c r="Q861" s="604">
        <f t="shared" si="271"/>
        <v>0</v>
      </c>
      <c r="R861" s="604">
        <f t="shared" si="272"/>
        <v>0</v>
      </c>
      <c r="S861" s="604">
        <f t="shared" si="273"/>
        <v>0</v>
      </c>
      <c r="T861" s="604">
        <f t="shared" si="274"/>
        <v>0</v>
      </c>
      <c r="U861" s="604">
        <f t="shared" si="275"/>
        <v>0</v>
      </c>
      <c r="V861" s="604">
        <f t="shared" si="276"/>
        <v>0</v>
      </c>
      <c r="W861" s="604">
        <f t="shared" si="277"/>
        <v>0</v>
      </c>
      <c r="X861" s="746">
        <v>0</v>
      </c>
      <c r="Y861" s="746">
        <f t="shared" si="278"/>
        <v>0</v>
      </c>
    </row>
    <row r="862" spans="2:25">
      <c r="B862" s="598" t="s">
        <v>2595</v>
      </c>
      <c r="C862" s="604" t="s">
        <v>864</v>
      </c>
      <c r="D862" s="745">
        <v>2015</v>
      </c>
      <c r="E862" s="604" t="s">
        <v>3583</v>
      </c>
      <c r="F862" s="738">
        <v>0.15</v>
      </c>
      <c r="G862" s="739">
        <v>0</v>
      </c>
      <c r="H862" s="741"/>
      <c r="I862" s="742"/>
      <c r="J862" s="740"/>
      <c r="K862" s="739">
        <v>0</v>
      </c>
      <c r="L862" s="864">
        <f t="shared" si="267"/>
        <v>0</v>
      </c>
      <c r="M862" s="740">
        <f t="shared" si="279"/>
        <v>0</v>
      </c>
      <c r="N862" s="604">
        <f>+IF(L862-M862&gt;0,G862*F862,0)-X862</f>
        <v>0</v>
      </c>
      <c r="O862" s="604">
        <f t="shared" si="269"/>
        <v>0</v>
      </c>
      <c r="P862" s="604">
        <f t="shared" si="270"/>
        <v>0</v>
      </c>
      <c r="Q862" s="604">
        <f t="shared" si="271"/>
        <v>0</v>
      </c>
      <c r="R862" s="604">
        <f t="shared" si="272"/>
        <v>0</v>
      </c>
      <c r="S862" s="604">
        <f t="shared" si="273"/>
        <v>0</v>
      </c>
      <c r="T862" s="604">
        <f t="shared" si="274"/>
        <v>0</v>
      </c>
      <c r="U862" s="604">
        <f t="shared" si="275"/>
        <v>0</v>
      </c>
      <c r="V862" s="604">
        <f t="shared" si="276"/>
        <v>0</v>
      </c>
      <c r="W862" s="604">
        <f t="shared" si="277"/>
        <v>0</v>
      </c>
      <c r="X862" s="746">
        <v>0</v>
      </c>
      <c r="Y862" s="746">
        <f t="shared" si="278"/>
        <v>0</v>
      </c>
    </row>
    <row r="863" spans="2:25">
      <c r="B863" s="598" t="s">
        <v>2595</v>
      </c>
      <c r="C863" s="604" t="s">
        <v>864</v>
      </c>
      <c r="D863" s="745">
        <v>2021</v>
      </c>
      <c r="E863" s="604" t="s">
        <v>3582</v>
      </c>
      <c r="F863" s="738">
        <v>0.15</v>
      </c>
      <c r="G863" s="739">
        <v>19430.349999999999</v>
      </c>
      <c r="H863" s="741"/>
      <c r="I863" s="742"/>
      <c r="J863" s="740"/>
      <c r="K863" s="739">
        <v>19430.349999999999</v>
      </c>
      <c r="L863" s="864">
        <f t="shared" si="267"/>
        <v>0</v>
      </c>
      <c r="M863" s="740">
        <f>+IF(L863=0,0,G863*F863)-X863</f>
        <v>0</v>
      </c>
      <c r="N863" s="604">
        <f t="shared" si="268"/>
        <v>0</v>
      </c>
      <c r="O863" s="604">
        <f t="shared" si="269"/>
        <v>0</v>
      </c>
      <c r="P863" s="604">
        <f t="shared" si="270"/>
        <v>0</v>
      </c>
      <c r="Q863" s="604">
        <f t="shared" si="271"/>
        <v>0</v>
      </c>
      <c r="R863" s="604">
        <f t="shared" si="272"/>
        <v>0</v>
      </c>
      <c r="S863" s="604">
        <f t="shared" si="273"/>
        <v>0</v>
      </c>
      <c r="T863" s="604">
        <f t="shared" si="274"/>
        <v>0</v>
      </c>
      <c r="U863" s="604">
        <f t="shared" si="275"/>
        <v>0</v>
      </c>
      <c r="V863" s="604">
        <f t="shared" si="276"/>
        <v>0</v>
      </c>
      <c r="W863" s="604">
        <f t="shared" si="277"/>
        <v>0</v>
      </c>
      <c r="X863" s="746">
        <v>0</v>
      </c>
      <c r="Y863" s="746">
        <f t="shared" si="278"/>
        <v>0</v>
      </c>
    </row>
    <row r="864" spans="2:25">
      <c r="B864" s="598" t="s">
        <v>2595</v>
      </c>
      <c r="C864" s="604" t="s">
        <v>864</v>
      </c>
      <c r="D864" s="745">
        <v>2015</v>
      </c>
      <c r="E864" s="604" t="s">
        <v>3504</v>
      </c>
      <c r="F864" s="738">
        <v>0.15</v>
      </c>
      <c r="G864" s="739">
        <v>0</v>
      </c>
      <c r="H864" s="741"/>
      <c r="I864" s="742"/>
      <c r="J864" s="740"/>
      <c r="K864" s="739">
        <v>0</v>
      </c>
      <c r="L864" s="864">
        <f t="shared" si="267"/>
        <v>0</v>
      </c>
      <c r="M864" s="740">
        <f t="shared" si="279"/>
        <v>0</v>
      </c>
      <c r="N864" s="604">
        <f t="shared" si="268"/>
        <v>0</v>
      </c>
      <c r="O864" s="604">
        <f t="shared" si="269"/>
        <v>0</v>
      </c>
      <c r="P864" s="604">
        <f t="shared" si="270"/>
        <v>0</v>
      </c>
      <c r="Q864" s="604">
        <f t="shared" si="271"/>
        <v>0</v>
      </c>
      <c r="R864" s="604">
        <f t="shared" si="272"/>
        <v>0</v>
      </c>
      <c r="S864" s="604">
        <f t="shared" si="273"/>
        <v>0</v>
      </c>
      <c r="T864" s="604">
        <f t="shared" si="274"/>
        <v>0</v>
      </c>
      <c r="U864" s="604">
        <f t="shared" si="275"/>
        <v>0</v>
      </c>
      <c r="V864" s="604">
        <f t="shared" si="276"/>
        <v>0</v>
      </c>
      <c r="W864" s="604">
        <f t="shared" si="277"/>
        <v>0</v>
      </c>
      <c r="X864" s="746">
        <v>0</v>
      </c>
      <c r="Y864" s="746">
        <f t="shared" si="278"/>
        <v>0</v>
      </c>
    </row>
    <row r="865" spans="2:25">
      <c r="B865" s="598" t="s">
        <v>2595</v>
      </c>
      <c r="C865" s="604" t="s">
        <v>864</v>
      </c>
      <c r="D865" s="745">
        <v>2015</v>
      </c>
      <c r="E865" s="604" t="s">
        <v>3584</v>
      </c>
      <c r="F865" s="738">
        <v>0.15</v>
      </c>
      <c r="G865" s="739">
        <v>198450</v>
      </c>
      <c r="H865" s="741"/>
      <c r="I865" s="742"/>
      <c r="J865" s="740"/>
      <c r="K865" s="739">
        <v>198450</v>
      </c>
      <c r="L865" s="864">
        <f t="shared" si="267"/>
        <v>0</v>
      </c>
      <c r="M865" s="740">
        <f t="shared" si="279"/>
        <v>0</v>
      </c>
      <c r="N865" s="604">
        <f t="shared" si="268"/>
        <v>0</v>
      </c>
      <c r="O865" s="604">
        <f t="shared" si="269"/>
        <v>0</v>
      </c>
      <c r="P865" s="604">
        <f t="shared" si="270"/>
        <v>0</v>
      </c>
      <c r="Q865" s="604">
        <f t="shared" si="271"/>
        <v>0</v>
      </c>
      <c r="R865" s="604">
        <f t="shared" si="272"/>
        <v>0</v>
      </c>
      <c r="S865" s="604">
        <f t="shared" si="273"/>
        <v>0</v>
      </c>
      <c r="T865" s="604">
        <f t="shared" si="274"/>
        <v>0</v>
      </c>
      <c r="U865" s="604">
        <f t="shared" si="275"/>
        <v>0</v>
      </c>
      <c r="V865" s="604">
        <f t="shared" si="276"/>
        <v>0</v>
      </c>
      <c r="W865" s="604">
        <f t="shared" si="277"/>
        <v>0</v>
      </c>
      <c r="X865" s="746">
        <v>0</v>
      </c>
      <c r="Y865" s="746">
        <f t="shared" si="278"/>
        <v>0</v>
      </c>
    </row>
    <row r="866" spans="2:25">
      <c r="B866" s="598" t="s">
        <v>2595</v>
      </c>
      <c r="C866" s="604" t="s">
        <v>864</v>
      </c>
      <c r="D866" s="745">
        <v>2015</v>
      </c>
      <c r="E866" s="604" t="s">
        <v>3585</v>
      </c>
      <c r="F866" s="738">
        <v>0.15</v>
      </c>
      <c r="G866" s="739">
        <v>5000</v>
      </c>
      <c r="H866" s="741"/>
      <c r="I866" s="742"/>
      <c r="J866" s="740"/>
      <c r="K866" s="739">
        <v>5000</v>
      </c>
      <c r="L866" s="864">
        <f t="shared" si="267"/>
        <v>0</v>
      </c>
      <c r="M866" s="740">
        <f t="shared" si="279"/>
        <v>0</v>
      </c>
      <c r="N866" s="604">
        <f t="shared" si="268"/>
        <v>0</v>
      </c>
      <c r="O866" s="604">
        <f t="shared" si="269"/>
        <v>0</v>
      </c>
      <c r="P866" s="604">
        <f t="shared" si="270"/>
        <v>0</v>
      </c>
      <c r="Q866" s="604">
        <f t="shared" si="271"/>
        <v>0</v>
      </c>
      <c r="R866" s="604">
        <f t="shared" si="272"/>
        <v>0</v>
      </c>
      <c r="S866" s="604">
        <f t="shared" si="273"/>
        <v>0</v>
      </c>
      <c r="T866" s="604">
        <f t="shared" si="274"/>
        <v>0</v>
      </c>
      <c r="U866" s="604">
        <f t="shared" si="275"/>
        <v>0</v>
      </c>
      <c r="V866" s="604">
        <f t="shared" si="276"/>
        <v>0</v>
      </c>
      <c r="W866" s="604">
        <f t="shared" si="277"/>
        <v>0</v>
      </c>
      <c r="X866" s="746">
        <v>0</v>
      </c>
      <c r="Y866" s="746">
        <f t="shared" si="278"/>
        <v>0</v>
      </c>
    </row>
    <row r="867" spans="2:25">
      <c r="B867" s="598" t="s">
        <v>2595</v>
      </c>
      <c r="C867" s="604" t="s">
        <v>864</v>
      </c>
      <c r="D867" s="745">
        <v>2015</v>
      </c>
      <c r="E867" s="604" t="s">
        <v>3586</v>
      </c>
      <c r="F867" s="738">
        <v>0.15</v>
      </c>
      <c r="G867" s="739">
        <v>18668</v>
      </c>
      <c r="H867" s="741"/>
      <c r="I867" s="742"/>
      <c r="J867" s="740"/>
      <c r="K867" s="739">
        <v>18668</v>
      </c>
      <c r="L867" s="864">
        <f t="shared" si="267"/>
        <v>0</v>
      </c>
      <c r="M867" s="740">
        <f t="shared" si="279"/>
        <v>0</v>
      </c>
      <c r="N867" s="604">
        <f t="shared" si="268"/>
        <v>0</v>
      </c>
      <c r="O867" s="604">
        <f t="shared" si="269"/>
        <v>0</v>
      </c>
      <c r="P867" s="604">
        <f t="shared" si="270"/>
        <v>0</v>
      </c>
      <c r="Q867" s="604">
        <f t="shared" si="271"/>
        <v>0</v>
      </c>
      <c r="R867" s="604">
        <f t="shared" si="272"/>
        <v>0</v>
      </c>
      <c r="S867" s="604">
        <f t="shared" si="273"/>
        <v>0</v>
      </c>
      <c r="T867" s="604">
        <f t="shared" si="274"/>
        <v>0</v>
      </c>
      <c r="U867" s="604">
        <f t="shared" si="275"/>
        <v>0</v>
      </c>
      <c r="V867" s="604">
        <f t="shared" si="276"/>
        <v>0</v>
      </c>
      <c r="W867" s="604">
        <f t="shared" si="277"/>
        <v>0</v>
      </c>
      <c r="X867" s="746">
        <v>0</v>
      </c>
      <c r="Y867" s="746">
        <f t="shared" si="278"/>
        <v>0</v>
      </c>
    </row>
    <row r="868" spans="2:25">
      <c r="B868" s="598" t="s">
        <v>2595</v>
      </c>
      <c r="C868" s="604" t="s">
        <v>864</v>
      </c>
      <c r="D868" s="745">
        <v>2022</v>
      </c>
      <c r="E868" s="604" t="s">
        <v>3587</v>
      </c>
      <c r="F868" s="738">
        <v>0.15</v>
      </c>
      <c r="G868" s="739">
        <v>7000</v>
      </c>
      <c r="H868" s="741"/>
      <c r="I868" s="742"/>
      <c r="J868" s="740"/>
      <c r="K868" s="739">
        <v>7000</v>
      </c>
      <c r="L868" s="864">
        <f t="shared" si="267"/>
        <v>0</v>
      </c>
      <c r="M868" s="740">
        <f t="shared" si="279"/>
        <v>0</v>
      </c>
      <c r="N868" s="604">
        <f t="shared" si="268"/>
        <v>0</v>
      </c>
      <c r="O868" s="604">
        <f t="shared" si="269"/>
        <v>0</v>
      </c>
      <c r="P868" s="604">
        <f t="shared" si="270"/>
        <v>0</v>
      </c>
      <c r="Q868" s="604">
        <f t="shared" si="271"/>
        <v>0</v>
      </c>
      <c r="R868" s="604">
        <f t="shared" si="272"/>
        <v>0</v>
      </c>
      <c r="S868" s="604">
        <f t="shared" si="273"/>
        <v>0</v>
      </c>
      <c r="T868" s="604">
        <f t="shared" si="274"/>
        <v>0</v>
      </c>
      <c r="U868" s="604">
        <f t="shared" si="275"/>
        <v>0</v>
      </c>
      <c r="V868" s="604">
        <f t="shared" si="276"/>
        <v>0</v>
      </c>
      <c r="W868" s="604">
        <f t="shared" si="277"/>
        <v>0</v>
      </c>
      <c r="X868" s="746">
        <v>0</v>
      </c>
      <c r="Y868" s="746">
        <f t="shared" si="278"/>
        <v>0</v>
      </c>
    </row>
    <row r="869" spans="2:25">
      <c r="B869" s="598" t="s">
        <v>2595</v>
      </c>
      <c r="C869" s="604" t="s">
        <v>864</v>
      </c>
      <c r="D869" s="745">
        <v>2015</v>
      </c>
      <c r="E869" s="604" t="s">
        <v>3549</v>
      </c>
      <c r="F869" s="738">
        <v>0.15</v>
      </c>
      <c r="G869" s="739">
        <v>1291.45</v>
      </c>
      <c r="H869" s="741"/>
      <c r="I869" s="742"/>
      <c r="J869" s="740"/>
      <c r="K869" s="739">
        <v>1291.45</v>
      </c>
      <c r="L869" s="864">
        <f t="shared" si="267"/>
        <v>0</v>
      </c>
      <c r="M869" s="740">
        <f t="shared" si="279"/>
        <v>0</v>
      </c>
      <c r="N869" s="604">
        <f t="shared" si="268"/>
        <v>0</v>
      </c>
      <c r="O869" s="604">
        <f t="shared" si="269"/>
        <v>0</v>
      </c>
      <c r="P869" s="604">
        <f t="shared" si="270"/>
        <v>0</v>
      </c>
      <c r="Q869" s="604">
        <f t="shared" si="271"/>
        <v>0</v>
      </c>
      <c r="R869" s="604">
        <f t="shared" si="272"/>
        <v>0</v>
      </c>
      <c r="S869" s="604">
        <f t="shared" si="273"/>
        <v>0</v>
      </c>
      <c r="T869" s="604">
        <f t="shared" si="274"/>
        <v>0</v>
      </c>
      <c r="U869" s="604">
        <f t="shared" si="275"/>
        <v>0</v>
      </c>
      <c r="V869" s="604">
        <f t="shared" si="276"/>
        <v>0</v>
      </c>
      <c r="W869" s="604">
        <f t="shared" si="277"/>
        <v>0</v>
      </c>
      <c r="X869" s="746">
        <v>0</v>
      </c>
      <c r="Y869" s="746">
        <f t="shared" si="278"/>
        <v>0</v>
      </c>
    </row>
    <row r="870" spans="2:25">
      <c r="B870" s="598" t="s">
        <v>2595</v>
      </c>
      <c r="C870" s="604" t="s">
        <v>864</v>
      </c>
      <c r="D870" s="745">
        <v>2015</v>
      </c>
      <c r="E870" s="604" t="s">
        <v>3588</v>
      </c>
      <c r="F870" s="738">
        <v>0.15</v>
      </c>
      <c r="G870" s="739">
        <v>13800</v>
      </c>
      <c r="H870" s="741"/>
      <c r="I870" s="742"/>
      <c r="J870" s="740"/>
      <c r="K870" s="739">
        <v>13800</v>
      </c>
      <c r="L870" s="864">
        <f t="shared" si="267"/>
        <v>0</v>
      </c>
      <c r="M870" s="740">
        <f t="shared" si="279"/>
        <v>0</v>
      </c>
      <c r="N870" s="604">
        <f t="shared" si="268"/>
        <v>0</v>
      </c>
      <c r="O870" s="604">
        <f t="shared" si="269"/>
        <v>0</v>
      </c>
      <c r="P870" s="604">
        <f t="shared" si="270"/>
        <v>0</v>
      </c>
      <c r="Q870" s="604">
        <f t="shared" si="271"/>
        <v>0</v>
      </c>
      <c r="R870" s="604">
        <f t="shared" si="272"/>
        <v>0</v>
      </c>
      <c r="S870" s="604">
        <f t="shared" si="273"/>
        <v>0</v>
      </c>
      <c r="T870" s="604">
        <f t="shared" si="274"/>
        <v>0</v>
      </c>
      <c r="U870" s="604">
        <f t="shared" si="275"/>
        <v>0</v>
      </c>
      <c r="V870" s="604">
        <f t="shared" si="276"/>
        <v>0</v>
      </c>
      <c r="W870" s="604">
        <f t="shared" si="277"/>
        <v>0</v>
      </c>
      <c r="X870" s="746">
        <v>0</v>
      </c>
      <c r="Y870" s="746">
        <f t="shared" si="278"/>
        <v>0</v>
      </c>
    </row>
    <row r="871" spans="2:25">
      <c r="B871" s="598" t="s">
        <v>2595</v>
      </c>
      <c r="C871" s="604" t="s">
        <v>864</v>
      </c>
      <c r="D871" s="745">
        <v>2015</v>
      </c>
      <c r="E871" s="604" t="s">
        <v>3577</v>
      </c>
      <c r="F871" s="738">
        <v>0.15</v>
      </c>
      <c r="G871" s="739">
        <v>14800</v>
      </c>
      <c r="H871" s="741"/>
      <c r="I871" s="742"/>
      <c r="J871" s="740"/>
      <c r="K871" s="739">
        <v>14800</v>
      </c>
      <c r="L871" s="864">
        <f t="shared" si="267"/>
        <v>0</v>
      </c>
      <c r="M871" s="740">
        <f t="shared" si="279"/>
        <v>0</v>
      </c>
      <c r="N871" s="604">
        <f t="shared" si="268"/>
        <v>0</v>
      </c>
      <c r="O871" s="604">
        <f t="shared" si="269"/>
        <v>0</v>
      </c>
      <c r="P871" s="604">
        <f t="shared" si="270"/>
        <v>0</v>
      </c>
      <c r="Q871" s="604">
        <f t="shared" si="271"/>
        <v>0</v>
      </c>
      <c r="R871" s="604">
        <f t="shared" si="272"/>
        <v>0</v>
      </c>
      <c r="S871" s="604">
        <f t="shared" si="273"/>
        <v>0</v>
      </c>
      <c r="T871" s="604">
        <f t="shared" si="274"/>
        <v>0</v>
      </c>
      <c r="U871" s="604">
        <f t="shared" si="275"/>
        <v>0</v>
      </c>
      <c r="V871" s="604">
        <f t="shared" si="276"/>
        <v>0</v>
      </c>
      <c r="W871" s="604">
        <f t="shared" si="277"/>
        <v>0</v>
      </c>
      <c r="X871" s="746">
        <v>0</v>
      </c>
      <c r="Y871" s="746">
        <f t="shared" si="278"/>
        <v>0</v>
      </c>
    </row>
    <row r="872" spans="2:25">
      <c r="B872" s="598" t="s">
        <v>2595</v>
      </c>
      <c r="C872" s="604" t="s">
        <v>864</v>
      </c>
      <c r="D872" s="745">
        <v>2015</v>
      </c>
      <c r="E872" s="604" t="s">
        <v>3589</v>
      </c>
      <c r="F872" s="738">
        <v>0.15</v>
      </c>
      <c r="G872" s="739">
        <v>13500</v>
      </c>
      <c r="H872" s="741"/>
      <c r="I872" s="742"/>
      <c r="J872" s="740"/>
      <c r="K872" s="739">
        <v>13500</v>
      </c>
      <c r="L872" s="864">
        <f t="shared" si="267"/>
        <v>0</v>
      </c>
      <c r="M872" s="740">
        <f t="shared" si="279"/>
        <v>0</v>
      </c>
      <c r="N872" s="604">
        <f t="shared" si="268"/>
        <v>0</v>
      </c>
      <c r="O872" s="604">
        <f t="shared" si="269"/>
        <v>0</v>
      </c>
      <c r="P872" s="604">
        <f t="shared" si="270"/>
        <v>0</v>
      </c>
      <c r="Q872" s="604">
        <f t="shared" si="271"/>
        <v>0</v>
      </c>
      <c r="R872" s="604">
        <f t="shared" si="272"/>
        <v>0</v>
      </c>
      <c r="S872" s="604">
        <f t="shared" si="273"/>
        <v>0</v>
      </c>
      <c r="T872" s="604">
        <f t="shared" si="274"/>
        <v>0</v>
      </c>
      <c r="U872" s="604">
        <f t="shared" si="275"/>
        <v>0</v>
      </c>
      <c r="V872" s="604">
        <f t="shared" si="276"/>
        <v>0</v>
      </c>
      <c r="W872" s="604">
        <f t="shared" si="277"/>
        <v>0</v>
      </c>
      <c r="X872" s="746">
        <v>0</v>
      </c>
      <c r="Y872" s="746">
        <f t="shared" si="278"/>
        <v>0</v>
      </c>
    </row>
    <row r="873" spans="2:25">
      <c r="B873" s="598" t="s">
        <v>2595</v>
      </c>
      <c r="C873" s="604" t="s">
        <v>864</v>
      </c>
      <c r="D873" s="745">
        <v>2015</v>
      </c>
      <c r="E873" s="604" t="s">
        <v>3504</v>
      </c>
      <c r="F873" s="738">
        <v>0.15</v>
      </c>
      <c r="G873" s="739">
        <v>635</v>
      </c>
      <c r="H873" s="741"/>
      <c r="I873" s="742"/>
      <c r="J873" s="740"/>
      <c r="K873" s="739">
        <v>635</v>
      </c>
      <c r="L873" s="864">
        <f t="shared" si="267"/>
        <v>0</v>
      </c>
      <c r="M873" s="740">
        <f t="shared" si="279"/>
        <v>0</v>
      </c>
      <c r="N873" s="604">
        <f t="shared" si="268"/>
        <v>0</v>
      </c>
      <c r="O873" s="604">
        <f t="shared" si="269"/>
        <v>0</v>
      </c>
      <c r="P873" s="604">
        <f t="shared" si="270"/>
        <v>0</v>
      </c>
      <c r="Q873" s="604">
        <f t="shared" si="271"/>
        <v>0</v>
      </c>
      <c r="R873" s="604">
        <f t="shared" si="272"/>
        <v>0</v>
      </c>
      <c r="S873" s="604">
        <f t="shared" si="273"/>
        <v>0</v>
      </c>
      <c r="T873" s="604">
        <f t="shared" si="274"/>
        <v>0</v>
      </c>
      <c r="U873" s="604">
        <f t="shared" si="275"/>
        <v>0</v>
      </c>
      <c r="V873" s="604">
        <f t="shared" si="276"/>
        <v>0</v>
      </c>
      <c r="W873" s="604">
        <f t="shared" si="277"/>
        <v>0</v>
      </c>
      <c r="X873" s="746">
        <v>0</v>
      </c>
      <c r="Y873" s="746">
        <f t="shared" si="278"/>
        <v>0</v>
      </c>
    </row>
    <row r="874" spans="2:25">
      <c r="B874" s="598" t="s">
        <v>2595</v>
      </c>
      <c r="C874" s="604" t="s">
        <v>864</v>
      </c>
      <c r="D874" s="745">
        <v>2015</v>
      </c>
      <c r="E874" s="604" t="s">
        <v>3590</v>
      </c>
      <c r="F874" s="738">
        <v>0.15</v>
      </c>
      <c r="G874" s="739">
        <v>192.7</v>
      </c>
      <c r="H874" s="741"/>
      <c r="I874" s="742"/>
      <c r="J874" s="740"/>
      <c r="K874" s="739">
        <v>192.7</v>
      </c>
      <c r="L874" s="864">
        <f t="shared" si="267"/>
        <v>0</v>
      </c>
      <c r="M874" s="740">
        <f t="shared" si="279"/>
        <v>0</v>
      </c>
      <c r="N874" s="604">
        <f t="shared" si="268"/>
        <v>0</v>
      </c>
      <c r="O874" s="604">
        <f t="shared" si="269"/>
        <v>0</v>
      </c>
      <c r="P874" s="604">
        <f t="shared" si="270"/>
        <v>0</v>
      </c>
      <c r="Q874" s="604">
        <f t="shared" si="271"/>
        <v>0</v>
      </c>
      <c r="R874" s="604">
        <f t="shared" si="272"/>
        <v>0</v>
      </c>
      <c r="S874" s="604">
        <f t="shared" si="273"/>
        <v>0</v>
      </c>
      <c r="T874" s="604">
        <f t="shared" si="274"/>
        <v>0</v>
      </c>
      <c r="U874" s="604">
        <f t="shared" si="275"/>
        <v>0</v>
      </c>
      <c r="V874" s="604">
        <f t="shared" si="276"/>
        <v>0</v>
      </c>
      <c r="W874" s="604">
        <f t="shared" si="277"/>
        <v>0</v>
      </c>
      <c r="X874" s="746">
        <v>0</v>
      </c>
      <c r="Y874" s="746">
        <f t="shared" si="278"/>
        <v>0</v>
      </c>
    </row>
    <row r="875" spans="2:25">
      <c r="B875" s="598" t="s">
        <v>2595</v>
      </c>
      <c r="C875" s="604" t="s">
        <v>864</v>
      </c>
      <c r="D875" s="745">
        <v>2015</v>
      </c>
      <c r="E875" s="604" t="s">
        <v>3591</v>
      </c>
      <c r="F875" s="738">
        <v>0.15</v>
      </c>
      <c r="G875" s="739">
        <v>11550</v>
      </c>
      <c r="H875" s="741"/>
      <c r="I875" s="742"/>
      <c r="J875" s="740"/>
      <c r="K875" s="739">
        <v>11550</v>
      </c>
      <c r="L875" s="864">
        <f t="shared" si="267"/>
        <v>0</v>
      </c>
      <c r="M875" s="740">
        <f t="shared" si="279"/>
        <v>0</v>
      </c>
      <c r="N875" s="604">
        <f t="shared" si="268"/>
        <v>0</v>
      </c>
      <c r="O875" s="604">
        <f t="shared" si="269"/>
        <v>0</v>
      </c>
      <c r="P875" s="604">
        <f t="shared" si="270"/>
        <v>0</v>
      </c>
      <c r="Q875" s="604">
        <f t="shared" si="271"/>
        <v>0</v>
      </c>
      <c r="R875" s="604">
        <f t="shared" si="272"/>
        <v>0</v>
      </c>
      <c r="S875" s="604">
        <f t="shared" si="273"/>
        <v>0</v>
      </c>
      <c r="T875" s="604">
        <f t="shared" si="274"/>
        <v>0</v>
      </c>
      <c r="U875" s="604">
        <f t="shared" si="275"/>
        <v>0</v>
      </c>
      <c r="V875" s="604">
        <f t="shared" si="276"/>
        <v>0</v>
      </c>
      <c r="W875" s="604">
        <f t="shared" si="277"/>
        <v>0</v>
      </c>
      <c r="X875" s="746">
        <v>0</v>
      </c>
      <c r="Y875" s="746">
        <f t="shared" si="278"/>
        <v>0</v>
      </c>
    </row>
    <row r="876" spans="2:25">
      <c r="B876" s="598" t="s">
        <v>2595</v>
      </c>
      <c r="C876" s="604" t="s">
        <v>864</v>
      </c>
      <c r="D876" s="745">
        <v>2015</v>
      </c>
      <c r="E876" s="604" t="s">
        <v>3592</v>
      </c>
      <c r="F876" s="738">
        <v>0.15</v>
      </c>
      <c r="G876" s="739">
        <v>26250</v>
      </c>
      <c r="H876" s="741"/>
      <c r="I876" s="742"/>
      <c r="J876" s="740"/>
      <c r="K876" s="739">
        <v>26250</v>
      </c>
      <c r="L876" s="864">
        <f t="shared" si="267"/>
        <v>0</v>
      </c>
      <c r="M876" s="740">
        <f t="shared" si="279"/>
        <v>0</v>
      </c>
      <c r="N876" s="604">
        <f t="shared" si="268"/>
        <v>0</v>
      </c>
      <c r="O876" s="604">
        <f t="shared" si="269"/>
        <v>0</v>
      </c>
      <c r="P876" s="604">
        <f t="shared" si="270"/>
        <v>0</v>
      </c>
      <c r="Q876" s="604">
        <f t="shared" si="271"/>
        <v>0</v>
      </c>
      <c r="R876" s="604">
        <f t="shared" si="272"/>
        <v>0</v>
      </c>
      <c r="S876" s="604">
        <f t="shared" si="273"/>
        <v>0</v>
      </c>
      <c r="T876" s="604">
        <f t="shared" si="274"/>
        <v>0</v>
      </c>
      <c r="U876" s="604">
        <f t="shared" si="275"/>
        <v>0</v>
      </c>
      <c r="V876" s="604">
        <f t="shared" si="276"/>
        <v>0</v>
      </c>
      <c r="W876" s="604">
        <f t="shared" si="277"/>
        <v>0</v>
      </c>
      <c r="X876" s="746">
        <v>0</v>
      </c>
      <c r="Y876" s="746">
        <f t="shared" si="278"/>
        <v>0</v>
      </c>
    </row>
    <row r="877" spans="2:25">
      <c r="B877" s="598" t="s">
        <v>2595</v>
      </c>
      <c r="C877" s="604" t="s">
        <v>864</v>
      </c>
      <c r="D877" s="745">
        <v>2015</v>
      </c>
      <c r="E877" s="604" t="s">
        <v>3567</v>
      </c>
      <c r="F877" s="738">
        <v>0.15</v>
      </c>
      <c r="G877" s="739">
        <v>239120</v>
      </c>
      <c r="H877" s="741"/>
      <c r="I877" s="742"/>
      <c r="J877" s="740"/>
      <c r="K877" s="739">
        <v>239120</v>
      </c>
      <c r="L877" s="864">
        <f t="shared" si="267"/>
        <v>0</v>
      </c>
      <c r="M877" s="740">
        <f t="shared" si="279"/>
        <v>0</v>
      </c>
      <c r="N877" s="604">
        <f t="shared" si="268"/>
        <v>0</v>
      </c>
      <c r="O877" s="604">
        <f t="shared" si="269"/>
        <v>0</v>
      </c>
      <c r="P877" s="604">
        <f t="shared" si="270"/>
        <v>0</v>
      </c>
      <c r="Q877" s="604">
        <f t="shared" si="271"/>
        <v>0</v>
      </c>
      <c r="R877" s="604">
        <f t="shared" si="272"/>
        <v>0</v>
      </c>
      <c r="S877" s="604">
        <f t="shared" si="273"/>
        <v>0</v>
      </c>
      <c r="T877" s="604">
        <f t="shared" si="274"/>
        <v>0</v>
      </c>
      <c r="U877" s="604">
        <f t="shared" si="275"/>
        <v>0</v>
      </c>
      <c r="V877" s="604">
        <f t="shared" si="276"/>
        <v>0</v>
      </c>
      <c r="W877" s="604">
        <f t="shared" si="277"/>
        <v>0</v>
      </c>
      <c r="X877" s="746">
        <v>0</v>
      </c>
      <c r="Y877" s="746">
        <f t="shared" si="278"/>
        <v>0</v>
      </c>
    </row>
    <row r="878" spans="2:25">
      <c r="B878" s="598" t="s">
        <v>2595</v>
      </c>
      <c r="C878" s="604" t="s">
        <v>864</v>
      </c>
      <c r="D878" s="745">
        <v>2015</v>
      </c>
      <c r="E878" s="604" t="s">
        <v>3593</v>
      </c>
      <c r="F878" s="738">
        <v>0.15</v>
      </c>
      <c r="G878" s="739">
        <v>17000</v>
      </c>
      <c r="H878" s="741"/>
      <c r="I878" s="742"/>
      <c r="J878" s="740"/>
      <c r="K878" s="739">
        <v>17000</v>
      </c>
      <c r="L878" s="864">
        <f t="shared" si="267"/>
        <v>0</v>
      </c>
      <c r="M878" s="740">
        <f t="shared" si="279"/>
        <v>0</v>
      </c>
      <c r="N878" s="604">
        <f t="shared" si="268"/>
        <v>0</v>
      </c>
      <c r="O878" s="604">
        <f t="shared" si="269"/>
        <v>0</v>
      </c>
      <c r="P878" s="604">
        <f t="shared" si="270"/>
        <v>0</v>
      </c>
      <c r="Q878" s="604">
        <f t="shared" si="271"/>
        <v>0</v>
      </c>
      <c r="R878" s="604">
        <f t="shared" si="272"/>
        <v>0</v>
      </c>
      <c r="S878" s="604">
        <f t="shared" si="273"/>
        <v>0</v>
      </c>
      <c r="T878" s="604">
        <f t="shared" si="274"/>
        <v>0</v>
      </c>
      <c r="U878" s="604">
        <f t="shared" si="275"/>
        <v>0</v>
      </c>
      <c r="V878" s="604">
        <f t="shared" si="276"/>
        <v>0</v>
      </c>
      <c r="W878" s="604">
        <f t="shared" si="277"/>
        <v>0</v>
      </c>
      <c r="X878" s="746">
        <v>0</v>
      </c>
      <c r="Y878" s="746">
        <f t="shared" si="278"/>
        <v>0</v>
      </c>
    </row>
    <row r="879" spans="2:25">
      <c r="B879" s="598" t="s">
        <v>2595</v>
      </c>
      <c r="C879" s="604" t="s">
        <v>864</v>
      </c>
      <c r="D879" s="745">
        <v>2015</v>
      </c>
      <c r="E879" s="604" t="s">
        <v>3577</v>
      </c>
      <c r="F879" s="738">
        <v>0.15</v>
      </c>
      <c r="G879" s="739">
        <v>18000</v>
      </c>
      <c r="H879" s="741"/>
      <c r="I879" s="742"/>
      <c r="J879" s="740"/>
      <c r="K879" s="739">
        <v>18000</v>
      </c>
      <c r="L879" s="864">
        <f t="shared" si="267"/>
        <v>0</v>
      </c>
      <c r="M879" s="740">
        <f t="shared" si="279"/>
        <v>0</v>
      </c>
      <c r="N879" s="604">
        <f t="shared" si="268"/>
        <v>0</v>
      </c>
      <c r="O879" s="604">
        <f t="shared" si="269"/>
        <v>0</v>
      </c>
      <c r="P879" s="604">
        <f t="shared" si="270"/>
        <v>0</v>
      </c>
      <c r="Q879" s="604">
        <f t="shared" si="271"/>
        <v>0</v>
      </c>
      <c r="R879" s="604">
        <f t="shared" si="272"/>
        <v>0</v>
      </c>
      <c r="S879" s="604">
        <f t="shared" si="273"/>
        <v>0</v>
      </c>
      <c r="T879" s="604">
        <f t="shared" si="274"/>
        <v>0</v>
      </c>
      <c r="U879" s="604">
        <f t="shared" si="275"/>
        <v>0</v>
      </c>
      <c r="V879" s="604">
        <f t="shared" si="276"/>
        <v>0</v>
      </c>
      <c r="W879" s="604">
        <f t="shared" si="277"/>
        <v>0</v>
      </c>
      <c r="X879" s="746">
        <v>0</v>
      </c>
      <c r="Y879" s="746">
        <f t="shared" si="278"/>
        <v>0</v>
      </c>
    </row>
    <row r="880" spans="2:25">
      <c r="B880" s="598" t="s">
        <v>2595</v>
      </c>
      <c r="C880" s="604" t="s">
        <v>864</v>
      </c>
      <c r="D880" s="745">
        <v>2015</v>
      </c>
      <c r="E880" s="604" t="s">
        <v>3594</v>
      </c>
      <c r="F880" s="738">
        <v>0.15</v>
      </c>
      <c r="G880" s="739">
        <v>15000</v>
      </c>
      <c r="H880" s="741"/>
      <c r="I880" s="742"/>
      <c r="J880" s="740"/>
      <c r="K880" s="739">
        <v>15000</v>
      </c>
      <c r="L880" s="864">
        <f t="shared" si="267"/>
        <v>0</v>
      </c>
      <c r="M880" s="740">
        <f t="shared" si="279"/>
        <v>0</v>
      </c>
      <c r="N880" s="604">
        <f t="shared" si="268"/>
        <v>0</v>
      </c>
      <c r="O880" s="604">
        <f t="shared" si="269"/>
        <v>0</v>
      </c>
      <c r="P880" s="604">
        <f t="shared" si="270"/>
        <v>0</v>
      </c>
      <c r="Q880" s="604">
        <f t="shared" si="271"/>
        <v>0</v>
      </c>
      <c r="R880" s="604">
        <f t="shared" si="272"/>
        <v>0</v>
      </c>
      <c r="S880" s="604">
        <f t="shared" si="273"/>
        <v>0</v>
      </c>
      <c r="T880" s="604">
        <f t="shared" si="274"/>
        <v>0</v>
      </c>
      <c r="U880" s="604">
        <f t="shared" si="275"/>
        <v>0</v>
      </c>
      <c r="V880" s="604">
        <f t="shared" si="276"/>
        <v>0</v>
      </c>
      <c r="W880" s="604">
        <f t="shared" si="277"/>
        <v>0</v>
      </c>
      <c r="X880" s="746">
        <v>0</v>
      </c>
      <c r="Y880" s="746">
        <f t="shared" si="278"/>
        <v>0</v>
      </c>
    </row>
    <row r="881" spans="2:25">
      <c r="B881" s="598" t="s">
        <v>2595</v>
      </c>
      <c r="C881" s="604" t="s">
        <v>864</v>
      </c>
      <c r="D881" s="745">
        <v>2015</v>
      </c>
      <c r="E881" s="604" t="s">
        <v>3595</v>
      </c>
      <c r="F881" s="738">
        <v>0.15</v>
      </c>
      <c r="G881" s="739">
        <v>10000</v>
      </c>
      <c r="H881" s="741"/>
      <c r="I881" s="742"/>
      <c r="J881" s="740"/>
      <c r="K881" s="739">
        <v>10000</v>
      </c>
      <c r="L881" s="864">
        <f t="shared" si="267"/>
        <v>0</v>
      </c>
      <c r="M881" s="740">
        <f t="shared" si="279"/>
        <v>0</v>
      </c>
      <c r="N881" s="604">
        <f t="shared" si="268"/>
        <v>0</v>
      </c>
      <c r="O881" s="604">
        <f t="shared" si="269"/>
        <v>0</v>
      </c>
      <c r="P881" s="604">
        <f t="shared" si="270"/>
        <v>0</v>
      </c>
      <c r="Q881" s="604">
        <f t="shared" si="271"/>
        <v>0</v>
      </c>
      <c r="R881" s="604">
        <f t="shared" si="272"/>
        <v>0</v>
      </c>
      <c r="S881" s="604">
        <f t="shared" si="273"/>
        <v>0</v>
      </c>
      <c r="T881" s="604">
        <f t="shared" si="274"/>
        <v>0</v>
      </c>
      <c r="U881" s="604">
        <f t="shared" si="275"/>
        <v>0</v>
      </c>
      <c r="V881" s="604">
        <f t="shared" si="276"/>
        <v>0</v>
      </c>
      <c r="W881" s="604">
        <f t="shared" si="277"/>
        <v>0</v>
      </c>
      <c r="X881" s="746">
        <v>0</v>
      </c>
      <c r="Y881" s="746">
        <f t="shared" si="278"/>
        <v>0</v>
      </c>
    </row>
    <row r="882" spans="2:25">
      <c r="B882" s="598" t="s">
        <v>2595</v>
      </c>
      <c r="C882" s="604" t="s">
        <v>864</v>
      </c>
      <c r="D882" s="745">
        <v>2015</v>
      </c>
      <c r="E882" s="604" t="s">
        <v>3596</v>
      </c>
      <c r="F882" s="738">
        <v>0.15</v>
      </c>
      <c r="G882" s="739">
        <v>2000</v>
      </c>
      <c r="H882" s="741"/>
      <c r="I882" s="742"/>
      <c r="J882" s="740"/>
      <c r="K882" s="739">
        <v>2000</v>
      </c>
      <c r="L882" s="864">
        <f t="shared" si="267"/>
        <v>0</v>
      </c>
      <c r="M882" s="740">
        <f t="shared" si="279"/>
        <v>0</v>
      </c>
      <c r="N882" s="604">
        <f t="shared" si="268"/>
        <v>0</v>
      </c>
      <c r="O882" s="604">
        <f t="shared" si="269"/>
        <v>0</v>
      </c>
      <c r="P882" s="604">
        <f t="shared" si="270"/>
        <v>0</v>
      </c>
      <c r="Q882" s="604">
        <f t="shared" si="271"/>
        <v>0</v>
      </c>
      <c r="R882" s="604">
        <f t="shared" si="272"/>
        <v>0</v>
      </c>
      <c r="S882" s="604">
        <f t="shared" si="273"/>
        <v>0</v>
      </c>
      <c r="T882" s="604">
        <f t="shared" si="274"/>
        <v>0</v>
      </c>
      <c r="U882" s="604">
        <f t="shared" si="275"/>
        <v>0</v>
      </c>
      <c r="V882" s="604">
        <f t="shared" si="276"/>
        <v>0</v>
      </c>
      <c r="W882" s="604">
        <f t="shared" si="277"/>
        <v>0</v>
      </c>
      <c r="X882" s="746">
        <v>0</v>
      </c>
      <c r="Y882" s="746">
        <f t="shared" si="278"/>
        <v>0</v>
      </c>
    </row>
    <row r="883" spans="2:25">
      <c r="B883" s="598" t="s">
        <v>2595</v>
      </c>
      <c r="C883" s="604" t="s">
        <v>864</v>
      </c>
      <c r="D883" s="745">
        <v>2015</v>
      </c>
      <c r="E883" s="604" t="s">
        <v>3597</v>
      </c>
      <c r="F883" s="738">
        <v>0.15</v>
      </c>
      <c r="G883" s="739">
        <v>5000</v>
      </c>
      <c r="H883" s="741"/>
      <c r="I883" s="742"/>
      <c r="J883" s="740"/>
      <c r="K883" s="739">
        <v>5000</v>
      </c>
      <c r="L883" s="864">
        <f t="shared" si="267"/>
        <v>0</v>
      </c>
      <c r="M883" s="740">
        <f t="shared" si="279"/>
        <v>0</v>
      </c>
      <c r="N883" s="604">
        <f t="shared" si="268"/>
        <v>0</v>
      </c>
      <c r="O883" s="604">
        <f t="shared" si="269"/>
        <v>0</v>
      </c>
      <c r="P883" s="604">
        <f t="shared" si="270"/>
        <v>0</v>
      </c>
      <c r="Q883" s="604">
        <f t="shared" si="271"/>
        <v>0</v>
      </c>
      <c r="R883" s="604">
        <f t="shared" si="272"/>
        <v>0</v>
      </c>
      <c r="S883" s="604">
        <f t="shared" si="273"/>
        <v>0</v>
      </c>
      <c r="T883" s="604">
        <f t="shared" si="274"/>
        <v>0</v>
      </c>
      <c r="U883" s="604">
        <f t="shared" si="275"/>
        <v>0</v>
      </c>
      <c r="V883" s="604">
        <f t="shared" si="276"/>
        <v>0</v>
      </c>
      <c r="W883" s="604">
        <f t="shared" si="277"/>
        <v>0</v>
      </c>
      <c r="X883" s="746">
        <v>0</v>
      </c>
      <c r="Y883" s="746">
        <f t="shared" si="278"/>
        <v>0</v>
      </c>
    </row>
    <row r="884" spans="2:25">
      <c r="B884" s="598" t="s">
        <v>2595</v>
      </c>
      <c r="C884" s="604" t="s">
        <v>864</v>
      </c>
      <c r="D884" s="745">
        <v>2015</v>
      </c>
      <c r="E884" s="604" t="s">
        <v>3598</v>
      </c>
      <c r="F884" s="738">
        <v>0.15</v>
      </c>
      <c r="G884" s="739">
        <v>1500</v>
      </c>
      <c r="H884" s="741"/>
      <c r="I884" s="742"/>
      <c r="J884" s="740"/>
      <c r="K884" s="739">
        <v>1500</v>
      </c>
      <c r="L884" s="864">
        <f t="shared" ref="L884:L947" si="280">+G884-K884</f>
        <v>0</v>
      </c>
      <c r="M884" s="740">
        <f t="shared" si="279"/>
        <v>0</v>
      </c>
      <c r="N884" s="604">
        <f t="shared" si="268"/>
        <v>0</v>
      </c>
      <c r="O884" s="604">
        <f t="shared" si="269"/>
        <v>0</v>
      </c>
      <c r="P884" s="604">
        <f t="shared" si="270"/>
        <v>0</v>
      </c>
      <c r="Q884" s="604">
        <f t="shared" si="271"/>
        <v>0</v>
      </c>
      <c r="R884" s="604">
        <f t="shared" si="272"/>
        <v>0</v>
      </c>
      <c r="S884" s="604">
        <f t="shared" si="273"/>
        <v>0</v>
      </c>
      <c r="T884" s="604">
        <f t="shared" si="274"/>
        <v>0</v>
      </c>
      <c r="U884" s="604">
        <f t="shared" si="275"/>
        <v>0</v>
      </c>
      <c r="V884" s="604">
        <f t="shared" si="276"/>
        <v>0</v>
      </c>
      <c r="W884" s="604">
        <f t="shared" si="277"/>
        <v>0</v>
      </c>
      <c r="X884" s="746">
        <v>0</v>
      </c>
      <c r="Y884" s="746">
        <f t="shared" si="278"/>
        <v>0</v>
      </c>
    </row>
    <row r="885" spans="2:25">
      <c r="B885" s="598" t="s">
        <v>2595</v>
      </c>
      <c r="C885" s="604" t="s">
        <v>864</v>
      </c>
      <c r="D885" s="745">
        <v>2015</v>
      </c>
      <c r="E885" s="604" t="s">
        <v>3599</v>
      </c>
      <c r="F885" s="738">
        <v>0.15</v>
      </c>
      <c r="G885" s="739">
        <v>1500</v>
      </c>
      <c r="H885" s="741"/>
      <c r="I885" s="742"/>
      <c r="J885" s="740"/>
      <c r="K885" s="739">
        <v>1500</v>
      </c>
      <c r="L885" s="864">
        <f t="shared" si="280"/>
        <v>0</v>
      </c>
      <c r="M885" s="740">
        <f t="shared" si="279"/>
        <v>0</v>
      </c>
      <c r="N885" s="604">
        <f t="shared" si="268"/>
        <v>0</v>
      </c>
      <c r="O885" s="604">
        <f t="shared" si="269"/>
        <v>0</v>
      </c>
      <c r="P885" s="604">
        <f t="shared" si="270"/>
        <v>0</v>
      </c>
      <c r="Q885" s="604">
        <f t="shared" si="271"/>
        <v>0</v>
      </c>
      <c r="R885" s="604">
        <f t="shared" si="272"/>
        <v>0</v>
      </c>
      <c r="S885" s="604">
        <f t="shared" si="273"/>
        <v>0</v>
      </c>
      <c r="T885" s="604">
        <f t="shared" si="274"/>
        <v>0</v>
      </c>
      <c r="U885" s="604">
        <f t="shared" si="275"/>
        <v>0</v>
      </c>
      <c r="V885" s="604">
        <f t="shared" si="276"/>
        <v>0</v>
      </c>
      <c r="W885" s="604">
        <f t="shared" si="277"/>
        <v>0</v>
      </c>
      <c r="X885" s="746">
        <v>0</v>
      </c>
      <c r="Y885" s="746">
        <f t="shared" si="278"/>
        <v>0</v>
      </c>
    </row>
    <row r="886" spans="2:25">
      <c r="B886" s="598" t="s">
        <v>2595</v>
      </c>
      <c r="C886" s="604" t="s">
        <v>864</v>
      </c>
      <c r="D886" s="745">
        <v>2015</v>
      </c>
      <c r="E886" s="604" t="s">
        <v>3600</v>
      </c>
      <c r="F886" s="738">
        <v>0.15</v>
      </c>
      <c r="G886" s="739">
        <v>6000</v>
      </c>
      <c r="H886" s="741"/>
      <c r="I886" s="742"/>
      <c r="J886" s="740"/>
      <c r="K886" s="739">
        <v>6000</v>
      </c>
      <c r="L886" s="864">
        <f t="shared" si="280"/>
        <v>0</v>
      </c>
      <c r="M886" s="740">
        <f t="shared" si="279"/>
        <v>0</v>
      </c>
      <c r="N886" s="604">
        <f t="shared" si="268"/>
        <v>0</v>
      </c>
      <c r="O886" s="604">
        <f t="shared" si="269"/>
        <v>0</v>
      </c>
      <c r="P886" s="604">
        <f t="shared" si="270"/>
        <v>0</v>
      </c>
      <c r="Q886" s="604">
        <f t="shared" si="271"/>
        <v>0</v>
      </c>
      <c r="R886" s="604">
        <f t="shared" si="272"/>
        <v>0</v>
      </c>
      <c r="S886" s="604">
        <f t="shared" si="273"/>
        <v>0</v>
      </c>
      <c r="T886" s="604">
        <f t="shared" si="274"/>
        <v>0</v>
      </c>
      <c r="U886" s="604">
        <f t="shared" si="275"/>
        <v>0</v>
      </c>
      <c r="V886" s="604">
        <f t="shared" si="276"/>
        <v>0</v>
      </c>
      <c r="W886" s="604">
        <f t="shared" si="277"/>
        <v>0</v>
      </c>
      <c r="X886" s="746">
        <v>0</v>
      </c>
      <c r="Y886" s="746">
        <f t="shared" si="278"/>
        <v>0</v>
      </c>
    </row>
    <row r="887" spans="2:25">
      <c r="B887" s="598" t="s">
        <v>2595</v>
      </c>
      <c r="C887" s="604" t="s">
        <v>864</v>
      </c>
      <c r="D887" s="745">
        <v>2015</v>
      </c>
      <c r="E887" s="604" t="s">
        <v>3601</v>
      </c>
      <c r="F887" s="738">
        <v>0.15</v>
      </c>
      <c r="G887" s="739">
        <v>5000</v>
      </c>
      <c r="H887" s="741"/>
      <c r="I887" s="742"/>
      <c r="J887" s="740"/>
      <c r="K887" s="739">
        <v>5000</v>
      </c>
      <c r="L887" s="864">
        <f t="shared" si="280"/>
        <v>0</v>
      </c>
      <c r="M887" s="740">
        <f t="shared" si="279"/>
        <v>0</v>
      </c>
      <c r="N887" s="604">
        <f t="shared" si="268"/>
        <v>0</v>
      </c>
      <c r="O887" s="604">
        <f t="shared" si="269"/>
        <v>0</v>
      </c>
      <c r="P887" s="604">
        <f t="shared" si="270"/>
        <v>0</v>
      </c>
      <c r="Q887" s="604">
        <f t="shared" si="271"/>
        <v>0</v>
      </c>
      <c r="R887" s="604">
        <f t="shared" si="272"/>
        <v>0</v>
      </c>
      <c r="S887" s="604">
        <f t="shared" si="273"/>
        <v>0</v>
      </c>
      <c r="T887" s="604">
        <f t="shared" si="274"/>
        <v>0</v>
      </c>
      <c r="U887" s="604">
        <f t="shared" si="275"/>
        <v>0</v>
      </c>
      <c r="V887" s="604">
        <f t="shared" si="276"/>
        <v>0</v>
      </c>
      <c r="W887" s="604">
        <f t="shared" si="277"/>
        <v>0</v>
      </c>
      <c r="X887" s="746">
        <v>0</v>
      </c>
      <c r="Y887" s="746">
        <f t="shared" si="278"/>
        <v>0</v>
      </c>
    </row>
    <row r="888" spans="2:25">
      <c r="B888" s="598" t="s">
        <v>2595</v>
      </c>
      <c r="C888" s="604" t="s">
        <v>864</v>
      </c>
      <c r="D888" s="745">
        <v>2015</v>
      </c>
      <c r="E888" s="604" t="s">
        <v>3602</v>
      </c>
      <c r="F888" s="738">
        <v>0.15</v>
      </c>
      <c r="G888" s="739">
        <v>40000</v>
      </c>
      <c r="H888" s="741"/>
      <c r="I888" s="742"/>
      <c r="J888" s="740"/>
      <c r="K888" s="739">
        <v>40000</v>
      </c>
      <c r="L888" s="864">
        <f t="shared" si="280"/>
        <v>0</v>
      </c>
      <c r="M888" s="740">
        <f t="shared" si="279"/>
        <v>0</v>
      </c>
      <c r="N888" s="604">
        <f t="shared" si="268"/>
        <v>0</v>
      </c>
      <c r="O888" s="604">
        <f t="shared" si="269"/>
        <v>0</v>
      </c>
      <c r="P888" s="604">
        <f t="shared" si="270"/>
        <v>0</v>
      </c>
      <c r="Q888" s="604">
        <f t="shared" si="271"/>
        <v>0</v>
      </c>
      <c r="R888" s="604">
        <f t="shared" si="272"/>
        <v>0</v>
      </c>
      <c r="S888" s="604">
        <f t="shared" si="273"/>
        <v>0</v>
      </c>
      <c r="T888" s="604">
        <f t="shared" si="274"/>
        <v>0</v>
      </c>
      <c r="U888" s="604">
        <f t="shared" si="275"/>
        <v>0</v>
      </c>
      <c r="V888" s="604">
        <f t="shared" si="276"/>
        <v>0</v>
      </c>
      <c r="W888" s="604">
        <f t="shared" si="277"/>
        <v>0</v>
      </c>
      <c r="X888" s="746">
        <v>0</v>
      </c>
      <c r="Y888" s="746">
        <f t="shared" si="278"/>
        <v>0</v>
      </c>
    </row>
    <row r="889" spans="2:25">
      <c r="B889" s="598" t="s">
        <v>2595</v>
      </c>
      <c r="C889" s="604" t="s">
        <v>864</v>
      </c>
      <c r="D889" s="745">
        <v>2015</v>
      </c>
      <c r="E889" s="604" t="s">
        <v>3502</v>
      </c>
      <c r="F889" s="738">
        <v>0.15</v>
      </c>
      <c r="G889" s="739">
        <v>4500</v>
      </c>
      <c r="H889" s="741"/>
      <c r="I889" s="742"/>
      <c r="J889" s="740"/>
      <c r="K889" s="739">
        <v>4500</v>
      </c>
      <c r="L889" s="864">
        <f t="shared" si="280"/>
        <v>0</v>
      </c>
      <c r="M889" s="740">
        <f t="shared" si="279"/>
        <v>0</v>
      </c>
      <c r="N889" s="604">
        <f t="shared" si="268"/>
        <v>0</v>
      </c>
      <c r="O889" s="604">
        <f t="shared" si="269"/>
        <v>0</v>
      </c>
      <c r="P889" s="604">
        <f t="shared" si="270"/>
        <v>0</v>
      </c>
      <c r="Q889" s="604">
        <f t="shared" si="271"/>
        <v>0</v>
      </c>
      <c r="R889" s="604">
        <f t="shared" si="272"/>
        <v>0</v>
      </c>
      <c r="S889" s="604">
        <f t="shared" si="273"/>
        <v>0</v>
      </c>
      <c r="T889" s="604">
        <f t="shared" si="274"/>
        <v>0</v>
      </c>
      <c r="U889" s="604">
        <f t="shared" si="275"/>
        <v>0</v>
      </c>
      <c r="V889" s="604">
        <f t="shared" si="276"/>
        <v>0</v>
      </c>
      <c r="W889" s="604">
        <f t="shared" si="277"/>
        <v>0</v>
      </c>
      <c r="X889" s="746">
        <v>0</v>
      </c>
      <c r="Y889" s="746">
        <f t="shared" si="278"/>
        <v>0</v>
      </c>
    </row>
    <row r="890" spans="2:25">
      <c r="B890" s="598" t="s">
        <v>2595</v>
      </c>
      <c r="C890" s="604" t="s">
        <v>864</v>
      </c>
      <c r="D890" s="745">
        <v>2015</v>
      </c>
      <c r="E890" s="604" t="s">
        <v>3502</v>
      </c>
      <c r="F890" s="738">
        <v>0.15</v>
      </c>
      <c r="G890" s="739">
        <v>4500</v>
      </c>
      <c r="H890" s="741"/>
      <c r="I890" s="742"/>
      <c r="J890" s="740"/>
      <c r="K890" s="739">
        <v>4500</v>
      </c>
      <c r="L890" s="864">
        <f t="shared" si="280"/>
        <v>0</v>
      </c>
      <c r="M890" s="740">
        <f t="shared" si="279"/>
        <v>0</v>
      </c>
      <c r="N890" s="604">
        <f t="shared" si="268"/>
        <v>0</v>
      </c>
      <c r="O890" s="604">
        <f t="shared" si="269"/>
        <v>0</v>
      </c>
      <c r="P890" s="604">
        <f t="shared" si="270"/>
        <v>0</v>
      </c>
      <c r="Q890" s="604">
        <f t="shared" si="271"/>
        <v>0</v>
      </c>
      <c r="R890" s="604">
        <f t="shared" si="272"/>
        <v>0</v>
      </c>
      <c r="S890" s="604">
        <f t="shared" si="273"/>
        <v>0</v>
      </c>
      <c r="T890" s="604">
        <f t="shared" si="274"/>
        <v>0</v>
      </c>
      <c r="U890" s="604">
        <f t="shared" si="275"/>
        <v>0</v>
      </c>
      <c r="V890" s="604">
        <f t="shared" si="276"/>
        <v>0</v>
      </c>
      <c r="W890" s="604">
        <f t="shared" si="277"/>
        <v>0</v>
      </c>
      <c r="X890" s="746">
        <v>0</v>
      </c>
      <c r="Y890" s="746">
        <f t="shared" si="278"/>
        <v>0</v>
      </c>
    </row>
    <row r="891" spans="2:25">
      <c r="B891" s="598" t="s">
        <v>2595</v>
      </c>
      <c r="C891" s="604" t="s">
        <v>864</v>
      </c>
      <c r="D891" s="745">
        <v>2015</v>
      </c>
      <c r="E891" s="604" t="s">
        <v>3579</v>
      </c>
      <c r="F891" s="738">
        <v>0.15</v>
      </c>
      <c r="G891" s="739">
        <v>0</v>
      </c>
      <c r="H891" s="741"/>
      <c r="I891" s="742"/>
      <c r="J891" s="740"/>
      <c r="K891" s="739">
        <v>0</v>
      </c>
      <c r="L891" s="864">
        <f t="shared" si="280"/>
        <v>0</v>
      </c>
      <c r="M891" s="740">
        <f t="shared" si="279"/>
        <v>0</v>
      </c>
      <c r="N891" s="604">
        <f t="shared" si="268"/>
        <v>0</v>
      </c>
      <c r="O891" s="604">
        <f t="shared" si="269"/>
        <v>0</v>
      </c>
      <c r="P891" s="604">
        <f t="shared" si="270"/>
        <v>0</v>
      </c>
      <c r="Q891" s="604">
        <f t="shared" si="271"/>
        <v>0</v>
      </c>
      <c r="R891" s="604">
        <f t="shared" si="272"/>
        <v>0</v>
      </c>
      <c r="S891" s="604">
        <f t="shared" si="273"/>
        <v>0</v>
      </c>
      <c r="T891" s="604">
        <f t="shared" si="274"/>
        <v>0</v>
      </c>
      <c r="U891" s="604">
        <f t="shared" si="275"/>
        <v>0</v>
      </c>
      <c r="V891" s="604">
        <f t="shared" si="276"/>
        <v>0</v>
      </c>
      <c r="W891" s="604">
        <f t="shared" si="277"/>
        <v>0</v>
      </c>
      <c r="X891" s="746">
        <v>0</v>
      </c>
      <c r="Y891" s="746">
        <f t="shared" si="278"/>
        <v>0</v>
      </c>
    </row>
    <row r="892" spans="2:25">
      <c r="B892" s="598" t="s">
        <v>2595</v>
      </c>
      <c r="C892" s="604" t="s">
        <v>864</v>
      </c>
      <c r="D892" s="745">
        <v>2015</v>
      </c>
      <c r="E892" s="604" t="s">
        <v>3603</v>
      </c>
      <c r="F892" s="738">
        <v>0.15</v>
      </c>
      <c r="G892" s="739">
        <v>15000</v>
      </c>
      <c r="H892" s="741"/>
      <c r="I892" s="742"/>
      <c r="J892" s="740"/>
      <c r="K892" s="739">
        <v>14625</v>
      </c>
      <c r="L892" s="864">
        <f t="shared" si="280"/>
        <v>375</v>
      </c>
      <c r="M892" s="740">
        <f>+L892</f>
        <v>375</v>
      </c>
      <c r="N892" s="604">
        <f t="shared" si="268"/>
        <v>0</v>
      </c>
      <c r="O892" s="604">
        <f t="shared" si="269"/>
        <v>0</v>
      </c>
      <c r="P892" s="604">
        <f t="shared" si="270"/>
        <v>0</v>
      </c>
      <c r="Q892" s="604">
        <f t="shared" si="271"/>
        <v>0</v>
      </c>
      <c r="R892" s="604">
        <f t="shared" si="272"/>
        <v>0</v>
      </c>
      <c r="S892" s="604">
        <f t="shared" si="273"/>
        <v>0</v>
      </c>
      <c r="T892" s="604">
        <f t="shared" si="274"/>
        <v>0</v>
      </c>
      <c r="U892" s="604">
        <f t="shared" si="275"/>
        <v>0</v>
      </c>
      <c r="V892" s="604">
        <f t="shared" si="276"/>
        <v>0</v>
      </c>
      <c r="W892" s="604">
        <f t="shared" si="277"/>
        <v>0</v>
      </c>
      <c r="X892" s="746">
        <v>0</v>
      </c>
      <c r="Y892" s="746">
        <f t="shared" si="278"/>
        <v>0</v>
      </c>
    </row>
    <row r="893" spans="2:25">
      <c r="B893" s="598" t="s">
        <v>2595</v>
      </c>
      <c r="C893" s="604" t="s">
        <v>864</v>
      </c>
      <c r="D893" s="745">
        <v>2015</v>
      </c>
      <c r="E893" s="604" t="s">
        <v>3604</v>
      </c>
      <c r="F893" s="738">
        <v>0.15</v>
      </c>
      <c r="G893" s="739">
        <v>35000</v>
      </c>
      <c r="H893" s="741"/>
      <c r="I893" s="742"/>
      <c r="J893" s="740"/>
      <c r="K893" s="739">
        <v>34125</v>
      </c>
      <c r="L893" s="864">
        <f t="shared" si="280"/>
        <v>875</v>
      </c>
      <c r="M893" s="740">
        <f>+L893</f>
        <v>875</v>
      </c>
      <c r="N893" s="604">
        <f t="shared" si="268"/>
        <v>0</v>
      </c>
      <c r="O893" s="604">
        <f t="shared" si="269"/>
        <v>0</v>
      </c>
      <c r="P893" s="604">
        <f t="shared" si="270"/>
        <v>0</v>
      </c>
      <c r="Q893" s="604">
        <f t="shared" si="271"/>
        <v>0</v>
      </c>
      <c r="R893" s="604">
        <f t="shared" si="272"/>
        <v>0</v>
      </c>
      <c r="S893" s="604">
        <f t="shared" si="273"/>
        <v>0</v>
      </c>
      <c r="T893" s="604">
        <f t="shared" si="274"/>
        <v>0</v>
      </c>
      <c r="U893" s="604">
        <f t="shared" si="275"/>
        <v>0</v>
      </c>
      <c r="V893" s="604">
        <f t="shared" si="276"/>
        <v>0</v>
      </c>
      <c r="W893" s="604">
        <f t="shared" si="277"/>
        <v>0</v>
      </c>
      <c r="X893" s="746">
        <v>0</v>
      </c>
      <c r="Y893" s="746">
        <f t="shared" si="278"/>
        <v>0</v>
      </c>
    </row>
    <row r="894" spans="2:25">
      <c r="B894" s="598" t="s">
        <v>2595</v>
      </c>
      <c r="C894" s="604" t="s">
        <v>864</v>
      </c>
      <c r="D894" s="745">
        <v>2015</v>
      </c>
      <c r="E894" s="604" t="s">
        <v>3554</v>
      </c>
      <c r="F894" s="738">
        <v>0.15</v>
      </c>
      <c r="G894" s="739">
        <v>18000</v>
      </c>
      <c r="H894" s="741"/>
      <c r="I894" s="742"/>
      <c r="J894" s="740"/>
      <c r="K894" s="739">
        <v>17550</v>
      </c>
      <c r="L894" s="864">
        <f t="shared" si="280"/>
        <v>450</v>
      </c>
      <c r="M894" s="740">
        <f>+L894</f>
        <v>450</v>
      </c>
      <c r="N894" s="604">
        <f t="shared" si="268"/>
        <v>0</v>
      </c>
      <c r="O894" s="604">
        <f t="shared" si="269"/>
        <v>0</v>
      </c>
      <c r="P894" s="604">
        <f t="shared" si="270"/>
        <v>0</v>
      </c>
      <c r="Q894" s="604">
        <f t="shared" si="271"/>
        <v>0</v>
      </c>
      <c r="R894" s="604">
        <f t="shared" si="272"/>
        <v>0</v>
      </c>
      <c r="S894" s="604">
        <f t="shared" si="273"/>
        <v>0</v>
      </c>
      <c r="T894" s="604">
        <f t="shared" si="274"/>
        <v>0</v>
      </c>
      <c r="U894" s="604">
        <f t="shared" si="275"/>
        <v>0</v>
      </c>
      <c r="V894" s="604">
        <f t="shared" si="276"/>
        <v>0</v>
      </c>
      <c r="W894" s="604">
        <f t="shared" si="277"/>
        <v>0</v>
      </c>
      <c r="X894" s="746">
        <v>0</v>
      </c>
      <c r="Y894" s="746">
        <f t="shared" si="278"/>
        <v>0</v>
      </c>
    </row>
    <row r="895" spans="2:25">
      <c r="B895" s="598" t="s">
        <v>2595</v>
      </c>
      <c r="C895" s="604" t="s">
        <v>864</v>
      </c>
      <c r="D895" s="745">
        <v>2015</v>
      </c>
      <c r="E895" s="604" t="s">
        <v>3605</v>
      </c>
      <c r="F895" s="738">
        <v>0.15</v>
      </c>
      <c r="G895" s="739">
        <v>134500</v>
      </c>
      <c r="H895" s="741"/>
      <c r="I895" s="742"/>
      <c r="J895" s="740"/>
      <c r="K895" s="739">
        <v>130575</v>
      </c>
      <c r="L895" s="864">
        <f t="shared" si="280"/>
        <v>3925</v>
      </c>
      <c r="M895" s="740">
        <f>+L895</f>
        <v>3925</v>
      </c>
      <c r="N895" s="604">
        <f t="shared" si="268"/>
        <v>0</v>
      </c>
      <c r="O895" s="604">
        <f t="shared" si="269"/>
        <v>0</v>
      </c>
      <c r="P895" s="604">
        <f t="shared" si="270"/>
        <v>0</v>
      </c>
      <c r="Q895" s="604">
        <f t="shared" si="271"/>
        <v>0</v>
      </c>
      <c r="R895" s="604">
        <f t="shared" si="272"/>
        <v>0</v>
      </c>
      <c r="S895" s="604">
        <f t="shared" si="273"/>
        <v>0</v>
      </c>
      <c r="T895" s="604">
        <f t="shared" si="274"/>
        <v>0</v>
      </c>
      <c r="U895" s="604">
        <f t="shared" si="275"/>
        <v>0</v>
      </c>
      <c r="V895" s="604">
        <f t="shared" si="276"/>
        <v>0</v>
      </c>
      <c r="W895" s="604">
        <f t="shared" si="277"/>
        <v>0</v>
      </c>
      <c r="X895" s="746">
        <v>0</v>
      </c>
      <c r="Y895" s="746">
        <f t="shared" si="278"/>
        <v>0</v>
      </c>
    </row>
    <row r="896" spans="2:25">
      <c r="B896" s="598" t="s">
        <v>2595</v>
      </c>
      <c r="C896" s="604" t="s">
        <v>864</v>
      </c>
      <c r="D896" s="745">
        <v>2015</v>
      </c>
      <c r="E896" s="604" t="s">
        <v>3495</v>
      </c>
      <c r="F896" s="738">
        <v>0.15</v>
      </c>
      <c r="G896" s="739">
        <v>0</v>
      </c>
      <c r="H896" s="741"/>
      <c r="I896" s="742"/>
      <c r="J896" s="740"/>
      <c r="K896" s="739">
        <v>0</v>
      </c>
      <c r="L896" s="864">
        <f t="shared" si="280"/>
        <v>0</v>
      </c>
      <c r="M896" s="740">
        <f t="shared" si="279"/>
        <v>0</v>
      </c>
      <c r="N896" s="604">
        <f t="shared" si="268"/>
        <v>0</v>
      </c>
      <c r="O896" s="604">
        <f t="shared" si="269"/>
        <v>0</v>
      </c>
      <c r="P896" s="604">
        <f t="shared" si="270"/>
        <v>0</v>
      </c>
      <c r="Q896" s="604">
        <f t="shared" si="271"/>
        <v>0</v>
      </c>
      <c r="R896" s="604">
        <f t="shared" si="272"/>
        <v>0</v>
      </c>
      <c r="S896" s="604">
        <f t="shared" si="273"/>
        <v>0</v>
      </c>
      <c r="T896" s="604">
        <f t="shared" si="274"/>
        <v>0</v>
      </c>
      <c r="U896" s="604">
        <f t="shared" si="275"/>
        <v>0</v>
      </c>
      <c r="V896" s="604">
        <f t="shared" si="276"/>
        <v>0</v>
      </c>
      <c r="W896" s="604">
        <f t="shared" si="277"/>
        <v>0</v>
      </c>
      <c r="X896" s="746">
        <v>0</v>
      </c>
      <c r="Y896" s="746">
        <f t="shared" si="278"/>
        <v>0</v>
      </c>
    </row>
    <row r="897" spans="2:25">
      <c r="B897" s="598" t="s">
        <v>2595</v>
      </c>
      <c r="C897" s="604" t="s">
        <v>864</v>
      </c>
      <c r="D897" s="745">
        <v>2015</v>
      </c>
      <c r="E897" s="604" t="s">
        <v>3606</v>
      </c>
      <c r="F897" s="738">
        <v>0.15</v>
      </c>
      <c r="G897" s="739">
        <v>1500</v>
      </c>
      <c r="H897" s="741"/>
      <c r="I897" s="742"/>
      <c r="J897" s="740"/>
      <c r="K897" s="739">
        <v>1462.5</v>
      </c>
      <c r="L897" s="864">
        <f t="shared" si="280"/>
        <v>37.5</v>
      </c>
      <c r="M897" s="740">
        <f t="shared" ref="M897:M904" si="281">+L897</f>
        <v>37.5</v>
      </c>
      <c r="N897" s="604">
        <f t="shared" si="268"/>
        <v>0</v>
      </c>
      <c r="O897" s="604">
        <f t="shared" si="269"/>
        <v>0</v>
      </c>
      <c r="P897" s="604">
        <f t="shared" si="270"/>
        <v>0</v>
      </c>
      <c r="Q897" s="604">
        <f t="shared" si="271"/>
        <v>0</v>
      </c>
      <c r="R897" s="604">
        <f t="shared" si="272"/>
        <v>0</v>
      </c>
      <c r="S897" s="604">
        <f t="shared" si="273"/>
        <v>0</v>
      </c>
      <c r="T897" s="604">
        <f t="shared" si="274"/>
        <v>0</v>
      </c>
      <c r="U897" s="604">
        <f t="shared" si="275"/>
        <v>0</v>
      </c>
      <c r="V897" s="604">
        <f t="shared" si="276"/>
        <v>0</v>
      </c>
      <c r="W897" s="604">
        <f t="shared" si="277"/>
        <v>0</v>
      </c>
      <c r="X897" s="746">
        <v>0</v>
      </c>
      <c r="Y897" s="746">
        <f t="shared" si="278"/>
        <v>0</v>
      </c>
    </row>
    <row r="898" spans="2:25">
      <c r="B898" s="598" t="s">
        <v>2595</v>
      </c>
      <c r="C898" s="604" t="s">
        <v>864</v>
      </c>
      <c r="D898" s="745">
        <v>2015</v>
      </c>
      <c r="E898" s="604" t="s">
        <v>3606</v>
      </c>
      <c r="F898" s="738">
        <v>0.15</v>
      </c>
      <c r="G898" s="739">
        <v>1500</v>
      </c>
      <c r="H898" s="741"/>
      <c r="I898" s="742"/>
      <c r="J898" s="740"/>
      <c r="K898" s="739">
        <v>1462.5</v>
      </c>
      <c r="L898" s="864">
        <f t="shared" si="280"/>
        <v>37.5</v>
      </c>
      <c r="M898" s="740">
        <f t="shared" si="281"/>
        <v>37.5</v>
      </c>
      <c r="N898" s="604">
        <f t="shared" si="268"/>
        <v>0</v>
      </c>
      <c r="O898" s="604">
        <f t="shared" si="269"/>
        <v>0</v>
      </c>
      <c r="P898" s="604">
        <f t="shared" si="270"/>
        <v>0</v>
      </c>
      <c r="Q898" s="604">
        <f t="shared" si="271"/>
        <v>0</v>
      </c>
      <c r="R898" s="604">
        <f t="shared" si="272"/>
        <v>0</v>
      </c>
      <c r="S898" s="604">
        <f t="shared" si="273"/>
        <v>0</v>
      </c>
      <c r="T898" s="604">
        <f t="shared" si="274"/>
        <v>0</v>
      </c>
      <c r="U898" s="604">
        <f t="shared" si="275"/>
        <v>0</v>
      </c>
      <c r="V898" s="604">
        <f t="shared" si="276"/>
        <v>0</v>
      </c>
      <c r="W898" s="604">
        <f t="shared" si="277"/>
        <v>0</v>
      </c>
      <c r="X898" s="746">
        <v>0</v>
      </c>
      <c r="Y898" s="746">
        <f t="shared" si="278"/>
        <v>0</v>
      </c>
    </row>
    <row r="899" spans="2:25">
      <c r="B899" s="598" t="s">
        <v>2595</v>
      </c>
      <c r="C899" s="604" t="s">
        <v>864</v>
      </c>
      <c r="D899" s="745">
        <v>2015</v>
      </c>
      <c r="E899" s="604" t="s">
        <v>3495</v>
      </c>
      <c r="F899" s="738">
        <v>0.15</v>
      </c>
      <c r="G899" s="739">
        <v>115000</v>
      </c>
      <c r="H899" s="741"/>
      <c r="I899" s="742"/>
      <c r="J899" s="740"/>
      <c r="K899" s="739">
        <v>108750</v>
      </c>
      <c r="L899" s="864">
        <f t="shared" si="280"/>
        <v>6250</v>
      </c>
      <c r="M899" s="740">
        <f t="shared" si="281"/>
        <v>6250</v>
      </c>
      <c r="N899" s="604">
        <f t="shared" si="268"/>
        <v>0</v>
      </c>
      <c r="O899" s="604">
        <f t="shared" si="269"/>
        <v>0</v>
      </c>
      <c r="P899" s="604">
        <f t="shared" si="270"/>
        <v>0</v>
      </c>
      <c r="Q899" s="604">
        <f t="shared" si="271"/>
        <v>0</v>
      </c>
      <c r="R899" s="604">
        <f t="shared" si="272"/>
        <v>0</v>
      </c>
      <c r="S899" s="604">
        <f t="shared" si="273"/>
        <v>0</v>
      </c>
      <c r="T899" s="604">
        <f t="shared" si="274"/>
        <v>0</v>
      </c>
      <c r="U899" s="604">
        <f t="shared" si="275"/>
        <v>0</v>
      </c>
      <c r="V899" s="604">
        <f t="shared" si="276"/>
        <v>0</v>
      </c>
      <c r="W899" s="604">
        <f t="shared" si="277"/>
        <v>0</v>
      </c>
      <c r="X899" s="746">
        <v>0</v>
      </c>
      <c r="Y899" s="746">
        <f t="shared" si="278"/>
        <v>0</v>
      </c>
    </row>
    <row r="900" spans="2:25">
      <c r="B900" s="598" t="s">
        <v>2595</v>
      </c>
      <c r="C900" s="604" t="s">
        <v>864</v>
      </c>
      <c r="D900" s="745">
        <v>2017</v>
      </c>
      <c r="E900" s="604" t="s">
        <v>3525</v>
      </c>
      <c r="F900" s="738">
        <v>0.15</v>
      </c>
      <c r="G900" s="739">
        <v>388056.35</v>
      </c>
      <c r="H900" s="741"/>
      <c r="I900" s="742"/>
      <c r="J900" s="740"/>
      <c r="K900" s="739">
        <v>373250.7</v>
      </c>
      <c r="L900" s="864">
        <f t="shared" si="280"/>
        <v>14805.649999999965</v>
      </c>
      <c r="M900" s="740">
        <f t="shared" si="281"/>
        <v>14805.649999999965</v>
      </c>
      <c r="N900" s="604">
        <f t="shared" si="268"/>
        <v>0</v>
      </c>
      <c r="O900" s="604">
        <f t="shared" si="269"/>
        <v>0</v>
      </c>
      <c r="P900" s="604">
        <f t="shared" si="270"/>
        <v>0</v>
      </c>
      <c r="Q900" s="604">
        <f t="shared" si="271"/>
        <v>0</v>
      </c>
      <c r="R900" s="604">
        <f t="shared" si="272"/>
        <v>0</v>
      </c>
      <c r="S900" s="604">
        <f t="shared" si="273"/>
        <v>0</v>
      </c>
      <c r="T900" s="604">
        <f t="shared" si="274"/>
        <v>0</v>
      </c>
      <c r="U900" s="604">
        <f t="shared" si="275"/>
        <v>0</v>
      </c>
      <c r="V900" s="604">
        <f t="shared" si="276"/>
        <v>0</v>
      </c>
      <c r="W900" s="604">
        <f t="shared" si="277"/>
        <v>0</v>
      </c>
      <c r="X900" s="746">
        <v>0</v>
      </c>
      <c r="Y900" s="746">
        <f t="shared" si="278"/>
        <v>0</v>
      </c>
    </row>
    <row r="901" spans="2:25">
      <c r="B901" s="598" t="s">
        <v>2595</v>
      </c>
      <c r="C901" s="604" t="s">
        <v>864</v>
      </c>
      <c r="D901" s="745">
        <v>2015</v>
      </c>
      <c r="E901" s="604" t="s">
        <v>3607</v>
      </c>
      <c r="F901" s="738">
        <v>0.15</v>
      </c>
      <c r="G901" s="739">
        <v>2600</v>
      </c>
      <c r="H901" s="741"/>
      <c r="I901" s="742"/>
      <c r="J901" s="740"/>
      <c r="K901" s="739">
        <v>2535</v>
      </c>
      <c r="L901" s="864">
        <f t="shared" si="280"/>
        <v>65</v>
      </c>
      <c r="M901" s="740">
        <f t="shared" si="281"/>
        <v>65</v>
      </c>
      <c r="N901" s="604">
        <f t="shared" si="268"/>
        <v>0</v>
      </c>
      <c r="O901" s="604">
        <f t="shared" si="269"/>
        <v>0</v>
      </c>
      <c r="P901" s="604">
        <f t="shared" si="270"/>
        <v>0</v>
      </c>
      <c r="Q901" s="604">
        <f t="shared" si="271"/>
        <v>0</v>
      </c>
      <c r="R901" s="604">
        <f t="shared" si="272"/>
        <v>0</v>
      </c>
      <c r="S901" s="604">
        <f t="shared" si="273"/>
        <v>0</v>
      </c>
      <c r="T901" s="604">
        <f t="shared" si="274"/>
        <v>0</v>
      </c>
      <c r="U901" s="604">
        <f t="shared" si="275"/>
        <v>0</v>
      </c>
      <c r="V901" s="604">
        <f t="shared" si="276"/>
        <v>0</v>
      </c>
      <c r="W901" s="604">
        <f t="shared" si="277"/>
        <v>0</v>
      </c>
      <c r="X901" s="746">
        <v>0</v>
      </c>
      <c r="Y901" s="746">
        <f t="shared" si="278"/>
        <v>0</v>
      </c>
    </row>
    <row r="902" spans="2:25">
      <c r="B902" s="598" t="s">
        <v>2595</v>
      </c>
      <c r="C902" s="604" t="s">
        <v>864</v>
      </c>
      <c r="D902" s="745">
        <v>2015</v>
      </c>
      <c r="E902" s="604" t="s">
        <v>3608</v>
      </c>
      <c r="F902" s="738">
        <v>0.15</v>
      </c>
      <c r="G902" s="739">
        <v>230922.5</v>
      </c>
      <c r="H902" s="741"/>
      <c r="I902" s="742"/>
      <c r="J902" s="740"/>
      <c r="K902" s="739">
        <v>202865.18</v>
      </c>
      <c r="L902" s="864">
        <f t="shared" si="280"/>
        <v>28057.320000000007</v>
      </c>
      <c r="M902" s="740">
        <f t="shared" si="281"/>
        <v>28057.320000000007</v>
      </c>
      <c r="N902" s="604">
        <f t="shared" si="268"/>
        <v>0</v>
      </c>
      <c r="O902" s="604">
        <f t="shared" si="269"/>
        <v>0</v>
      </c>
      <c r="P902" s="604">
        <f t="shared" si="270"/>
        <v>0</v>
      </c>
      <c r="Q902" s="604">
        <f t="shared" si="271"/>
        <v>0</v>
      </c>
      <c r="R902" s="604">
        <f t="shared" si="272"/>
        <v>0</v>
      </c>
      <c r="S902" s="604">
        <f t="shared" si="273"/>
        <v>0</v>
      </c>
      <c r="T902" s="604">
        <f t="shared" si="274"/>
        <v>0</v>
      </c>
      <c r="U902" s="604">
        <f t="shared" si="275"/>
        <v>0</v>
      </c>
      <c r="V902" s="604">
        <f t="shared" si="276"/>
        <v>0</v>
      </c>
      <c r="W902" s="604">
        <f t="shared" si="277"/>
        <v>0</v>
      </c>
      <c r="X902" s="746">
        <v>0</v>
      </c>
      <c r="Y902" s="746">
        <f t="shared" si="278"/>
        <v>0</v>
      </c>
    </row>
    <row r="903" spans="2:25">
      <c r="B903" s="598" t="s">
        <v>2595</v>
      </c>
      <c r="C903" s="604" t="s">
        <v>864</v>
      </c>
      <c r="D903" s="745">
        <v>2015</v>
      </c>
      <c r="E903" s="604" t="s">
        <v>3609</v>
      </c>
      <c r="F903" s="738">
        <v>0.15</v>
      </c>
      <c r="G903" s="739">
        <v>40000</v>
      </c>
      <c r="H903" s="741"/>
      <c r="I903" s="742"/>
      <c r="J903" s="740"/>
      <c r="K903" s="739">
        <v>39000</v>
      </c>
      <c r="L903" s="864">
        <f t="shared" si="280"/>
        <v>1000</v>
      </c>
      <c r="M903" s="740">
        <f t="shared" si="281"/>
        <v>1000</v>
      </c>
      <c r="N903" s="604">
        <f t="shared" si="268"/>
        <v>0</v>
      </c>
      <c r="O903" s="604">
        <f t="shared" si="269"/>
        <v>0</v>
      </c>
      <c r="P903" s="604">
        <f t="shared" si="270"/>
        <v>0</v>
      </c>
      <c r="Q903" s="604">
        <f t="shared" si="271"/>
        <v>0</v>
      </c>
      <c r="R903" s="604">
        <f t="shared" si="272"/>
        <v>0</v>
      </c>
      <c r="S903" s="604">
        <f t="shared" si="273"/>
        <v>0</v>
      </c>
      <c r="T903" s="604">
        <f t="shared" si="274"/>
        <v>0</v>
      </c>
      <c r="U903" s="604">
        <f t="shared" si="275"/>
        <v>0</v>
      </c>
      <c r="V903" s="604">
        <f t="shared" si="276"/>
        <v>0</v>
      </c>
      <c r="W903" s="604">
        <f t="shared" si="277"/>
        <v>0</v>
      </c>
      <c r="X903" s="746">
        <v>0</v>
      </c>
      <c r="Y903" s="746">
        <f t="shared" si="278"/>
        <v>0</v>
      </c>
    </row>
    <row r="904" spans="2:25">
      <c r="B904" s="598" t="s">
        <v>2595</v>
      </c>
      <c r="C904" s="604" t="s">
        <v>864</v>
      </c>
      <c r="D904" s="745">
        <v>2015</v>
      </c>
      <c r="E904" s="604" t="s">
        <v>3610</v>
      </c>
      <c r="F904" s="738">
        <v>0.15</v>
      </c>
      <c r="G904" s="739">
        <v>67000</v>
      </c>
      <c r="H904" s="741"/>
      <c r="I904" s="742"/>
      <c r="J904" s="740"/>
      <c r="K904" s="739">
        <v>64800</v>
      </c>
      <c r="L904" s="864">
        <f t="shared" si="280"/>
        <v>2200</v>
      </c>
      <c r="M904" s="740">
        <f t="shared" si="281"/>
        <v>2200</v>
      </c>
      <c r="N904" s="604">
        <f t="shared" si="268"/>
        <v>0</v>
      </c>
      <c r="O904" s="604">
        <f t="shared" si="269"/>
        <v>0</v>
      </c>
      <c r="P904" s="604">
        <f t="shared" si="270"/>
        <v>0</v>
      </c>
      <c r="Q904" s="604">
        <f t="shared" si="271"/>
        <v>0</v>
      </c>
      <c r="R904" s="604">
        <f t="shared" si="272"/>
        <v>0</v>
      </c>
      <c r="S904" s="604">
        <f t="shared" si="273"/>
        <v>0</v>
      </c>
      <c r="T904" s="604">
        <f t="shared" si="274"/>
        <v>0</v>
      </c>
      <c r="U904" s="604">
        <f t="shared" si="275"/>
        <v>0</v>
      </c>
      <c r="V904" s="604">
        <f t="shared" si="276"/>
        <v>0</v>
      </c>
      <c r="W904" s="604">
        <f t="shared" si="277"/>
        <v>0</v>
      </c>
      <c r="X904" s="746">
        <v>0</v>
      </c>
      <c r="Y904" s="746">
        <f t="shared" si="278"/>
        <v>0</v>
      </c>
    </row>
    <row r="905" spans="2:25">
      <c r="B905" s="598" t="s">
        <v>2595</v>
      </c>
      <c r="C905" s="604" t="s">
        <v>864</v>
      </c>
      <c r="D905" s="745">
        <v>2015</v>
      </c>
      <c r="E905" s="604" t="s">
        <v>3525</v>
      </c>
      <c r="F905" s="738">
        <v>0.15</v>
      </c>
      <c r="G905" s="739">
        <v>448470.7</v>
      </c>
      <c r="H905" s="741"/>
      <c r="I905" s="742"/>
      <c r="J905" s="740"/>
      <c r="K905" s="739">
        <v>367317.42</v>
      </c>
      <c r="L905" s="864">
        <f t="shared" si="280"/>
        <v>81153.280000000028</v>
      </c>
      <c r="M905" s="866">
        <f>+IF(L905=0,0,G905*F905)</f>
        <v>67270.604999999996</v>
      </c>
      <c r="N905" s="650">
        <f>+L905-M905</f>
        <v>13882.675000000032</v>
      </c>
      <c r="O905" s="650">
        <f>+IF(L905-SUM(M905:N905)&gt;0,G905*F905,0)</f>
        <v>0</v>
      </c>
      <c r="P905" s="650">
        <f t="shared" ref="P905:P968" si="282">+IF(L905-SUM(M905:O905)&gt;0,G905*F905,0)</f>
        <v>0</v>
      </c>
      <c r="Q905" s="650">
        <f t="shared" ref="Q905:Q966" si="283">+IF(L905-SUM(M905:P905)&gt;0,G905*F905,0)</f>
        <v>0</v>
      </c>
      <c r="R905" s="650">
        <f t="shared" ref="R905:R968" si="284">+IF(L905-SUM(M905:Q905)&gt;0,G905*F905,0)</f>
        <v>0</v>
      </c>
      <c r="S905" s="650">
        <f t="shared" ref="S905:S968" si="285">+IF(L905-SUM(M905:R905)&gt;0,G905*F905,0)</f>
        <v>0</v>
      </c>
      <c r="T905" s="650">
        <f t="shared" ref="T905:T968" si="286">+IF(L905-SUM(M905:S905)&gt;0,G905*F905,0)</f>
        <v>0</v>
      </c>
      <c r="U905" s="650">
        <f t="shared" ref="U905:U968" si="287">+IF(L905-SUM(M905:T905)&gt;0,G905*F905,0)</f>
        <v>0</v>
      </c>
      <c r="V905" s="650">
        <f t="shared" ref="V905:V968" si="288">+IF(L905-SUM(M905:U905)&gt;0,G905*F905,0)</f>
        <v>0</v>
      </c>
      <c r="W905" s="650">
        <f t="shared" ref="W905:W968" si="289">+IF(L905-SUM(M905:V905)&gt;0,G905*F905,0)</f>
        <v>0</v>
      </c>
      <c r="X905" s="746">
        <v>0</v>
      </c>
      <c r="Y905" s="746">
        <f t="shared" ref="Y905:Y936" si="290">+SUM(M905:W905)-L905</f>
        <v>0</v>
      </c>
    </row>
    <row r="906" spans="2:25">
      <c r="B906" s="598" t="s">
        <v>2595</v>
      </c>
      <c r="C906" s="604" t="s">
        <v>864</v>
      </c>
      <c r="D906" s="745">
        <v>2016</v>
      </c>
      <c r="E906" s="650" t="s">
        <v>3504</v>
      </c>
      <c r="F906" s="897">
        <v>0.15</v>
      </c>
      <c r="G906" s="898">
        <v>350</v>
      </c>
      <c r="H906" s="899"/>
      <c r="I906" s="900"/>
      <c r="J906" s="866"/>
      <c r="K906" s="898">
        <v>288.75</v>
      </c>
      <c r="L906" s="864">
        <f t="shared" si="280"/>
        <v>61.25</v>
      </c>
      <c r="M906" s="866">
        <f>+L906</f>
        <v>61.25</v>
      </c>
      <c r="N906" s="650">
        <f t="shared" ref="N906:N968" si="291">+IF(L906-M906&gt;0,G906*F906,0)</f>
        <v>0</v>
      </c>
      <c r="O906" s="650">
        <f t="shared" ref="O906:O957" si="292">+IF(L906-SUM(M906:N906)&gt;0,G906*F906,0)</f>
        <v>0</v>
      </c>
      <c r="P906" s="650">
        <f t="shared" si="282"/>
        <v>0</v>
      </c>
      <c r="Q906" s="650">
        <f t="shared" si="283"/>
        <v>0</v>
      </c>
      <c r="R906" s="650">
        <f t="shared" si="284"/>
        <v>0</v>
      </c>
      <c r="S906" s="650">
        <f t="shared" si="285"/>
        <v>0</v>
      </c>
      <c r="T906" s="650">
        <f t="shared" si="286"/>
        <v>0</v>
      </c>
      <c r="U906" s="650">
        <f t="shared" si="287"/>
        <v>0</v>
      </c>
      <c r="V906" s="650">
        <f t="shared" si="288"/>
        <v>0</v>
      </c>
      <c r="W906" s="650">
        <f t="shared" si="289"/>
        <v>0</v>
      </c>
      <c r="X906" s="746">
        <v>0</v>
      </c>
      <c r="Y906" s="746">
        <f t="shared" si="290"/>
        <v>0</v>
      </c>
    </row>
    <row r="907" spans="2:25">
      <c r="B907" s="598" t="s">
        <v>2595</v>
      </c>
      <c r="C907" s="604" t="s">
        <v>864</v>
      </c>
      <c r="D907" s="745">
        <v>2017</v>
      </c>
      <c r="E907" s="604" t="s">
        <v>3504</v>
      </c>
      <c r="F907" s="738">
        <v>0.15</v>
      </c>
      <c r="G907" s="739">
        <v>350</v>
      </c>
      <c r="H907" s="741"/>
      <c r="I907" s="742"/>
      <c r="J907" s="740"/>
      <c r="K907" s="739">
        <v>288.75</v>
      </c>
      <c r="L907" s="864">
        <f t="shared" si="280"/>
        <v>61.25</v>
      </c>
      <c r="M907" s="866">
        <f>+L907</f>
        <v>61.25</v>
      </c>
      <c r="N907" s="650">
        <f t="shared" si="291"/>
        <v>0</v>
      </c>
      <c r="O907" s="650">
        <f t="shared" si="292"/>
        <v>0</v>
      </c>
      <c r="P907" s="650">
        <f t="shared" si="282"/>
        <v>0</v>
      </c>
      <c r="Q907" s="650">
        <f t="shared" si="283"/>
        <v>0</v>
      </c>
      <c r="R907" s="650">
        <f t="shared" si="284"/>
        <v>0</v>
      </c>
      <c r="S907" s="650">
        <f t="shared" si="285"/>
        <v>0</v>
      </c>
      <c r="T907" s="650">
        <f t="shared" si="286"/>
        <v>0</v>
      </c>
      <c r="U907" s="650">
        <f t="shared" si="287"/>
        <v>0</v>
      </c>
      <c r="V907" s="650">
        <f t="shared" si="288"/>
        <v>0</v>
      </c>
      <c r="W907" s="650">
        <f t="shared" si="289"/>
        <v>0</v>
      </c>
      <c r="X907" s="746">
        <v>0</v>
      </c>
      <c r="Y907" s="746">
        <f t="shared" si="290"/>
        <v>0</v>
      </c>
    </row>
    <row r="908" spans="2:25">
      <c r="B908" s="598" t="s">
        <v>2595</v>
      </c>
      <c r="C908" s="604" t="s">
        <v>864</v>
      </c>
      <c r="D908" s="745">
        <v>2016</v>
      </c>
      <c r="E908" s="604" t="s">
        <v>3588</v>
      </c>
      <c r="F908" s="738">
        <v>0.15</v>
      </c>
      <c r="G908" s="739">
        <v>50000</v>
      </c>
      <c r="H908" s="741"/>
      <c r="I908" s="742"/>
      <c r="J908" s="740"/>
      <c r="K908" s="739">
        <v>41250</v>
      </c>
      <c r="L908" s="864">
        <f t="shared" si="280"/>
        <v>8750</v>
      </c>
      <c r="M908" s="866">
        <f t="shared" ref="M908:M913" si="293">+IF(L908=0,0,G908*F908)-X908</f>
        <v>7500</v>
      </c>
      <c r="N908" s="650">
        <f>+L908-M908</f>
        <v>1250</v>
      </c>
      <c r="O908" s="650">
        <f t="shared" si="292"/>
        <v>0</v>
      </c>
      <c r="P908" s="650">
        <f t="shared" si="282"/>
        <v>0</v>
      </c>
      <c r="Q908" s="650">
        <f t="shared" si="283"/>
        <v>0</v>
      </c>
      <c r="R908" s="650">
        <f t="shared" si="284"/>
        <v>0</v>
      </c>
      <c r="S908" s="650">
        <f t="shared" si="285"/>
        <v>0</v>
      </c>
      <c r="T908" s="650">
        <f t="shared" si="286"/>
        <v>0</v>
      </c>
      <c r="U908" s="650">
        <f t="shared" si="287"/>
        <v>0</v>
      </c>
      <c r="V908" s="650">
        <f t="shared" si="288"/>
        <v>0</v>
      </c>
      <c r="W908" s="650">
        <f t="shared" si="289"/>
        <v>0</v>
      </c>
      <c r="X908" s="746">
        <v>0</v>
      </c>
      <c r="Y908" s="746">
        <f t="shared" si="290"/>
        <v>0</v>
      </c>
    </row>
    <row r="909" spans="2:25">
      <c r="B909" s="598" t="s">
        <v>2595</v>
      </c>
      <c r="C909" s="604" t="s">
        <v>864</v>
      </c>
      <c r="D909" s="745">
        <v>2016</v>
      </c>
      <c r="E909" s="604" t="s">
        <v>3495</v>
      </c>
      <c r="F909" s="738">
        <v>0.15</v>
      </c>
      <c r="G909" s="739">
        <v>352000</v>
      </c>
      <c r="H909" s="741"/>
      <c r="I909" s="742"/>
      <c r="J909" s="740"/>
      <c r="K909" s="739">
        <v>290400</v>
      </c>
      <c r="L909" s="864">
        <f t="shared" si="280"/>
        <v>61600</v>
      </c>
      <c r="M909" s="866">
        <f t="shared" si="293"/>
        <v>52800</v>
      </c>
      <c r="N909" s="650">
        <f>+L909-M909</f>
        <v>8800</v>
      </c>
      <c r="O909" s="650">
        <f t="shared" si="292"/>
        <v>0</v>
      </c>
      <c r="P909" s="650">
        <f t="shared" si="282"/>
        <v>0</v>
      </c>
      <c r="Q909" s="650">
        <f t="shared" si="283"/>
        <v>0</v>
      </c>
      <c r="R909" s="650">
        <f t="shared" si="284"/>
        <v>0</v>
      </c>
      <c r="S909" s="650">
        <f t="shared" si="285"/>
        <v>0</v>
      </c>
      <c r="T909" s="650">
        <f t="shared" si="286"/>
        <v>0</v>
      </c>
      <c r="U909" s="650">
        <f t="shared" si="287"/>
        <v>0</v>
      </c>
      <c r="V909" s="650">
        <f t="shared" si="288"/>
        <v>0</v>
      </c>
      <c r="W909" s="650">
        <f t="shared" si="289"/>
        <v>0</v>
      </c>
      <c r="X909" s="746">
        <v>0</v>
      </c>
      <c r="Y909" s="746">
        <f t="shared" si="290"/>
        <v>0</v>
      </c>
    </row>
    <row r="910" spans="2:25">
      <c r="B910" s="598" t="s">
        <v>2595</v>
      </c>
      <c r="C910" s="604" t="s">
        <v>864</v>
      </c>
      <c r="D910" s="745">
        <v>2016</v>
      </c>
      <c r="E910" s="604" t="s">
        <v>3513</v>
      </c>
      <c r="F910" s="738">
        <v>0.15</v>
      </c>
      <c r="G910" s="739">
        <v>0</v>
      </c>
      <c r="H910" s="741"/>
      <c r="I910" s="742"/>
      <c r="J910" s="740"/>
      <c r="K910" s="739">
        <v>0</v>
      </c>
      <c r="L910" s="864">
        <f t="shared" si="280"/>
        <v>0</v>
      </c>
      <c r="M910" s="866">
        <f t="shared" si="293"/>
        <v>0</v>
      </c>
      <c r="N910" s="650">
        <f t="shared" si="291"/>
        <v>0</v>
      </c>
      <c r="O910" s="650">
        <f t="shared" si="292"/>
        <v>0</v>
      </c>
      <c r="P910" s="650">
        <f t="shared" si="282"/>
        <v>0</v>
      </c>
      <c r="Q910" s="650">
        <f t="shared" si="283"/>
        <v>0</v>
      </c>
      <c r="R910" s="650">
        <f t="shared" si="284"/>
        <v>0</v>
      </c>
      <c r="S910" s="650">
        <f t="shared" si="285"/>
        <v>0</v>
      </c>
      <c r="T910" s="650">
        <f t="shared" si="286"/>
        <v>0</v>
      </c>
      <c r="U910" s="650">
        <f t="shared" si="287"/>
        <v>0</v>
      </c>
      <c r="V910" s="650">
        <f t="shared" si="288"/>
        <v>0</v>
      </c>
      <c r="W910" s="650">
        <f t="shared" si="289"/>
        <v>0</v>
      </c>
      <c r="X910" s="746">
        <v>0</v>
      </c>
      <c r="Y910" s="746">
        <f t="shared" si="290"/>
        <v>0</v>
      </c>
    </row>
    <row r="911" spans="2:25">
      <c r="B911" s="598" t="s">
        <v>2595</v>
      </c>
      <c r="C911" s="604" t="s">
        <v>864</v>
      </c>
      <c r="D911" s="745">
        <v>2016</v>
      </c>
      <c r="E911" s="604" t="s">
        <v>3495</v>
      </c>
      <c r="F911" s="738">
        <v>0.15</v>
      </c>
      <c r="G911" s="739">
        <v>179990</v>
      </c>
      <c r="H911" s="741"/>
      <c r="I911" s="742"/>
      <c r="J911" s="740"/>
      <c r="K911" s="739">
        <v>145119</v>
      </c>
      <c r="L911" s="864">
        <f t="shared" si="280"/>
        <v>34871</v>
      </c>
      <c r="M911" s="866">
        <f t="shared" si="293"/>
        <v>26998.5</v>
      </c>
      <c r="N911" s="650">
        <f>+L911-M911</f>
        <v>7872.5</v>
      </c>
      <c r="O911" s="650">
        <f t="shared" si="292"/>
        <v>0</v>
      </c>
      <c r="P911" s="650">
        <f t="shared" si="282"/>
        <v>0</v>
      </c>
      <c r="Q911" s="650">
        <f t="shared" si="283"/>
        <v>0</v>
      </c>
      <c r="R911" s="650">
        <f t="shared" si="284"/>
        <v>0</v>
      </c>
      <c r="S911" s="650">
        <f t="shared" si="285"/>
        <v>0</v>
      </c>
      <c r="T911" s="650">
        <f t="shared" si="286"/>
        <v>0</v>
      </c>
      <c r="U911" s="650">
        <f t="shared" si="287"/>
        <v>0</v>
      </c>
      <c r="V911" s="650">
        <f t="shared" si="288"/>
        <v>0</v>
      </c>
      <c r="W911" s="650">
        <f t="shared" si="289"/>
        <v>0</v>
      </c>
      <c r="X911" s="746">
        <v>0</v>
      </c>
      <c r="Y911" s="746">
        <f t="shared" si="290"/>
        <v>0</v>
      </c>
    </row>
    <row r="912" spans="2:25">
      <c r="B912" s="598" t="s">
        <v>2595</v>
      </c>
      <c r="C912" s="604" t="s">
        <v>864</v>
      </c>
      <c r="D912" s="745">
        <v>2016</v>
      </c>
      <c r="E912" s="604" t="s">
        <v>3517</v>
      </c>
      <c r="F912" s="738">
        <v>0.15</v>
      </c>
      <c r="G912" s="739">
        <v>28000</v>
      </c>
      <c r="H912" s="741"/>
      <c r="I912" s="742"/>
      <c r="J912" s="740"/>
      <c r="K912" s="739">
        <v>23100</v>
      </c>
      <c r="L912" s="864">
        <f t="shared" si="280"/>
        <v>4900</v>
      </c>
      <c r="M912" s="866">
        <f t="shared" si="293"/>
        <v>4200</v>
      </c>
      <c r="N912" s="650">
        <f>+L912-M912</f>
        <v>700</v>
      </c>
      <c r="O912" s="650">
        <f t="shared" si="292"/>
        <v>0</v>
      </c>
      <c r="P912" s="650">
        <f t="shared" si="282"/>
        <v>0</v>
      </c>
      <c r="Q912" s="650">
        <f t="shared" si="283"/>
        <v>0</v>
      </c>
      <c r="R912" s="650">
        <f t="shared" si="284"/>
        <v>0</v>
      </c>
      <c r="S912" s="650">
        <f t="shared" si="285"/>
        <v>0</v>
      </c>
      <c r="T912" s="650">
        <f t="shared" si="286"/>
        <v>0</v>
      </c>
      <c r="U912" s="650">
        <f t="shared" si="287"/>
        <v>0</v>
      </c>
      <c r="V912" s="650">
        <f t="shared" si="288"/>
        <v>0</v>
      </c>
      <c r="W912" s="650">
        <f t="shared" si="289"/>
        <v>0</v>
      </c>
      <c r="X912" s="746">
        <v>0</v>
      </c>
      <c r="Y912" s="746">
        <f t="shared" si="290"/>
        <v>0</v>
      </c>
    </row>
    <row r="913" spans="2:25">
      <c r="B913" s="598" t="s">
        <v>2595</v>
      </c>
      <c r="C913" s="604" t="s">
        <v>864</v>
      </c>
      <c r="D913" s="745">
        <v>2016</v>
      </c>
      <c r="E913" s="604" t="s">
        <v>3533</v>
      </c>
      <c r="F913" s="738">
        <v>0.15</v>
      </c>
      <c r="G913" s="739">
        <v>6500</v>
      </c>
      <c r="H913" s="741"/>
      <c r="I913" s="742"/>
      <c r="J913" s="740"/>
      <c r="K913" s="739">
        <v>5362.5</v>
      </c>
      <c r="L913" s="864">
        <f t="shared" si="280"/>
        <v>1137.5</v>
      </c>
      <c r="M913" s="866">
        <f t="shared" si="293"/>
        <v>975</v>
      </c>
      <c r="N913" s="650">
        <f>+L913-M913</f>
        <v>162.5</v>
      </c>
      <c r="O913" s="650">
        <f t="shared" si="292"/>
        <v>0</v>
      </c>
      <c r="P913" s="650">
        <f t="shared" si="282"/>
        <v>0</v>
      </c>
      <c r="Q913" s="650">
        <f t="shared" si="283"/>
        <v>0</v>
      </c>
      <c r="R913" s="650">
        <f t="shared" si="284"/>
        <v>0</v>
      </c>
      <c r="S913" s="650">
        <f t="shared" si="285"/>
        <v>0</v>
      </c>
      <c r="T913" s="650">
        <f t="shared" si="286"/>
        <v>0</v>
      </c>
      <c r="U913" s="650">
        <f t="shared" si="287"/>
        <v>0</v>
      </c>
      <c r="V913" s="650">
        <f t="shared" si="288"/>
        <v>0</v>
      </c>
      <c r="W913" s="650">
        <f t="shared" si="289"/>
        <v>0</v>
      </c>
      <c r="X913" s="746">
        <v>0</v>
      </c>
      <c r="Y913" s="746">
        <f t="shared" si="290"/>
        <v>0</v>
      </c>
    </row>
    <row r="914" spans="2:25">
      <c r="B914" s="598" t="s">
        <v>2595</v>
      </c>
      <c r="C914" s="604" t="s">
        <v>864</v>
      </c>
      <c r="D914" s="745">
        <v>2018</v>
      </c>
      <c r="E914" s="604" t="s">
        <v>3611</v>
      </c>
      <c r="F914" s="738">
        <v>0.15</v>
      </c>
      <c r="G914" s="739">
        <v>18000</v>
      </c>
      <c r="H914" s="741"/>
      <c r="I914" s="742"/>
      <c r="J914" s="740"/>
      <c r="K914" s="739">
        <v>14850</v>
      </c>
      <c r="L914" s="864">
        <f t="shared" si="280"/>
        <v>3150</v>
      </c>
      <c r="M914" s="866">
        <f t="shared" ref="M914:M971" si="294">+IF(L914=0,0,G914*F914)</f>
        <v>2700</v>
      </c>
      <c r="N914" s="650">
        <f t="shared" ref="N914:N923" si="295">+L914-M914</f>
        <v>450</v>
      </c>
      <c r="O914" s="650">
        <f t="shared" si="292"/>
        <v>0</v>
      </c>
      <c r="P914" s="650">
        <f t="shared" si="282"/>
        <v>0</v>
      </c>
      <c r="Q914" s="650">
        <f t="shared" si="283"/>
        <v>0</v>
      </c>
      <c r="R914" s="650">
        <f t="shared" si="284"/>
        <v>0</v>
      </c>
      <c r="S914" s="650">
        <f t="shared" si="285"/>
        <v>0</v>
      </c>
      <c r="T914" s="650">
        <f t="shared" si="286"/>
        <v>0</v>
      </c>
      <c r="U914" s="650">
        <f t="shared" si="287"/>
        <v>0</v>
      </c>
      <c r="V914" s="650">
        <f t="shared" si="288"/>
        <v>0</v>
      </c>
      <c r="W914" s="650">
        <f t="shared" si="289"/>
        <v>0</v>
      </c>
      <c r="X914" s="746">
        <v>0</v>
      </c>
      <c r="Y914" s="746">
        <f t="shared" si="290"/>
        <v>0</v>
      </c>
    </row>
    <row r="915" spans="2:25">
      <c r="B915" s="598" t="s">
        <v>2595</v>
      </c>
      <c r="C915" s="604" t="s">
        <v>864</v>
      </c>
      <c r="D915" s="745">
        <v>2016</v>
      </c>
      <c r="E915" s="604" t="s">
        <v>3565</v>
      </c>
      <c r="F915" s="738">
        <v>0.15</v>
      </c>
      <c r="G915" s="739">
        <v>30000</v>
      </c>
      <c r="H915" s="741"/>
      <c r="I915" s="742"/>
      <c r="J915" s="740"/>
      <c r="K915" s="739">
        <v>24750</v>
      </c>
      <c r="L915" s="864">
        <f t="shared" si="280"/>
        <v>5250</v>
      </c>
      <c r="M915" s="866">
        <f>+IF(L915=0,0,G915*F915)-X915</f>
        <v>4500</v>
      </c>
      <c r="N915" s="650">
        <f t="shared" si="295"/>
        <v>750</v>
      </c>
      <c r="O915" s="650">
        <f t="shared" si="292"/>
        <v>0</v>
      </c>
      <c r="P915" s="650">
        <f t="shared" si="282"/>
        <v>0</v>
      </c>
      <c r="Q915" s="650">
        <f t="shared" si="283"/>
        <v>0</v>
      </c>
      <c r="R915" s="650">
        <f t="shared" si="284"/>
        <v>0</v>
      </c>
      <c r="S915" s="650">
        <f t="shared" si="285"/>
        <v>0</v>
      </c>
      <c r="T915" s="650">
        <f t="shared" si="286"/>
        <v>0</v>
      </c>
      <c r="U915" s="650">
        <f t="shared" si="287"/>
        <v>0</v>
      </c>
      <c r="V915" s="650">
        <f t="shared" si="288"/>
        <v>0</v>
      </c>
      <c r="W915" s="650">
        <f t="shared" si="289"/>
        <v>0</v>
      </c>
      <c r="X915" s="746">
        <v>0</v>
      </c>
      <c r="Y915" s="746">
        <f t="shared" si="290"/>
        <v>0</v>
      </c>
    </row>
    <row r="916" spans="2:25">
      <c r="B916" s="598" t="s">
        <v>2595</v>
      </c>
      <c r="C916" s="604" t="s">
        <v>864</v>
      </c>
      <c r="D916" s="745">
        <v>2017</v>
      </c>
      <c r="E916" s="604" t="s">
        <v>3612</v>
      </c>
      <c r="F916" s="738">
        <v>0.15</v>
      </c>
      <c r="G916" s="739">
        <v>90000</v>
      </c>
      <c r="H916" s="741"/>
      <c r="I916" s="742"/>
      <c r="J916" s="740"/>
      <c r="K916" s="739">
        <v>74250</v>
      </c>
      <c r="L916" s="864">
        <f t="shared" si="280"/>
        <v>15750</v>
      </c>
      <c r="M916" s="866">
        <f>+IF(L916=0,0,G916*F916)-X916</f>
        <v>13500</v>
      </c>
      <c r="N916" s="650">
        <f t="shared" si="295"/>
        <v>2250</v>
      </c>
      <c r="O916" s="650">
        <f t="shared" si="292"/>
        <v>0</v>
      </c>
      <c r="P916" s="650">
        <f t="shared" si="282"/>
        <v>0</v>
      </c>
      <c r="Q916" s="650">
        <f t="shared" si="283"/>
        <v>0</v>
      </c>
      <c r="R916" s="650">
        <f t="shared" si="284"/>
        <v>0</v>
      </c>
      <c r="S916" s="650">
        <f t="shared" si="285"/>
        <v>0</v>
      </c>
      <c r="T916" s="650">
        <f t="shared" si="286"/>
        <v>0</v>
      </c>
      <c r="U916" s="650">
        <f t="shared" si="287"/>
        <v>0</v>
      </c>
      <c r="V916" s="650">
        <f t="shared" si="288"/>
        <v>0</v>
      </c>
      <c r="W916" s="650">
        <f t="shared" si="289"/>
        <v>0</v>
      </c>
      <c r="X916" s="746">
        <v>0</v>
      </c>
      <c r="Y916" s="746">
        <f t="shared" si="290"/>
        <v>0</v>
      </c>
    </row>
    <row r="917" spans="2:25">
      <c r="B917" s="598" t="s">
        <v>2595</v>
      </c>
      <c r="C917" s="604" t="s">
        <v>864</v>
      </c>
      <c r="D917" s="745">
        <v>2017</v>
      </c>
      <c r="E917" s="604" t="s">
        <v>3613</v>
      </c>
      <c r="F917" s="738">
        <v>0.15</v>
      </c>
      <c r="G917" s="739">
        <v>70000</v>
      </c>
      <c r="H917" s="741"/>
      <c r="I917" s="742"/>
      <c r="J917" s="740"/>
      <c r="K917" s="739">
        <v>57750</v>
      </c>
      <c r="L917" s="864">
        <f t="shared" si="280"/>
        <v>12250</v>
      </c>
      <c r="M917" s="866">
        <f>+IF(L917=0,0,G917*F917)-X917</f>
        <v>10500</v>
      </c>
      <c r="N917" s="650">
        <f t="shared" si="295"/>
        <v>1750</v>
      </c>
      <c r="O917" s="650">
        <f t="shared" si="292"/>
        <v>0</v>
      </c>
      <c r="P917" s="650">
        <f t="shared" si="282"/>
        <v>0</v>
      </c>
      <c r="Q917" s="650">
        <f t="shared" si="283"/>
        <v>0</v>
      </c>
      <c r="R917" s="650">
        <f t="shared" si="284"/>
        <v>0</v>
      </c>
      <c r="S917" s="650">
        <f t="shared" si="285"/>
        <v>0</v>
      </c>
      <c r="T917" s="650">
        <f t="shared" si="286"/>
        <v>0</v>
      </c>
      <c r="U917" s="650">
        <f t="shared" si="287"/>
        <v>0</v>
      </c>
      <c r="V917" s="650">
        <f t="shared" si="288"/>
        <v>0</v>
      </c>
      <c r="W917" s="650">
        <f t="shared" si="289"/>
        <v>0</v>
      </c>
      <c r="X917" s="746">
        <v>0</v>
      </c>
      <c r="Y917" s="746">
        <f t="shared" si="290"/>
        <v>0</v>
      </c>
    </row>
    <row r="918" spans="2:25">
      <c r="B918" s="598" t="s">
        <v>2595</v>
      </c>
      <c r="C918" s="604" t="s">
        <v>864</v>
      </c>
      <c r="D918" s="745">
        <v>2016</v>
      </c>
      <c r="E918" s="604" t="s">
        <v>3614</v>
      </c>
      <c r="F918" s="738">
        <v>0.15</v>
      </c>
      <c r="G918" s="739">
        <v>33600</v>
      </c>
      <c r="H918" s="741"/>
      <c r="I918" s="742"/>
      <c r="J918" s="740"/>
      <c r="K918" s="739">
        <v>27720</v>
      </c>
      <c r="L918" s="864">
        <f t="shared" si="280"/>
        <v>5880</v>
      </c>
      <c r="M918" s="866">
        <f>+IF(L918=0,0,G918*F918)-X918</f>
        <v>5040</v>
      </c>
      <c r="N918" s="650">
        <f t="shared" si="295"/>
        <v>840</v>
      </c>
      <c r="O918" s="650">
        <f t="shared" si="292"/>
        <v>0</v>
      </c>
      <c r="P918" s="650">
        <f t="shared" si="282"/>
        <v>0</v>
      </c>
      <c r="Q918" s="650">
        <f t="shared" si="283"/>
        <v>0</v>
      </c>
      <c r="R918" s="650">
        <f t="shared" si="284"/>
        <v>0</v>
      </c>
      <c r="S918" s="650">
        <f t="shared" si="285"/>
        <v>0</v>
      </c>
      <c r="T918" s="650">
        <f t="shared" si="286"/>
        <v>0</v>
      </c>
      <c r="U918" s="650">
        <f t="shared" si="287"/>
        <v>0</v>
      </c>
      <c r="V918" s="650">
        <f t="shared" si="288"/>
        <v>0</v>
      </c>
      <c r="W918" s="650">
        <f t="shared" si="289"/>
        <v>0</v>
      </c>
      <c r="X918" s="746">
        <v>0</v>
      </c>
      <c r="Y918" s="746">
        <f t="shared" si="290"/>
        <v>0</v>
      </c>
    </row>
    <row r="919" spans="2:25">
      <c r="B919" s="598" t="s">
        <v>2595</v>
      </c>
      <c r="C919" s="604" t="s">
        <v>864</v>
      </c>
      <c r="D919" s="745">
        <v>2016</v>
      </c>
      <c r="E919" s="604" t="s">
        <v>3495</v>
      </c>
      <c r="F919" s="738">
        <v>0.15</v>
      </c>
      <c r="G919" s="739">
        <v>125000</v>
      </c>
      <c r="H919" s="741"/>
      <c r="I919" s="742"/>
      <c r="J919" s="740"/>
      <c r="K919" s="739">
        <v>103125</v>
      </c>
      <c r="L919" s="864">
        <f t="shared" si="280"/>
        <v>21875</v>
      </c>
      <c r="M919" s="866">
        <f>+IF(L919=0,0,G919*F919)-X919</f>
        <v>18750</v>
      </c>
      <c r="N919" s="650">
        <f t="shared" si="295"/>
        <v>3125</v>
      </c>
      <c r="O919" s="650">
        <f t="shared" si="292"/>
        <v>0</v>
      </c>
      <c r="P919" s="650">
        <f t="shared" si="282"/>
        <v>0</v>
      </c>
      <c r="Q919" s="650">
        <f t="shared" si="283"/>
        <v>0</v>
      </c>
      <c r="R919" s="650">
        <f t="shared" si="284"/>
        <v>0</v>
      </c>
      <c r="S919" s="650">
        <f t="shared" si="285"/>
        <v>0</v>
      </c>
      <c r="T919" s="650">
        <f t="shared" si="286"/>
        <v>0</v>
      </c>
      <c r="U919" s="650">
        <f t="shared" si="287"/>
        <v>0</v>
      </c>
      <c r="V919" s="650">
        <f t="shared" si="288"/>
        <v>0</v>
      </c>
      <c r="W919" s="650">
        <f t="shared" si="289"/>
        <v>0</v>
      </c>
      <c r="X919" s="746">
        <v>0</v>
      </c>
      <c r="Y919" s="746">
        <f t="shared" si="290"/>
        <v>0</v>
      </c>
    </row>
    <row r="920" spans="2:25">
      <c r="B920" s="598" t="s">
        <v>2595</v>
      </c>
      <c r="C920" s="604" t="s">
        <v>864</v>
      </c>
      <c r="D920" s="745">
        <v>2018</v>
      </c>
      <c r="E920" s="604" t="s">
        <v>3611</v>
      </c>
      <c r="F920" s="738">
        <v>0.15</v>
      </c>
      <c r="G920" s="739">
        <v>28000</v>
      </c>
      <c r="H920" s="741"/>
      <c r="I920" s="742"/>
      <c r="J920" s="740"/>
      <c r="K920" s="739">
        <v>23100</v>
      </c>
      <c r="L920" s="864">
        <f t="shared" si="280"/>
        <v>4900</v>
      </c>
      <c r="M920" s="866">
        <f t="shared" si="294"/>
        <v>4200</v>
      </c>
      <c r="N920" s="650">
        <f t="shared" si="295"/>
        <v>700</v>
      </c>
      <c r="O920" s="650">
        <f t="shared" si="292"/>
        <v>0</v>
      </c>
      <c r="P920" s="650">
        <f t="shared" si="282"/>
        <v>0</v>
      </c>
      <c r="Q920" s="650">
        <f t="shared" si="283"/>
        <v>0</v>
      </c>
      <c r="R920" s="650">
        <f t="shared" si="284"/>
        <v>0</v>
      </c>
      <c r="S920" s="650">
        <f t="shared" si="285"/>
        <v>0</v>
      </c>
      <c r="T920" s="650">
        <f t="shared" si="286"/>
        <v>0</v>
      </c>
      <c r="U920" s="650">
        <f t="shared" si="287"/>
        <v>0</v>
      </c>
      <c r="V920" s="650">
        <f t="shared" si="288"/>
        <v>0</v>
      </c>
      <c r="W920" s="650">
        <f t="shared" si="289"/>
        <v>0</v>
      </c>
      <c r="X920" s="746">
        <v>0</v>
      </c>
      <c r="Y920" s="746">
        <f t="shared" si="290"/>
        <v>0</v>
      </c>
    </row>
    <row r="921" spans="2:25">
      <c r="B921" s="598" t="s">
        <v>2595</v>
      </c>
      <c r="C921" s="604" t="s">
        <v>864</v>
      </c>
      <c r="D921" s="745">
        <v>2018</v>
      </c>
      <c r="E921" s="604" t="s">
        <v>3588</v>
      </c>
      <c r="F921" s="738">
        <v>0.15</v>
      </c>
      <c r="G921" s="739">
        <v>20000</v>
      </c>
      <c r="H921" s="741"/>
      <c r="I921" s="742"/>
      <c r="J921" s="740"/>
      <c r="K921" s="739">
        <v>16500</v>
      </c>
      <c r="L921" s="864">
        <f t="shared" si="280"/>
        <v>3500</v>
      </c>
      <c r="M921" s="866">
        <f t="shared" si="294"/>
        <v>3000</v>
      </c>
      <c r="N921" s="650">
        <f t="shared" si="295"/>
        <v>500</v>
      </c>
      <c r="O921" s="650">
        <f t="shared" si="292"/>
        <v>0</v>
      </c>
      <c r="P921" s="650">
        <f t="shared" si="282"/>
        <v>0</v>
      </c>
      <c r="Q921" s="650">
        <f t="shared" si="283"/>
        <v>0</v>
      </c>
      <c r="R921" s="650">
        <f t="shared" si="284"/>
        <v>0</v>
      </c>
      <c r="S921" s="650">
        <f t="shared" si="285"/>
        <v>0</v>
      </c>
      <c r="T921" s="650">
        <f t="shared" si="286"/>
        <v>0</v>
      </c>
      <c r="U921" s="650">
        <f t="shared" si="287"/>
        <v>0</v>
      </c>
      <c r="V921" s="650">
        <f t="shared" si="288"/>
        <v>0</v>
      </c>
      <c r="W921" s="650">
        <f t="shared" si="289"/>
        <v>0</v>
      </c>
      <c r="X921" s="746">
        <v>0</v>
      </c>
      <c r="Y921" s="746">
        <f t="shared" si="290"/>
        <v>0</v>
      </c>
    </row>
    <row r="922" spans="2:25">
      <c r="B922" s="598" t="s">
        <v>2595</v>
      </c>
      <c r="C922" s="604" t="s">
        <v>864</v>
      </c>
      <c r="D922" s="745">
        <v>2022</v>
      </c>
      <c r="E922" s="604" t="s">
        <v>3588</v>
      </c>
      <c r="F922" s="738">
        <v>0.15</v>
      </c>
      <c r="G922" s="739">
        <v>10000</v>
      </c>
      <c r="H922" s="741"/>
      <c r="I922" s="742"/>
      <c r="J922" s="740"/>
      <c r="K922" s="739">
        <v>8250</v>
      </c>
      <c r="L922" s="864">
        <f t="shared" si="280"/>
        <v>1750</v>
      </c>
      <c r="M922" s="866">
        <f t="shared" si="294"/>
        <v>1500</v>
      </c>
      <c r="N922" s="650">
        <f t="shared" si="295"/>
        <v>250</v>
      </c>
      <c r="O922" s="650">
        <f t="shared" si="292"/>
        <v>0</v>
      </c>
      <c r="P922" s="650">
        <f t="shared" si="282"/>
        <v>0</v>
      </c>
      <c r="Q922" s="650">
        <f t="shared" si="283"/>
        <v>0</v>
      </c>
      <c r="R922" s="650">
        <f t="shared" si="284"/>
        <v>0</v>
      </c>
      <c r="S922" s="650">
        <f>+IF(L922-SUM(M922:R922)&gt;0,G922*F922,0)-X922</f>
        <v>0</v>
      </c>
      <c r="T922" s="650">
        <v>0</v>
      </c>
      <c r="U922" s="650">
        <v>0</v>
      </c>
      <c r="V922" s="650">
        <v>0</v>
      </c>
      <c r="W922" s="650">
        <v>0</v>
      </c>
      <c r="X922" s="746">
        <v>0</v>
      </c>
      <c r="Y922" s="746">
        <f t="shared" si="290"/>
        <v>0</v>
      </c>
    </row>
    <row r="923" spans="2:25">
      <c r="B923" s="598" t="s">
        <v>2595</v>
      </c>
      <c r="C923" s="604" t="s">
        <v>864</v>
      </c>
      <c r="D923" s="745">
        <v>2016</v>
      </c>
      <c r="E923" s="604" t="s">
        <v>3525</v>
      </c>
      <c r="F923" s="738">
        <v>0.15</v>
      </c>
      <c r="G923" s="739">
        <v>3320</v>
      </c>
      <c r="H923" s="741"/>
      <c r="I923" s="742"/>
      <c r="J923" s="740"/>
      <c r="K923" s="739">
        <v>2739</v>
      </c>
      <c r="L923" s="864">
        <f t="shared" si="280"/>
        <v>581</v>
      </c>
      <c r="M923" s="866">
        <f>+IF(L923=0,0,G923*F923)-X923</f>
        <v>498</v>
      </c>
      <c r="N923" s="650">
        <f t="shared" si="295"/>
        <v>83</v>
      </c>
      <c r="O923" s="650">
        <f t="shared" si="292"/>
        <v>0</v>
      </c>
      <c r="P923" s="650">
        <f t="shared" si="282"/>
        <v>0</v>
      </c>
      <c r="Q923" s="650">
        <f t="shared" si="283"/>
        <v>0</v>
      </c>
      <c r="R923" s="650">
        <f t="shared" si="284"/>
        <v>0</v>
      </c>
      <c r="S923" s="650">
        <f t="shared" si="285"/>
        <v>0</v>
      </c>
      <c r="T923" s="650">
        <f t="shared" si="286"/>
        <v>0</v>
      </c>
      <c r="U923" s="650">
        <f t="shared" si="287"/>
        <v>0</v>
      </c>
      <c r="V923" s="650">
        <f t="shared" si="288"/>
        <v>0</v>
      </c>
      <c r="W923" s="650">
        <f t="shared" si="289"/>
        <v>0</v>
      </c>
      <c r="X923" s="746">
        <v>0</v>
      </c>
      <c r="Y923" s="746">
        <f t="shared" si="290"/>
        <v>0</v>
      </c>
    </row>
    <row r="924" spans="2:25">
      <c r="B924" s="598" t="s">
        <v>2595</v>
      </c>
      <c r="C924" s="604" t="s">
        <v>864</v>
      </c>
      <c r="D924" s="745">
        <v>2016</v>
      </c>
      <c r="E924" s="604" t="s">
        <v>3615</v>
      </c>
      <c r="F924" s="738">
        <v>0.15</v>
      </c>
      <c r="G924" s="739">
        <v>23000</v>
      </c>
      <c r="H924" s="741"/>
      <c r="I924" s="742"/>
      <c r="J924" s="740"/>
      <c r="K924" s="739">
        <v>15525</v>
      </c>
      <c r="L924" s="864">
        <f t="shared" si="280"/>
        <v>7475</v>
      </c>
      <c r="M924" s="866">
        <f>+IF(L924=0,0,G924*F924)-X924</f>
        <v>3450</v>
      </c>
      <c r="N924" s="650">
        <f t="shared" si="291"/>
        <v>3450</v>
      </c>
      <c r="O924" s="650">
        <f>+L924-M924-N924</f>
        <v>575</v>
      </c>
      <c r="P924" s="650">
        <f t="shared" si="282"/>
        <v>0</v>
      </c>
      <c r="Q924" s="650">
        <f t="shared" si="283"/>
        <v>0</v>
      </c>
      <c r="R924" s="650">
        <f t="shared" si="284"/>
        <v>0</v>
      </c>
      <c r="S924" s="650">
        <f t="shared" si="285"/>
        <v>0</v>
      </c>
      <c r="T924" s="650">
        <f t="shared" si="286"/>
        <v>0</v>
      </c>
      <c r="U924" s="650">
        <f t="shared" si="287"/>
        <v>0</v>
      </c>
      <c r="V924" s="650">
        <f t="shared" si="288"/>
        <v>0</v>
      </c>
      <c r="W924" s="650">
        <f t="shared" si="289"/>
        <v>0</v>
      </c>
      <c r="X924" s="746">
        <v>0</v>
      </c>
      <c r="Y924" s="746">
        <f t="shared" si="290"/>
        <v>0</v>
      </c>
    </row>
    <row r="925" spans="2:25">
      <c r="B925" s="598" t="s">
        <v>2595</v>
      </c>
      <c r="C925" s="604" t="s">
        <v>864</v>
      </c>
      <c r="D925" s="745">
        <v>2017</v>
      </c>
      <c r="E925" s="604" t="s">
        <v>3616</v>
      </c>
      <c r="F925" s="738">
        <v>0.15</v>
      </c>
      <c r="G925" s="739">
        <v>3000</v>
      </c>
      <c r="H925" s="741"/>
      <c r="I925" s="742"/>
      <c r="J925" s="740"/>
      <c r="K925" s="739">
        <v>2025</v>
      </c>
      <c r="L925" s="864">
        <f t="shared" si="280"/>
        <v>975</v>
      </c>
      <c r="M925" s="866">
        <f>+IF(L925=0,0,G925*F925)-X925</f>
        <v>450</v>
      </c>
      <c r="N925" s="650">
        <f t="shared" si="291"/>
        <v>450</v>
      </c>
      <c r="O925" s="650">
        <f t="shared" ref="O925:O947" si="296">+L925-M925-N925</f>
        <v>75</v>
      </c>
      <c r="P925" s="650">
        <f t="shared" si="282"/>
        <v>0</v>
      </c>
      <c r="Q925" s="650">
        <f t="shared" si="283"/>
        <v>0</v>
      </c>
      <c r="R925" s="650">
        <f t="shared" si="284"/>
        <v>0</v>
      </c>
      <c r="S925" s="650">
        <f t="shared" si="285"/>
        <v>0</v>
      </c>
      <c r="T925" s="650">
        <f t="shared" si="286"/>
        <v>0</v>
      </c>
      <c r="U925" s="650">
        <f t="shared" si="287"/>
        <v>0</v>
      </c>
      <c r="V925" s="650">
        <f t="shared" si="288"/>
        <v>0</v>
      </c>
      <c r="W925" s="650">
        <f t="shared" si="289"/>
        <v>0</v>
      </c>
      <c r="X925" s="746">
        <v>0</v>
      </c>
      <c r="Y925" s="746">
        <f t="shared" si="290"/>
        <v>0</v>
      </c>
    </row>
    <row r="926" spans="2:25">
      <c r="B926" s="598" t="s">
        <v>2595</v>
      </c>
      <c r="C926" s="604" t="s">
        <v>864</v>
      </c>
      <c r="D926" s="745">
        <v>2022</v>
      </c>
      <c r="E926" s="604" t="s">
        <v>3617</v>
      </c>
      <c r="F926" s="738">
        <v>0.15</v>
      </c>
      <c r="G926" s="739">
        <v>3500</v>
      </c>
      <c r="H926" s="741"/>
      <c r="I926" s="742"/>
      <c r="J926" s="740"/>
      <c r="K926" s="739">
        <v>2362.5</v>
      </c>
      <c r="L926" s="864">
        <f t="shared" si="280"/>
        <v>1137.5</v>
      </c>
      <c r="M926" s="866">
        <f t="shared" si="294"/>
        <v>525</v>
      </c>
      <c r="N926" s="650">
        <f t="shared" si="291"/>
        <v>525</v>
      </c>
      <c r="O926" s="650">
        <f t="shared" si="296"/>
        <v>87.5</v>
      </c>
      <c r="P926" s="650">
        <f t="shared" si="282"/>
        <v>0</v>
      </c>
      <c r="Q926" s="650">
        <f t="shared" si="283"/>
        <v>0</v>
      </c>
      <c r="R926" s="650">
        <f t="shared" si="284"/>
        <v>0</v>
      </c>
      <c r="S926" s="650">
        <f>+IF(L926-SUM(M926:R926)&gt;0,G926*F926,0)-X926</f>
        <v>0</v>
      </c>
      <c r="T926" s="650">
        <f t="shared" si="286"/>
        <v>0</v>
      </c>
      <c r="U926" s="650">
        <f t="shared" si="287"/>
        <v>0</v>
      </c>
      <c r="V926" s="650">
        <f t="shared" si="288"/>
        <v>0</v>
      </c>
      <c r="W926" s="650">
        <f t="shared" si="289"/>
        <v>0</v>
      </c>
      <c r="X926" s="746">
        <v>0</v>
      </c>
      <c r="Y926" s="746">
        <f t="shared" si="290"/>
        <v>0</v>
      </c>
    </row>
    <row r="927" spans="2:25">
      <c r="B927" s="598" t="s">
        <v>2595</v>
      </c>
      <c r="C927" s="604" t="s">
        <v>864</v>
      </c>
      <c r="D927" s="745">
        <v>2016</v>
      </c>
      <c r="E927" s="604" t="s">
        <v>3546</v>
      </c>
      <c r="F927" s="738">
        <v>0.15</v>
      </c>
      <c r="G927" s="739">
        <v>68000</v>
      </c>
      <c r="H927" s="741"/>
      <c r="I927" s="742"/>
      <c r="J927" s="740"/>
      <c r="K927" s="739">
        <v>45900</v>
      </c>
      <c r="L927" s="864">
        <f t="shared" si="280"/>
        <v>22100</v>
      </c>
      <c r="M927" s="866">
        <f t="shared" si="294"/>
        <v>10200</v>
      </c>
      <c r="N927" s="650">
        <f t="shared" ref="N927:N933" si="297">+IF(L927-M927&gt;0,G927*F927,0)-X927</f>
        <v>10200</v>
      </c>
      <c r="O927" s="650">
        <f t="shared" si="296"/>
        <v>1700</v>
      </c>
      <c r="P927" s="650">
        <f t="shared" si="282"/>
        <v>0</v>
      </c>
      <c r="Q927" s="650">
        <f t="shared" si="283"/>
        <v>0</v>
      </c>
      <c r="R927" s="650">
        <f t="shared" si="284"/>
        <v>0</v>
      </c>
      <c r="S927" s="650">
        <f t="shared" si="285"/>
        <v>0</v>
      </c>
      <c r="T927" s="650">
        <f t="shared" si="286"/>
        <v>0</v>
      </c>
      <c r="U927" s="650">
        <f t="shared" si="287"/>
        <v>0</v>
      </c>
      <c r="V927" s="650">
        <f t="shared" si="288"/>
        <v>0</v>
      </c>
      <c r="W927" s="650">
        <f t="shared" si="289"/>
        <v>0</v>
      </c>
      <c r="X927" s="746">
        <v>0</v>
      </c>
      <c r="Y927" s="746">
        <f t="shared" si="290"/>
        <v>0</v>
      </c>
    </row>
    <row r="928" spans="2:25">
      <c r="B928" s="598" t="s">
        <v>2595</v>
      </c>
      <c r="C928" s="604" t="s">
        <v>864</v>
      </c>
      <c r="D928" s="745">
        <v>2017</v>
      </c>
      <c r="E928" s="604" t="s">
        <v>3618</v>
      </c>
      <c r="F928" s="738">
        <v>0.15</v>
      </c>
      <c r="G928" s="739">
        <v>115000</v>
      </c>
      <c r="H928" s="741"/>
      <c r="I928" s="742"/>
      <c r="J928" s="740"/>
      <c r="K928" s="739">
        <v>77625</v>
      </c>
      <c r="L928" s="864">
        <f t="shared" si="280"/>
        <v>37375</v>
      </c>
      <c r="M928" s="866">
        <f t="shared" si="294"/>
        <v>17250</v>
      </c>
      <c r="N928" s="650">
        <f t="shared" si="297"/>
        <v>17250</v>
      </c>
      <c r="O928" s="650">
        <f t="shared" si="296"/>
        <v>2875</v>
      </c>
      <c r="P928" s="650">
        <f t="shared" si="282"/>
        <v>0</v>
      </c>
      <c r="Q928" s="650">
        <f t="shared" si="283"/>
        <v>0</v>
      </c>
      <c r="R928" s="650">
        <f t="shared" si="284"/>
        <v>0</v>
      </c>
      <c r="S928" s="650">
        <f t="shared" si="285"/>
        <v>0</v>
      </c>
      <c r="T928" s="650">
        <f t="shared" si="286"/>
        <v>0</v>
      </c>
      <c r="U928" s="650">
        <f t="shared" si="287"/>
        <v>0</v>
      </c>
      <c r="V928" s="650">
        <f t="shared" si="288"/>
        <v>0</v>
      </c>
      <c r="W928" s="650">
        <f t="shared" si="289"/>
        <v>0</v>
      </c>
      <c r="X928" s="746">
        <v>0</v>
      </c>
      <c r="Y928" s="746">
        <f t="shared" si="290"/>
        <v>0</v>
      </c>
    </row>
    <row r="929" spans="2:25">
      <c r="B929" s="598" t="s">
        <v>2595</v>
      </c>
      <c r="C929" s="604" t="s">
        <v>864</v>
      </c>
      <c r="D929" s="745">
        <v>2017</v>
      </c>
      <c r="E929" s="604" t="s">
        <v>3619</v>
      </c>
      <c r="F929" s="738">
        <v>0.15</v>
      </c>
      <c r="G929" s="739">
        <v>1300</v>
      </c>
      <c r="H929" s="741"/>
      <c r="I929" s="742"/>
      <c r="J929" s="740"/>
      <c r="K929" s="739">
        <v>877.5</v>
      </c>
      <c r="L929" s="864">
        <f t="shared" si="280"/>
        <v>422.5</v>
      </c>
      <c r="M929" s="866">
        <f t="shared" si="294"/>
        <v>195</v>
      </c>
      <c r="N929" s="650">
        <f t="shared" si="297"/>
        <v>195</v>
      </c>
      <c r="O929" s="650">
        <f t="shared" si="296"/>
        <v>32.5</v>
      </c>
      <c r="P929" s="650">
        <f t="shared" si="282"/>
        <v>0</v>
      </c>
      <c r="Q929" s="650">
        <f t="shared" si="283"/>
        <v>0</v>
      </c>
      <c r="R929" s="650">
        <f t="shared" si="284"/>
        <v>0</v>
      </c>
      <c r="S929" s="650">
        <f t="shared" si="285"/>
        <v>0</v>
      </c>
      <c r="T929" s="650">
        <f t="shared" si="286"/>
        <v>0</v>
      </c>
      <c r="U929" s="650">
        <f t="shared" si="287"/>
        <v>0</v>
      </c>
      <c r="V929" s="650">
        <f t="shared" si="288"/>
        <v>0</v>
      </c>
      <c r="W929" s="650">
        <f t="shared" si="289"/>
        <v>0</v>
      </c>
      <c r="X929" s="746">
        <v>0</v>
      </c>
      <c r="Y929" s="746">
        <f t="shared" si="290"/>
        <v>0</v>
      </c>
    </row>
    <row r="930" spans="2:25">
      <c r="B930" s="598" t="s">
        <v>2595</v>
      </c>
      <c r="C930" s="604" t="s">
        <v>864</v>
      </c>
      <c r="D930" s="745">
        <v>2017</v>
      </c>
      <c r="E930" s="604" t="s">
        <v>3620</v>
      </c>
      <c r="F930" s="738">
        <v>0.15</v>
      </c>
      <c r="G930" s="739">
        <v>650000</v>
      </c>
      <c r="H930" s="741"/>
      <c r="I930" s="742"/>
      <c r="J930" s="740"/>
      <c r="K930" s="739">
        <v>438750</v>
      </c>
      <c r="L930" s="864">
        <f t="shared" si="280"/>
        <v>211250</v>
      </c>
      <c r="M930" s="866">
        <f t="shared" si="294"/>
        <v>97500</v>
      </c>
      <c r="N930" s="650">
        <f t="shared" si="297"/>
        <v>97500</v>
      </c>
      <c r="O930" s="650">
        <f t="shared" si="296"/>
        <v>16250</v>
      </c>
      <c r="P930" s="650">
        <f t="shared" si="282"/>
        <v>0</v>
      </c>
      <c r="Q930" s="650">
        <f t="shared" si="283"/>
        <v>0</v>
      </c>
      <c r="R930" s="650">
        <f t="shared" si="284"/>
        <v>0</v>
      </c>
      <c r="S930" s="650">
        <f t="shared" si="285"/>
        <v>0</v>
      </c>
      <c r="T930" s="650">
        <f t="shared" si="286"/>
        <v>0</v>
      </c>
      <c r="U930" s="650">
        <f t="shared" si="287"/>
        <v>0</v>
      </c>
      <c r="V930" s="650">
        <f t="shared" si="288"/>
        <v>0</v>
      </c>
      <c r="W930" s="650">
        <f t="shared" si="289"/>
        <v>0</v>
      </c>
      <c r="X930" s="746">
        <v>0</v>
      </c>
      <c r="Y930" s="746">
        <f t="shared" si="290"/>
        <v>0</v>
      </c>
    </row>
    <row r="931" spans="2:25">
      <c r="B931" s="598" t="s">
        <v>2595</v>
      </c>
      <c r="C931" s="604" t="s">
        <v>864</v>
      </c>
      <c r="D931" s="745">
        <v>2017</v>
      </c>
      <c r="E931" s="604" t="s">
        <v>3621</v>
      </c>
      <c r="F931" s="738">
        <v>0.15</v>
      </c>
      <c r="G931" s="739">
        <v>67000</v>
      </c>
      <c r="H931" s="741"/>
      <c r="I931" s="742"/>
      <c r="J931" s="740"/>
      <c r="K931" s="739">
        <v>45225</v>
      </c>
      <c r="L931" s="864">
        <f t="shared" si="280"/>
        <v>21775</v>
      </c>
      <c r="M931" s="866">
        <f t="shared" si="294"/>
        <v>10050</v>
      </c>
      <c r="N931" s="650">
        <f t="shared" si="297"/>
        <v>10050</v>
      </c>
      <c r="O931" s="650">
        <f t="shared" si="296"/>
        <v>1675</v>
      </c>
      <c r="P931" s="650">
        <f t="shared" si="282"/>
        <v>0</v>
      </c>
      <c r="Q931" s="650">
        <f t="shared" si="283"/>
        <v>0</v>
      </c>
      <c r="R931" s="650">
        <f t="shared" si="284"/>
        <v>0</v>
      </c>
      <c r="S931" s="650">
        <f t="shared" si="285"/>
        <v>0</v>
      </c>
      <c r="T931" s="650">
        <f t="shared" si="286"/>
        <v>0</v>
      </c>
      <c r="U931" s="650">
        <f t="shared" si="287"/>
        <v>0</v>
      </c>
      <c r="V931" s="650">
        <f t="shared" si="288"/>
        <v>0</v>
      </c>
      <c r="W931" s="650">
        <f t="shared" si="289"/>
        <v>0</v>
      </c>
      <c r="X931" s="746">
        <v>0</v>
      </c>
      <c r="Y931" s="746">
        <f t="shared" si="290"/>
        <v>0</v>
      </c>
    </row>
    <row r="932" spans="2:25">
      <c r="B932" s="598" t="s">
        <v>2595</v>
      </c>
      <c r="C932" s="604" t="s">
        <v>864</v>
      </c>
      <c r="D932" s="745">
        <v>2017</v>
      </c>
      <c r="E932" s="604" t="s">
        <v>3504</v>
      </c>
      <c r="F932" s="738">
        <v>0.15</v>
      </c>
      <c r="G932" s="739">
        <v>30000</v>
      </c>
      <c r="H932" s="741"/>
      <c r="I932" s="742"/>
      <c r="J932" s="740"/>
      <c r="K932" s="739">
        <v>20250</v>
      </c>
      <c r="L932" s="864">
        <f t="shared" si="280"/>
        <v>9750</v>
      </c>
      <c r="M932" s="866">
        <f t="shared" si="294"/>
        <v>4500</v>
      </c>
      <c r="N932" s="650">
        <f t="shared" si="297"/>
        <v>4500</v>
      </c>
      <c r="O932" s="650">
        <f t="shared" si="296"/>
        <v>750</v>
      </c>
      <c r="P932" s="650">
        <f t="shared" si="282"/>
        <v>0</v>
      </c>
      <c r="Q932" s="650">
        <f t="shared" si="283"/>
        <v>0</v>
      </c>
      <c r="R932" s="650">
        <f t="shared" si="284"/>
        <v>0</v>
      </c>
      <c r="S932" s="650">
        <f t="shared" si="285"/>
        <v>0</v>
      </c>
      <c r="T932" s="650">
        <f t="shared" si="286"/>
        <v>0</v>
      </c>
      <c r="U932" s="650">
        <f t="shared" si="287"/>
        <v>0</v>
      </c>
      <c r="V932" s="650">
        <f t="shared" si="288"/>
        <v>0</v>
      </c>
      <c r="W932" s="650">
        <f t="shared" si="289"/>
        <v>0</v>
      </c>
      <c r="X932" s="746">
        <v>0</v>
      </c>
      <c r="Y932" s="746">
        <f t="shared" si="290"/>
        <v>0</v>
      </c>
    </row>
    <row r="933" spans="2:25">
      <c r="B933" s="598" t="s">
        <v>2595</v>
      </c>
      <c r="C933" s="604" t="s">
        <v>864</v>
      </c>
      <c r="D933" s="745">
        <v>2018</v>
      </c>
      <c r="E933" s="604" t="s">
        <v>3622</v>
      </c>
      <c r="F933" s="738">
        <v>0.15</v>
      </c>
      <c r="G933" s="739">
        <v>12000</v>
      </c>
      <c r="H933" s="741"/>
      <c r="I933" s="742"/>
      <c r="J933" s="740"/>
      <c r="K933" s="739">
        <v>8100</v>
      </c>
      <c r="L933" s="864">
        <f t="shared" si="280"/>
        <v>3900</v>
      </c>
      <c r="M933" s="866">
        <f t="shared" si="294"/>
        <v>1800</v>
      </c>
      <c r="N933" s="650">
        <f t="shared" si="297"/>
        <v>1800</v>
      </c>
      <c r="O933" s="650">
        <f t="shared" si="296"/>
        <v>300</v>
      </c>
      <c r="P933" s="650">
        <f t="shared" si="282"/>
        <v>0</v>
      </c>
      <c r="Q933" s="650">
        <f t="shared" si="283"/>
        <v>0</v>
      </c>
      <c r="R933" s="650">
        <f t="shared" si="284"/>
        <v>0</v>
      </c>
      <c r="S933" s="650">
        <f t="shared" si="285"/>
        <v>0</v>
      </c>
      <c r="T933" s="650">
        <f t="shared" si="286"/>
        <v>0</v>
      </c>
      <c r="U933" s="650">
        <f t="shared" si="287"/>
        <v>0</v>
      </c>
      <c r="V933" s="650">
        <f t="shared" si="288"/>
        <v>0</v>
      </c>
      <c r="W933" s="650">
        <f t="shared" si="289"/>
        <v>0</v>
      </c>
      <c r="X933" s="746">
        <v>0</v>
      </c>
      <c r="Y933" s="746">
        <f t="shared" si="290"/>
        <v>0</v>
      </c>
    </row>
    <row r="934" spans="2:25">
      <c r="B934" s="598" t="s">
        <v>2595</v>
      </c>
      <c r="C934" s="604" t="s">
        <v>864</v>
      </c>
      <c r="D934" s="745">
        <v>2019</v>
      </c>
      <c r="E934" s="604" t="s">
        <v>3623</v>
      </c>
      <c r="F934" s="738">
        <v>0.15</v>
      </c>
      <c r="G934" s="739">
        <v>40000</v>
      </c>
      <c r="H934" s="741"/>
      <c r="I934" s="742"/>
      <c r="J934" s="740"/>
      <c r="K934" s="739">
        <v>27000</v>
      </c>
      <c r="L934" s="864">
        <f t="shared" si="280"/>
        <v>13000</v>
      </c>
      <c r="M934" s="866">
        <f t="shared" si="294"/>
        <v>6000</v>
      </c>
      <c r="N934" s="650">
        <f t="shared" si="291"/>
        <v>6000</v>
      </c>
      <c r="O934" s="650">
        <f t="shared" si="296"/>
        <v>1000</v>
      </c>
      <c r="P934" s="650">
        <f t="shared" si="282"/>
        <v>0</v>
      </c>
      <c r="Q934" s="650">
        <f t="shared" si="283"/>
        <v>0</v>
      </c>
      <c r="R934" s="650">
        <f t="shared" si="284"/>
        <v>0</v>
      </c>
      <c r="S934" s="650">
        <f t="shared" si="285"/>
        <v>0</v>
      </c>
      <c r="T934" s="650">
        <f t="shared" si="286"/>
        <v>0</v>
      </c>
      <c r="U934" s="650">
        <f t="shared" si="287"/>
        <v>0</v>
      </c>
      <c r="V934" s="650">
        <f t="shared" si="288"/>
        <v>0</v>
      </c>
      <c r="W934" s="650">
        <f t="shared" si="289"/>
        <v>0</v>
      </c>
      <c r="X934" s="746">
        <v>0</v>
      </c>
      <c r="Y934" s="746">
        <f t="shared" si="290"/>
        <v>0</v>
      </c>
    </row>
    <row r="935" spans="2:25">
      <c r="B935" s="598" t="s">
        <v>2595</v>
      </c>
      <c r="C935" s="604" t="s">
        <v>864</v>
      </c>
      <c r="D935" s="745">
        <v>2019</v>
      </c>
      <c r="E935" s="604" t="s">
        <v>3624</v>
      </c>
      <c r="F935" s="738">
        <v>0.15</v>
      </c>
      <c r="G935" s="739">
        <v>4000</v>
      </c>
      <c r="H935" s="741"/>
      <c r="I935" s="742"/>
      <c r="J935" s="740"/>
      <c r="K935" s="739">
        <v>2700</v>
      </c>
      <c r="L935" s="864">
        <f t="shared" si="280"/>
        <v>1300</v>
      </c>
      <c r="M935" s="866">
        <f>+L935</f>
        <v>1300</v>
      </c>
      <c r="N935" s="650">
        <f>+IF(L935-M935&gt;0,G935*F935,0)</f>
        <v>0</v>
      </c>
      <c r="O935" s="650">
        <f t="shared" si="296"/>
        <v>0</v>
      </c>
      <c r="P935" s="650">
        <f t="shared" si="282"/>
        <v>0</v>
      </c>
      <c r="Q935" s="650">
        <f t="shared" si="283"/>
        <v>0</v>
      </c>
      <c r="R935" s="650">
        <f t="shared" si="284"/>
        <v>0</v>
      </c>
      <c r="S935" s="650">
        <f t="shared" si="285"/>
        <v>0</v>
      </c>
      <c r="T935" s="650">
        <f t="shared" si="286"/>
        <v>0</v>
      </c>
      <c r="U935" s="650">
        <f t="shared" si="287"/>
        <v>0</v>
      </c>
      <c r="V935" s="650">
        <f t="shared" si="288"/>
        <v>0</v>
      </c>
      <c r="W935" s="650">
        <f t="shared" si="289"/>
        <v>0</v>
      </c>
      <c r="X935" s="746">
        <v>0</v>
      </c>
      <c r="Y935" s="746">
        <f t="shared" si="290"/>
        <v>0</v>
      </c>
    </row>
    <row r="936" spans="2:25">
      <c r="B936" s="598" t="s">
        <v>2595</v>
      </c>
      <c r="C936" s="604" t="s">
        <v>864</v>
      </c>
      <c r="D936" s="745">
        <v>2017</v>
      </c>
      <c r="E936" s="604" t="s">
        <v>3624</v>
      </c>
      <c r="F936" s="738">
        <v>0.15</v>
      </c>
      <c r="G936" s="739">
        <v>2000</v>
      </c>
      <c r="H936" s="741"/>
      <c r="I936" s="742"/>
      <c r="J936" s="740"/>
      <c r="K936" s="739">
        <v>1350</v>
      </c>
      <c r="L936" s="864">
        <f t="shared" si="280"/>
        <v>650</v>
      </c>
      <c r="M936" s="866">
        <f t="shared" si="294"/>
        <v>300</v>
      </c>
      <c r="N936" s="650">
        <f t="shared" ref="N936:N944" si="298">+IF(L936-M936&gt;0,G936*F936,0)-X936</f>
        <v>300</v>
      </c>
      <c r="O936" s="650">
        <f t="shared" si="296"/>
        <v>50</v>
      </c>
      <c r="P936" s="650">
        <f t="shared" si="282"/>
        <v>0</v>
      </c>
      <c r="Q936" s="650">
        <f t="shared" si="283"/>
        <v>0</v>
      </c>
      <c r="R936" s="650">
        <f t="shared" si="284"/>
        <v>0</v>
      </c>
      <c r="S936" s="650">
        <f t="shared" si="285"/>
        <v>0</v>
      </c>
      <c r="T936" s="650">
        <f t="shared" si="286"/>
        <v>0</v>
      </c>
      <c r="U936" s="650">
        <f t="shared" si="287"/>
        <v>0</v>
      </c>
      <c r="V936" s="650">
        <f t="shared" si="288"/>
        <v>0</v>
      </c>
      <c r="W936" s="650">
        <f t="shared" si="289"/>
        <v>0</v>
      </c>
      <c r="X936" s="746">
        <v>0</v>
      </c>
      <c r="Y936" s="746">
        <f t="shared" si="290"/>
        <v>0</v>
      </c>
    </row>
    <row r="937" spans="2:25">
      <c r="B937" s="598" t="s">
        <v>2595</v>
      </c>
      <c r="C937" s="604" t="s">
        <v>864</v>
      </c>
      <c r="D937" s="745">
        <v>2017</v>
      </c>
      <c r="E937" s="604" t="s">
        <v>3569</v>
      </c>
      <c r="F937" s="738">
        <v>0.15</v>
      </c>
      <c r="G937" s="739">
        <v>8000</v>
      </c>
      <c r="H937" s="741"/>
      <c r="I937" s="742"/>
      <c r="J937" s="740"/>
      <c r="K937" s="739">
        <v>5400</v>
      </c>
      <c r="L937" s="864">
        <f t="shared" si="280"/>
        <v>2600</v>
      </c>
      <c r="M937" s="866">
        <f t="shared" si="294"/>
        <v>1200</v>
      </c>
      <c r="N937" s="650">
        <f t="shared" si="298"/>
        <v>1200</v>
      </c>
      <c r="O937" s="650">
        <f t="shared" si="296"/>
        <v>200</v>
      </c>
      <c r="P937" s="650">
        <f t="shared" si="282"/>
        <v>0</v>
      </c>
      <c r="Q937" s="650">
        <f t="shared" si="283"/>
        <v>0</v>
      </c>
      <c r="R937" s="650">
        <f t="shared" si="284"/>
        <v>0</v>
      </c>
      <c r="S937" s="650">
        <f t="shared" si="285"/>
        <v>0</v>
      </c>
      <c r="T937" s="650">
        <f t="shared" si="286"/>
        <v>0</v>
      </c>
      <c r="U937" s="650">
        <f t="shared" si="287"/>
        <v>0</v>
      </c>
      <c r="V937" s="650">
        <f t="shared" si="288"/>
        <v>0</v>
      </c>
      <c r="W937" s="650">
        <f t="shared" si="289"/>
        <v>0</v>
      </c>
      <c r="X937" s="746">
        <v>0</v>
      </c>
      <c r="Y937" s="746">
        <f t="shared" ref="Y937:Y968" si="299">+SUM(M937:W937)-L937</f>
        <v>0</v>
      </c>
    </row>
    <row r="938" spans="2:25">
      <c r="B938" s="598" t="s">
        <v>2595</v>
      </c>
      <c r="C938" s="604" t="s">
        <v>864</v>
      </c>
      <c r="D938" s="745">
        <v>2017</v>
      </c>
      <c r="E938" s="604" t="s">
        <v>3569</v>
      </c>
      <c r="F938" s="738">
        <v>0.15</v>
      </c>
      <c r="G938" s="739">
        <v>12000</v>
      </c>
      <c r="H938" s="741"/>
      <c r="I938" s="742"/>
      <c r="J938" s="740"/>
      <c r="K938" s="739">
        <v>8100</v>
      </c>
      <c r="L938" s="864">
        <f t="shared" si="280"/>
        <v>3900</v>
      </c>
      <c r="M938" s="866">
        <f t="shared" si="294"/>
        <v>1800</v>
      </c>
      <c r="N938" s="650">
        <f t="shared" si="298"/>
        <v>1800</v>
      </c>
      <c r="O938" s="650">
        <f t="shared" si="296"/>
        <v>300</v>
      </c>
      <c r="P938" s="650">
        <f t="shared" si="282"/>
        <v>0</v>
      </c>
      <c r="Q938" s="650">
        <f t="shared" si="283"/>
        <v>0</v>
      </c>
      <c r="R938" s="650">
        <f t="shared" si="284"/>
        <v>0</v>
      </c>
      <c r="S938" s="650">
        <f t="shared" si="285"/>
        <v>0</v>
      </c>
      <c r="T938" s="650">
        <f t="shared" si="286"/>
        <v>0</v>
      </c>
      <c r="U938" s="650">
        <f t="shared" si="287"/>
        <v>0</v>
      </c>
      <c r="V938" s="650">
        <f t="shared" si="288"/>
        <v>0</v>
      </c>
      <c r="W938" s="650">
        <f t="shared" si="289"/>
        <v>0</v>
      </c>
      <c r="X938" s="746">
        <v>0</v>
      </c>
      <c r="Y938" s="746">
        <f t="shared" si="299"/>
        <v>0</v>
      </c>
    </row>
    <row r="939" spans="2:25">
      <c r="B939" s="598" t="s">
        <v>2595</v>
      </c>
      <c r="C939" s="604" t="s">
        <v>864</v>
      </c>
      <c r="D939" s="745">
        <v>2017</v>
      </c>
      <c r="E939" s="604" t="s">
        <v>3625</v>
      </c>
      <c r="F939" s="738">
        <v>0.15</v>
      </c>
      <c r="G939" s="739">
        <v>42000</v>
      </c>
      <c r="H939" s="741"/>
      <c r="I939" s="742"/>
      <c r="J939" s="740"/>
      <c r="K939" s="739">
        <v>28350</v>
      </c>
      <c r="L939" s="864">
        <f t="shared" si="280"/>
        <v>13650</v>
      </c>
      <c r="M939" s="866">
        <f t="shared" si="294"/>
        <v>6300</v>
      </c>
      <c r="N939" s="650">
        <f t="shared" si="298"/>
        <v>6300</v>
      </c>
      <c r="O939" s="650">
        <f t="shared" si="296"/>
        <v>1050</v>
      </c>
      <c r="P939" s="650">
        <f t="shared" si="282"/>
        <v>0</v>
      </c>
      <c r="Q939" s="650">
        <f t="shared" si="283"/>
        <v>0</v>
      </c>
      <c r="R939" s="650">
        <f t="shared" si="284"/>
        <v>0</v>
      </c>
      <c r="S939" s="650">
        <f t="shared" si="285"/>
        <v>0</v>
      </c>
      <c r="T939" s="650">
        <f t="shared" si="286"/>
        <v>0</v>
      </c>
      <c r="U939" s="650">
        <f t="shared" si="287"/>
        <v>0</v>
      </c>
      <c r="V939" s="650">
        <f t="shared" si="288"/>
        <v>0</v>
      </c>
      <c r="W939" s="650">
        <f t="shared" si="289"/>
        <v>0</v>
      </c>
      <c r="X939" s="746">
        <v>0</v>
      </c>
      <c r="Y939" s="746">
        <f t="shared" si="299"/>
        <v>0</v>
      </c>
    </row>
    <row r="940" spans="2:25">
      <c r="B940" s="598" t="s">
        <v>2595</v>
      </c>
      <c r="C940" s="604" t="s">
        <v>864</v>
      </c>
      <c r="D940" s="745">
        <v>2017</v>
      </c>
      <c r="E940" s="604" t="s">
        <v>3626</v>
      </c>
      <c r="F940" s="738">
        <v>0.15</v>
      </c>
      <c r="G940" s="739">
        <v>5800</v>
      </c>
      <c r="H940" s="741"/>
      <c r="I940" s="742"/>
      <c r="J940" s="740"/>
      <c r="K940" s="739">
        <v>3915</v>
      </c>
      <c r="L940" s="864">
        <f t="shared" si="280"/>
        <v>1885</v>
      </c>
      <c r="M940" s="866">
        <f t="shared" si="294"/>
        <v>870</v>
      </c>
      <c r="N940" s="650">
        <f t="shared" si="298"/>
        <v>870</v>
      </c>
      <c r="O940" s="650">
        <f t="shared" si="296"/>
        <v>145</v>
      </c>
      <c r="P940" s="650">
        <f t="shared" si="282"/>
        <v>0</v>
      </c>
      <c r="Q940" s="650">
        <f t="shared" si="283"/>
        <v>0</v>
      </c>
      <c r="R940" s="650">
        <f t="shared" si="284"/>
        <v>0</v>
      </c>
      <c r="S940" s="650">
        <f t="shared" si="285"/>
        <v>0</v>
      </c>
      <c r="T940" s="650">
        <f t="shared" si="286"/>
        <v>0</v>
      </c>
      <c r="U940" s="650">
        <f t="shared" si="287"/>
        <v>0</v>
      </c>
      <c r="V940" s="650">
        <f t="shared" si="288"/>
        <v>0</v>
      </c>
      <c r="W940" s="650">
        <f t="shared" si="289"/>
        <v>0</v>
      </c>
      <c r="X940" s="746">
        <v>0</v>
      </c>
      <c r="Y940" s="746">
        <f t="shared" si="299"/>
        <v>0</v>
      </c>
    </row>
    <row r="941" spans="2:25">
      <c r="B941" s="598" t="s">
        <v>2595</v>
      </c>
      <c r="C941" s="604" t="s">
        <v>864</v>
      </c>
      <c r="D941" s="745">
        <v>2017</v>
      </c>
      <c r="E941" s="604" t="s">
        <v>3627</v>
      </c>
      <c r="F941" s="738">
        <v>0.15</v>
      </c>
      <c r="G941" s="739">
        <v>5800</v>
      </c>
      <c r="H941" s="741"/>
      <c r="I941" s="742"/>
      <c r="J941" s="740"/>
      <c r="K941" s="739">
        <v>3915</v>
      </c>
      <c r="L941" s="864">
        <f t="shared" si="280"/>
        <v>1885</v>
      </c>
      <c r="M941" s="866">
        <f t="shared" si="294"/>
        <v>870</v>
      </c>
      <c r="N941" s="650">
        <f t="shared" si="298"/>
        <v>870</v>
      </c>
      <c r="O941" s="650">
        <f t="shared" si="296"/>
        <v>145</v>
      </c>
      <c r="P941" s="650">
        <f t="shared" si="282"/>
        <v>0</v>
      </c>
      <c r="Q941" s="650">
        <f t="shared" si="283"/>
        <v>0</v>
      </c>
      <c r="R941" s="650">
        <f t="shared" si="284"/>
        <v>0</v>
      </c>
      <c r="S941" s="650">
        <f t="shared" si="285"/>
        <v>0</v>
      </c>
      <c r="T941" s="650">
        <f t="shared" si="286"/>
        <v>0</v>
      </c>
      <c r="U941" s="650">
        <f t="shared" si="287"/>
        <v>0</v>
      </c>
      <c r="V941" s="650">
        <f t="shared" si="288"/>
        <v>0</v>
      </c>
      <c r="W941" s="650">
        <f t="shared" si="289"/>
        <v>0</v>
      </c>
      <c r="X941" s="746">
        <v>0</v>
      </c>
      <c r="Y941" s="746">
        <f t="shared" si="299"/>
        <v>0</v>
      </c>
    </row>
    <row r="942" spans="2:25">
      <c r="B942" s="598" t="s">
        <v>2595</v>
      </c>
      <c r="C942" s="604" t="s">
        <v>864</v>
      </c>
      <c r="D942" s="745">
        <v>2017</v>
      </c>
      <c r="E942" s="604" t="s">
        <v>3550</v>
      </c>
      <c r="F942" s="738">
        <v>0.15</v>
      </c>
      <c r="G942" s="739">
        <v>7500</v>
      </c>
      <c r="H942" s="741"/>
      <c r="I942" s="742"/>
      <c r="J942" s="740"/>
      <c r="K942" s="739">
        <v>5062.5</v>
      </c>
      <c r="L942" s="864">
        <f t="shared" si="280"/>
        <v>2437.5</v>
      </c>
      <c r="M942" s="866">
        <f t="shared" si="294"/>
        <v>1125</v>
      </c>
      <c r="N942" s="650">
        <f t="shared" si="298"/>
        <v>1125</v>
      </c>
      <c r="O942" s="650">
        <f t="shared" si="296"/>
        <v>187.5</v>
      </c>
      <c r="P942" s="650">
        <f t="shared" si="282"/>
        <v>0</v>
      </c>
      <c r="Q942" s="650">
        <f t="shared" si="283"/>
        <v>0</v>
      </c>
      <c r="R942" s="650">
        <f t="shared" si="284"/>
        <v>0</v>
      </c>
      <c r="S942" s="650">
        <f t="shared" si="285"/>
        <v>0</v>
      </c>
      <c r="T942" s="650">
        <f t="shared" si="286"/>
        <v>0</v>
      </c>
      <c r="U942" s="650">
        <f t="shared" si="287"/>
        <v>0</v>
      </c>
      <c r="V942" s="650">
        <f t="shared" si="288"/>
        <v>0</v>
      </c>
      <c r="W942" s="650">
        <f t="shared" si="289"/>
        <v>0</v>
      </c>
      <c r="X942" s="746">
        <v>0</v>
      </c>
      <c r="Y942" s="746">
        <f t="shared" si="299"/>
        <v>0</v>
      </c>
    </row>
    <row r="943" spans="2:25">
      <c r="B943" s="598" t="s">
        <v>2595</v>
      </c>
      <c r="C943" s="604" t="s">
        <v>864</v>
      </c>
      <c r="D943" s="745">
        <v>2017</v>
      </c>
      <c r="E943" s="604" t="s">
        <v>3550</v>
      </c>
      <c r="F943" s="738">
        <v>0.15</v>
      </c>
      <c r="G943" s="739">
        <v>6000</v>
      </c>
      <c r="H943" s="741"/>
      <c r="I943" s="742"/>
      <c r="J943" s="740"/>
      <c r="K943" s="739">
        <v>4050</v>
      </c>
      <c r="L943" s="864">
        <f t="shared" si="280"/>
        <v>1950</v>
      </c>
      <c r="M943" s="866">
        <f t="shared" si="294"/>
        <v>900</v>
      </c>
      <c r="N943" s="650">
        <f t="shared" si="298"/>
        <v>900</v>
      </c>
      <c r="O943" s="650">
        <f t="shared" si="296"/>
        <v>150</v>
      </c>
      <c r="P943" s="650">
        <f t="shared" si="282"/>
        <v>0</v>
      </c>
      <c r="Q943" s="650">
        <f t="shared" si="283"/>
        <v>0</v>
      </c>
      <c r="R943" s="650">
        <f t="shared" si="284"/>
        <v>0</v>
      </c>
      <c r="S943" s="650">
        <f t="shared" si="285"/>
        <v>0</v>
      </c>
      <c r="T943" s="650">
        <f t="shared" si="286"/>
        <v>0</v>
      </c>
      <c r="U943" s="650">
        <f t="shared" si="287"/>
        <v>0</v>
      </c>
      <c r="V943" s="650">
        <f t="shared" si="288"/>
        <v>0</v>
      </c>
      <c r="W943" s="650">
        <f t="shared" si="289"/>
        <v>0</v>
      </c>
      <c r="X943" s="746">
        <v>0</v>
      </c>
      <c r="Y943" s="746">
        <f t="shared" si="299"/>
        <v>0</v>
      </c>
    </row>
    <row r="944" spans="2:25">
      <c r="B944" s="598" t="s">
        <v>2595</v>
      </c>
      <c r="C944" s="604" t="s">
        <v>864</v>
      </c>
      <c r="D944" s="745">
        <v>2017</v>
      </c>
      <c r="E944" s="604" t="s">
        <v>3628</v>
      </c>
      <c r="F944" s="738">
        <v>0.15</v>
      </c>
      <c r="G944" s="739">
        <v>1500</v>
      </c>
      <c r="H944" s="741"/>
      <c r="I944" s="742"/>
      <c r="J944" s="740"/>
      <c r="K944" s="739">
        <v>1012.5</v>
      </c>
      <c r="L944" s="864">
        <f t="shared" si="280"/>
        <v>487.5</v>
      </c>
      <c r="M944" s="866">
        <f t="shared" si="294"/>
        <v>225</v>
      </c>
      <c r="N944" s="650">
        <f t="shared" si="298"/>
        <v>225</v>
      </c>
      <c r="O944" s="650">
        <f t="shared" si="296"/>
        <v>37.5</v>
      </c>
      <c r="P944" s="650">
        <f t="shared" si="282"/>
        <v>0</v>
      </c>
      <c r="Q944" s="650">
        <f t="shared" si="283"/>
        <v>0</v>
      </c>
      <c r="R944" s="650">
        <f t="shared" si="284"/>
        <v>0</v>
      </c>
      <c r="S944" s="650">
        <f t="shared" si="285"/>
        <v>0</v>
      </c>
      <c r="T944" s="650">
        <f t="shared" si="286"/>
        <v>0</v>
      </c>
      <c r="U944" s="650">
        <f t="shared" si="287"/>
        <v>0</v>
      </c>
      <c r="V944" s="650">
        <f t="shared" si="288"/>
        <v>0</v>
      </c>
      <c r="W944" s="650">
        <f t="shared" si="289"/>
        <v>0</v>
      </c>
      <c r="X944" s="746">
        <v>0</v>
      </c>
      <c r="Y944" s="746">
        <f t="shared" si="299"/>
        <v>0</v>
      </c>
    </row>
    <row r="945" spans="2:25">
      <c r="B945" s="598" t="s">
        <v>2595</v>
      </c>
      <c r="C945" s="604" t="s">
        <v>864</v>
      </c>
      <c r="D945" s="745">
        <v>2019</v>
      </c>
      <c r="E945" s="604" t="s">
        <v>3628</v>
      </c>
      <c r="F945" s="738">
        <v>0.15</v>
      </c>
      <c r="G945" s="739">
        <v>1500</v>
      </c>
      <c r="H945" s="741"/>
      <c r="I945" s="742"/>
      <c r="J945" s="740"/>
      <c r="K945" s="739">
        <v>1012.5</v>
      </c>
      <c r="L945" s="864">
        <f t="shared" si="280"/>
        <v>487.5</v>
      </c>
      <c r="M945" s="866">
        <f t="shared" si="294"/>
        <v>225</v>
      </c>
      <c r="N945" s="650">
        <f t="shared" si="291"/>
        <v>225</v>
      </c>
      <c r="O945" s="650">
        <f t="shared" si="296"/>
        <v>37.5</v>
      </c>
      <c r="P945" s="650">
        <f t="shared" si="282"/>
        <v>0</v>
      </c>
      <c r="Q945" s="650">
        <f t="shared" si="283"/>
        <v>0</v>
      </c>
      <c r="R945" s="650">
        <f t="shared" si="284"/>
        <v>0</v>
      </c>
      <c r="S945" s="650">
        <f t="shared" si="285"/>
        <v>0</v>
      </c>
      <c r="T945" s="650">
        <f t="shared" si="286"/>
        <v>0</v>
      </c>
      <c r="U945" s="650">
        <f t="shared" si="287"/>
        <v>0</v>
      </c>
      <c r="V945" s="650">
        <f t="shared" si="288"/>
        <v>0</v>
      </c>
      <c r="W945" s="650">
        <f t="shared" si="289"/>
        <v>0</v>
      </c>
      <c r="X945" s="746">
        <v>0</v>
      </c>
      <c r="Y945" s="746">
        <f t="shared" si="299"/>
        <v>0</v>
      </c>
    </row>
    <row r="946" spans="2:25">
      <c r="B946" s="598" t="s">
        <v>2595</v>
      </c>
      <c r="C946" s="604" t="s">
        <v>864</v>
      </c>
      <c r="D946" s="745">
        <v>2017</v>
      </c>
      <c r="E946" s="604" t="s">
        <v>3629</v>
      </c>
      <c r="F946" s="738">
        <v>0.15</v>
      </c>
      <c r="G946" s="739">
        <v>9009</v>
      </c>
      <c r="H946" s="741"/>
      <c r="I946" s="742"/>
      <c r="J946" s="740"/>
      <c r="K946" s="739">
        <v>6081.08</v>
      </c>
      <c r="L946" s="864">
        <f t="shared" si="280"/>
        <v>2927.92</v>
      </c>
      <c r="M946" s="866">
        <f t="shared" si="294"/>
        <v>1351.35</v>
      </c>
      <c r="N946" s="650">
        <f t="shared" ref="N946:N957" si="300">+IF(L946-M946&gt;0,G946*F946,0)-X946</f>
        <v>1351.35</v>
      </c>
      <c r="O946" s="650">
        <f t="shared" si="296"/>
        <v>225.22000000000025</v>
      </c>
      <c r="P946" s="650">
        <f t="shared" si="282"/>
        <v>0</v>
      </c>
      <c r="Q946" s="650">
        <f t="shared" si="283"/>
        <v>0</v>
      </c>
      <c r="R946" s="650">
        <f t="shared" si="284"/>
        <v>0</v>
      </c>
      <c r="S946" s="650">
        <f t="shared" si="285"/>
        <v>0</v>
      </c>
      <c r="T946" s="650">
        <f t="shared" si="286"/>
        <v>0</v>
      </c>
      <c r="U946" s="650">
        <f t="shared" si="287"/>
        <v>0</v>
      </c>
      <c r="V946" s="650">
        <f t="shared" si="288"/>
        <v>0</v>
      </c>
      <c r="W946" s="650">
        <f t="shared" si="289"/>
        <v>0</v>
      </c>
      <c r="X946" s="746">
        <v>0</v>
      </c>
      <c r="Y946" s="746">
        <f t="shared" si="299"/>
        <v>0</v>
      </c>
    </row>
    <row r="947" spans="2:25">
      <c r="B947" s="598" t="s">
        <v>2595</v>
      </c>
      <c r="C947" s="604" t="s">
        <v>864</v>
      </c>
      <c r="D947" s="745">
        <v>2017</v>
      </c>
      <c r="E947" s="604" t="s">
        <v>3630</v>
      </c>
      <c r="F947" s="738">
        <v>0.15</v>
      </c>
      <c r="G947" s="739">
        <v>5000</v>
      </c>
      <c r="H947" s="741"/>
      <c r="I947" s="742"/>
      <c r="J947" s="740"/>
      <c r="K947" s="739">
        <v>3375</v>
      </c>
      <c r="L947" s="864">
        <f t="shared" si="280"/>
        <v>1625</v>
      </c>
      <c r="M947" s="866">
        <f t="shared" si="294"/>
        <v>750</v>
      </c>
      <c r="N947" s="650">
        <f t="shared" si="300"/>
        <v>750</v>
      </c>
      <c r="O947" s="650">
        <f t="shared" si="296"/>
        <v>125</v>
      </c>
      <c r="P947" s="650">
        <f t="shared" si="282"/>
        <v>0</v>
      </c>
      <c r="Q947" s="650">
        <f t="shared" si="283"/>
        <v>0</v>
      </c>
      <c r="R947" s="650">
        <f t="shared" si="284"/>
        <v>0</v>
      </c>
      <c r="S947" s="650">
        <f t="shared" si="285"/>
        <v>0</v>
      </c>
      <c r="T947" s="650">
        <f t="shared" si="286"/>
        <v>0</v>
      </c>
      <c r="U947" s="650">
        <f t="shared" si="287"/>
        <v>0</v>
      </c>
      <c r="V947" s="650">
        <f t="shared" si="288"/>
        <v>0</v>
      </c>
      <c r="W947" s="650">
        <f t="shared" si="289"/>
        <v>0</v>
      </c>
      <c r="X947" s="746">
        <v>0</v>
      </c>
      <c r="Y947" s="746">
        <f t="shared" si="299"/>
        <v>0</v>
      </c>
    </row>
    <row r="948" spans="2:25">
      <c r="B948" s="598" t="s">
        <v>2595</v>
      </c>
      <c r="C948" s="604" t="s">
        <v>864</v>
      </c>
      <c r="D948" s="745">
        <v>2017</v>
      </c>
      <c r="E948" s="604" t="s">
        <v>3513</v>
      </c>
      <c r="F948" s="738">
        <v>0.15</v>
      </c>
      <c r="G948" s="739">
        <v>2700</v>
      </c>
      <c r="H948" s="741"/>
      <c r="I948" s="742"/>
      <c r="J948" s="740"/>
      <c r="K948" s="739">
        <v>1417.5</v>
      </c>
      <c r="L948" s="864">
        <f t="shared" ref="L948:L1011" si="301">+G948-K948</f>
        <v>1282.5</v>
      </c>
      <c r="M948" s="866">
        <f t="shared" si="294"/>
        <v>405</v>
      </c>
      <c r="N948" s="650">
        <f t="shared" si="300"/>
        <v>405</v>
      </c>
      <c r="O948" s="650">
        <f t="shared" si="292"/>
        <v>405</v>
      </c>
      <c r="P948" s="650">
        <f>+L948-SUM(M948:O948)</f>
        <v>67.5</v>
      </c>
      <c r="Q948" s="650">
        <f t="shared" si="283"/>
        <v>0</v>
      </c>
      <c r="R948" s="650">
        <f t="shared" si="284"/>
        <v>0</v>
      </c>
      <c r="S948" s="650">
        <f t="shared" si="285"/>
        <v>0</v>
      </c>
      <c r="T948" s="650">
        <f t="shared" si="286"/>
        <v>0</v>
      </c>
      <c r="U948" s="650">
        <f t="shared" si="287"/>
        <v>0</v>
      </c>
      <c r="V948" s="650">
        <f t="shared" si="288"/>
        <v>0</v>
      </c>
      <c r="W948" s="650">
        <f t="shared" si="289"/>
        <v>0</v>
      </c>
      <c r="X948" s="746">
        <v>0</v>
      </c>
      <c r="Y948" s="746">
        <f t="shared" si="299"/>
        <v>0</v>
      </c>
    </row>
    <row r="949" spans="2:25">
      <c r="B949" s="598" t="s">
        <v>2595</v>
      </c>
      <c r="C949" s="604" t="s">
        <v>864</v>
      </c>
      <c r="D949" s="745">
        <v>2017</v>
      </c>
      <c r="E949" s="604" t="s">
        <v>3579</v>
      </c>
      <c r="F949" s="738">
        <v>0.15</v>
      </c>
      <c r="G949" s="739">
        <v>16000</v>
      </c>
      <c r="H949" s="741"/>
      <c r="I949" s="742"/>
      <c r="J949" s="740"/>
      <c r="K949" s="739">
        <v>8400</v>
      </c>
      <c r="L949" s="864">
        <f t="shared" si="301"/>
        <v>7600</v>
      </c>
      <c r="M949" s="866">
        <f t="shared" si="294"/>
        <v>2400</v>
      </c>
      <c r="N949" s="650">
        <f t="shared" si="300"/>
        <v>2400</v>
      </c>
      <c r="O949" s="650">
        <f t="shared" si="292"/>
        <v>2400</v>
      </c>
      <c r="P949" s="650">
        <f t="shared" ref="P949:P966" si="302">+L949-SUM(M949:O949)</f>
        <v>400</v>
      </c>
      <c r="Q949" s="650">
        <f t="shared" si="283"/>
        <v>0</v>
      </c>
      <c r="R949" s="650">
        <f t="shared" si="284"/>
        <v>0</v>
      </c>
      <c r="S949" s="650">
        <f t="shared" si="285"/>
        <v>0</v>
      </c>
      <c r="T949" s="650">
        <f t="shared" si="286"/>
        <v>0</v>
      </c>
      <c r="U949" s="650">
        <f t="shared" si="287"/>
        <v>0</v>
      </c>
      <c r="V949" s="650">
        <f t="shared" si="288"/>
        <v>0</v>
      </c>
      <c r="W949" s="650">
        <f t="shared" si="289"/>
        <v>0</v>
      </c>
      <c r="X949" s="746">
        <v>0</v>
      </c>
      <c r="Y949" s="746">
        <f t="shared" si="299"/>
        <v>0</v>
      </c>
    </row>
    <row r="950" spans="2:25">
      <c r="B950" s="598" t="s">
        <v>2595</v>
      </c>
      <c r="C950" s="604" t="s">
        <v>864</v>
      </c>
      <c r="D950" s="745">
        <v>2017</v>
      </c>
      <c r="E950" s="604" t="s">
        <v>3631</v>
      </c>
      <c r="F950" s="738">
        <v>0.15</v>
      </c>
      <c r="G950" s="739">
        <v>13333.33</v>
      </c>
      <c r="H950" s="741"/>
      <c r="I950" s="742"/>
      <c r="J950" s="740"/>
      <c r="K950" s="739">
        <v>7000</v>
      </c>
      <c r="L950" s="864">
        <f t="shared" si="301"/>
        <v>6333.33</v>
      </c>
      <c r="M950" s="866">
        <f t="shared" si="294"/>
        <v>1999.9994999999999</v>
      </c>
      <c r="N950" s="650">
        <f t="shared" si="300"/>
        <v>1999.9994999999999</v>
      </c>
      <c r="O950" s="650">
        <f t="shared" si="292"/>
        <v>1999.9994999999999</v>
      </c>
      <c r="P950" s="650">
        <f t="shared" si="302"/>
        <v>333.33150000000023</v>
      </c>
      <c r="Q950" s="650">
        <f t="shared" si="283"/>
        <v>0</v>
      </c>
      <c r="R950" s="650">
        <f t="shared" si="284"/>
        <v>0</v>
      </c>
      <c r="S950" s="650">
        <f t="shared" si="285"/>
        <v>0</v>
      </c>
      <c r="T950" s="650">
        <f t="shared" si="286"/>
        <v>0</v>
      </c>
      <c r="U950" s="650">
        <f t="shared" si="287"/>
        <v>0</v>
      </c>
      <c r="V950" s="650">
        <f t="shared" si="288"/>
        <v>0</v>
      </c>
      <c r="W950" s="650">
        <f t="shared" si="289"/>
        <v>0</v>
      </c>
      <c r="X950" s="746">
        <v>0</v>
      </c>
      <c r="Y950" s="746">
        <f t="shared" si="299"/>
        <v>0</v>
      </c>
    </row>
    <row r="951" spans="2:25">
      <c r="B951" s="598" t="s">
        <v>2595</v>
      </c>
      <c r="C951" s="604" t="s">
        <v>864</v>
      </c>
      <c r="D951" s="745">
        <v>2017</v>
      </c>
      <c r="E951" s="604" t="s">
        <v>3631</v>
      </c>
      <c r="F951" s="738">
        <v>0.15</v>
      </c>
      <c r="G951" s="739">
        <v>13333.33</v>
      </c>
      <c r="H951" s="741"/>
      <c r="I951" s="742"/>
      <c r="J951" s="740"/>
      <c r="K951" s="739">
        <v>7000</v>
      </c>
      <c r="L951" s="864">
        <f t="shared" si="301"/>
        <v>6333.33</v>
      </c>
      <c r="M951" s="866">
        <f t="shared" si="294"/>
        <v>1999.9994999999999</v>
      </c>
      <c r="N951" s="650">
        <f t="shared" si="300"/>
        <v>1999.9994999999999</v>
      </c>
      <c r="O951" s="650">
        <f t="shared" si="292"/>
        <v>1999.9994999999999</v>
      </c>
      <c r="P951" s="650">
        <f t="shared" si="302"/>
        <v>333.33150000000023</v>
      </c>
      <c r="Q951" s="650">
        <f t="shared" si="283"/>
        <v>0</v>
      </c>
      <c r="R951" s="650">
        <f t="shared" si="284"/>
        <v>0</v>
      </c>
      <c r="S951" s="650">
        <f t="shared" si="285"/>
        <v>0</v>
      </c>
      <c r="T951" s="650">
        <f t="shared" si="286"/>
        <v>0</v>
      </c>
      <c r="U951" s="650">
        <f t="shared" si="287"/>
        <v>0</v>
      </c>
      <c r="V951" s="650">
        <f t="shared" si="288"/>
        <v>0</v>
      </c>
      <c r="W951" s="650">
        <f t="shared" si="289"/>
        <v>0</v>
      </c>
      <c r="X951" s="746">
        <v>0</v>
      </c>
      <c r="Y951" s="746">
        <f t="shared" si="299"/>
        <v>0</v>
      </c>
    </row>
    <row r="952" spans="2:25">
      <c r="B952" s="598" t="s">
        <v>2595</v>
      </c>
      <c r="C952" s="604" t="s">
        <v>864</v>
      </c>
      <c r="D952" s="745">
        <v>2017</v>
      </c>
      <c r="E952" s="604" t="s">
        <v>3631</v>
      </c>
      <c r="F952" s="738">
        <v>0.15</v>
      </c>
      <c r="G952" s="739">
        <v>13333.34</v>
      </c>
      <c r="H952" s="741"/>
      <c r="I952" s="742"/>
      <c r="J952" s="740"/>
      <c r="K952" s="739">
        <v>7000</v>
      </c>
      <c r="L952" s="864">
        <f t="shared" si="301"/>
        <v>6333.34</v>
      </c>
      <c r="M952" s="866">
        <f t="shared" si="294"/>
        <v>2000.001</v>
      </c>
      <c r="N952" s="650">
        <f t="shared" si="300"/>
        <v>2000.001</v>
      </c>
      <c r="O952" s="650">
        <f t="shared" si="292"/>
        <v>2000.001</v>
      </c>
      <c r="P952" s="650">
        <f t="shared" si="302"/>
        <v>333.33700000000044</v>
      </c>
      <c r="Q952" s="650">
        <f t="shared" si="283"/>
        <v>0</v>
      </c>
      <c r="R952" s="650">
        <f t="shared" si="284"/>
        <v>0</v>
      </c>
      <c r="S952" s="650">
        <f t="shared" si="285"/>
        <v>0</v>
      </c>
      <c r="T952" s="650">
        <f t="shared" si="286"/>
        <v>0</v>
      </c>
      <c r="U952" s="650">
        <f t="shared" si="287"/>
        <v>0</v>
      </c>
      <c r="V952" s="650">
        <f t="shared" si="288"/>
        <v>0</v>
      </c>
      <c r="W952" s="650">
        <f t="shared" si="289"/>
        <v>0</v>
      </c>
      <c r="X952" s="746">
        <v>0</v>
      </c>
      <c r="Y952" s="746">
        <f t="shared" si="299"/>
        <v>0</v>
      </c>
    </row>
    <row r="953" spans="2:25">
      <c r="B953" s="598" t="s">
        <v>2595</v>
      </c>
      <c r="C953" s="604" t="s">
        <v>864</v>
      </c>
      <c r="D953" s="745">
        <v>2017</v>
      </c>
      <c r="E953" s="604" t="s">
        <v>3632</v>
      </c>
      <c r="F953" s="738">
        <v>0.15</v>
      </c>
      <c r="G953" s="739">
        <v>14000</v>
      </c>
      <c r="H953" s="741"/>
      <c r="I953" s="742"/>
      <c r="J953" s="740"/>
      <c r="K953" s="739">
        <v>7350</v>
      </c>
      <c r="L953" s="864">
        <f t="shared" si="301"/>
        <v>6650</v>
      </c>
      <c r="M953" s="866">
        <f t="shared" si="294"/>
        <v>2100</v>
      </c>
      <c r="N953" s="650">
        <f t="shared" si="300"/>
        <v>2100</v>
      </c>
      <c r="O953" s="650">
        <f t="shared" si="292"/>
        <v>2100</v>
      </c>
      <c r="P953" s="650">
        <f t="shared" si="302"/>
        <v>350</v>
      </c>
      <c r="Q953" s="650">
        <f t="shared" si="283"/>
        <v>0</v>
      </c>
      <c r="R953" s="650">
        <f t="shared" si="284"/>
        <v>0</v>
      </c>
      <c r="S953" s="650">
        <f t="shared" si="285"/>
        <v>0</v>
      </c>
      <c r="T953" s="650">
        <f t="shared" si="286"/>
        <v>0</v>
      </c>
      <c r="U953" s="650">
        <f t="shared" si="287"/>
        <v>0</v>
      </c>
      <c r="V953" s="650">
        <f t="shared" si="288"/>
        <v>0</v>
      </c>
      <c r="W953" s="650">
        <f t="shared" si="289"/>
        <v>0</v>
      </c>
      <c r="X953" s="746">
        <v>0</v>
      </c>
      <c r="Y953" s="746">
        <f t="shared" si="299"/>
        <v>0</v>
      </c>
    </row>
    <row r="954" spans="2:25">
      <c r="B954" s="598" t="s">
        <v>2595</v>
      </c>
      <c r="C954" s="604" t="s">
        <v>864</v>
      </c>
      <c r="D954" s="745">
        <v>2017</v>
      </c>
      <c r="E954" s="604" t="s">
        <v>3546</v>
      </c>
      <c r="F954" s="738">
        <v>0.15</v>
      </c>
      <c r="G954" s="739">
        <v>54525</v>
      </c>
      <c r="H954" s="741"/>
      <c r="I954" s="742"/>
      <c r="J954" s="740"/>
      <c r="K954" s="739">
        <v>28625.63</v>
      </c>
      <c r="L954" s="864">
        <f t="shared" si="301"/>
        <v>25899.37</v>
      </c>
      <c r="M954" s="866">
        <f t="shared" si="294"/>
        <v>8178.75</v>
      </c>
      <c r="N954" s="650">
        <f t="shared" si="300"/>
        <v>8178.75</v>
      </c>
      <c r="O954" s="650">
        <f t="shared" si="292"/>
        <v>8178.75</v>
      </c>
      <c r="P954" s="650">
        <f t="shared" si="302"/>
        <v>1363.119999999999</v>
      </c>
      <c r="Q954" s="650">
        <f t="shared" si="283"/>
        <v>0</v>
      </c>
      <c r="R954" s="650">
        <f t="shared" si="284"/>
        <v>0</v>
      </c>
      <c r="S954" s="650">
        <f t="shared" si="285"/>
        <v>0</v>
      </c>
      <c r="T954" s="650">
        <f t="shared" si="286"/>
        <v>0</v>
      </c>
      <c r="U954" s="650">
        <f t="shared" si="287"/>
        <v>0</v>
      </c>
      <c r="V954" s="650">
        <f t="shared" si="288"/>
        <v>0</v>
      </c>
      <c r="W954" s="650">
        <f t="shared" si="289"/>
        <v>0</v>
      </c>
      <c r="X954" s="746">
        <v>0</v>
      </c>
      <c r="Y954" s="746">
        <f t="shared" si="299"/>
        <v>0</v>
      </c>
    </row>
    <row r="955" spans="2:25">
      <c r="B955" s="598" t="s">
        <v>2595</v>
      </c>
      <c r="C955" s="604" t="s">
        <v>864</v>
      </c>
      <c r="D955" s="745">
        <v>2017</v>
      </c>
      <c r="E955" s="604" t="s">
        <v>3633</v>
      </c>
      <c r="F955" s="738">
        <v>0.15</v>
      </c>
      <c r="G955" s="739">
        <v>0</v>
      </c>
      <c r="H955" s="741"/>
      <c r="I955" s="742"/>
      <c r="J955" s="740"/>
      <c r="K955" s="739">
        <v>0</v>
      </c>
      <c r="L955" s="864">
        <f t="shared" si="301"/>
        <v>0</v>
      </c>
      <c r="M955" s="866">
        <f t="shared" si="294"/>
        <v>0</v>
      </c>
      <c r="N955" s="650">
        <f t="shared" si="300"/>
        <v>0</v>
      </c>
      <c r="O955" s="650">
        <f t="shared" si="292"/>
        <v>0</v>
      </c>
      <c r="P955" s="650">
        <f t="shared" si="302"/>
        <v>0</v>
      </c>
      <c r="Q955" s="650">
        <f t="shared" si="283"/>
        <v>0</v>
      </c>
      <c r="R955" s="650">
        <f t="shared" si="284"/>
        <v>0</v>
      </c>
      <c r="S955" s="650">
        <f t="shared" si="285"/>
        <v>0</v>
      </c>
      <c r="T955" s="650">
        <f t="shared" si="286"/>
        <v>0</v>
      </c>
      <c r="U955" s="650">
        <f t="shared" si="287"/>
        <v>0</v>
      </c>
      <c r="V955" s="650">
        <f t="shared" si="288"/>
        <v>0</v>
      </c>
      <c r="W955" s="650">
        <f t="shared" si="289"/>
        <v>0</v>
      </c>
      <c r="X955" s="746">
        <v>0</v>
      </c>
      <c r="Y955" s="746">
        <f t="shared" si="299"/>
        <v>0</v>
      </c>
    </row>
    <row r="956" spans="2:25">
      <c r="B956" s="598" t="s">
        <v>2595</v>
      </c>
      <c r="C956" s="604" t="s">
        <v>864</v>
      </c>
      <c r="D956" s="745">
        <v>2017</v>
      </c>
      <c r="E956" s="604" t="s">
        <v>3634</v>
      </c>
      <c r="F956" s="738">
        <v>0.15</v>
      </c>
      <c r="G956" s="739">
        <v>115000</v>
      </c>
      <c r="H956" s="741"/>
      <c r="I956" s="742"/>
      <c r="J956" s="740"/>
      <c r="K956" s="739">
        <v>60375</v>
      </c>
      <c r="L956" s="864">
        <f t="shared" si="301"/>
        <v>54625</v>
      </c>
      <c r="M956" s="866">
        <f t="shared" si="294"/>
        <v>17250</v>
      </c>
      <c r="N956" s="650">
        <f t="shared" si="300"/>
        <v>17250</v>
      </c>
      <c r="O956" s="650">
        <f t="shared" si="292"/>
        <v>17250</v>
      </c>
      <c r="P956" s="650">
        <f t="shared" si="302"/>
        <v>2875</v>
      </c>
      <c r="Q956" s="650">
        <f t="shared" si="283"/>
        <v>0</v>
      </c>
      <c r="R956" s="650">
        <f t="shared" si="284"/>
        <v>0</v>
      </c>
      <c r="S956" s="650">
        <f t="shared" si="285"/>
        <v>0</v>
      </c>
      <c r="T956" s="650">
        <f t="shared" si="286"/>
        <v>0</v>
      </c>
      <c r="U956" s="650">
        <f t="shared" si="287"/>
        <v>0</v>
      </c>
      <c r="V956" s="650">
        <f t="shared" si="288"/>
        <v>0</v>
      </c>
      <c r="W956" s="650">
        <f t="shared" si="289"/>
        <v>0</v>
      </c>
      <c r="X956" s="746">
        <v>0</v>
      </c>
      <c r="Y956" s="746">
        <f t="shared" si="299"/>
        <v>0</v>
      </c>
    </row>
    <row r="957" spans="2:25">
      <c r="B957" s="598" t="s">
        <v>2595</v>
      </c>
      <c r="C957" s="604" t="s">
        <v>864</v>
      </c>
      <c r="D957" s="745">
        <v>2017</v>
      </c>
      <c r="E957" s="604" t="s">
        <v>3635</v>
      </c>
      <c r="F957" s="738">
        <v>0.15</v>
      </c>
      <c r="G957" s="739">
        <v>80000</v>
      </c>
      <c r="H957" s="741"/>
      <c r="I957" s="742"/>
      <c r="J957" s="740"/>
      <c r="K957" s="739">
        <v>42000</v>
      </c>
      <c r="L957" s="864">
        <f t="shared" si="301"/>
        <v>38000</v>
      </c>
      <c r="M957" s="866">
        <f t="shared" si="294"/>
        <v>12000</v>
      </c>
      <c r="N957" s="650">
        <f t="shared" si="300"/>
        <v>12000</v>
      </c>
      <c r="O957" s="650">
        <f t="shared" si="292"/>
        <v>12000</v>
      </c>
      <c r="P957" s="650">
        <f t="shared" si="302"/>
        <v>2000</v>
      </c>
      <c r="Q957" s="650">
        <f t="shared" si="283"/>
        <v>0</v>
      </c>
      <c r="R957" s="650">
        <f t="shared" si="284"/>
        <v>0</v>
      </c>
      <c r="S957" s="650">
        <f t="shared" si="285"/>
        <v>0</v>
      </c>
      <c r="T957" s="650">
        <f t="shared" si="286"/>
        <v>0</v>
      </c>
      <c r="U957" s="650">
        <f t="shared" si="287"/>
        <v>0</v>
      </c>
      <c r="V957" s="650">
        <f t="shared" si="288"/>
        <v>0</v>
      </c>
      <c r="W957" s="650">
        <f t="shared" si="289"/>
        <v>0</v>
      </c>
      <c r="X957" s="746">
        <v>0</v>
      </c>
      <c r="Y957" s="746">
        <f t="shared" si="299"/>
        <v>0</v>
      </c>
    </row>
    <row r="958" spans="2:25">
      <c r="B958" s="598" t="s">
        <v>2595</v>
      </c>
      <c r="C958" s="604" t="s">
        <v>864</v>
      </c>
      <c r="D958" s="745">
        <v>2018</v>
      </c>
      <c r="E958" s="604" t="s">
        <v>3636</v>
      </c>
      <c r="F958" s="738">
        <v>0.15</v>
      </c>
      <c r="G958" s="739">
        <v>20000</v>
      </c>
      <c r="H958" s="741"/>
      <c r="I958" s="742"/>
      <c r="J958" s="740"/>
      <c r="K958" s="739">
        <v>10500</v>
      </c>
      <c r="L958" s="864">
        <f t="shared" si="301"/>
        <v>9500</v>
      </c>
      <c r="M958" s="866">
        <f t="shared" si="294"/>
        <v>3000</v>
      </c>
      <c r="N958" s="650">
        <f t="shared" si="291"/>
        <v>3000</v>
      </c>
      <c r="O958" s="650">
        <f t="shared" ref="O958:O981" si="303">+IF(L958-SUM(M958:N958)&gt;0,G958*F958,0)-X958</f>
        <v>3000</v>
      </c>
      <c r="P958" s="650">
        <f t="shared" si="302"/>
        <v>500</v>
      </c>
      <c r="Q958" s="650">
        <f t="shared" si="283"/>
        <v>0</v>
      </c>
      <c r="R958" s="650">
        <f t="shared" si="284"/>
        <v>0</v>
      </c>
      <c r="S958" s="650">
        <f t="shared" si="285"/>
        <v>0</v>
      </c>
      <c r="T958" s="650">
        <f t="shared" si="286"/>
        <v>0</v>
      </c>
      <c r="U958" s="650">
        <f t="shared" si="287"/>
        <v>0</v>
      </c>
      <c r="V958" s="650">
        <f t="shared" si="288"/>
        <v>0</v>
      </c>
      <c r="W958" s="650">
        <f t="shared" si="289"/>
        <v>0</v>
      </c>
      <c r="X958" s="746">
        <v>0</v>
      </c>
      <c r="Y958" s="746">
        <f t="shared" si="299"/>
        <v>0</v>
      </c>
    </row>
    <row r="959" spans="2:25">
      <c r="B959" s="598" t="s">
        <v>2595</v>
      </c>
      <c r="C959" s="604" t="s">
        <v>864</v>
      </c>
      <c r="D959" s="745">
        <v>2018</v>
      </c>
      <c r="E959" s="604" t="s">
        <v>3637</v>
      </c>
      <c r="F959" s="738">
        <v>0.15</v>
      </c>
      <c r="G959" s="739">
        <v>20000</v>
      </c>
      <c r="H959" s="741"/>
      <c r="I959" s="742"/>
      <c r="J959" s="740"/>
      <c r="K959" s="739">
        <v>10500</v>
      </c>
      <c r="L959" s="864">
        <f t="shared" si="301"/>
        <v>9500</v>
      </c>
      <c r="M959" s="866">
        <f t="shared" si="294"/>
        <v>3000</v>
      </c>
      <c r="N959" s="650">
        <f t="shared" si="291"/>
        <v>3000</v>
      </c>
      <c r="O959" s="650">
        <f t="shared" si="303"/>
        <v>3000</v>
      </c>
      <c r="P959" s="650">
        <f t="shared" si="302"/>
        <v>500</v>
      </c>
      <c r="Q959" s="650">
        <f t="shared" si="283"/>
        <v>0</v>
      </c>
      <c r="R959" s="650">
        <f t="shared" si="284"/>
        <v>0</v>
      </c>
      <c r="S959" s="650">
        <f t="shared" si="285"/>
        <v>0</v>
      </c>
      <c r="T959" s="650">
        <f t="shared" si="286"/>
        <v>0</v>
      </c>
      <c r="U959" s="650">
        <f t="shared" si="287"/>
        <v>0</v>
      </c>
      <c r="V959" s="650">
        <f t="shared" si="288"/>
        <v>0</v>
      </c>
      <c r="W959" s="650">
        <f t="shared" si="289"/>
        <v>0</v>
      </c>
      <c r="X959" s="746">
        <v>0</v>
      </c>
      <c r="Y959" s="746">
        <f t="shared" si="299"/>
        <v>0</v>
      </c>
    </row>
    <row r="960" spans="2:25">
      <c r="B960" s="598" t="s">
        <v>2595</v>
      </c>
      <c r="C960" s="604" t="s">
        <v>864</v>
      </c>
      <c r="D960" s="745">
        <v>2018</v>
      </c>
      <c r="E960" s="604" t="s">
        <v>3638</v>
      </c>
      <c r="F960" s="738">
        <v>0.15</v>
      </c>
      <c r="G960" s="739">
        <v>9000</v>
      </c>
      <c r="H960" s="741"/>
      <c r="I960" s="742"/>
      <c r="J960" s="740"/>
      <c r="K960" s="739">
        <v>4725</v>
      </c>
      <c r="L960" s="864">
        <f t="shared" si="301"/>
        <v>4275</v>
      </c>
      <c r="M960" s="866">
        <f t="shared" si="294"/>
        <v>1350</v>
      </c>
      <c r="N960" s="650">
        <f t="shared" si="291"/>
        <v>1350</v>
      </c>
      <c r="O960" s="650">
        <f t="shared" si="303"/>
        <v>1350</v>
      </c>
      <c r="P960" s="650">
        <f t="shared" si="302"/>
        <v>225</v>
      </c>
      <c r="Q960" s="650">
        <f t="shared" si="283"/>
        <v>0</v>
      </c>
      <c r="R960" s="650">
        <f t="shared" si="284"/>
        <v>0</v>
      </c>
      <c r="S960" s="650">
        <f t="shared" si="285"/>
        <v>0</v>
      </c>
      <c r="T960" s="650">
        <f t="shared" si="286"/>
        <v>0</v>
      </c>
      <c r="U960" s="650">
        <f t="shared" si="287"/>
        <v>0</v>
      </c>
      <c r="V960" s="650">
        <f t="shared" si="288"/>
        <v>0</v>
      </c>
      <c r="W960" s="650">
        <f t="shared" si="289"/>
        <v>0</v>
      </c>
      <c r="X960" s="746">
        <v>0</v>
      </c>
      <c r="Y960" s="746">
        <f t="shared" si="299"/>
        <v>0</v>
      </c>
    </row>
    <row r="961" spans="2:25">
      <c r="B961" s="598" t="s">
        <v>2595</v>
      </c>
      <c r="C961" s="604" t="s">
        <v>864</v>
      </c>
      <c r="D961" s="745">
        <v>2018</v>
      </c>
      <c r="E961" s="604" t="s">
        <v>3639</v>
      </c>
      <c r="F961" s="738">
        <v>0.15</v>
      </c>
      <c r="G961" s="739">
        <v>20000</v>
      </c>
      <c r="H961" s="741"/>
      <c r="I961" s="742"/>
      <c r="J961" s="740"/>
      <c r="K961" s="739">
        <v>10500</v>
      </c>
      <c r="L961" s="864">
        <f t="shared" si="301"/>
        <v>9500</v>
      </c>
      <c r="M961" s="866">
        <f t="shared" si="294"/>
        <v>3000</v>
      </c>
      <c r="N961" s="650">
        <f t="shared" si="291"/>
        <v>3000</v>
      </c>
      <c r="O961" s="650">
        <f t="shared" si="303"/>
        <v>3000</v>
      </c>
      <c r="P961" s="650">
        <f t="shared" si="302"/>
        <v>500</v>
      </c>
      <c r="Q961" s="650">
        <f t="shared" si="283"/>
        <v>0</v>
      </c>
      <c r="R961" s="650">
        <f t="shared" si="284"/>
        <v>0</v>
      </c>
      <c r="S961" s="650">
        <f t="shared" si="285"/>
        <v>0</v>
      </c>
      <c r="T961" s="650">
        <f t="shared" si="286"/>
        <v>0</v>
      </c>
      <c r="U961" s="650">
        <f t="shared" si="287"/>
        <v>0</v>
      </c>
      <c r="V961" s="650">
        <f t="shared" si="288"/>
        <v>0</v>
      </c>
      <c r="W961" s="650">
        <f t="shared" si="289"/>
        <v>0</v>
      </c>
      <c r="X961" s="746">
        <v>0</v>
      </c>
      <c r="Y961" s="746">
        <f t="shared" si="299"/>
        <v>0</v>
      </c>
    </row>
    <row r="962" spans="2:25">
      <c r="B962" s="598" t="s">
        <v>2595</v>
      </c>
      <c r="C962" s="604" t="s">
        <v>864</v>
      </c>
      <c r="D962" s="745">
        <v>2018</v>
      </c>
      <c r="E962" s="604" t="s">
        <v>3640</v>
      </c>
      <c r="F962" s="738">
        <v>0.15</v>
      </c>
      <c r="G962" s="739">
        <v>40676</v>
      </c>
      <c r="H962" s="741"/>
      <c r="I962" s="742"/>
      <c r="J962" s="740"/>
      <c r="K962" s="739">
        <v>21354.9</v>
      </c>
      <c r="L962" s="864">
        <f t="shared" si="301"/>
        <v>19321.099999999999</v>
      </c>
      <c r="M962" s="866">
        <f t="shared" si="294"/>
        <v>6101.4</v>
      </c>
      <c r="N962" s="650">
        <f t="shared" si="291"/>
        <v>6101.4</v>
      </c>
      <c r="O962" s="650">
        <f t="shared" si="303"/>
        <v>6101.4</v>
      </c>
      <c r="P962" s="650">
        <f t="shared" si="302"/>
        <v>1016.9000000000015</v>
      </c>
      <c r="Q962" s="650">
        <f t="shared" si="283"/>
        <v>0</v>
      </c>
      <c r="R962" s="650">
        <f t="shared" si="284"/>
        <v>0</v>
      </c>
      <c r="S962" s="650">
        <f t="shared" si="285"/>
        <v>0</v>
      </c>
      <c r="T962" s="650">
        <f t="shared" si="286"/>
        <v>0</v>
      </c>
      <c r="U962" s="650">
        <f t="shared" si="287"/>
        <v>0</v>
      </c>
      <c r="V962" s="650">
        <f t="shared" si="288"/>
        <v>0</v>
      </c>
      <c r="W962" s="650">
        <f t="shared" si="289"/>
        <v>0</v>
      </c>
      <c r="X962" s="746">
        <v>0</v>
      </c>
      <c r="Y962" s="746">
        <f t="shared" si="299"/>
        <v>0</v>
      </c>
    </row>
    <row r="963" spans="2:25">
      <c r="B963" s="598" t="s">
        <v>2595</v>
      </c>
      <c r="C963" s="604" t="s">
        <v>864</v>
      </c>
      <c r="D963" s="745">
        <v>2018</v>
      </c>
      <c r="E963" s="604" t="s">
        <v>3513</v>
      </c>
      <c r="F963" s="738">
        <v>0.15</v>
      </c>
      <c r="G963" s="739">
        <v>65000</v>
      </c>
      <c r="H963" s="741"/>
      <c r="I963" s="742"/>
      <c r="J963" s="740"/>
      <c r="K963" s="739">
        <v>34125</v>
      </c>
      <c r="L963" s="864">
        <f t="shared" si="301"/>
        <v>30875</v>
      </c>
      <c r="M963" s="866">
        <f t="shared" si="294"/>
        <v>9750</v>
      </c>
      <c r="N963" s="650">
        <f t="shared" si="291"/>
        <v>9750</v>
      </c>
      <c r="O963" s="650">
        <f t="shared" si="303"/>
        <v>9750</v>
      </c>
      <c r="P963" s="650">
        <f t="shared" si="302"/>
        <v>1625</v>
      </c>
      <c r="Q963" s="650">
        <f t="shared" si="283"/>
        <v>0</v>
      </c>
      <c r="R963" s="650">
        <f t="shared" si="284"/>
        <v>0</v>
      </c>
      <c r="S963" s="650">
        <f t="shared" si="285"/>
        <v>0</v>
      </c>
      <c r="T963" s="650">
        <f t="shared" si="286"/>
        <v>0</v>
      </c>
      <c r="U963" s="650">
        <f t="shared" si="287"/>
        <v>0</v>
      </c>
      <c r="V963" s="650">
        <f t="shared" si="288"/>
        <v>0</v>
      </c>
      <c r="W963" s="650">
        <f t="shared" si="289"/>
        <v>0</v>
      </c>
      <c r="X963" s="746">
        <v>0</v>
      </c>
      <c r="Y963" s="746">
        <f t="shared" si="299"/>
        <v>0</v>
      </c>
    </row>
    <row r="964" spans="2:25">
      <c r="B964" s="598" t="s">
        <v>2595</v>
      </c>
      <c r="C964" s="604" t="s">
        <v>864</v>
      </c>
      <c r="D964" s="745">
        <v>2018</v>
      </c>
      <c r="E964" s="604" t="s">
        <v>3641</v>
      </c>
      <c r="F964" s="738">
        <v>0.15</v>
      </c>
      <c r="G964" s="739">
        <v>1800</v>
      </c>
      <c r="H964" s="741"/>
      <c r="I964" s="742"/>
      <c r="J964" s="740"/>
      <c r="K964" s="739">
        <v>945</v>
      </c>
      <c r="L964" s="864">
        <f t="shared" si="301"/>
        <v>855</v>
      </c>
      <c r="M964" s="866">
        <f t="shared" si="294"/>
        <v>270</v>
      </c>
      <c r="N964" s="650">
        <f t="shared" si="291"/>
        <v>270</v>
      </c>
      <c r="O964" s="650">
        <f t="shared" si="303"/>
        <v>270</v>
      </c>
      <c r="P964" s="650">
        <f t="shared" si="302"/>
        <v>45</v>
      </c>
      <c r="Q964" s="650">
        <f t="shared" si="283"/>
        <v>0</v>
      </c>
      <c r="R964" s="650">
        <f t="shared" si="284"/>
        <v>0</v>
      </c>
      <c r="S964" s="650">
        <f t="shared" si="285"/>
        <v>0</v>
      </c>
      <c r="T964" s="650">
        <f t="shared" si="286"/>
        <v>0</v>
      </c>
      <c r="U964" s="650">
        <f t="shared" si="287"/>
        <v>0</v>
      </c>
      <c r="V964" s="650">
        <f t="shared" si="288"/>
        <v>0</v>
      </c>
      <c r="W964" s="650">
        <f t="shared" si="289"/>
        <v>0</v>
      </c>
      <c r="X964" s="746">
        <v>0</v>
      </c>
      <c r="Y964" s="746">
        <f t="shared" si="299"/>
        <v>0</v>
      </c>
    </row>
    <row r="965" spans="2:25">
      <c r="B965" s="598" t="s">
        <v>2595</v>
      </c>
      <c r="C965" s="604" t="s">
        <v>864</v>
      </c>
      <c r="D965" s="745">
        <v>2018</v>
      </c>
      <c r="E965" s="604" t="s">
        <v>3642</v>
      </c>
      <c r="F965" s="738">
        <v>0.15</v>
      </c>
      <c r="G965" s="739">
        <v>7760</v>
      </c>
      <c r="H965" s="741"/>
      <c r="I965" s="742"/>
      <c r="J965" s="740"/>
      <c r="K965" s="739">
        <v>4074</v>
      </c>
      <c r="L965" s="864">
        <f t="shared" si="301"/>
        <v>3686</v>
      </c>
      <c r="M965" s="866">
        <f t="shared" si="294"/>
        <v>1164</v>
      </c>
      <c r="N965" s="650">
        <f t="shared" si="291"/>
        <v>1164</v>
      </c>
      <c r="O965" s="650">
        <f t="shared" si="303"/>
        <v>1164</v>
      </c>
      <c r="P965" s="650">
        <f t="shared" si="302"/>
        <v>194</v>
      </c>
      <c r="Q965" s="650">
        <f t="shared" si="283"/>
        <v>0</v>
      </c>
      <c r="R965" s="650">
        <f t="shared" si="284"/>
        <v>0</v>
      </c>
      <c r="S965" s="650">
        <f t="shared" si="285"/>
        <v>0</v>
      </c>
      <c r="T965" s="650">
        <f t="shared" si="286"/>
        <v>0</v>
      </c>
      <c r="U965" s="650">
        <f t="shared" si="287"/>
        <v>0</v>
      </c>
      <c r="V965" s="650">
        <f t="shared" si="288"/>
        <v>0</v>
      </c>
      <c r="W965" s="650">
        <f t="shared" si="289"/>
        <v>0</v>
      </c>
      <c r="X965" s="746">
        <v>0</v>
      </c>
      <c r="Y965" s="746">
        <f t="shared" si="299"/>
        <v>0</v>
      </c>
    </row>
    <row r="966" spans="2:25">
      <c r="B966" s="598" t="s">
        <v>2595</v>
      </c>
      <c r="C966" s="604" t="s">
        <v>864</v>
      </c>
      <c r="D966" s="745">
        <v>2018</v>
      </c>
      <c r="E966" s="604" t="s">
        <v>3643</v>
      </c>
      <c r="F966" s="738">
        <v>0.15</v>
      </c>
      <c r="G966" s="739">
        <v>8800</v>
      </c>
      <c r="H966" s="741"/>
      <c r="I966" s="742"/>
      <c r="J966" s="740"/>
      <c r="K966" s="739">
        <v>4620</v>
      </c>
      <c r="L966" s="864">
        <f t="shared" si="301"/>
        <v>4180</v>
      </c>
      <c r="M966" s="866">
        <f t="shared" si="294"/>
        <v>1320</v>
      </c>
      <c r="N966" s="650">
        <f t="shared" si="291"/>
        <v>1320</v>
      </c>
      <c r="O966" s="650">
        <f t="shared" si="303"/>
        <v>1320</v>
      </c>
      <c r="P966" s="650">
        <f t="shared" si="302"/>
        <v>220</v>
      </c>
      <c r="Q966" s="650">
        <f t="shared" si="283"/>
        <v>0</v>
      </c>
      <c r="R966" s="650">
        <f t="shared" si="284"/>
        <v>0</v>
      </c>
      <c r="S966" s="650">
        <f t="shared" si="285"/>
        <v>0</v>
      </c>
      <c r="T966" s="650">
        <f t="shared" si="286"/>
        <v>0</v>
      </c>
      <c r="U966" s="650">
        <f t="shared" si="287"/>
        <v>0</v>
      </c>
      <c r="V966" s="650">
        <f t="shared" si="288"/>
        <v>0</v>
      </c>
      <c r="W966" s="650">
        <f t="shared" si="289"/>
        <v>0</v>
      </c>
      <c r="X966" s="746">
        <v>0</v>
      </c>
      <c r="Y966" s="746">
        <f t="shared" si="299"/>
        <v>0</v>
      </c>
    </row>
    <row r="967" spans="2:25">
      <c r="B967" s="598" t="s">
        <v>2595</v>
      </c>
      <c r="C967" s="604" t="s">
        <v>864</v>
      </c>
      <c r="D967" s="745">
        <v>2018</v>
      </c>
      <c r="E967" s="604" t="s">
        <v>3644</v>
      </c>
      <c r="F967" s="738">
        <v>0.15</v>
      </c>
      <c r="G967" s="739">
        <v>106000</v>
      </c>
      <c r="H967" s="741"/>
      <c r="I967" s="742"/>
      <c r="J967" s="740"/>
      <c r="K967" s="739">
        <v>39750</v>
      </c>
      <c r="L967" s="864">
        <f t="shared" si="301"/>
        <v>66250</v>
      </c>
      <c r="M967" s="866">
        <f t="shared" si="294"/>
        <v>15900</v>
      </c>
      <c r="N967" s="650">
        <f t="shared" si="291"/>
        <v>15900</v>
      </c>
      <c r="O967" s="650">
        <f t="shared" si="303"/>
        <v>15900</v>
      </c>
      <c r="P967" s="650">
        <f t="shared" si="282"/>
        <v>15900</v>
      </c>
      <c r="Q967" s="650">
        <f>+L967-SUM(M967:P967)</f>
        <v>2650</v>
      </c>
      <c r="R967" s="650">
        <f t="shared" si="284"/>
        <v>0</v>
      </c>
      <c r="S967" s="650">
        <f t="shared" si="285"/>
        <v>0</v>
      </c>
      <c r="T967" s="650">
        <f t="shared" si="286"/>
        <v>0</v>
      </c>
      <c r="U967" s="650">
        <f t="shared" si="287"/>
        <v>0</v>
      </c>
      <c r="V967" s="650">
        <f t="shared" si="288"/>
        <v>0</v>
      </c>
      <c r="W967" s="650">
        <f t="shared" si="289"/>
        <v>0</v>
      </c>
      <c r="X967" s="746">
        <v>0</v>
      </c>
      <c r="Y967" s="746">
        <f t="shared" si="299"/>
        <v>0</v>
      </c>
    </row>
    <row r="968" spans="2:25">
      <c r="B968" s="598" t="s">
        <v>2595</v>
      </c>
      <c r="C968" s="604" t="s">
        <v>864</v>
      </c>
      <c r="D968" s="745">
        <v>2018</v>
      </c>
      <c r="E968" s="604" t="s">
        <v>3525</v>
      </c>
      <c r="F968" s="738">
        <v>0.15</v>
      </c>
      <c r="G968" s="739">
        <v>0</v>
      </c>
      <c r="H968" s="741"/>
      <c r="I968" s="742"/>
      <c r="J968" s="740"/>
      <c r="K968" s="739">
        <v>0</v>
      </c>
      <c r="L968" s="864">
        <f t="shared" si="301"/>
        <v>0</v>
      </c>
      <c r="M968" s="866">
        <f t="shared" si="294"/>
        <v>0</v>
      </c>
      <c r="N968" s="650">
        <f t="shared" si="291"/>
        <v>0</v>
      </c>
      <c r="O968" s="650">
        <f t="shared" si="303"/>
        <v>0</v>
      </c>
      <c r="P968" s="650">
        <f t="shared" si="282"/>
        <v>0</v>
      </c>
      <c r="Q968" s="650">
        <f t="shared" ref="Q968:Q985" si="304">+L968-SUM(M968:P968)</f>
        <v>0</v>
      </c>
      <c r="R968" s="650">
        <f t="shared" si="284"/>
        <v>0</v>
      </c>
      <c r="S968" s="650">
        <f t="shared" si="285"/>
        <v>0</v>
      </c>
      <c r="T968" s="650">
        <f t="shared" si="286"/>
        <v>0</v>
      </c>
      <c r="U968" s="650">
        <f t="shared" si="287"/>
        <v>0</v>
      </c>
      <c r="V968" s="650">
        <f t="shared" si="288"/>
        <v>0</v>
      </c>
      <c r="W968" s="650">
        <f t="shared" si="289"/>
        <v>0</v>
      </c>
      <c r="X968" s="746">
        <v>0</v>
      </c>
      <c r="Y968" s="746">
        <f t="shared" si="299"/>
        <v>0</v>
      </c>
    </row>
    <row r="969" spans="2:25">
      <c r="B969" s="598" t="s">
        <v>2595</v>
      </c>
      <c r="C969" s="604" t="s">
        <v>864</v>
      </c>
      <c r="D969" s="745">
        <v>2018</v>
      </c>
      <c r="E969" s="604" t="s">
        <v>3645</v>
      </c>
      <c r="F969" s="738">
        <v>0.15</v>
      </c>
      <c r="G969" s="739">
        <v>130000</v>
      </c>
      <c r="H969" s="741"/>
      <c r="I969" s="742"/>
      <c r="J969" s="740"/>
      <c r="K969" s="739">
        <v>48750</v>
      </c>
      <c r="L969" s="864">
        <f t="shared" si="301"/>
        <v>81250</v>
      </c>
      <c r="M969" s="866">
        <f t="shared" si="294"/>
        <v>19500</v>
      </c>
      <c r="N969" s="650">
        <f t="shared" ref="N969:N1032" si="305">+IF(L969-M969&gt;0,G969*F969,0)</f>
        <v>19500</v>
      </c>
      <c r="O969" s="650">
        <f t="shared" si="303"/>
        <v>19500</v>
      </c>
      <c r="P969" s="650">
        <f t="shared" ref="P969:P1032" si="306">+IF(L969-SUM(M969:O969)&gt;0,G969*F969,0)</f>
        <v>19500</v>
      </c>
      <c r="Q969" s="650">
        <f t="shared" si="304"/>
        <v>3250</v>
      </c>
      <c r="R969" s="650">
        <f t="shared" ref="R969:R1030" si="307">+IF(L969-SUM(M969:Q969)&gt;0,G969*F969,0)</f>
        <v>0</v>
      </c>
      <c r="S969" s="650">
        <f t="shared" ref="S969:S1009" si="308">+IF(L969-SUM(M969:R969)&gt;0,G969*F969,0)</f>
        <v>0</v>
      </c>
      <c r="T969" s="650">
        <f t="shared" ref="T969:T1032" si="309">+IF(L969-SUM(M969:S969)&gt;0,G969*F969,0)</f>
        <v>0</v>
      </c>
      <c r="U969" s="650">
        <f t="shared" ref="U969:U1032" si="310">+IF(L969-SUM(M969:T969)&gt;0,G969*F969,0)</f>
        <v>0</v>
      </c>
      <c r="V969" s="650">
        <f t="shared" ref="V969:V1032" si="311">+IF(L969-SUM(M969:U969)&gt;0,G969*F969,0)</f>
        <v>0</v>
      </c>
      <c r="W969" s="650">
        <f t="shared" ref="W969:W1032" si="312">+IF(L969-SUM(M969:V969)&gt;0,G969*F969,0)</f>
        <v>0</v>
      </c>
      <c r="X969" s="746">
        <v>0</v>
      </c>
      <c r="Y969" s="746">
        <f t="shared" ref="Y969:Y1032" si="313">+SUM(M969:W969)-L969</f>
        <v>0</v>
      </c>
    </row>
    <row r="970" spans="2:25">
      <c r="B970" s="598" t="s">
        <v>2595</v>
      </c>
      <c r="C970" s="604" t="s">
        <v>864</v>
      </c>
      <c r="D970" s="745">
        <v>2018</v>
      </c>
      <c r="E970" s="604" t="s">
        <v>3646</v>
      </c>
      <c r="F970" s="738">
        <v>0.15</v>
      </c>
      <c r="G970" s="739">
        <v>237000</v>
      </c>
      <c r="H970" s="741"/>
      <c r="I970" s="742"/>
      <c r="J970" s="740"/>
      <c r="K970" s="739">
        <v>87975</v>
      </c>
      <c r="L970" s="864">
        <f t="shared" si="301"/>
        <v>149025</v>
      </c>
      <c r="M970" s="866">
        <f t="shared" si="294"/>
        <v>35550</v>
      </c>
      <c r="N970" s="650">
        <f t="shared" si="305"/>
        <v>35550</v>
      </c>
      <c r="O970" s="650">
        <f t="shared" si="303"/>
        <v>35550</v>
      </c>
      <c r="P970" s="650">
        <f t="shared" si="306"/>
        <v>35550</v>
      </c>
      <c r="Q970" s="650">
        <f t="shared" si="304"/>
        <v>6825</v>
      </c>
      <c r="R970" s="650">
        <f t="shared" si="307"/>
        <v>0</v>
      </c>
      <c r="S970" s="650">
        <f t="shared" si="308"/>
        <v>0</v>
      </c>
      <c r="T970" s="650">
        <f t="shared" si="309"/>
        <v>0</v>
      </c>
      <c r="U970" s="650">
        <f t="shared" si="310"/>
        <v>0</v>
      </c>
      <c r="V970" s="650">
        <f t="shared" si="311"/>
        <v>0</v>
      </c>
      <c r="W970" s="650">
        <f t="shared" si="312"/>
        <v>0</v>
      </c>
      <c r="X970" s="746">
        <v>0</v>
      </c>
      <c r="Y970" s="746">
        <f t="shared" si="313"/>
        <v>0</v>
      </c>
    </row>
    <row r="971" spans="2:25">
      <c r="B971" s="598" t="s">
        <v>2595</v>
      </c>
      <c r="C971" s="604" t="s">
        <v>864</v>
      </c>
      <c r="D971" s="745">
        <v>2018</v>
      </c>
      <c r="E971" s="604" t="s">
        <v>3647</v>
      </c>
      <c r="F971" s="738">
        <v>0.15</v>
      </c>
      <c r="G971" s="739">
        <v>292000</v>
      </c>
      <c r="H971" s="741"/>
      <c r="I971" s="742"/>
      <c r="J971" s="740"/>
      <c r="K971" s="739">
        <v>108600</v>
      </c>
      <c r="L971" s="864">
        <f t="shared" si="301"/>
        <v>183400</v>
      </c>
      <c r="M971" s="866">
        <f t="shared" si="294"/>
        <v>43800</v>
      </c>
      <c r="N971" s="650">
        <f t="shared" si="305"/>
        <v>43800</v>
      </c>
      <c r="O971" s="650">
        <f t="shared" si="303"/>
        <v>43800</v>
      </c>
      <c r="P971" s="650">
        <f t="shared" si="306"/>
        <v>43800</v>
      </c>
      <c r="Q971" s="650">
        <f t="shared" si="304"/>
        <v>8200</v>
      </c>
      <c r="R971" s="650">
        <f t="shared" si="307"/>
        <v>0</v>
      </c>
      <c r="S971" s="650">
        <f t="shared" si="308"/>
        <v>0</v>
      </c>
      <c r="T971" s="650">
        <f t="shared" si="309"/>
        <v>0</v>
      </c>
      <c r="U971" s="650">
        <f t="shared" si="310"/>
        <v>0</v>
      </c>
      <c r="V971" s="650">
        <f t="shared" si="311"/>
        <v>0</v>
      </c>
      <c r="W971" s="650">
        <f t="shared" si="312"/>
        <v>0</v>
      </c>
      <c r="X971" s="746">
        <v>0</v>
      </c>
      <c r="Y971" s="746">
        <f t="shared" si="313"/>
        <v>0</v>
      </c>
    </row>
    <row r="972" spans="2:25">
      <c r="B972" s="598" t="s">
        <v>2595</v>
      </c>
      <c r="C972" s="604" t="s">
        <v>864</v>
      </c>
      <c r="D972" s="745">
        <v>2018</v>
      </c>
      <c r="E972" s="604" t="s">
        <v>3648</v>
      </c>
      <c r="F972" s="738">
        <v>0.15</v>
      </c>
      <c r="G972" s="739">
        <v>60000</v>
      </c>
      <c r="H972" s="741"/>
      <c r="I972" s="742"/>
      <c r="J972" s="740"/>
      <c r="K972" s="739">
        <v>22500</v>
      </c>
      <c r="L972" s="864">
        <f t="shared" si="301"/>
        <v>37500</v>
      </c>
      <c r="M972" s="866">
        <f t="shared" ref="M972:M1035" si="314">+IF(L972=0,0,G972*F972)</f>
        <v>9000</v>
      </c>
      <c r="N972" s="650">
        <f t="shared" si="305"/>
        <v>9000</v>
      </c>
      <c r="O972" s="650">
        <f t="shared" si="303"/>
        <v>9000</v>
      </c>
      <c r="P972" s="650">
        <f t="shared" si="306"/>
        <v>9000</v>
      </c>
      <c r="Q972" s="650">
        <f t="shared" si="304"/>
        <v>1500</v>
      </c>
      <c r="R972" s="650">
        <f t="shared" si="307"/>
        <v>0</v>
      </c>
      <c r="S972" s="650">
        <f t="shared" si="308"/>
        <v>0</v>
      </c>
      <c r="T972" s="650">
        <f t="shared" si="309"/>
        <v>0</v>
      </c>
      <c r="U972" s="650">
        <f t="shared" si="310"/>
        <v>0</v>
      </c>
      <c r="V972" s="650">
        <f t="shared" si="311"/>
        <v>0</v>
      </c>
      <c r="W972" s="650">
        <f t="shared" si="312"/>
        <v>0</v>
      </c>
      <c r="X972" s="746">
        <v>0</v>
      </c>
      <c r="Y972" s="746">
        <f t="shared" si="313"/>
        <v>0</v>
      </c>
    </row>
    <row r="973" spans="2:25">
      <c r="B973" s="598" t="s">
        <v>2595</v>
      </c>
      <c r="C973" s="604" t="s">
        <v>864</v>
      </c>
      <c r="D973" s="745">
        <v>2018</v>
      </c>
      <c r="E973" s="604" t="s">
        <v>3649</v>
      </c>
      <c r="F973" s="738">
        <v>0.15</v>
      </c>
      <c r="G973" s="739">
        <v>8150</v>
      </c>
      <c r="H973" s="741"/>
      <c r="I973" s="742"/>
      <c r="J973" s="740"/>
      <c r="K973" s="739">
        <v>3056.25</v>
      </c>
      <c r="L973" s="864">
        <f t="shared" si="301"/>
        <v>5093.75</v>
      </c>
      <c r="M973" s="866">
        <f t="shared" si="314"/>
        <v>1222.5</v>
      </c>
      <c r="N973" s="650">
        <f t="shared" si="305"/>
        <v>1222.5</v>
      </c>
      <c r="O973" s="650">
        <f t="shared" si="303"/>
        <v>1222.5</v>
      </c>
      <c r="P973" s="650">
        <f t="shared" si="306"/>
        <v>1222.5</v>
      </c>
      <c r="Q973" s="650">
        <f t="shared" si="304"/>
        <v>203.75</v>
      </c>
      <c r="R973" s="650">
        <f t="shared" si="307"/>
        <v>0</v>
      </c>
      <c r="S973" s="650">
        <f t="shared" si="308"/>
        <v>0</v>
      </c>
      <c r="T973" s="650">
        <f t="shared" si="309"/>
        <v>0</v>
      </c>
      <c r="U973" s="650">
        <f t="shared" si="310"/>
        <v>0</v>
      </c>
      <c r="V973" s="650">
        <f t="shared" si="311"/>
        <v>0</v>
      </c>
      <c r="W973" s="650">
        <f t="shared" si="312"/>
        <v>0</v>
      </c>
      <c r="X973" s="746">
        <v>0</v>
      </c>
      <c r="Y973" s="746">
        <f t="shared" si="313"/>
        <v>0</v>
      </c>
    </row>
    <row r="974" spans="2:25">
      <c r="B974" s="598" t="s">
        <v>2595</v>
      </c>
      <c r="C974" s="604" t="s">
        <v>864</v>
      </c>
      <c r="D974" s="745">
        <v>2018</v>
      </c>
      <c r="E974" s="604" t="s">
        <v>3650</v>
      </c>
      <c r="F974" s="738">
        <v>0.15</v>
      </c>
      <c r="G974" s="739">
        <v>8500</v>
      </c>
      <c r="H974" s="741"/>
      <c r="I974" s="742"/>
      <c r="J974" s="740"/>
      <c r="K974" s="739">
        <v>3187.5</v>
      </c>
      <c r="L974" s="864">
        <f t="shared" si="301"/>
        <v>5312.5</v>
      </c>
      <c r="M974" s="866">
        <f t="shared" si="314"/>
        <v>1275</v>
      </c>
      <c r="N974" s="650">
        <f t="shared" si="305"/>
        <v>1275</v>
      </c>
      <c r="O974" s="650">
        <f t="shared" si="303"/>
        <v>1275</v>
      </c>
      <c r="P974" s="650">
        <f t="shared" si="306"/>
        <v>1275</v>
      </c>
      <c r="Q974" s="650">
        <f t="shared" si="304"/>
        <v>212.5</v>
      </c>
      <c r="R974" s="650">
        <f t="shared" si="307"/>
        <v>0</v>
      </c>
      <c r="S974" s="650">
        <f t="shared" si="308"/>
        <v>0</v>
      </c>
      <c r="T974" s="650">
        <f t="shared" si="309"/>
        <v>0</v>
      </c>
      <c r="U974" s="650">
        <f t="shared" si="310"/>
        <v>0</v>
      </c>
      <c r="V974" s="650">
        <f t="shared" si="311"/>
        <v>0</v>
      </c>
      <c r="W974" s="650">
        <f t="shared" si="312"/>
        <v>0</v>
      </c>
      <c r="X974" s="746">
        <v>0</v>
      </c>
      <c r="Y974" s="746">
        <f t="shared" si="313"/>
        <v>0</v>
      </c>
    </row>
    <row r="975" spans="2:25">
      <c r="B975" s="598" t="s">
        <v>2595</v>
      </c>
      <c r="C975" s="604" t="s">
        <v>864</v>
      </c>
      <c r="D975" s="745">
        <v>2018</v>
      </c>
      <c r="E975" s="604" t="s">
        <v>3651</v>
      </c>
      <c r="F975" s="738">
        <v>0.15</v>
      </c>
      <c r="G975" s="739">
        <v>8500</v>
      </c>
      <c r="H975" s="741"/>
      <c r="I975" s="742"/>
      <c r="J975" s="740"/>
      <c r="K975" s="739">
        <v>3187.5</v>
      </c>
      <c r="L975" s="864">
        <f t="shared" si="301"/>
        <v>5312.5</v>
      </c>
      <c r="M975" s="866">
        <f t="shared" si="314"/>
        <v>1275</v>
      </c>
      <c r="N975" s="650">
        <f t="shared" si="305"/>
        <v>1275</v>
      </c>
      <c r="O975" s="650">
        <f t="shared" si="303"/>
        <v>1275</v>
      </c>
      <c r="P975" s="650">
        <f t="shared" si="306"/>
        <v>1275</v>
      </c>
      <c r="Q975" s="650">
        <f t="shared" si="304"/>
        <v>212.5</v>
      </c>
      <c r="R975" s="650">
        <f t="shared" si="307"/>
        <v>0</v>
      </c>
      <c r="S975" s="650">
        <f t="shared" si="308"/>
        <v>0</v>
      </c>
      <c r="T975" s="650">
        <f t="shared" si="309"/>
        <v>0</v>
      </c>
      <c r="U975" s="650">
        <f t="shared" si="310"/>
        <v>0</v>
      </c>
      <c r="V975" s="650">
        <f t="shared" si="311"/>
        <v>0</v>
      </c>
      <c r="W975" s="650">
        <f t="shared" si="312"/>
        <v>0</v>
      </c>
      <c r="X975" s="746">
        <v>0</v>
      </c>
      <c r="Y975" s="746">
        <f t="shared" si="313"/>
        <v>0</v>
      </c>
    </row>
    <row r="976" spans="2:25">
      <c r="B976" s="598" t="s">
        <v>2595</v>
      </c>
      <c r="C976" s="604" t="s">
        <v>864</v>
      </c>
      <c r="D976" s="745">
        <v>2018</v>
      </c>
      <c r="E976" s="604" t="s">
        <v>3579</v>
      </c>
      <c r="F976" s="738">
        <v>0.15</v>
      </c>
      <c r="G976" s="739">
        <v>8000</v>
      </c>
      <c r="H976" s="741"/>
      <c r="I976" s="742"/>
      <c r="J976" s="740"/>
      <c r="K976" s="739">
        <v>3000</v>
      </c>
      <c r="L976" s="864">
        <f t="shared" si="301"/>
        <v>5000</v>
      </c>
      <c r="M976" s="866">
        <f t="shared" si="314"/>
        <v>1200</v>
      </c>
      <c r="N976" s="650">
        <f t="shared" si="305"/>
        <v>1200</v>
      </c>
      <c r="O976" s="650">
        <f t="shared" si="303"/>
        <v>1200</v>
      </c>
      <c r="P976" s="650">
        <f t="shared" si="306"/>
        <v>1200</v>
      </c>
      <c r="Q976" s="650">
        <f t="shared" si="304"/>
        <v>200</v>
      </c>
      <c r="R976" s="650">
        <f t="shared" si="307"/>
        <v>0</v>
      </c>
      <c r="S976" s="650">
        <f t="shared" si="308"/>
        <v>0</v>
      </c>
      <c r="T976" s="650">
        <f t="shared" si="309"/>
        <v>0</v>
      </c>
      <c r="U976" s="650">
        <f t="shared" si="310"/>
        <v>0</v>
      </c>
      <c r="V976" s="650">
        <f t="shared" si="311"/>
        <v>0</v>
      </c>
      <c r="W976" s="650">
        <f t="shared" si="312"/>
        <v>0</v>
      </c>
      <c r="X976" s="746">
        <v>0</v>
      </c>
      <c r="Y976" s="746">
        <f t="shared" si="313"/>
        <v>0</v>
      </c>
    </row>
    <row r="977" spans="2:25">
      <c r="B977" s="598" t="s">
        <v>2595</v>
      </c>
      <c r="C977" s="604" t="s">
        <v>864</v>
      </c>
      <c r="D977" s="745">
        <v>2018</v>
      </c>
      <c r="E977" s="604" t="s">
        <v>3611</v>
      </c>
      <c r="F977" s="738">
        <v>0.15</v>
      </c>
      <c r="G977" s="739">
        <v>12000</v>
      </c>
      <c r="H977" s="741"/>
      <c r="I977" s="742"/>
      <c r="J977" s="740"/>
      <c r="K977" s="739">
        <v>4500</v>
      </c>
      <c r="L977" s="864">
        <f t="shared" si="301"/>
        <v>7500</v>
      </c>
      <c r="M977" s="866">
        <f t="shared" si="314"/>
        <v>1800</v>
      </c>
      <c r="N977" s="650">
        <f t="shared" si="305"/>
        <v>1800</v>
      </c>
      <c r="O977" s="650">
        <f t="shared" si="303"/>
        <v>1800</v>
      </c>
      <c r="P977" s="650">
        <f t="shared" si="306"/>
        <v>1800</v>
      </c>
      <c r="Q977" s="650">
        <f t="shared" si="304"/>
        <v>300</v>
      </c>
      <c r="R977" s="650">
        <f t="shared" si="307"/>
        <v>0</v>
      </c>
      <c r="S977" s="650">
        <f t="shared" si="308"/>
        <v>0</v>
      </c>
      <c r="T977" s="650">
        <f t="shared" si="309"/>
        <v>0</v>
      </c>
      <c r="U977" s="650">
        <f t="shared" si="310"/>
        <v>0</v>
      </c>
      <c r="V977" s="650">
        <f t="shared" si="311"/>
        <v>0</v>
      </c>
      <c r="W977" s="650">
        <f t="shared" si="312"/>
        <v>0</v>
      </c>
      <c r="X977" s="746">
        <v>0</v>
      </c>
      <c r="Y977" s="746">
        <f t="shared" si="313"/>
        <v>0</v>
      </c>
    </row>
    <row r="978" spans="2:25">
      <c r="B978" s="598" t="s">
        <v>2595</v>
      </c>
      <c r="C978" s="604" t="s">
        <v>864</v>
      </c>
      <c r="D978" s="745">
        <v>2018</v>
      </c>
      <c r="E978" s="604" t="s">
        <v>3513</v>
      </c>
      <c r="F978" s="738">
        <v>0.15</v>
      </c>
      <c r="G978" s="739">
        <v>1000</v>
      </c>
      <c r="H978" s="741"/>
      <c r="I978" s="742"/>
      <c r="J978" s="740"/>
      <c r="K978" s="739">
        <v>375</v>
      </c>
      <c r="L978" s="864">
        <f t="shared" si="301"/>
        <v>625</v>
      </c>
      <c r="M978" s="866">
        <f t="shared" si="314"/>
        <v>150</v>
      </c>
      <c r="N978" s="650">
        <f t="shared" si="305"/>
        <v>150</v>
      </c>
      <c r="O978" s="650">
        <f t="shared" si="303"/>
        <v>150</v>
      </c>
      <c r="P978" s="650">
        <f t="shared" si="306"/>
        <v>150</v>
      </c>
      <c r="Q978" s="650">
        <f t="shared" si="304"/>
        <v>25</v>
      </c>
      <c r="R978" s="650">
        <f t="shared" si="307"/>
        <v>0</v>
      </c>
      <c r="S978" s="650">
        <f t="shared" si="308"/>
        <v>0</v>
      </c>
      <c r="T978" s="650">
        <f t="shared" si="309"/>
        <v>0</v>
      </c>
      <c r="U978" s="650">
        <f t="shared" si="310"/>
        <v>0</v>
      </c>
      <c r="V978" s="650">
        <f t="shared" si="311"/>
        <v>0</v>
      </c>
      <c r="W978" s="650">
        <f t="shared" si="312"/>
        <v>0</v>
      </c>
      <c r="X978" s="746">
        <v>0</v>
      </c>
      <c r="Y978" s="746">
        <f t="shared" si="313"/>
        <v>0</v>
      </c>
    </row>
    <row r="979" spans="2:25">
      <c r="B979" s="598" t="s">
        <v>2595</v>
      </c>
      <c r="C979" s="604" t="s">
        <v>864</v>
      </c>
      <c r="D979" s="745">
        <v>2018</v>
      </c>
      <c r="E979" s="604" t="s">
        <v>3546</v>
      </c>
      <c r="F979" s="738">
        <v>0.15</v>
      </c>
      <c r="G979" s="739">
        <v>60000</v>
      </c>
      <c r="H979" s="741"/>
      <c r="I979" s="742"/>
      <c r="J979" s="740"/>
      <c r="K979" s="739">
        <v>22500</v>
      </c>
      <c r="L979" s="864">
        <f t="shared" si="301"/>
        <v>37500</v>
      </c>
      <c r="M979" s="866">
        <f t="shared" si="314"/>
        <v>9000</v>
      </c>
      <c r="N979" s="650">
        <f t="shared" si="305"/>
        <v>9000</v>
      </c>
      <c r="O979" s="650">
        <f t="shared" si="303"/>
        <v>9000</v>
      </c>
      <c r="P979" s="650">
        <f t="shared" si="306"/>
        <v>9000</v>
      </c>
      <c r="Q979" s="650">
        <f t="shared" si="304"/>
        <v>1500</v>
      </c>
      <c r="R979" s="650">
        <f t="shared" si="307"/>
        <v>0</v>
      </c>
      <c r="S979" s="650">
        <f t="shared" si="308"/>
        <v>0</v>
      </c>
      <c r="T979" s="650">
        <f t="shared" si="309"/>
        <v>0</v>
      </c>
      <c r="U979" s="650">
        <f t="shared" si="310"/>
        <v>0</v>
      </c>
      <c r="V979" s="650">
        <f t="shared" si="311"/>
        <v>0</v>
      </c>
      <c r="W979" s="650">
        <f t="shared" si="312"/>
        <v>0</v>
      </c>
      <c r="X979" s="746">
        <v>0</v>
      </c>
      <c r="Y979" s="746">
        <f t="shared" si="313"/>
        <v>0</v>
      </c>
    </row>
    <row r="980" spans="2:25">
      <c r="B980" s="598" t="s">
        <v>2595</v>
      </c>
      <c r="C980" s="604" t="s">
        <v>864</v>
      </c>
      <c r="D980" s="745">
        <v>2018</v>
      </c>
      <c r="E980" s="604" t="s">
        <v>3504</v>
      </c>
      <c r="F980" s="738">
        <v>0.15</v>
      </c>
      <c r="G980" s="739">
        <v>2050</v>
      </c>
      <c r="H980" s="741"/>
      <c r="I980" s="742"/>
      <c r="J980" s="740"/>
      <c r="K980" s="739">
        <v>768.75</v>
      </c>
      <c r="L980" s="864">
        <f t="shared" si="301"/>
        <v>1281.25</v>
      </c>
      <c r="M980" s="866">
        <f t="shared" si="314"/>
        <v>307.5</v>
      </c>
      <c r="N980" s="650">
        <f t="shared" si="305"/>
        <v>307.5</v>
      </c>
      <c r="O980" s="650">
        <f t="shared" si="303"/>
        <v>307.5</v>
      </c>
      <c r="P980" s="650">
        <f t="shared" si="306"/>
        <v>307.5</v>
      </c>
      <c r="Q980" s="650">
        <f t="shared" si="304"/>
        <v>51.25</v>
      </c>
      <c r="R980" s="650">
        <f t="shared" si="307"/>
        <v>0</v>
      </c>
      <c r="S980" s="650">
        <f t="shared" si="308"/>
        <v>0</v>
      </c>
      <c r="T980" s="650">
        <f t="shared" si="309"/>
        <v>0</v>
      </c>
      <c r="U980" s="650">
        <f t="shared" si="310"/>
        <v>0</v>
      </c>
      <c r="V980" s="650">
        <f t="shared" si="311"/>
        <v>0</v>
      </c>
      <c r="W980" s="650">
        <f t="shared" si="312"/>
        <v>0</v>
      </c>
      <c r="X980" s="746">
        <v>0</v>
      </c>
      <c r="Y980" s="746">
        <f t="shared" si="313"/>
        <v>0</v>
      </c>
    </row>
    <row r="981" spans="2:25">
      <c r="B981" s="598" t="s">
        <v>2595</v>
      </c>
      <c r="C981" s="604" t="s">
        <v>864</v>
      </c>
      <c r="D981" s="745">
        <v>2018</v>
      </c>
      <c r="E981" s="604" t="s">
        <v>3652</v>
      </c>
      <c r="F981" s="738">
        <v>0.15</v>
      </c>
      <c r="G981" s="739">
        <v>0</v>
      </c>
      <c r="H981" s="741"/>
      <c r="I981" s="742"/>
      <c r="J981" s="740"/>
      <c r="K981" s="739">
        <v>0</v>
      </c>
      <c r="L981" s="864">
        <f t="shared" si="301"/>
        <v>0</v>
      </c>
      <c r="M981" s="866">
        <f t="shared" si="314"/>
        <v>0</v>
      </c>
      <c r="N981" s="650">
        <f t="shared" si="305"/>
        <v>0</v>
      </c>
      <c r="O981" s="650">
        <f t="shared" si="303"/>
        <v>0</v>
      </c>
      <c r="P981" s="650">
        <f t="shared" si="306"/>
        <v>0</v>
      </c>
      <c r="Q981" s="650">
        <f t="shared" si="304"/>
        <v>0</v>
      </c>
      <c r="R981" s="650">
        <f t="shared" si="307"/>
        <v>0</v>
      </c>
      <c r="S981" s="650">
        <f t="shared" si="308"/>
        <v>0</v>
      </c>
      <c r="T981" s="650">
        <f t="shared" si="309"/>
        <v>0</v>
      </c>
      <c r="U981" s="650">
        <f t="shared" si="310"/>
        <v>0</v>
      </c>
      <c r="V981" s="650">
        <f t="shared" si="311"/>
        <v>0</v>
      </c>
      <c r="W981" s="650">
        <f t="shared" si="312"/>
        <v>0</v>
      </c>
      <c r="X981" s="746">
        <v>0</v>
      </c>
      <c r="Y981" s="746">
        <f t="shared" si="313"/>
        <v>0</v>
      </c>
    </row>
    <row r="982" spans="2:25">
      <c r="B982" s="598" t="s">
        <v>2595</v>
      </c>
      <c r="C982" s="604" t="s">
        <v>864</v>
      </c>
      <c r="D982" s="745">
        <v>2019</v>
      </c>
      <c r="E982" s="604" t="s">
        <v>3508</v>
      </c>
      <c r="F982" s="738">
        <v>0.15</v>
      </c>
      <c r="G982" s="739">
        <v>5000</v>
      </c>
      <c r="H982" s="741"/>
      <c r="I982" s="742"/>
      <c r="J982" s="740"/>
      <c r="K982" s="739">
        <v>1875</v>
      </c>
      <c r="L982" s="864">
        <f t="shared" si="301"/>
        <v>3125</v>
      </c>
      <c r="M982" s="866">
        <f t="shared" si="314"/>
        <v>750</v>
      </c>
      <c r="N982" s="650">
        <f t="shared" si="305"/>
        <v>750</v>
      </c>
      <c r="O982" s="650">
        <f t="shared" ref="O982:O1032" si="315">+IF(L982-SUM(M982:N982)&gt;0,G982*F982,0)</f>
        <v>750</v>
      </c>
      <c r="P982" s="650">
        <f t="shared" ref="P982:P990" si="316">+IF(L982-SUM(M982:O982)&gt;0,G982*F982,0)-X982</f>
        <v>750</v>
      </c>
      <c r="Q982" s="650">
        <f t="shared" si="304"/>
        <v>125</v>
      </c>
      <c r="R982" s="650">
        <f t="shared" si="307"/>
        <v>0</v>
      </c>
      <c r="S982" s="650">
        <f t="shared" si="308"/>
        <v>0</v>
      </c>
      <c r="T982" s="650">
        <f t="shared" si="309"/>
        <v>0</v>
      </c>
      <c r="U982" s="650">
        <f t="shared" si="310"/>
        <v>0</v>
      </c>
      <c r="V982" s="650">
        <f t="shared" si="311"/>
        <v>0</v>
      </c>
      <c r="W982" s="650">
        <f t="shared" si="312"/>
        <v>0</v>
      </c>
      <c r="X982" s="746">
        <v>0</v>
      </c>
      <c r="Y982" s="746">
        <f t="shared" si="313"/>
        <v>0</v>
      </c>
    </row>
    <row r="983" spans="2:25">
      <c r="B983" s="598" t="s">
        <v>2595</v>
      </c>
      <c r="C983" s="604" t="s">
        <v>864</v>
      </c>
      <c r="D983" s="745">
        <v>2019</v>
      </c>
      <c r="E983" s="604" t="s">
        <v>3513</v>
      </c>
      <c r="F983" s="738">
        <v>0.15</v>
      </c>
      <c r="G983" s="739">
        <v>500</v>
      </c>
      <c r="H983" s="741"/>
      <c r="I983" s="742"/>
      <c r="J983" s="740"/>
      <c r="K983" s="739">
        <v>187.5</v>
      </c>
      <c r="L983" s="864">
        <f t="shared" si="301"/>
        <v>312.5</v>
      </c>
      <c r="M983" s="866">
        <f t="shared" si="314"/>
        <v>75</v>
      </c>
      <c r="N983" s="650">
        <f t="shared" si="305"/>
        <v>75</v>
      </c>
      <c r="O983" s="650">
        <f t="shared" si="315"/>
        <v>75</v>
      </c>
      <c r="P983" s="650">
        <f t="shared" si="316"/>
        <v>75</v>
      </c>
      <c r="Q983" s="650">
        <f t="shared" si="304"/>
        <v>12.5</v>
      </c>
      <c r="R983" s="650">
        <f t="shared" si="307"/>
        <v>0</v>
      </c>
      <c r="S983" s="650">
        <f t="shared" si="308"/>
        <v>0</v>
      </c>
      <c r="T983" s="650">
        <f t="shared" si="309"/>
        <v>0</v>
      </c>
      <c r="U983" s="650">
        <f t="shared" si="310"/>
        <v>0</v>
      </c>
      <c r="V983" s="650">
        <f t="shared" si="311"/>
        <v>0</v>
      </c>
      <c r="W983" s="650">
        <f t="shared" si="312"/>
        <v>0</v>
      </c>
      <c r="X983" s="746">
        <v>0</v>
      </c>
      <c r="Y983" s="746">
        <f t="shared" si="313"/>
        <v>0</v>
      </c>
    </row>
    <row r="984" spans="2:25">
      <c r="B984" s="598" t="s">
        <v>2595</v>
      </c>
      <c r="C984" s="604" t="s">
        <v>864</v>
      </c>
      <c r="D984" s="745">
        <v>2019</v>
      </c>
      <c r="E984" s="604" t="s">
        <v>3513</v>
      </c>
      <c r="F984" s="738">
        <v>0.15</v>
      </c>
      <c r="G984" s="739">
        <v>0</v>
      </c>
      <c r="H984" s="741"/>
      <c r="I984" s="742"/>
      <c r="J984" s="740"/>
      <c r="K984" s="739">
        <v>0</v>
      </c>
      <c r="L984" s="864">
        <f t="shared" si="301"/>
        <v>0</v>
      </c>
      <c r="M984" s="866">
        <f t="shared" si="314"/>
        <v>0</v>
      </c>
      <c r="N984" s="650">
        <f t="shared" si="305"/>
        <v>0</v>
      </c>
      <c r="O984" s="650">
        <f t="shared" si="315"/>
        <v>0</v>
      </c>
      <c r="P984" s="650">
        <f t="shared" si="316"/>
        <v>0</v>
      </c>
      <c r="Q984" s="650">
        <f t="shared" si="304"/>
        <v>0</v>
      </c>
      <c r="R984" s="650">
        <f t="shared" si="307"/>
        <v>0</v>
      </c>
      <c r="S984" s="650">
        <f t="shared" si="308"/>
        <v>0</v>
      </c>
      <c r="T984" s="650">
        <f t="shared" si="309"/>
        <v>0</v>
      </c>
      <c r="U984" s="650">
        <f t="shared" si="310"/>
        <v>0</v>
      </c>
      <c r="V984" s="650">
        <f t="shared" si="311"/>
        <v>0</v>
      </c>
      <c r="W984" s="650">
        <f t="shared" si="312"/>
        <v>0</v>
      </c>
      <c r="X984" s="746">
        <v>0</v>
      </c>
      <c r="Y984" s="746">
        <f t="shared" si="313"/>
        <v>0</v>
      </c>
    </row>
    <row r="985" spans="2:25">
      <c r="B985" s="598" t="s">
        <v>2595</v>
      </c>
      <c r="C985" s="604" t="s">
        <v>864</v>
      </c>
      <c r="D985" s="745">
        <v>2019</v>
      </c>
      <c r="E985" s="604" t="s">
        <v>3525</v>
      </c>
      <c r="F985" s="738">
        <v>0.15</v>
      </c>
      <c r="G985" s="739">
        <v>240000</v>
      </c>
      <c r="H985" s="741"/>
      <c r="I985" s="742"/>
      <c r="J985" s="740"/>
      <c r="K985" s="739">
        <v>90000</v>
      </c>
      <c r="L985" s="864">
        <f t="shared" si="301"/>
        <v>150000</v>
      </c>
      <c r="M985" s="866">
        <f t="shared" si="314"/>
        <v>36000</v>
      </c>
      <c r="N985" s="650">
        <f t="shared" si="305"/>
        <v>36000</v>
      </c>
      <c r="O985" s="650">
        <f t="shared" si="315"/>
        <v>36000</v>
      </c>
      <c r="P985" s="650">
        <f t="shared" si="316"/>
        <v>36000</v>
      </c>
      <c r="Q985" s="650">
        <f t="shared" si="304"/>
        <v>6000</v>
      </c>
      <c r="R985" s="650">
        <f t="shared" si="307"/>
        <v>0</v>
      </c>
      <c r="S985" s="650">
        <f t="shared" si="308"/>
        <v>0</v>
      </c>
      <c r="T985" s="650">
        <f t="shared" si="309"/>
        <v>0</v>
      </c>
      <c r="U985" s="650">
        <f t="shared" si="310"/>
        <v>0</v>
      </c>
      <c r="V985" s="650">
        <f t="shared" si="311"/>
        <v>0</v>
      </c>
      <c r="W985" s="650">
        <f t="shared" si="312"/>
        <v>0</v>
      </c>
      <c r="X985" s="746">
        <v>0</v>
      </c>
      <c r="Y985" s="746">
        <f t="shared" si="313"/>
        <v>0</v>
      </c>
    </row>
    <row r="986" spans="2:25">
      <c r="B986" s="598" t="s">
        <v>2595</v>
      </c>
      <c r="C986" s="604" t="s">
        <v>864</v>
      </c>
      <c r="D986" s="745">
        <v>2019</v>
      </c>
      <c r="E986" s="604" t="s">
        <v>3513</v>
      </c>
      <c r="F986" s="738">
        <v>0.15</v>
      </c>
      <c r="G986" s="739">
        <v>20000</v>
      </c>
      <c r="H986" s="741"/>
      <c r="I986" s="742"/>
      <c r="J986" s="740"/>
      <c r="K986" s="739">
        <v>4500</v>
      </c>
      <c r="L986" s="864">
        <f t="shared" si="301"/>
        <v>15500</v>
      </c>
      <c r="M986" s="866">
        <f t="shared" si="314"/>
        <v>3000</v>
      </c>
      <c r="N986" s="650">
        <f t="shared" si="305"/>
        <v>3000</v>
      </c>
      <c r="O986" s="650">
        <f t="shared" si="315"/>
        <v>3000</v>
      </c>
      <c r="P986" s="650">
        <f t="shared" si="316"/>
        <v>3000</v>
      </c>
      <c r="Q986" s="650">
        <f t="shared" ref="Q986:Q1032" si="317">+IF(L986-SUM(M986:P986)&gt;0,G986*F986,0)</f>
        <v>3000</v>
      </c>
      <c r="R986" s="650">
        <f>+L986-SUM(M986:Q986)</f>
        <v>500</v>
      </c>
      <c r="S986" s="650">
        <f t="shared" si="308"/>
        <v>0</v>
      </c>
      <c r="T986" s="650">
        <f t="shared" si="309"/>
        <v>0</v>
      </c>
      <c r="U986" s="650">
        <f t="shared" si="310"/>
        <v>0</v>
      </c>
      <c r="V986" s="650">
        <f t="shared" si="311"/>
        <v>0</v>
      </c>
      <c r="W986" s="650">
        <f t="shared" si="312"/>
        <v>0</v>
      </c>
      <c r="X986" s="746">
        <v>0</v>
      </c>
      <c r="Y986" s="746">
        <f t="shared" si="313"/>
        <v>0</v>
      </c>
    </row>
    <row r="987" spans="2:25">
      <c r="B987" s="598" t="s">
        <v>2595</v>
      </c>
      <c r="C987" s="604" t="s">
        <v>864</v>
      </c>
      <c r="D987" s="745">
        <v>2019</v>
      </c>
      <c r="E987" s="604" t="s">
        <v>3653</v>
      </c>
      <c r="F987" s="738">
        <v>0.15</v>
      </c>
      <c r="G987" s="739">
        <v>120000</v>
      </c>
      <c r="H987" s="741"/>
      <c r="I987" s="742"/>
      <c r="J987" s="740"/>
      <c r="K987" s="739">
        <v>27000</v>
      </c>
      <c r="L987" s="864">
        <f t="shared" si="301"/>
        <v>93000</v>
      </c>
      <c r="M987" s="866">
        <f t="shared" si="314"/>
        <v>18000</v>
      </c>
      <c r="N987" s="650">
        <f t="shared" si="305"/>
        <v>18000</v>
      </c>
      <c r="O987" s="650">
        <f t="shared" si="315"/>
        <v>18000</v>
      </c>
      <c r="P987" s="650">
        <f t="shared" si="316"/>
        <v>18000</v>
      </c>
      <c r="Q987" s="650">
        <f t="shared" si="317"/>
        <v>18000</v>
      </c>
      <c r="R987" s="650">
        <f t="shared" ref="R987:R1001" si="318">+L987-SUM(M987:Q987)</f>
        <v>3000</v>
      </c>
      <c r="S987" s="650">
        <f t="shared" si="308"/>
        <v>0</v>
      </c>
      <c r="T987" s="650">
        <f t="shared" si="309"/>
        <v>0</v>
      </c>
      <c r="U987" s="650">
        <f t="shared" si="310"/>
        <v>0</v>
      </c>
      <c r="V987" s="650">
        <f t="shared" si="311"/>
        <v>0</v>
      </c>
      <c r="W987" s="650">
        <f t="shared" si="312"/>
        <v>0</v>
      </c>
      <c r="X987" s="746">
        <v>0</v>
      </c>
      <c r="Y987" s="746">
        <f t="shared" si="313"/>
        <v>0</v>
      </c>
    </row>
    <row r="988" spans="2:25">
      <c r="B988" s="598" t="s">
        <v>2595</v>
      </c>
      <c r="C988" s="604" t="s">
        <v>864</v>
      </c>
      <c r="D988" s="745">
        <v>2019</v>
      </c>
      <c r="E988" s="604" t="s">
        <v>3560</v>
      </c>
      <c r="F988" s="738">
        <v>0.15</v>
      </c>
      <c r="G988" s="739">
        <v>23500</v>
      </c>
      <c r="H988" s="741"/>
      <c r="I988" s="742"/>
      <c r="J988" s="740"/>
      <c r="K988" s="739">
        <v>5287.5</v>
      </c>
      <c r="L988" s="864">
        <f t="shared" si="301"/>
        <v>18212.5</v>
      </c>
      <c r="M988" s="866">
        <f t="shared" si="314"/>
        <v>3525</v>
      </c>
      <c r="N988" s="650">
        <f t="shared" si="305"/>
        <v>3525</v>
      </c>
      <c r="O988" s="650">
        <f t="shared" si="315"/>
        <v>3525</v>
      </c>
      <c r="P988" s="650">
        <f t="shared" si="316"/>
        <v>3525</v>
      </c>
      <c r="Q988" s="650">
        <f t="shared" si="317"/>
        <v>3525</v>
      </c>
      <c r="R988" s="650">
        <f t="shared" si="318"/>
        <v>587.5</v>
      </c>
      <c r="S988" s="650">
        <f t="shared" si="308"/>
        <v>0</v>
      </c>
      <c r="T988" s="650">
        <f t="shared" si="309"/>
        <v>0</v>
      </c>
      <c r="U988" s="650">
        <f t="shared" si="310"/>
        <v>0</v>
      </c>
      <c r="V988" s="650">
        <f t="shared" si="311"/>
        <v>0</v>
      </c>
      <c r="W988" s="650">
        <f t="shared" si="312"/>
        <v>0</v>
      </c>
      <c r="X988" s="746">
        <v>0</v>
      </c>
      <c r="Y988" s="746">
        <f t="shared" si="313"/>
        <v>0</v>
      </c>
    </row>
    <row r="989" spans="2:25">
      <c r="B989" s="598" t="s">
        <v>2595</v>
      </c>
      <c r="C989" s="604" t="s">
        <v>864</v>
      </c>
      <c r="D989" s="745">
        <v>2019</v>
      </c>
      <c r="E989" s="604" t="s">
        <v>3495</v>
      </c>
      <c r="F989" s="738">
        <v>0.15</v>
      </c>
      <c r="G989" s="739">
        <v>257500</v>
      </c>
      <c r="H989" s="741"/>
      <c r="I989" s="742"/>
      <c r="J989" s="740"/>
      <c r="K989" s="739">
        <v>57937.5</v>
      </c>
      <c r="L989" s="864">
        <f t="shared" si="301"/>
        <v>199562.5</v>
      </c>
      <c r="M989" s="866">
        <f t="shared" si="314"/>
        <v>38625</v>
      </c>
      <c r="N989" s="650">
        <f t="shared" si="305"/>
        <v>38625</v>
      </c>
      <c r="O989" s="650">
        <f t="shared" si="315"/>
        <v>38625</v>
      </c>
      <c r="P989" s="650">
        <f t="shared" si="316"/>
        <v>38625</v>
      </c>
      <c r="Q989" s="650">
        <f t="shared" si="317"/>
        <v>38625</v>
      </c>
      <c r="R989" s="650">
        <f t="shared" si="318"/>
        <v>6437.5</v>
      </c>
      <c r="S989" s="650">
        <f t="shared" si="308"/>
        <v>0</v>
      </c>
      <c r="T989" s="650">
        <f t="shared" si="309"/>
        <v>0</v>
      </c>
      <c r="U989" s="650">
        <f t="shared" si="310"/>
        <v>0</v>
      </c>
      <c r="V989" s="650">
        <f t="shared" si="311"/>
        <v>0</v>
      </c>
      <c r="W989" s="650">
        <f t="shared" si="312"/>
        <v>0</v>
      </c>
      <c r="X989" s="746">
        <v>0</v>
      </c>
      <c r="Y989" s="746">
        <f t="shared" si="313"/>
        <v>0</v>
      </c>
    </row>
    <row r="990" spans="2:25">
      <c r="B990" s="598" t="s">
        <v>2595</v>
      </c>
      <c r="C990" s="604" t="s">
        <v>864</v>
      </c>
      <c r="D990" s="745">
        <v>2019</v>
      </c>
      <c r="E990" s="604" t="s">
        <v>3517</v>
      </c>
      <c r="F990" s="738">
        <v>0.15</v>
      </c>
      <c r="G990" s="739">
        <v>16000</v>
      </c>
      <c r="H990" s="741"/>
      <c r="I990" s="742"/>
      <c r="J990" s="740"/>
      <c r="K990" s="739">
        <v>3600</v>
      </c>
      <c r="L990" s="864">
        <f t="shared" si="301"/>
        <v>12400</v>
      </c>
      <c r="M990" s="866">
        <f t="shared" si="314"/>
        <v>2400</v>
      </c>
      <c r="N990" s="650">
        <f t="shared" si="305"/>
        <v>2400</v>
      </c>
      <c r="O990" s="650">
        <f t="shared" si="315"/>
        <v>2400</v>
      </c>
      <c r="P990" s="650">
        <f t="shared" si="316"/>
        <v>2400</v>
      </c>
      <c r="Q990" s="650">
        <f t="shared" si="317"/>
        <v>2400</v>
      </c>
      <c r="R990" s="650">
        <f t="shared" si="318"/>
        <v>400</v>
      </c>
      <c r="S990" s="650">
        <f t="shared" si="308"/>
        <v>0</v>
      </c>
      <c r="T990" s="650">
        <f t="shared" si="309"/>
        <v>0</v>
      </c>
      <c r="U990" s="650">
        <f t="shared" si="310"/>
        <v>0</v>
      </c>
      <c r="V990" s="650">
        <f t="shared" si="311"/>
        <v>0</v>
      </c>
      <c r="W990" s="650">
        <f t="shared" si="312"/>
        <v>0</v>
      </c>
      <c r="X990" s="746">
        <v>0</v>
      </c>
      <c r="Y990" s="746">
        <f t="shared" si="313"/>
        <v>0</v>
      </c>
    </row>
    <row r="991" spans="2:25">
      <c r="B991" s="598" t="s">
        <v>2595</v>
      </c>
      <c r="C991" s="604" t="s">
        <v>864</v>
      </c>
      <c r="D991" s="745">
        <v>2022</v>
      </c>
      <c r="E991" s="604" t="s">
        <v>3654</v>
      </c>
      <c r="F991" s="738">
        <v>0.15</v>
      </c>
      <c r="G991" s="739">
        <v>9500</v>
      </c>
      <c r="H991" s="741"/>
      <c r="I991" s="742"/>
      <c r="J991" s="740"/>
      <c r="K991" s="739">
        <v>2137.5</v>
      </c>
      <c r="L991" s="864">
        <f t="shared" si="301"/>
        <v>7362.5</v>
      </c>
      <c r="M991" s="866">
        <f>+G991*F991</f>
        <v>1425</v>
      </c>
      <c r="N991" s="650">
        <f>+M991</f>
        <v>1425</v>
      </c>
      <c r="O991" s="650">
        <f>+N991</f>
        <v>1425</v>
      </c>
      <c r="P991" s="650">
        <f>+O991+45500</f>
        <v>46925</v>
      </c>
      <c r="Q991" s="650">
        <v>0</v>
      </c>
      <c r="R991" s="650">
        <f t="shared" si="318"/>
        <v>-43837.5</v>
      </c>
      <c r="S991" s="650">
        <v>0</v>
      </c>
      <c r="T991" s="650">
        <v>0</v>
      </c>
      <c r="U991" s="650">
        <v>0</v>
      </c>
      <c r="V991" s="650">
        <v>0</v>
      </c>
      <c r="W991" s="650">
        <v>0</v>
      </c>
      <c r="X991" s="746">
        <v>0</v>
      </c>
      <c r="Y991" s="746">
        <f t="shared" si="313"/>
        <v>0</v>
      </c>
    </row>
    <row r="992" spans="2:25">
      <c r="B992" s="598" t="s">
        <v>2595</v>
      </c>
      <c r="C992" s="604" t="s">
        <v>864</v>
      </c>
      <c r="D992" s="745">
        <v>2019</v>
      </c>
      <c r="E992" s="604" t="s">
        <v>3525</v>
      </c>
      <c r="F992" s="738">
        <v>0.15</v>
      </c>
      <c r="G992" s="739">
        <v>775000</v>
      </c>
      <c r="H992" s="741"/>
      <c r="I992" s="742"/>
      <c r="J992" s="740"/>
      <c r="K992" s="739">
        <v>174375</v>
      </c>
      <c r="L992" s="864">
        <f t="shared" si="301"/>
        <v>600625</v>
      </c>
      <c r="M992" s="866">
        <f t="shared" si="314"/>
        <v>116250</v>
      </c>
      <c r="N992" s="650">
        <f t="shared" si="305"/>
        <v>116250</v>
      </c>
      <c r="O992" s="650">
        <f t="shared" si="315"/>
        <v>116250</v>
      </c>
      <c r="P992" s="650">
        <f t="shared" ref="P992:P1004" si="319">+IF(L992-SUM(M992:O992)&gt;0,G992*F992,0)-X992</f>
        <v>116250</v>
      </c>
      <c r="Q992" s="650">
        <f t="shared" si="317"/>
        <v>116250</v>
      </c>
      <c r="R992" s="650">
        <f t="shared" si="318"/>
        <v>19375</v>
      </c>
      <c r="S992" s="650">
        <f t="shared" si="308"/>
        <v>0</v>
      </c>
      <c r="T992" s="650">
        <f t="shared" si="309"/>
        <v>0</v>
      </c>
      <c r="U992" s="650">
        <f t="shared" si="310"/>
        <v>0</v>
      </c>
      <c r="V992" s="650">
        <f t="shared" si="311"/>
        <v>0</v>
      </c>
      <c r="W992" s="650">
        <f t="shared" si="312"/>
        <v>0</v>
      </c>
      <c r="X992" s="746">
        <v>0</v>
      </c>
      <c r="Y992" s="746">
        <f t="shared" si="313"/>
        <v>0</v>
      </c>
    </row>
    <row r="993" spans="2:25">
      <c r="B993" s="598" t="s">
        <v>2595</v>
      </c>
      <c r="C993" s="604" t="s">
        <v>864</v>
      </c>
      <c r="D993" s="745">
        <v>2019</v>
      </c>
      <c r="E993" s="604" t="s">
        <v>3549</v>
      </c>
      <c r="F993" s="738">
        <v>0.15</v>
      </c>
      <c r="G993" s="739">
        <v>60000</v>
      </c>
      <c r="H993" s="741"/>
      <c r="I993" s="742"/>
      <c r="J993" s="740"/>
      <c r="K993" s="739">
        <v>13500</v>
      </c>
      <c r="L993" s="864">
        <f t="shared" si="301"/>
        <v>46500</v>
      </c>
      <c r="M993" s="866">
        <f t="shared" si="314"/>
        <v>9000</v>
      </c>
      <c r="N993" s="650">
        <f t="shared" si="305"/>
        <v>9000</v>
      </c>
      <c r="O993" s="650">
        <f t="shared" si="315"/>
        <v>9000</v>
      </c>
      <c r="P993" s="650">
        <f t="shared" si="319"/>
        <v>9000</v>
      </c>
      <c r="Q993" s="650">
        <f t="shared" si="317"/>
        <v>9000</v>
      </c>
      <c r="R993" s="650">
        <f t="shared" si="318"/>
        <v>1500</v>
      </c>
      <c r="S993" s="650">
        <f t="shared" si="308"/>
        <v>0</v>
      </c>
      <c r="T993" s="650">
        <f t="shared" si="309"/>
        <v>0</v>
      </c>
      <c r="U993" s="650">
        <f t="shared" si="310"/>
        <v>0</v>
      </c>
      <c r="V993" s="650">
        <f t="shared" si="311"/>
        <v>0</v>
      </c>
      <c r="W993" s="650">
        <f t="shared" si="312"/>
        <v>0</v>
      </c>
      <c r="X993" s="746">
        <v>0</v>
      </c>
      <c r="Y993" s="746">
        <f t="shared" si="313"/>
        <v>0</v>
      </c>
    </row>
    <row r="994" spans="2:25">
      <c r="B994" s="598" t="s">
        <v>2595</v>
      </c>
      <c r="C994" s="604" t="s">
        <v>864</v>
      </c>
      <c r="D994" s="745">
        <v>2019</v>
      </c>
      <c r="E994" s="604" t="s">
        <v>3655</v>
      </c>
      <c r="F994" s="738">
        <v>0.15</v>
      </c>
      <c r="G994" s="739">
        <v>6500</v>
      </c>
      <c r="H994" s="741"/>
      <c r="I994" s="742"/>
      <c r="J994" s="740"/>
      <c r="K994" s="739">
        <v>1462.5</v>
      </c>
      <c r="L994" s="864">
        <f t="shared" si="301"/>
        <v>5037.5</v>
      </c>
      <c r="M994" s="866">
        <f t="shared" si="314"/>
        <v>975</v>
      </c>
      <c r="N994" s="650">
        <f t="shared" si="305"/>
        <v>975</v>
      </c>
      <c r="O994" s="650">
        <f t="shared" si="315"/>
        <v>975</v>
      </c>
      <c r="P994" s="650">
        <f t="shared" si="319"/>
        <v>975</v>
      </c>
      <c r="Q994" s="650">
        <f t="shared" si="317"/>
        <v>975</v>
      </c>
      <c r="R994" s="650">
        <f t="shared" si="318"/>
        <v>162.5</v>
      </c>
      <c r="S994" s="650">
        <f t="shared" si="308"/>
        <v>0</v>
      </c>
      <c r="T994" s="650">
        <f t="shared" si="309"/>
        <v>0</v>
      </c>
      <c r="U994" s="650">
        <f t="shared" si="310"/>
        <v>0</v>
      </c>
      <c r="V994" s="650">
        <f t="shared" si="311"/>
        <v>0</v>
      </c>
      <c r="W994" s="650">
        <f t="shared" si="312"/>
        <v>0</v>
      </c>
      <c r="X994" s="746">
        <v>0</v>
      </c>
      <c r="Y994" s="746">
        <f t="shared" si="313"/>
        <v>0</v>
      </c>
    </row>
    <row r="995" spans="2:25">
      <c r="B995" s="598" t="s">
        <v>2595</v>
      </c>
      <c r="C995" s="604" t="s">
        <v>864</v>
      </c>
      <c r="D995" s="745">
        <v>2019</v>
      </c>
      <c r="E995" s="604" t="s">
        <v>3656</v>
      </c>
      <c r="F995" s="738">
        <v>0.15</v>
      </c>
      <c r="G995" s="739">
        <v>29000.01</v>
      </c>
      <c r="H995" s="741"/>
      <c r="I995" s="742"/>
      <c r="J995" s="740"/>
      <c r="K995" s="739">
        <v>6525</v>
      </c>
      <c r="L995" s="864">
        <f t="shared" si="301"/>
        <v>22475.01</v>
      </c>
      <c r="M995" s="866">
        <f t="shared" si="314"/>
        <v>4350.0014999999994</v>
      </c>
      <c r="N995" s="650">
        <f t="shared" si="305"/>
        <v>4350.0014999999994</v>
      </c>
      <c r="O995" s="650">
        <f t="shared" si="315"/>
        <v>4350.0014999999994</v>
      </c>
      <c r="P995" s="650">
        <f t="shared" si="319"/>
        <v>4350.0014999999994</v>
      </c>
      <c r="Q995" s="650">
        <f t="shared" si="317"/>
        <v>4350.0014999999994</v>
      </c>
      <c r="R995" s="650">
        <f t="shared" si="318"/>
        <v>725.00250000000233</v>
      </c>
      <c r="S995" s="650">
        <f t="shared" si="308"/>
        <v>0</v>
      </c>
      <c r="T995" s="650">
        <f t="shared" si="309"/>
        <v>0</v>
      </c>
      <c r="U995" s="650">
        <f t="shared" si="310"/>
        <v>0</v>
      </c>
      <c r="V995" s="650">
        <f t="shared" si="311"/>
        <v>0</v>
      </c>
      <c r="W995" s="650">
        <f t="shared" si="312"/>
        <v>0</v>
      </c>
      <c r="X995" s="746">
        <v>0</v>
      </c>
      <c r="Y995" s="746">
        <f t="shared" si="313"/>
        <v>0</v>
      </c>
    </row>
    <row r="996" spans="2:25">
      <c r="B996" s="598" t="s">
        <v>2595</v>
      </c>
      <c r="C996" s="604" t="s">
        <v>864</v>
      </c>
      <c r="D996" s="745">
        <v>2019</v>
      </c>
      <c r="E996" s="604" t="s">
        <v>3534</v>
      </c>
      <c r="F996" s="738">
        <v>0.15</v>
      </c>
      <c r="G996" s="739">
        <v>54000</v>
      </c>
      <c r="H996" s="741"/>
      <c r="I996" s="742"/>
      <c r="J996" s="740"/>
      <c r="K996" s="739">
        <v>12150</v>
      </c>
      <c r="L996" s="864">
        <f t="shared" si="301"/>
        <v>41850</v>
      </c>
      <c r="M996" s="866">
        <f t="shared" si="314"/>
        <v>8100</v>
      </c>
      <c r="N996" s="650">
        <f t="shared" si="305"/>
        <v>8100</v>
      </c>
      <c r="O996" s="650">
        <f t="shared" si="315"/>
        <v>8100</v>
      </c>
      <c r="P996" s="650">
        <f t="shared" si="319"/>
        <v>8100</v>
      </c>
      <c r="Q996" s="650">
        <f t="shared" si="317"/>
        <v>8100</v>
      </c>
      <c r="R996" s="650">
        <f t="shared" si="318"/>
        <v>1350</v>
      </c>
      <c r="S996" s="650">
        <f t="shared" si="308"/>
        <v>0</v>
      </c>
      <c r="T996" s="650">
        <f t="shared" si="309"/>
        <v>0</v>
      </c>
      <c r="U996" s="650">
        <f t="shared" si="310"/>
        <v>0</v>
      </c>
      <c r="V996" s="650">
        <f t="shared" si="311"/>
        <v>0</v>
      </c>
      <c r="W996" s="650">
        <f t="shared" si="312"/>
        <v>0</v>
      </c>
      <c r="X996" s="746">
        <v>0</v>
      </c>
      <c r="Y996" s="746">
        <f t="shared" si="313"/>
        <v>0</v>
      </c>
    </row>
    <row r="997" spans="2:25">
      <c r="B997" s="598" t="s">
        <v>2595</v>
      </c>
      <c r="C997" s="604" t="s">
        <v>864</v>
      </c>
      <c r="D997" s="745">
        <v>2019</v>
      </c>
      <c r="E997" s="604" t="s">
        <v>3657</v>
      </c>
      <c r="F997" s="738">
        <v>0.15</v>
      </c>
      <c r="G997" s="739">
        <v>5000</v>
      </c>
      <c r="H997" s="741"/>
      <c r="I997" s="742"/>
      <c r="J997" s="740"/>
      <c r="K997" s="739">
        <v>1125</v>
      </c>
      <c r="L997" s="864">
        <f t="shared" si="301"/>
        <v>3875</v>
      </c>
      <c r="M997" s="866">
        <f t="shared" si="314"/>
        <v>750</v>
      </c>
      <c r="N997" s="650">
        <f t="shared" si="305"/>
        <v>750</v>
      </c>
      <c r="O997" s="650">
        <f t="shared" si="315"/>
        <v>750</v>
      </c>
      <c r="P997" s="650">
        <f t="shared" si="319"/>
        <v>750</v>
      </c>
      <c r="Q997" s="650">
        <f t="shared" si="317"/>
        <v>750</v>
      </c>
      <c r="R997" s="650">
        <f t="shared" si="318"/>
        <v>125</v>
      </c>
      <c r="S997" s="650">
        <f t="shared" si="308"/>
        <v>0</v>
      </c>
      <c r="T997" s="650">
        <f t="shared" si="309"/>
        <v>0</v>
      </c>
      <c r="U997" s="650">
        <f t="shared" si="310"/>
        <v>0</v>
      </c>
      <c r="V997" s="650">
        <f t="shared" si="311"/>
        <v>0</v>
      </c>
      <c r="W997" s="650">
        <f t="shared" si="312"/>
        <v>0</v>
      </c>
      <c r="X997" s="746">
        <v>0</v>
      </c>
      <c r="Y997" s="746">
        <f t="shared" si="313"/>
        <v>0</v>
      </c>
    </row>
    <row r="998" spans="2:25">
      <c r="B998" s="598" t="s">
        <v>2595</v>
      </c>
      <c r="C998" s="604" t="s">
        <v>864</v>
      </c>
      <c r="D998" s="745">
        <v>2019</v>
      </c>
      <c r="E998" s="604" t="s">
        <v>3657</v>
      </c>
      <c r="F998" s="738">
        <v>0.15</v>
      </c>
      <c r="G998" s="739">
        <v>10500</v>
      </c>
      <c r="H998" s="741"/>
      <c r="I998" s="742"/>
      <c r="J998" s="740"/>
      <c r="K998" s="739">
        <v>2362.5</v>
      </c>
      <c r="L998" s="864">
        <f t="shared" si="301"/>
        <v>8137.5</v>
      </c>
      <c r="M998" s="866">
        <f t="shared" si="314"/>
        <v>1575</v>
      </c>
      <c r="N998" s="650">
        <f t="shared" si="305"/>
        <v>1575</v>
      </c>
      <c r="O998" s="650">
        <f t="shared" si="315"/>
        <v>1575</v>
      </c>
      <c r="P998" s="650">
        <f t="shared" si="319"/>
        <v>1575</v>
      </c>
      <c r="Q998" s="650">
        <f t="shared" si="317"/>
        <v>1575</v>
      </c>
      <c r="R998" s="650">
        <f t="shared" si="318"/>
        <v>262.5</v>
      </c>
      <c r="S998" s="650">
        <f t="shared" si="308"/>
        <v>0</v>
      </c>
      <c r="T998" s="650">
        <f t="shared" si="309"/>
        <v>0</v>
      </c>
      <c r="U998" s="650">
        <f t="shared" si="310"/>
        <v>0</v>
      </c>
      <c r="V998" s="650">
        <f t="shared" si="311"/>
        <v>0</v>
      </c>
      <c r="W998" s="650">
        <f t="shared" si="312"/>
        <v>0</v>
      </c>
      <c r="X998" s="746">
        <v>0</v>
      </c>
      <c r="Y998" s="746">
        <f t="shared" si="313"/>
        <v>0</v>
      </c>
    </row>
    <row r="999" spans="2:25">
      <c r="B999" s="598" t="s">
        <v>2595</v>
      </c>
      <c r="C999" s="604" t="s">
        <v>864</v>
      </c>
      <c r="D999" s="745">
        <v>2019</v>
      </c>
      <c r="E999" s="604" t="s">
        <v>3504</v>
      </c>
      <c r="F999" s="738">
        <v>0.15</v>
      </c>
      <c r="G999" s="739">
        <v>28500</v>
      </c>
      <c r="H999" s="741"/>
      <c r="I999" s="742"/>
      <c r="J999" s="740"/>
      <c r="K999" s="739">
        <v>6412.5</v>
      </c>
      <c r="L999" s="864">
        <f t="shared" si="301"/>
        <v>22087.5</v>
      </c>
      <c r="M999" s="866">
        <f t="shared" si="314"/>
        <v>4275</v>
      </c>
      <c r="N999" s="650">
        <f t="shared" si="305"/>
        <v>4275</v>
      </c>
      <c r="O999" s="650">
        <f t="shared" si="315"/>
        <v>4275</v>
      </c>
      <c r="P999" s="650">
        <f t="shared" si="319"/>
        <v>4275</v>
      </c>
      <c r="Q999" s="650">
        <f t="shared" si="317"/>
        <v>4275</v>
      </c>
      <c r="R999" s="650">
        <f t="shared" si="318"/>
        <v>712.5</v>
      </c>
      <c r="S999" s="650">
        <f t="shared" si="308"/>
        <v>0</v>
      </c>
      <c r="T999" s="650">
        <f t="shared" si="309"/>
        <v>0</v>
      </c>
      <c r="U999" s="650">
        <f t="shared" si="310"/>
        <v>0</v>
      </c>
      <c r="V999" s="650">
        <f t="shared" si="311"/>
        <v>0</v>
      </c>
      <c r="W999" s="650">
        <f t="shared" si="312"/>
        <v>0</v>
      </c>
      <c r="X999" s="746">
        <v>0</v>
      </c>
      <c r="Y999" s="746">
        <f t="shared" si="313"/>
        <v>0</v>
      </c>
    </row>
    <row r="1000" spans="2:25">
      <c r="B1000" s="598" t="s">
        <v>2595</v>
      </c>
      <c r="C1000" s="604" t="s">
        <v>864</v>
      </c>
      <c r="D1000" s="745">
        <v>2019</v>
      </c>
      <c r="E1000" s="604" t="s">
        <v>3517</v>
      </c>
      <c r="F1000" s="738">
        <v>0.15</v>
      </c>
      <c r="G1000" s="739">
        <v>18000</v>
      </c>
      <c r="H1000" s="741"/>
      <c r="I1000" s="742"/>
      <c r="J1000" s="740"/>
      <c r="K1000" s="739">
        <v>4050</v>
      </c>
      <c r="L1000" s="864">
        <f t="shared" si="301"/>
        <v>13950</v>
      </c>
      <c r="M1000" s="866">
        <f t="shared" si="314"/>
        <v>2700</v>
      </c>
      <c r="N1000" s="650">
        <f t="shared" si="305"/>
        <v>2700</v>
      </c>
      <c r="O1000" s="650">
        <f t="shared" si="315"/>
        <v>2700</v>
      </c>
      <c r="P1000" s="650">
        <f t="shared" si="319"/>
        <v>2700</v>
      </c>
      <c r="Q1000" s="650">
        <f t="shared" si="317"/>
        <v>2700</v>
      </c>
      <c r="R1000" s="650">
        <f t="shared" si="318"/>
        <v>450</v>
      </c>
      <c r="S1000" s="650">
        <f t="shared" si="308"/>
        <v>0</v>
      </c>
      <c r="T1000" s="650">
        <f t="shared" si="309"/>
        <v>0</v>
      </c>
      <c r="U1000" s="650">
        <f t="shared" si="310"/>
        <v>0</v>
      </c>
      <c r="V1000" s="650">
        <f t="shared" si="311"/>
        <v>0</v>
      </c>
      <c r="W1000" s="650">
        <f t="shared" si="312"/>
        <v>0</v>
      </c>
      <c r="X1000" s="746">
        <v>0</v>
      </c>
      <c r="Y1000" s="746">
        <f t="shared" si="313"/>
        <v>0</v>
      </c>
    </row>
    <row r="1001" spans="2:25">
      <c r="B1001" s="598" t="s">
        <v>2595</v>
      </c>
      <c r="C1001" s="604" t="s">
        <v>864</v>
      </c>
      <c r="D1001" s="745">
        <v>2019</v>
      </c>
      <c r="E1001" s="604" t="s">
        <v>3513</v>
      </c>
      <c r="F1001" s="738">
        <v>0.15</v>
      </c>
      <c r="G1001" s="739">
        <v>45000</v>
      </c>
      <c r="H1001" s="741"/>
      <c r="I1001" s="742"/>
      <c r="J1001" s="740"/>
      <c r="K1001" s="739">
        <v>10125</v>
      </c>
      <c r="L1001" s="864">
        <f t="shared" si="301"/>
        <v>34875</v>
      </c>
      <c r="M1001" s="866">
        <f t="shared" si="314"/>
        <v>6750</v>
      </c>
      <c r="N1001" s="650">
        <f t="shared" si="305"/>
        <v>6750</v>
      </c>
      <c r="O1001" s="650">
        <f t="shared" si="315"/>
        <v>6750</v>
      </c>
      <c r="P1001" s="650">
        <f t="shared" si="319"/>
        <v>6750</v>
      </c>
      <c r="Q1001" s="650">
        <f t="shared" si="317"/>
        <v>6750</v>
      </c>
      <c r="R1001" s="650">
        <f t="shared" si="318"/>
        <v>1125</v>
      </c>
      <c r="S1001" s="650">
        <f t="shared" si="308"/>
        <v>0</v>
      </c>
      <c r="T1001" s="650">
        <f t="shared" si="309"/>
        <v>0</v>
      </c>
      <c r="U1001" s="650">
        <f t="shared" si="310"/>
        <v>0</v>
      </c>
      <c r="V1001" s="650">
        <f t="shared" si="311"/>
        <v>0</v>
      </c>
      <c r="W1001" s="650">
        <f t="shared" si="312"/>
        <v>0</v>
      </c>
      <c r="X1001" s="746">
        <v>0</v>
      </c>
      <c r="Y1001" s="746">
        <f t="shared" si="313"/>
        <v>0</v>
      </c>
    </row>
    <row r="1002" spans="2:25">
      <c r="B1002" s="598" t="s">
        <v>2595</v>
      </c>
      <c r="C1002" s="604" t="s">
        <v>864</v>
      </c>
      <c r="D1002" s="745">
        <v>2019</v>
      </c>
      <c r="E1002" s="604" t="s">
        <v>3658</v>
      </c>
      <c r="F1002" s="738">
        <v>0.15</v>
      </c>
      <c r="G1002" s="739">
        <v>18000</v>
      </c>
      <c r="H1002" s="741"/>
      <c r="I1002" s="742"/>
      <c r="J1002" s="740"/>
      <c r="K1002" s="739">
        <v>1350</v>
      </c>
      <c r="L1002" s="864">
        <f t="shared" si="301"/>
        <v>16650</v>
      </c>
      <c r="M1002" s="866">
        <f t="shared" si="314"/>
        <v>2700</v>
      </c>
      <c r="N1002" s="650">
        <f t="shared" si="305"/>
        <v>2700</v>
      </c>
      <c r="O1002" s="650">
        <f t="shared" si="315"/>
        <v>2700</v>
      </c>
      <c r="P1002" s="650">
        <f t="shared" si="319"/>
        <v>2700</v>
      </c>
      <c r="Q1002" s="650">
        <f t="shared" si="317"/>
        <v>2700</v>
      </c>
      <c r="R1002" s="650">
        <f t="shared" si="307"/>
        <v>2700</v>
      </c>
      <c r="S1002" s="650">
        <f>+L1002-SUM(M1002:R1002)</f>
        <v>450</v>
      </c>
      <c r="T1002" s="650">
        <f t="shared" si="309"/>
        <v>0</v>
      </c>
      <c r="U1002" s="650">
        <f t="shared" si="310"/>
        <v>0</v>
      </c>
      <c r="V1002" s="650">
        <f t="shared" si="311"/>
        <v>0</v>
      </c>
      <c r="W1002" s="650">
        <f t="shared" si="312"/>
        <v>0</v>
      </c>
      <c r="X1002" s="746">
        <v>0</v>
      </c>
      <c r="Y1002" s="746">
        <f t="shared" si="313"/>
        <v>0</v>
      </c>
    </row>
    <row r="1003" spans="2:25">
      <c r="B1003" s="598" t="s">
        <v>2595</v>
      </c>
      <c r="C1003" s="604" t="s">
        <v>864</v>
      </c>
      <c r="D1003" s="745">
        <v>2019</v>
      </c>
      <c r="E1003" s="604" t="s">
        <v>3659</v>
      </c>
      <c r="F1003" s="738">
        <v>0.15</v>
      </c>
      <c r="G1003" s="739">
        <v>24000</v>
      </c>
      <c r="H1003" s="741"/>
      <c r="I1003" s="742"/>
      <c r="J1003" s="740"/>
      <c r="K1003" s="739">
        <v>1800</v>
      </c>
      <c r="L1003" s="864">
        <f t="shared" si="301"/>
        <v>22200</v>
      </c>
      <c r="M1003" s="866">
        <f t="shared" si="314"/>
        <v>3600</v>
      </c>
      <c r="N1003" s="650">
        <f t="shared" si="305"/>
        <v>3600</v>
      </c>
      <c r="O1003" s="650">
        <f t="shared" si="315"/>
        <v>3600</v>
      </c>
      <c r="P1003" s="650">
        <f t="shared" si="319"/>
        <v>3600</v>
      </c>
      <c r="Q1003" s="650">
        <f t="shared" si="317"/>
        <v>3600</v>
      </c>
      <c r="R1003" s="650">
        <f t="shared" si="307"/>
        <v>3600</v>
      </c>
      <c r="S1003" s="650">
        <f>+L1003-SUM(M1003:R1003)</f>
        <v>600</v>
      </c>
      <c r="T1003" s="650">
        <f t="shared" si="309"/>
        <v>0</v>
      </c>
      <c r="U1003" s="650">
        <f t="shared" si="310"/>
        <v>0</v>
      </c>
      <c r="V1003" s="650">
        <f t="shared" si="311"/>
        <v>0</v>
      </c>
      <c r="W1003" s="650">
        <f t="shared" si="312"/>
        <v>0</v>
      </c>
      <c r="X1003" s="746">
        <v>0</v>
      </c>
      <c r="Y1003" s="746">
        <f t="shared" si="313"/>
        <v>0</v>
      </c>
    </row>
    <row r="1004" spans="2:25">
      <c r="B1004" s="598" t="s">
        <v>2595</v>
      </c>
      <c r="C1004" s="604" t="s">
        <v>864</v>
      </c>
      <c r="D1004" s="745">
        <v>2019</v>
      </c>
      <c r="E1004" s="604" t="s">
        <v>3660</v>
      </c>
      <c r="F1004" s="738">
        <v>0.15</v>
      </c>
      <c r="G1004" s="739">
        <v>35000</v>
      </c>
      <c r="H1004" s="741"/>
      <c r="I1004" s="742"/>
      <c r="J1004" s="740"/>
      <c r="K1004" s="739">
        <v>7875</v>
      </c>
      <c r="L1004" s="864">
        <f t="shared" si="301"/>
        <v>27125</v>
      </c>
      <c r="M1004" s="866">
        <f t="shared" si="314"/>
        <v>5250</v>
      </c>
      <c r="N1004" s="650">
        <f t="shared" si="305"/>
        <v>5250</v>
      </c>
      <c r="O1004" s="650">
        <f t="shared" si="315"/>
        <v>5250</v>
      </c>
      <c r="P1004" s="650">
        <f t="shared" si="319"/>
        <v>5250</v>
      </c>
      <c r="Q1004" s="650">
        <f t="shared" si="317"/>
        <v>5250</v>
      </c>
      <c r="R1004" s="650">
        <f t="shared" ref="R1004:R1009" si="320">+L1004-SUM(M1004:Q1004)</f>
        <v>875</v>
      </c>
      <c r="S1004" s="650">
        <f t="shared" si="308"/>
        <v>0</v>
      </c>
      <c r="T1004" s="650">
        <f t="shared" si="309"/>
        <v>0</v>
      </c>
      <c r="U1004" s="650">
        <f t="shared" si="310"/>
        <v>0</v>
      </c>
      <c r="V1004" s="650">
        <f t="shared" si="311"/>
        <v>0</v>
      </c>
      <c r="W1004" s="650">
        <f t="shared" si="312"/>
        <v>0</v>
      </c>
      <c r="X1004" s="746">
        <v>0</v>
      </c>
      <c r="Y1004" s="746">
        <f t="shared" si="313"/>
        <v>0</v>
      </c>
    </row>
    <row r="1005" spans="2:25">
      <c r="B1005" s="598" t="s">
        <v>2595</v>
      </c>
      <c r="C1005" s="604" t="s">
        <v>864</v>
      </c>
      <c r="D1005" s="745">
        <v>2020</v>
      </c>
      <c r="E1005" s="604" t="s">
        <v>3660</v>
      </c>
      <c r="F1005" s="738">
        <v>0.15</v>
      </c>
      <c r="G1005" s="739">
        <v>35000</v>
      </c>
      <c r="H1005" s="741"/>
      <c r="I1005" s="742"/>
      <c r="J1005" s="740"/>
      <c r="K1005" s="739">
        <v>7875</v>
      </c>
      <c r="L1005" s="864">
        <f t="shared" si="301"/>
        <v>27125</v>
      </c>
      <c r="M1005" s="866">
        <f t="shared" si="314"/>
        <v>5250</v>
      </c>
      <c r="N1005" s="650">
        <f t="shared" si="305"/>
        <v>5250</v>
      </c>
      <c r="O1005" s="650">
        <f t="shared" si="315"/>
        <v>5250</v>
      </c>
      <c r="P1005" s="650">
        <f t="shared" si="306"/>
        <v>5250</v>
      </c>
      <c r="Q1005" s="650">
        <f>+IF(L1005-SUM(M1005:P1005)&gt;0,G1005*F1005,0)-X1005</f>
        <v>5250</v>
      </c>
      <c r="R1005" s="650">
        <f t="shared" si="320"/>
        <v>875</v>
      </c>
      <c r="S1005" s="650">
        <f t="shared" si="308"/>
        <v>0</v>
      </c>
      <c r="T1005" s="650">
        <f t="shared" si="309"/>
        <v>0</v>
      </c>
      <c r="U1005" s="650">
        <f t="shared" si="310"/>
        <v>0</v>
      </c>
      <c r="V1005" s="650">
        <f t="shared" si="311"/>
        <v>0</v>
      </c>
      <c r="W1005" s="650">
        <f t="shared" si="312"/>
        <v>0</v>
      </c>
      <c r="X1005" s="746">
        <v>0</v>
      </c>
      <c r="Y1005" s="746">
        <f t="shared" si="313"/>
        <v>0</v>
      </c>
    </row>
    <row r="1006" spans="2:25">
      <c r="B1006" s="598" t="s">
        <v>2595</v>
      </c>
      <c r="C1006" s="604" t="s">
        <v>864</v>
      </c>
      <c r="D1006" s="745">
        <v>2020</v>
      </c>
      <c r="E1006" s="604" t="s">
        <v>3661</v>
      </c>
      <c r="F1006" s="738">
        <v>0.15</v>
      </c>
      <c r="G1006" s="739">
        <v>2500</v>
      </c>
      <c r="H1006" s="741"/>
      <c r="I1006" s="742"/>
      <c r="J1006" s="740"/>
      <c r="K1006" s="739">
        <v>562.5</v>
      </c>
      <c r="L1006" s="864">
        <f t="shared" si="301"/>
        <v>1937.5</v>
      </c>
      <c r="M1006" s="866">
        <f t="shared" si="314"/>
        <v>375</v>
      </c>
      <c r="N1006" s="650">
        <f t="shared" si="305"/>
        <v>375</v>
      </c>
      <c r="O1006" s="650">
        <f t="shared" si="315"/>
        <v>375</v>
      </c>
      <c r="P1006" s="650">
        <f t="shared" si="306"/>
        <v>375</v>
      </c>
      <c r="Q1006" s="650">
        <f>+IF(L1006-SUM(M1006:P1006)&gt;0,G1006*F1006,0)-X1006</f>
        <v>375</v>
      </c>
      <c r="R1006" s="650">
        <f t="shared" si="320"/>
        <v>62.5</v>
      </c>
      <c r="S1006" s="650">
        <f t="shared" si="308"/>
        <v>0</v>
      </c>
      <c r="T1006" s="650">
        <f t="shared" si="309"/>
        <v>0</v>
      </c>
      <c r="U1006" s="650">
        <f t="shared" si="310"/>
        <v>0</v>
      </c>
      <c r="V1006" s="650">
        <f t="shared" si="311"/>
        <v>0</v>
      </c>
      <c r="W1006" s="650">
        <f t="shared" si="312"/>
        <v>0</v>
      </c>
      <c r="X1006" s="746">
        <v>0</v>
      </c>
      <c r="Y1006" s="746">
        <f t="shared" si="313"/>
        <v>0</v>
      </c>
    </row>
    <row r="1007" spans="2:25">
      <c r="B1007" s="598" t="s">
        <v>2595</v>
      </c>
      <c r="C1007" s="604" t="s">
        <v>864</v>
      </c>
      <c r="D1007" s="745">
        <v>2020</v>
      </c>
      <c r="E1007" s="604" t="s">
        <v>3661</v>
      </c>
      <c r="F1007" s="738">
        <v>0.15</v>
      </c>
      <c r="G1007" s="739">
        <v>2500</v>
      </c>
      <c r="H1007" s="741"/>
      <c r="I1007" s="742"/>
      <c r="J1007" s="740"/>
      <c r="K1007" s="739">
        <v>562.5</v>
      </c>
      <c r="L1007" s="864">
        <f t="shared" si="301"/>
        <v>1937.5</v>
      </c>
      <c r="M1007" s="866">
        <f t="shared" si="314"/>
        <v>375</v>
      </c>
      <c r="N1007" s="650">
        <f t="shared" si="305"/>
        <v>375</v>
      </c>
      <c r="O1007" s="650">
        <f t="shared" si="315"/>
        <v>375</v>
      </c>
      <c r="P1007" s="650">
        <f t="shared" si="306"/>
        <v>375</v>
      </c>
      <c r="Q1007" s="650">
        <f t="shared" si="317"/>
        <v>375</v>
      </c>
      <c r="R1007" s="650">
        <f t="shared" si="320"/>
        <v>62.5</v>
      </c>
      <c r="S1007" s="650">
        <f t="shared" si="308"/>
        <v>0</v>
      </c>
      <c r="T1007" s="650">
        <f t="shared" si="309"/>
        <v>0</v>
      </c>
      <c r="U1007" s="650">
        <f t="shared" si="310"/>
        <v>0</v>
      </c>
      <c r="V1007" s="650">
        <f t="shared" si="311"/>
        <v>0</v>
      </c>
      <c r="W1007" s="650">
        <f t="shared" si="312"/>
        <v>0</v>
      </c>
      <c r="X1007" s="746">
        <v>0</v>
      </c>
      <c r="Y1007" s="746">
        <f t="shared" si="313"/>
        <v>0</v>
      </c>
    </row>
    <row r="1008" spans="2:25">
      <c r="B1008" s="598" t="s">
        <v>2595</v>
      </c>
      <c r="C1008" s="604" t="s">
        <v>864</v>
      </c>
      <c r="D1008" s="745">
        <v>2020</v>
      </c>
      <c r="E1008" s="604" t="s">
        <v>3513</v>
      </c>
      <c r="F1008" s="738">
        <v>0.15</v>
      </c>
      <c r="G1008" s="739">
        <v>0</v>
      </c>
      <c r="H1008" s="741"/>
      <c r="I1008" s="742"/>
      <c r="J1008" s="740"/>
      <c r="K1008" s="739">
        <v>0</v>
      </c>
      <c r="L1008" s="864">
        <f t="shared" si="301"/>
        <v>0</v>
      </c>
      <c r="M1008" s="866">
        <f t="shared" si="314"/>
        <v>0</v>
      </c>
      <c r="N1008" s="650">
        <f t="shared" si="305"/>
        <v>0</v>
      </c>
      <c r="O1008" s="650">
        <f t="shared" si="315"/>
        <v>0</v>
      </c>
      <c r="P1008" s="650">
        <f t="shared" si="306"/>
        <v>0</v>
      </c>
      <c r="Q1008" s="650">
        <f t="shared" si="317"/>
        <v>0</v>
      </c>
      <c r="R1008" s="650">
        <f t="shared" si="320"/>
        <v>0</v>
      </c>
      <c r="S1008" s="650">
        <f t="shared" si="308"/>
        <v>0</v>
      </c>
      <c r="T1008" s="650">
        <f t="shared" si="309"/>
        <v>0</v>
      </c>
      <c r="U1008" s="650">
        <f t="shared" si="310"/>
        <v>0</v>
      </c>
      <c r="V1008" s="650">
        <f t="shared" si="311"/>
        <v>0</v>
      </c>
      <c r="W1008" s="650">
        <f t="shared" si="312"/>
        <v>0</v>
      </c>
      <c r="X1008" s="746">
        <v>0</v>
      </c>
      <c r="Y1008" s="746">
        <f t="shared" si="313"/>
        <v>0</v>
      </c>
    </row>
    <row r="1009" spans="2:25">
      <c r="B1009" s="598" t="s">
        <v>2595</v>
      </c>
      <c r="C1009" s="604" t="s">
        <v>864</v>
      </c>
      <c r="D1009" s="745">
        <v>2020</v>
      </c>
      <c r="E1009" s="604" t="s">
        <v>3662</v>
      </c>
      <c r="F1009" s="738">
        <v>0.15</v>
      </c>
      <c r="G1009" s="739">
        <v>25000</v>
      </c>
      <c r="H1009" s="741"/>
      <c r="I1009" s="742"/>
      <c r="J1009" s="740"/>
      <c r="K1009" s="739">
        <v>5625</v>
      </c>
      <c r="L1009" s="864">
        <f t="shared" si="301"/>
        <v>19375</v>
      </c>
      <c r="M1009" s="866">
        <f t="shared" si="314"/>
        <v>3750</v>
      </c>
      <c r="N1009" s="650">
        <f t="shared" si="305"/>
        <v>3750</v>
      </c>
      <c r="O1009" s="650">
        <f t="shared" si="315"/>
        <v>3750</v>
      </c>
      <c r="P1009" s="650">
        <f t="shared" si="306"/>
        <v>3750</v>
      </c>
      <c r="Q1009" s="650">
        <f t="shared" ref="Q1009:Q1024" si="321">+IF(L1009-SUM(M1009:P1009)&gt;0,G1009*F1009,0)-X1009</f>
        <v>3750</v>
      </c>
      <c r="R1009" s="650">
        <f t="shared" si="320"/>
        <v>625</v>
      </c>
      <c r="S1009" s="650">
        <f t="shared" si="308"/>
        <v>0</v>
      </c>
      <c r="T1009" s="650">
        <f t="shared" si="309"/>
        <v>0</v>
      </c>
      <c r="U1009" s="650">
        <f t="shared" si="310"/>
        <v>0</v>
      </c>
      <c r="V1009" s="650">
        <f t="shared" si="311"/>
        <v>0</v>
      </c>
      <c r="W1009" s="650">
        <f t="shared" si="312"/>
        <v>0</v>
      </c>
      <c r="X1009" s="746">
        <v>0</v>
      </c>
      <c r="Y1009" s="746">
        <f t="shared" si="313"/>
        <v>0</v>
      </c>
    </row>
    <row r="1010" spans="2:25">
      <c r="B1010" s="598" t="s">
        <v>2595</v>
      </c>
      <c r="C1010" s="604" t="s">
        <v>864</v>
      </c>
      <c r="D1010" s="745">
        <v>2021</v>
      </c>
      <c r="E1010" s="604" t="s">
        <v>3608</v>
      </c>
      <c r="F1010" s="738">
        <v>0.15</v>
      </c>
      <c r="G1010" s="739">
        <v>100000</v>
      </c>
      <c r="H1010" s="741"/>
      <c r="I1010" s="742"/>
      <c r="J1010" s="740"/>
      <c r="K1010" s="739">
        <v>7500</v>
      </c>
      <c r="L1010" s="864">
        <f t="shared" si="301"/>
        <v>92500</v>
      </c>
      <c r="M1010" s="866">
        <f t="shared" si="314"/>
        <v>15000</v>
      </c>
      <c r="N1010" s="650">
        <f t="shared" si="305"/>
        <v>15000</v>
      </c>
      <c r="O1010" s="650">
        <f t="shared" si="315"/>
        <v>15000</v>
      </c>
      <c r="P1010" s="650">
        <f t="shared" si="306"/>
        <v>15000</v>
      </c>
      <c r="Q1010" s="650">
        <f t="shared" si="321"/>
        <v>15000</v>
      </c>
      <c r="R1010" s="650">
        <f t="shared" si="307"/>
        <v>15000</v>
      </c>
      <c r="S1010" s="650">
        <f t="shared" ref="S1010:S1025" si="322">+L1010-SUM(M1010:R1010)</f>
        <v>2500</v>
      </c>
      <c r="T1010" s="650">
        <f t="shared" si="309"/>
        <v>0</v>
      </c>
      <c r="U1010" s="650">
        <f t="shared" si="310"/>
        <v>0</v>
      </c>
      <c r="V1010" s="650">
        <f t="shared" si="311"/>
        <v>0</v>
      </c>
      <c r="W1010" s="650">
        <f t="shared" si="312"/>
        <v>0</v>
      </c>
      <c r="X1010" s="746">
        <v>0</v>
      </c>
      <c r="Y1010" s="746">
        <f t="shared" si="313"/>
        <v>0</v>
      </c>
    </row>
    <row r="1011" spans="2:25">
      <c r="B1011" s="598" t="s">
        <v>2595</v>
      </c>
      <c r="C1011" s="604" t="s">
        <v>864</v>
      </c>
      <c r="D1011" s="745">
        <v>2020</v>
      </c>
      <c r="E1011" s="604" t="s">
        <v>3657</v>
      </c>
      <c r="F1011" s="738">
        <v>0.15</v>
      </c>
      <c r="G1011" s="739">
        <v>11500</v>
      </c>
      <c r="H1011" s="741"/>
      <c r="I1011" s="742"/>
      <c r="J1011" s="740"/>
      <c r="K1011" s="739">
        <v>862.5</v>
      </c>
      <c r="L1011" s="864">
        <f t="shared" si="301"/>
        <v>10637.5</v>
      </c>
      <c r="M1011" s="866">
        <f t="shared" si="314"/>
        <v>1725</v>
      </c>
      <c r="N1011" s="650">
        <f t="shared" si="305"/>
        <v>1725</v>
      </c>
      <c r="O1011" s="650">
        <f t="shared" si="315"/>
        <v>1725</v>
      </c>
      <c r="P1011" s="650">
        <f t="shared" si="306"/>
        <v>1725</v>
      </c>
      <c r="Q1011" s="650">
        <f t="shared" si="321"/>
        <v>1725</v>
      </c>
      <c r="R1011" s="650">
        <f t="shared" si="307"/>
        <v>1725</v>
      </c>
      <c r="S1011" s="650">
        <f t="shared" si="322"/>
        <v>287.5</v>
      </c>
      <c r="T1011" s="650">
        <f t="shared" si="309"/>
        <v>0</v>
      </c>
      <c r="U1011" s="650">
        <f t="shared" si="310"/>
        <v>0</v>
      </c>
      <c r="V1011" s="650">
        <f t="shared" si="311"/>
        <v>0</v>
      </c>
      <c r="W1011" s="650">
        <f t="shared" si="312"/>
        <v>0</v>
      </c>
      <c r="X1011" s="746">
        <v>0</v>
      </c>
      <c r="Y1011" s="746">
        <f t="shared" si="313"/>
        <v>0</v>
      </c>
    </row>
    <row r="1012" spans="2:25">
      <c r="B1012" s="598" t="s">
        <v>2595</v>
      </c>
      <c r="C1012" s="604" t="s">
        <v>864</v>
      </c>
      <c r="D1012" s="745">
        <v>2021</v>
      </c>
      <c r="E1012" s="604" t="s">
        <v>3663</v>
      </c>
      <c r="F1012" s="738">
        <v>0.15</v>
      </c>
      <c r="G1012" s="739">
        <v>15000</v>
      </c>
      <c r="H1012" s="741"/>
      <c r="I1012" s="742"/>
      <c r="J1012" s="740"/>
      <c r="K1012" s="739">
        <v>1125</v>
      </c>
      <c r="L1012" s="864">
        <f t="shared" ref="L1012:L1032" si="323">+G1012-K1012</f>
        <v>13875</v>
      </c>
      <c r="M1012" s="866">
        <f t="shared" si="314"/>
        <v>2250</v>
      </c>
      <c r="N1012" s="650">
        <f t="shared" si="305"/>
        <v>2250</v>
      </c>
      <c r="O1012" s="650">
        <f t="shared" si="315"/>
        <v>2250</v>
      </c>
      <c r="P1012" s="650">
        <f t="shared" si="306"/>
        <v>2250</v>
      </c>
      <c r="Q1012" s="650">
        <f t="shared" si="321"/>
        <v>2250</v>
      </c>
      <c r="R1012" s="650">
        <f t="shared" si="307"/>
        <v>2250</v>
      </c>
      <c r="S1012" s="650">
        <f t="shared" si="322"/>
        <v>375</v>
      </c>
      <c r="T1012" s="650">
        <f t="shared" si="309"/>
        <v>0</v>
      </c>
      <c r="U1012" s="650">
        <f t="shared" si="310"/>
        <v>0</v>
      </c>
      <c r="V1012" s="650">
        <f t="shared" si="311"/>
        <v>0</v>
      </c>
      <c r="W1012" s="650">
        <f t="shared" si="312"/>
        <v>0</v>
      </c>
      <c r="X1012" s="746">
        <v>0</v>
      </c>
      <c r="Y1012" s="746">
        <f t="shared" si="313"/>
        <v>0</v>
      </c>
    </row>
    <row r="1013" spans="2:25">
      <c r="B1013" s="598" t="s">
        <v>2595</v>
      </c>
      <c r="C1013" s="604" t="s">
        <v>864</v>
      </c>
      <c r="D1013" s="745">
        <v>2020</v>
      </c>
      <c r="E1013" s="604" t="s">
        <v>3563</v>
      </c>
      <c r="F1013" s="738">
        <v>0.15</v>
      </c>
      <c r="G1013" s="739">
        <v>31000</v>
      </c>
      <c r="H1013" s="741"/>
      <c r="I1013" s="742"/>
      <c r="J1013" s="740"/>
      <c r="K1013" s="739">
        <v>2325</v>
      </c>
      <c r="L1013" s="864">
        <f t="shared" si="323"/>
        <v>28675</v>
      </c>
      <c r="M1013" s="866">
        <f t="shared" si="314"/>
        <v>4650</v>
      </c>
      <c r="N1013" s="650">
        <f t="shared" si="305"/>
        <v>4650</v>
      </c>
      <c r="O1013" s="650">
        <f t="shared" si="315"/>
        <v>4650</v>
      </c>
      <c r="P1013" s="650">
        <f t="shared" si="306"/>
        <v>4650</v>
      </c>
      <c r="Q1013" s="650">
        <f t="shared" si="321"/>
        <v>4650</v>
      </c>
      <c r="R1013" s="650">
        <f t="shared" si="307"/>
        <v>4650</v>
      </c>
      <c r="S1013" s="650">
        <f t="shared" si="322"/>
        <v>775</v>
      </c>
      <c r="T1013" s="650">
        <f t="shared" si="309"/>
        <v>0</v>
      </c>
      <c r="U1013" s="650">
        <f t="shared" si="310"/>
        <v>0</v>
      </c>
      <c r="V1013" s="650">
        <f t="shared" si="311"/>
        <v>0</v>
      </c>
      <c r="W1013" s="650">
        <f t="shared" si="312"/>
        <v>0</v>
      </c>
      <c r="X1013" s="746">
        <v>0</v>
      </c>
      <c r="Y1013" s="746">
        <f t="shared" si="313"/>
        <v>0</v>
      </c>
    </row>
    <row r="1014" spans="2:25">
      <c r="B1014" s="598" t="s">
        <v>2595</v>
      </c>
      <c r="C1014" s="604" t="s">
        <v>864</v>
      </c>
      <c r="D1014" s="745">
        <v>2020</v>
      </c>
      <c r="E1014" s="604" t="s">
        <v>3575</v>
      </c>
      <c r="F1014" s="738">
        <v>0.15</v>
      </c>
      <c r="G1014" s="739">
        <v>285000</v>
      </c>
      <c r="H1014" s="741"/>
      <c r="I1014" s="742"/>
      <c r="J1014" s="740"/>
      <c r="K1014" s="739">
        <v>21375</v>
      </c>
      <c r="L1014" s="864">
        <f t="shared" si="323"/>
        <v>263625</v>
      </c>
      <c r="M1014" s="866">
        <f t="shared" si="314"/>
        <v>42750</v>
      </c>
      <c r="N1014" s="650">
        <f t="shared" si="305"/>
        <v>42750</v>
      </c>
      <c r="O1014" s="650">
        <f t="shared" si="315"/>
        <v>42750</v>
      </c>
      <c r="P1014" s="650">
        <f t="shared" si="306"/>
        <v>42750</v>
      </c>
      <c r="Q1014" s="650">
        <f t="shared" si="321"/>
        <v>42750</v>
      </c>
      <c r="R1014" s="650">
        <f t="shared" si="307"/>
        <v>42750</v>
      </c>
      <c r="S1014" s="650">
        <f t="shared" si="322"/>
        <v>7125</v>
      </c>
      <c r="T1014" s="650">
        <f t="shared" si="309"/>
        <v>0</v>
      </c>
      <c r="U1014" s="650">
        <f t="shared" si="310"/>
        <v>0</v>
      </c>
      <c r="V1014" s="650">
        <f t="shared" si="311"/>
        <v>0</v>
      </c>
      <c r="W1014" s="650">
        <f t="shared" si="312"/>
        <v>0</v>
      </c>
      <c r="X1014" s="746">
        <v>0</v>
      </c>
      <c r="Y1014" s="746">
        <f t="shared" si="313"/>
        <v>0</v>
      </c>
    </row>
    <row r="1015" spans="2:25">
      <c r="B1015" s="598" t="s">
        <v>2595</v>
      </c>
      <c r="C1015" s="604" t="s">
        <v>864</v>
      </c>
      <c r="D1015" s="745">
        <v>2020</v>
      </c>
      <c r="E1015" s="604" t="s">
        <v>3495</v>
      </c>
      <c r="F1015" s="738">
        <v>0.15</v>
      </c>
      <c r="G1015" s="739">
        <v>140000</v>
      </c>
      <c r="H1015" s="741"/>
      <c r="I1015" s="742"/>
      <c r="J1015" s="740"/>
      <c r="K1015" s="739">
        <v>10500</v>
      </c>
      <c r="L1015" s="864">
        <f t="shared" si="323"/>
        <v>129500</v>
      </c>
      <c r="M1015" s="866">
        <f t="shared" si="314"/>
        <v>21000</v>
      </c>
      <c r="N1015" s="650">
        <f t="shared" si="305"/>
        <v>21000</v>
      </c>
      <c r="O1015" s="650">
        <f t="shared" si="315"/>
        <v>21000</v>
      </c>
      <c r="P1015" s="650">
        <f t="shared" si="306"/>
        <v>21000</v>
      </c>
      <c r="Q1015" s="650">
        <f t="shared" si="321"/>
        <v>21000</v>
      </c>
      <c r="R1015" s="650">
        <f t="shared" si="307"/>
        <v>21000</v>
      </c>
      <c r="S1015" s="650">
        <f t="shared" si="322"/>
        <v>3500</v>
      </c>
      <c r="T1015" s="650">
        <f t="shared" si="309"/>
        <v>0</v>
      </c>
      <c r="U1015" s="650">
        <f t="shared" si="310"/>
        <v>0</v>
      </c>
      <c r="V1015" s="650">
        <f t="shared" si="311"/>
        <v>0</v>
      </c>
      <c r="W1015" s="650">
        <f t="shared" si="312"/>
        <v>0</v>
      </c>
      <c r="X1015" s="746">
        <v>0</v>
      </c>
      <c r="Y1015" s="746">
        <f t="shared" si="313"/>
        <v>0</v>
      </c>
    </row>
    <row r="1016" spans="2:25">
      <c r="B1016" s="598" t="s">
        <v>2595</v>
      </c>
      <c r="C1016" s="604" t="s">
        <v>864</v>
      </c>
      <c r="D1016" s="745">
        <v>2020</v>
      </c>
      <c r="E1016" s="604" t="s">
        <v>3513</v>
      </c>
      <c r="F1016" s="738">
        <v>0.15</v>
      </c>
      <c r="G1016" s="739">
        <v>520000</v>
      </c>
      <c r="H1016" s="741"/>
      <c r="I1016" s="742"/>
      <c r="J1016" s="740"/>
      <c r="K1016" s="739">
        <v>39000</v>
      </c>
      <c r="L1016" s="864">
        <f t="shared" si="323"/>
        <v>481000</v>
      </c>
      <c r="M1016" s="866">
        <f t="shared" si="314"/>
        <v>78000</v>
      </c>
      <c r="N1016" s="650">
        <f t="shared" si="305"/>
        <v>78000</v>
      </c>
      <c r="O1016" s="650">
        <f t="shared" si="315"/>
        <v>78000</v>
      </c>
      <c r="P1016" s="650">
        <f t="shared" si="306"/>
        <v>78000</v>
      </c>
      <c r="Q1016" s="650">
        <f t="shared" si="321"/>
        <v>78000</v>
      </c>
      <c r="R1016" s="650">
        <f t="shared" si="307"/>
        <v>78000</v>
      </c>
      <c r="S1016" s="650">
        <f t="shared" si="322"/>
        <v>13000</v>
      </c>
      <c r="T1016" s="650">
        <f t="shared" si="309"/>
        <v>0</v>
      </c>
      <c r="U1016" s="650">
        <f t="shared" si="310"/>
        <v>0</v>
      </c>
      <c r="V1016" s="650">
        <f t="shared" si="311"/>
        <v>0</v>
      </c>
      <c r="W1016" s="650">
        <f t="shared" si="312"/>
        <v>0</v>
      </c>
      <c r="X1016" s="746">
        <v>0</v>
      </c>
      <c r="Y1016" s="746">
        <f t="shared" si="313"/>
        <v>0</v>
      </c>
    </row>
    <row r="1017" spans="2:25">
      <c r="B1017" s="598" t="s">
        <v>2595</v>
      </c>
      <c r="C1017" s="604" t="s">
        <v>864</v>
      </c>
      <c r="D1017" s="745">
        <v>2020</v>
      </c>
      <c r="E1017" s="604" t="s">
        <v>3664</v>
      </c>
      <c r="F1017" s="738">
        <v>0.15</v>
      </c>
      <c r="G1017" s="739">
        <v>130000</v>
      </c>
      <c r="H1017" s="741"/>
      <c r="I1017" s="742"/>
      <c r="J1017" s="740"/>
      <c r="K1017" s="739">
        <v>9750</v>
      </c>
      <c r="L1017" s="864">
        <f t="shared" si="323"/>
        <v>120250</v>
      </c>
      <c r="M1017" s="866">
        <f t="shared" si="314"/>
        <v>19500</v>
      </c>
      <c r="N1017" s="650">
        <f t="shared" si="305"/>
        <v>19500</v>
      </c>
      <c r="O1017" s="650">
        <f t="shared" si="315"/>
        <v>19500</v>
      </c>
      <c r="P1017" s="650">
        <f t="shared" si="306"/>
        <v>19500</v>
      </c>
      <c r="Q1017" s="650">
        <f t="shared" si="321"/>
        <v>19500</v>
      </c>
      <c r="R1017" s="650">
        <f t="shared" si="307"/>
        <v>19500</v>
      </c>
      <c r="S1017" s="650">
        <f t="shared" si="322"/>
        <v>3250</v>
      </c>
      <c r="T1017" s="650">
        <f t="shared" si="309"/>
        <v>0</v>
      </c>
      <c r="U1017" s="650">
        <f t="shared" si="310"/>
        <v>0</v>
      </c>
      <c r="V1017" s="650">
        <f t="shared" si="311"/>
        <v>0</v>
      </c>
      <c r="W1017" s="650">
        <f t="shared" si="312"/>
        <v>0</v>
      </c>
      <c r="X1017" s="746">
        <v>0</v>
      </c>
      <c r="Y1017" s="746">
        <f t="shared" si="313"/>
        <v>0</v>
      </c>
    </row>
    <row r="1018" spans="2:25">
      <c r="B1018" s="598" t="s">
        <v>2595</v>
      </c>
      <c r="C1018" s="604" t="s">
        <v>864</v>
      </c>
      <c r="D1018" s="745">
        <v>2020</v>
      </c>
      <c r="E1018" s="604" t="s">
        <v>3629</v>
      </c>
      <c r="F1018" s="738">
        <v>0.15</v>
      </c>
      <c r="G1018" s="739">
        <v>10880</v>
      </c>
      <c r="H1018" s="741"/>
      <c r="I1018" s="742"/>
      <c r="J1018" s="740"/>
      <c r="K1018" s="739">
        <v>816</v>
      </c>
      <c r="L1018" s="864">
        <f t="shared" si="323"/>
        <v>10064</v>
      </c>
      <c r="M1018" s="866">
        <f t="shared" si="314"/>
        <v>1632</v>
      </c>
      <c r="N1018" s="650">
        <f t="shared" si="305"/>
        <v>1632</v>
      </c>
      <c r="O1018" s="650">
        <f t="shared" si="315"/>
        <v>1632</v>
      </c>
      <c r="P1018" s="650">
        <f t="shared" si="306"/>
        <v>1632</v>
      </c>
      <c r="Q1018" s="650">
        <f t="shared" si="321"/>
        <v>1632</v>
      </c>
      <c r="R1018" s="650">
        <f t="shared" si="307"/>
        <v>1632</v>
      </c>
      <c r="S1018" s="650">
        <f t="shared" si="322"/>
        <v>272</v>
      </c>
      <c r="T1018" s="650">
        <f t="shared" si="309"/>
        <v>0</v>
      </c>
      <c r="U1018" s="650">
        <f t="shared" si="310"/>
        <v>0</v>
      </c>
      <c r="V1018" s="650">
        <f t="shared" si="311"/>
        <v>0</v>
      </c>
      <c r="W1018" s="650">
        <f t="shared" si="312"/>
        <v>0</v>
      </c>
      <c r="X1018" s="746">
        <v>0</v>
      </c>
      <c r="Y1018" s="746">
        <f t="shared" si="313"/>
        <v>0</v>
      </c>
    </row>
    <row r="1019" spans="2:25">
      <c r="B1019" s="598" t="s">
        <v>2595</v>
      </c>
      <c r="C1019" s="604" t="s">
        <v>864</v>
      </c>
      <c r="D1019" s="745">
        <v>2020</v>
      </c>
      <c r="E1019" s="604" t="s">
        <v>3657</v>
      </c>
      <c r="F1019" s="738">
        <v>0.15</v>
      </c>
      <c r="G1019" s="739">
        <v>11250</v>
      </c>
      <c r="H1019" s="741"/>
      <c r="I1019" s="742"/>
      <c r="J1019" s="740"/>
      <c r="K1019" s="739">
        <v>843.75</v>
      </c>
      <c r="L1019" s="864">
        <f t="shared" si="323"/>
        <v>10406.25</v>
      </c>
      <c r="M1019" s="866">
        <f t="shared" si="314"/>
        <v>1687.5</v>
      </c>
      <c r="N1019" s="650">
        <f t="shared" si="305"/>
        <v>1687.5</v>
      </c>
      <c r="O1019" s="650">
        <f t="shared" si="315"/>
        <v>1687.5</v>
      </c>
      <c r="P1019" s="650">
        <f t="shared" si="306"/>
        <v>1687.5</v>
      </c>
      <c r="Q1019" s="650">
        <f t="shared" si="321"/>
        <v>1687.5</v>
      </c>
      <c r="R1019" s="650">
        <f t="shared" si="307"/>
        <v>1687.5</v>
      </c>
      <c r="S1019" s="650">
        <f t="shared" si="322"/>
        <v>281.25</v>
      </c>
      <c r="T1019" s="650">
        <f t="shared" si="309"/>
        <v>0</v>
      </c>
      <c r="U1019" s="650">
        <f t="shared" si="310"/>
        <v>0</v>
      </c>
      <c r="V1019" s="650">
        <f t="shared" si="311"/>
        <v>0</v>
      </c>
      <c r="W1019" s="650">
        <f t="shared" si="312"/>
        <v>0</v>
      </c>
      <c r="X1019" s="746">
        <v>0</v>
      </c>
      <c r="Y1019" s="746">
        <f t="shared" si="313"/>
        <v>0</v>
      </c>
    </row>
    <row r="1020" spans="2:25">
      <c r="B1020" s="598" t="s">
        <v>2595</v>
      </c>
      <c r="C1020" s="604" t="s">
        <v>864</v>
      </c>
      <c r="D1020" s="745">
        <v>2020</v>
      </c>
      <c r="E1020" s="604" t="s">
        <v>3665</v>
      </c>
      <c r="F1020" s="738">
        <v>0.15</v>
      </c>
      <c r="G1020" s="739">
        <v>5200</v>
      </c>
      <c r="H1020" s="741"/>
      <c r="I1020" s="742"/>
      <c r="J1020" s="740"/>
      <c r="K1020" s="739">
        <v>390</v>
      </c>
      <c r="L1020" s="864">
        <f t="shared" si="323"/>
        <v>4810</v>
      </c>
      <c r="M1020" s="866">
        <f t="shared" si="314"/>
        <v>780</v>
      </c>
      <c r="N1020" s="650">
        <f t="shared" si="305"/>
        <v>780</v>
      </c>
      <c r="O1020" s="650">
        <f t="shared" si="315"/>
        <v>780</v>
      </c>
      <c r="P1020" s="650">
        <f t="shared" si="306"/>
        <v>780</v>
      </c>
      <c r="Q1020" s="650">
        <f t="shared" si="321"/>
        <v>780</v>
      </c>
      <c r="R1020" s="650">
        <f t="shared" si="307"/>
        <v>780</v>
      </c>
      <c r="S1020" s="650">
        <f t="shared" si="322"/>
        <v>130</v>
      </c>
      <c r="T1020" s="650">
        <f t="shared" si="309"/>
        <v>0</v>
      </c>
      <c r="U1020" s="650">
        <f t="shared" si="310"/>
        <v>0</v>
      </c>
      <c r="V1020" s="650">
        <f t="shared" si="311"/>
        <v>0</v>
      </c>
      <c r="W1020" s="650">
        <f t="shared" si="312"/>
        <v>0</v>
      </c>
      <c r="X1020" s="746">
        <v>0</v>
      </c>
      <c r="Y1020" s="746">
        <f t="shared" si="313"/>
        <v>0</v>
      </c>
    </row>
    <row r="1021" spans="2:25">
      <c r="B1021" s="598" t="s">
        <v>2595</v>
      </c>
      <c r="C1021" s="604" t="s">
        <v>864</v>
      </c>
      <c r="D1021" s="745">
        <v>2020</v>
      </c>
      <c r="E1021" s="604" t="s">
        <v>3657</v>
      </c>
      <c r="F1021" s="738">
        <v>0.15</v>
      </c>
      <c r="G1021" s="739">
        <v>11250</v>
      </c>
      <c r="H1021" s="741"/>
      <c r="I1021" s="742"/>
      <c r="J1021" s="740"/>
      <c r="K1021" s="739">
        <v>843.75</v>
      </c>
      <c r="L1021" s="864">
        <f t="shared" si="323"/>
        <v>10406.25</v>
      </c>
      <c r="M1021" s="866">
        <f t="shared" si="314"/>
        <v>1687.5</v>
      </c>
      <c r="N1021" s="650">
        <f t="shared" si="305"/>
        <v>1687.5</v>
      </c>
      <c r="O1021" s="650">
        <f t="shared" si="315"/>
        <v>1687.5</v>
      </c>
      <c r="P1021" s="650">
        <f t="shared" si="306"/>
        <v>1687.5</v>
      </c>
      <c r="Q1021" s="650">
        <f t="shared" si="321"/>
        <v>1687.5</v>
      </c>
      <c r="R1021" s="650">
        <f t="shared" si="307"/>
        <v>1687.5</v>
      </c>
      <c r="S1021" s="650">
        <f t="shared" si="322"/>
        <v>281.25</v>
      </c>
      <c r="T1021" s="650">
        <f t="shared" si="309"/>
        <v>0</v>
      </c>
      <c r="U1021" s="650">
        <f t="shared" si="310"/>
        <v>0</v>
      </c>
      <c r="V1021" s="650">
        <f t="shared" si="311"/>
        <v>0</v>
      </c>
      <c r="W1021" s="650">
        <f t="shared" si="312"/>
        <v>0</v>
      </c>
      <c r="X1021" s="746">
        <v>0</v>
      </c>
      <c r="Y1021" s="746">
        <f t="shared" si="313"/>
        <v>0</v>
      </c>
    </row>
    <row r="1022" spans="2:25">
      <c r="B1022" s="598" t="s">
        <v>2595</v>
      </c>
      <c r="C1022" s="604" t="s">
        <v>864</v>
      </c>
      <c r="D1022" s="745">
        <v>2020</v>
      </c>
      <c r="E1022" s="604" t="s">
        <v>3611</v>
      </c>
      <c r="F1022" s="738">
        <v>0.15</v>
      </c>
      <c r="G1022" s="739">
        <v>35000</v>
      </c>
      <c r="H1022" s="741"/>
      <c r="I1022" s="742"/>
      <c r="J1022" s="740"/>
      <c r="K1022" s="739">
        <v>2625</v>
      </c>
      <c r="L1022" s="864">
        <f t="shared" si="323"/>
        <v>32375</v>
      </c>
      <c r="M1022" s="866">
        <f t="shared" si="314"/>
        <v>5250</v>
      </c>
      <c r="N1022" s="650">
        <f t="shared" si="305"/>
        <v>5250</v>
      </c>
      <c r="O1022" s="650">
        <f t="shared" si="315"/>
        <v>5250</v>
      </c>
      <c r="P1022" s="650">
        <f t="shared" si="306"/>
        <v>5250</v>
      </c>
      <c r="Q1022" s="650">
        <f t="shared" si="321"/>
        <v>5250</v>
      </c>
      <c r="R1022" s="650">
        <f t="shared" si="307"/>
        <v>5250</v>
      </c>
      <c r="S1022" s="650">
        <f t="shared" si="322"/>
        <v>875</v>
      </c>
      <c r="T1022" s="650">
        <f t="shared" si="309"/>
        <v>0</v>
      </c>
      <c r="U1022" s="650">
        <f t="shared" si="310"/>
        <v>0</v>
      </c>
      <c r="V1022" s="650">
        <f t="shared" si="311"/>
        <v>0</v>
      </c>
      <c r="W1022" s="650">
        <f t="shared" si="312"/>
        <v>0</v>
      </c>
      <c r="X1022" s="746">
        <v>0</v>
      </c>
      <c r="Y1022" s="746">
        <f t="shared" si="313"/>
        <v>0</v>
      </c>
    </row>
    <row r="1023" spans="2:25">
      <c r="B1023" s="598" t="s">
        <v>2595</v>
      </c>
      <c r="C1023" s="604" t="s">
        <v>864</v>
      </c>
      <c r="D1023" s="745">
        <v>2020</v>
      </c>
      <c r="E1023" s="604" t="s">
        <v>3657</v>
      </c>
      <c r="F1023" s="738">
        <v>0.15</v>
      </c>
      <c r="G1023" s="739">
        <v>11000</v>
      </c>
      <c r="H1023" s="741"/>
      <c r="I1023" s="742"/>
      <c r="J1023" s="740"/>
      <c r="K1023" s="739">
        <v>825</v>
      </c>
      <c r="L1023" s="864">
        <f t="shared" si="323"/>
        <v>10175</v>
      </c>
      <c r="M1023" s="866">
        <f t="shared" si="314"/>
        <v>1650</v>
      </c>
      <c r="N1023" s="650">
        <f t="shared" si="305"/>
        <v>1650</v>
      </c>
      <c r="O1023" s="650">
        <f t="shared" si="315"/>
        <v>1650</v>
      </c>
      <c r="P1023" s="650">
        <f t="shared" si="306"/>
        <v>1650</v>
      </c>
      <c r="Q1023" s="650">
        <f t="shared" si="321"/>
        <v>1650</v>
      </c>
      <c r="R1023" s="650">
        <f t="shared" si="307"/>
        <v>1650</v>
      </c>
      <c r="S1023" s="650">
        <f t="shared" si="322"/>
        <v>275</v>
      </c>
      <c r="T1023" s="650">
        <f t="shared" si="309"/>
        <v>0</v>
      </c>
      <c r="U1023" s="650">
        <f t="shared" si="310"/>
        <v>0</v>
      </c>
      <c r="V1023" s="650">
        <f t="shared" si="311"/>
        <v>0</v>
      </c>
      <c r="W1023" s="650">
        <f t="shared" si="312"/>
        <v>0</v>
      </c>
      <c r="X1023" s="746">
        <v>0</v>
      </c>
      <c r="Y1023" s="746">
        <f t="shared" si="313"/>
        <v>0</v>
      </c>
    </row>
    <row r="1024" spans="2:25">
      <c r="B1024" s="598" t="s">
        <v>2595</v>
      </c>
      <c r="C1024" s="604" t="s">
        <v>864</v>
      </c>
      <c r="D1024" s="745">
        <v>2021</v>
      </c>
      <c r="E1024" s="604" t="s">
        <v>3665</v>
      </c>
      <c r="F1024" s="738">
        <v>0.15</v>
      </c>
      <c r="G1024" s="739">
        <v>5000</v>
      </c>
      <c r="H1024" s="741"/>
      <c r="I1024" s="742"/>
      <c r="J1024" s="740"/>
      <c r="K1024" s="739">
        <v>375</v>
      </c>
      <c r="L1024" s="864">
        <f t="shared" si="323"/>
        <v>4625</v>
      </c>
      <c r="M1024" s="866">
        <f t="shared" si="314"/>
        <v>750</v>
      </c>
      <c r="N1024" s="650">
        <f t="shared" si="305"/>
        <v>750</v>
      </c>
      <c r="O1024" s="650">
        <f t="shared" si="315"/>
        <v>750</v>
      </c>
      <c r="P1024" s="650">
        <f t="shared" si="306"/>
        <v>750</v>
      </c>
      <c r="Q1024" s="650">
        <f t="shared" si="321"/>
        <v>750</v>
      </c>
      <c r="R1024" s="650">
        <f t="shared" si="307"/>
        <v>750</v>
      </c>
      <c r="S1024" s="650">
        <f t="shared" si="322"/>
        <v>125</v>
      </c>
      <c r="T1024" s="650">
        <f t="shared" si="309"/>
        <v>0</v>
      </c>
      <c r="U1024" s="650">
        <f t="shared" si="310"/>
        <v>0</v>
      </c>
      <c r="V1024" s="650">
        <f t="shared" si="311"/>
        <v>0</v>
      </c>
      <c r="W1024" s="650">
        <f t="shared" si="312"/>
        <v>0</v>
      </c>
      <c r="X1024" s="746">
        <v>0</v>
      </c>
      <c r="Y1024" s="746">
        <f t="shared" si="313"/>
        <v>0</v>
      </c>
    </row>
    <row r="1025" spans="2:25">
      <c r="B1025" s="598" t="s">
        <v>2595</v>
      </c>
      <c r="C1025" s="604" t="s">
        <v>864</v>
      </c>
      <c r="D1025" s="745">
        <v>2022</v>
      </c>
      <c r="E1025" s="604" t="s">
        <v>3657</v>
      </c>
      <c r="F1025" s="738">
        <v>0.15</v>
      </c>
      <c r="G1025" s="739">
        <v>8000</v>
      </c>
      <c r="H1025" s="741"/>
      <c r="I1025" s="742"/>
      <c r="J1025" s="740"/>
      <c r="K1025" s="739">
        <v>600</v>
      </c>
      <c r="L1025" s="864">
        <f t="shared" si="323"/>
        <v>7400</v>
      </c>
      <c r="M1025" s="866">
        <f>+G1025*F1025</f>
        <v>1200</v>
      </c>
      <c r="N1025" s="650">
        <f>+M1025</f>
        <v>1200</v>
      </c>
      <c r="O1025" s="650">
        <f>+N1025</f>
        <v>1200</v>
      </c>
      <c r="P1025" s="650">
        <f>+O1025</f>
        <v>1200</v>
      </c>
      <c r="Q1025" s="650">
        <f>+P1025</f>
        <v>1200</v>
      </c>
      <c r="R1025" s="650">
        <f t="shared" si="307"/>
        <v>1200</v>
      </c>
      <c r="S1025" s="650">
        <f t="shared" si="322"/>
        <v>200</v>
      </c>
      <c r="T1025" s="650">
        <v>0</v>
      </c>
      <c r="U1025" s="650">
        <v>0</v>
      </c>
      <c r="V1025" s="650">
        <v>0</v>
      </c>
      <c r="W1025" s="650">
        <v>0</v>
      </c>
      <c r="X1025" s="746">
        <v>0</v>
      </c>
      <c r="Y1025" s="746">
        <f t="shared" si="313"/>
        <v>0</v>
      </c>
    </row>
    <row r="1026" spans="2:25">
      <c r="B1026" s="598" t="s">
        <v>2595</v>
      </c>
      <c r="C1026" s="604" t="s">
        <v>864</v>
      </c>
      <c r="D1026" s="745">
        <v>2020</v>
      </c>
      <c r="E1026" s="604" t="s">
        <v>3666</v>
      </c>
      <c r="F1026" s="738">
        <v>0.15</v>
      </c>
      <c r="G1026" s="739">
        <v>270000</v>
      </c>
      <c r="H1026" s="741"/>
      <c r="I1026" s="742"/>
      <c r="J1026" s="740"/>
      <c r="K1026" s="739">
        <v>20250</v>
      </c>
      <c r="L1026" s="864">
        <f t="shared" si="323"/>
        <v>249750</v>
      </c>
      <c r="M1026" s="866">
        <f t="shared" si="314"/>
        <v>40500</v>
      </c>
      <c r="N1026" s="650">
        <f t="shared" si="305"/>
        <v>40500</v>
      </c>
      <c r="O1026" s="650">
        <f t="shared" si="315"/>
        <v>40500</v>
      </c>
      <c r="P1026" s="650">
        <f t="shared" si="306"/>
        <v>40500</v>
      </c>
      <c r="Q1026" s="650">
        <f>+IF(L1026-SUM(M1026:P1026)&gt;0,G1026*F1026,0)-X1026</f>
        <v>40500</v>
      </c>
      <c r="R1026" s="650">
        <f t="shared" si="307"/>
        <v>40500</v>
      </c>
      <c r="S1026" s="650">
        <f t="shared" ref="S1026:S1032" si="324">+L1026-SUM(M1026:R1026)</f>
        <v>6750</v>
      </c>
      <c r="T1026" s="650">
        <f t="shared" si="309"/>
        <v>0</v>
      </c>
      <c r="U1026" s="650">
        <f t="shared" si="310"/>
        <v>0</v>
      </c>
      <c r="V1026" s="650">
        <f t="shared" si="311"/>
        <v>0</v>
      </c>
      <c r="W1026" s="650">
        <f t="shared" si="312"/>
        <v>0</v>
      </c>
      <c r="X1026" s="746">
        <v>0</v>
      </c>
      <c r="Y1026" s="746">
        <f t="shared" si="313"/>
        <v>0</v>
      </c>
    </row>
    <row r="1027" spans="2:25">
      <c r="B1027" s="598" t="s">
        <v>2595</v>
      </c>
      <c r="C1027" s="604" t="s">
        <v>864</v>
      </c>
      <c r="D1027" s="745">
        <v>2022</v>
      </c>
      <c r="E1027" s="604" t="s">
        <v>3504</v>
      </c>
      <c r="F1027" s="738">
        <v>0.15</v>
      </c>
      <c r="G1027" s="739">
        <v>110000</v>
      </c>
      <c r="H1027" s="741"/>
      <c r="I1027" s="742"/>
      <c r="J1027" s="740"/>
      <c r="K1027" s="739">
        <v>8250</v>
      </c>
      <c r="L1027" s="864">
        <f t="shared" si="323"/>
        <v>101750</v>
      </c>
      <c r="M1027" s="866">
        <f t="shared" si="314"/>
        <v>16500</v>
      </c>
      <c r="N1027" s="650">
        <f t="shared" si="305"/>
        <v>16500</v>
      </c>
      <c r="O1027" s="650">
        <f t="shared" si="315"/>
        <v>16500</v>
      </c>
      <c r="P1027" s="650">
        <f t="shared" si="306"/>
        <v>16500</v>
      </c>
      <c r="Q1027" s="650">
        <f t="shared" si="317"/>
        <v>16500</v>
      </c>
      <c r="R1027" s="650">
        <f t="shared" si="307"/>
        <v>16500</v>
      </c>
      <c r="S1027" s="650">
        <f t="shared" si="324"/>
        <v>2750</v>
      </c>
      <c r="T1027" s="650">
        <f t="shared" si="309"/>
        <v>0</v>
      </c>
      <c r="U1027" s="650">
        <f t="shared" si="310"/>
        <v>0</v>
      </c>
      <c r="V1027" s="650">
        <f t="shared" si="311"/>
        <v>0</v>
      </c>
      <c r="W1027" s="650">
        <f t="shared" si="312"/>
        <v>0</v>
      </c>
      <c r="X1027" s="746">
        <v>0</v>
      </c>
      <c r="Y1027" s="746">
        <f t="shared" si="313"/>
        <v>0</v>
      </c>
    </row>
    <row r="1028" spans="2:25">
      <c r="B1028" s="598" t="s">
        <v>2595</v>
      </c>
      <c r="C1028" s="604" t="s">
        <v>864</v>
      </c>
      <c r="D1028" s="745">
        <v>2022</v>
      </c>
      <c r="E1028" s="604" t="s">
        <v>3525</v>
      </c>
      <c r="F1028" s="738">
        <v>0.15</v>
      </c>
      <c r="G1028" s="739">
        <v>390000</v>
      </c>
      <c r="H1028" s="741"/>
      <c r="I1028" s="742"/>
      <c r="J1028" s="740"/>
      <c r="K1028" s="739">
        <v>29250</v>
      </c>
      <c r="L1028" s="864">
        <f t="shared" si="323"/>
        <v>360750</v>
      </c>
      <c r="M1028" s="866">
        <f>+G1028*F1028</f>
        <v>58500</v>
      </c>
      <c r="N1028" s="650">
        <f>+M1028</f>
        <v>58500</v>
      </c>
      <c r="O1028" s="650">
        <f t="shared" ref="O1028:R1028" si="325">+N1028</f>
        <v>58500</v>
      </c>
      <c r="P1028" s="650">
        <f t="shared" si="325"/>
        <v>58500</v>
      </c>
      <c r="Q1028" s="650">
        <f t="shared" si="325"/>
        <v>58500</v>
      </c>
      <c r="R1028" s="650">
        <f t="shared" si="325"/>
        <v>58500</v>
      </c>
      <c r="S1028" s="650">
        <f t="shared" si="324"/>
        <v>9750</v>
      </c>
      <c r="T1028" s="650"/>
      <c r="U1028" s="650"/>
      <c r="V1028" s="650"/>
      <c r="W1028" s="650"/>
      <c r="X1028" s="746">
        <v>0</v>
      </c>
      <c r="Y1028" s="746">
        <f t="shared" si="313"/>
        <v>0</v>
      </c>
    </row>
    <row r="1029" spans="2:25">
      <c r="B1029" s="598" t="s">
        <v>2595</v>
      </c>
      <c r="C1029" s="604" t="s">
        <v>864</v>
      </c>
      <c r="D1029" s="745">
        <v>2020</v>
      </c>
      <c r="E1029" s="604" t="s">
        <v>3665</v>
      </c>
      <c r="F1029" s="738">
        <v>0.15</v>
      </c>
      <c r="G1029" s="739">
        <v>5000</v>
      </c>
      <c r="H1029" s="741"/>
      <c r="I1029" s="742"/>
      <c r="J1029" s="740"/>
      <c r="K1029" s="739">
        <v>375</v>
      </c>
      <c r="L1029" s="864">
        <f t="shared" si="323"/>
        <v>4625</v>
      </c>
      <c r="M1029" s="866">
        <f t="shared" si="314"/>
        <v>750</v>
      </c>
      <c r="N1029" s="650">
        <f t="shared" si="305"/>
        <v>750</v>
      </c>
      <c r="O1029" s="650">
        <f t="shared" si="315"/>
        <v>750</v>
      </c>
      <c r="P1029" s="650">
        <f t="shared" si="306"/>
        <v>750</v>
      </c>
      <c r="Q1029" s="650">
        <f>+IF(L1029-SUM(M1029:P1029)&gt;0,G1029*F1029,0)-X1029</f>
        <v>750</v>
      </c>
      <c r="R1029" s="650">
        <f t="shared" si="307"/>
        <v>750</v>
      </c>
      <c r="S1029" s="650">
        <f t="shared" si="324"/>
        <v>125</v>
      </c>
      <c r="T1029" s="650">
        <f t="shared" si="309"/>
        <v>0</v>
      </c>
      <c r="U1029" s="650">
        <f t="shared" si="310"/>
        <v>0</v>
      </c>
      <c r="V1029" s="650">
        <f t="shared" si="311"/>
        <v>0</v>
      </c>
      <c r="W1029" s="650">
        <f t="shared" si="312"/>
        <v>0</v>
      </c>
      <c r="X1029" s="746">
        <v>0</v>
      </c>
      <c r="Y1029" s="746">
        <f t="shared" si="313"/>
        <v>0</v>
      </c>
    </row>
    <row r="1030" spans="2:25">
      <c r="B1030" s="598" t="s">
        <v>2595</v>
      </c>
      <c r="C1030" s="604" t="s">
        <v>864</v>
      </c>
      <c r="D1030" s="745">
        <v>2020</v>
      </c>
      <c r="E1030" s="604" t="s">
        <v>3657</v>
      </c>
      <c r="F1030" s="738">
        <v>0.15</v>
      </c>
      <c r="G1030" s="739">
        <v>11000</v>
      </c>
      <c r="H1030" s="741"/>
      <c r="I1030" s="742"/>
      <c r="J1030" s="740"/>
      <c r="K1030" s="739">
        <v>825</v>
      </c>
      <c r="L1030" s="864">
        <f t="shared" si="323"/>
        <v>10175</v>
      </c>
      <c r="M1030" s="866">
        <f t="shared" si="314"/>
        <v>1650</v>
      </c>
      <c r="N1030" s="650">
        <f t="shared" si="305"/>
        <v>1650</v>
      </c>
      <c r="O1030" s="650">
        <f t="shared" si="315"/>
        <v>1650</v>
      </c>
      <c r="P1030" s="650">
        <f t="shared" si="306"/>
        <v>1650</v>
      </c>
      <c r="Q1030" s="650">
        <f>+IF(L1030-SUM(M1030:P1030)&gt;0,G1030*F1030,0)-X1030</f>
        <v>1650</v>
      </c>
      <c r="R1030" s="650">
        <f t="shared" si="307"/>
        <v>1650</v>
      </c>
      <c r="S1030" s="650">
        <f t="shared" si="324"/>
        <v>275</v>
      </c>
      <c r="T1030" s="650">
        <f t="shared" si="309"/>
        <v>0</v>
      </c>
      <c r="U1030" s="650">
        <f t="shared" si="310"/>
        <v>0</v>
      </c>
      <c r="V1030" s="650">
        <f t="shared" si="311"/>
        <v>0</v>
      </c>
      <c r="W1030" s="650">
        <f t="shared" si="312"/>
        <v>0</v>
      </c>
      <c r="X1030" s="746">
        <v>0</v>
      </c>
      <c r="Y1030" s="746">
        <f t="shared" si="313"/>
        <v>0</v>
      </c>
    </row>
    <row r="1031" spans="2:25">
      <c r="B1031" s="598" t="s">
        <v>2595</v>
      </c>
      <c r="C1031" s="604" t="s">
        <v>864</v>
      </c>
      <c r="D1031" s="745">
        <v>2021</v>
      </c>
      <c r="E1031" s="604" t="s">
        <v>3664</v>
      </c>
      <c r="F1031" s="738">
        <v>0.15</v>
      </c>
      <c r="G1031" s="739">
        <v>135000</v>
      </c>
      <c r="H1031" s="741"/>
      <c r="I1031" s="742"/>
      <c r="J1031" s="740"/>
      <c r="K1031" s="739">
        <v>10125</v>
      </c>
      <c r="L1031" s="864">
        <f t="shared" si="323"/>
        <v>124875</v>
      </c>
      <c r="M1031" s="866">
        <f t="shared" si="314"/>
        <v>20250</v>
      </c>
      <c r="N1031" s="650">
        <f t="shared" si="305"/>
        <v>20250</v>
      </c>
      <c r="O1031" s="650">
        <f t="shared" si="315"/>
        <v>20250</v>
      </c>
      <c r="P1031" s="650">
        <f t="shared" si="306"/>
        <v>20250</v>
      </c>
      <c r="Q1031" s="650">
        <f t="shared" si="317"/>
        <v>20250</v>
      </c>
      <c r="R1031" s="650">
        <f t="shared" ref="R1031:R1036" si="326">+IF(L1031-SUM(M1031:Q1031)&gt;0,G1031*F1031,0)-X1031</f>
        <v>20250</v>
      </c>
      <c r="S1031" s="650">
        <f t="shared" si="324"/>
        <v>3375</v>
      </c>
      <c r="T1031" s="650">
        <f t="shared" si="309"/>
        <v>0</v>
      </c>
      <c r="U1031" s="650">
        <f t="shared" si="310"/>
        <v>0</v>
      </c>
      <c r="V1031" s="650">
        <f t="shared" si="311"/>
        <v>0</v>
      </c>
      <c r="W1031" s="650">
        <f t="shared" si="312"/>
        <v>0</v>
      </c>
      <c r="X1031" s="746">
        <v>0</v>
      </c>
      <c r="Y1031" s="746">
        <f t="shared" si="313"/>
        <v>0</v>
      </c>
    </row>
    <row r="1032" spans="2:25">
      <c r="B1032" s="598" t="s">
        <v>2595</v>
      </c>
      <c r="C1032" s="604" t="s">
        <v>864</v>
      </c>
      <c r="D1032" s="745">
        <v>2021</v>
      </c>
      <c r="E1032" s="604" t="s">
        <v>3504</v>
      </c>
      <c r="F1032" s="738">
        <v>0.15</v>
      </c>
      <c r="G1032" s="739">
        <v>108000</v>
      </c>
      <c r="H1032" s="741"/>
      <c r="I1032" s="742"/>
      <c r="J1032" s="740"/>
      <c r="K1032" s="739">
        <v>8100</v>
      </c>
      <c r="L1032" s="864">
        <f t="shared" si="323"/>
        <v>99900</v>
      </c>
      <c r="M1032" s="866">
        <f t="shared" si="314"/>
        <v>16200</v>
      </c>
      <c r="N1032" s="650">
        <f t="shared" si="305"/>
        <v>16200</v>
      </c>
      <c r="O1032" s="650">
        <f t="shared" si="315"/>
        <v>16200</v>
      </c>
      <c r="P1032" s="650">
        <f t="shared" si="306"/>
        <v>16200</v>
      </c>
      <c r="Q1032" s="650">
        <f t="shared" si="317"/>
        <v>16200</v>
      </c>
      <c r="R1032" s="650">
        <f t="shared" si="326"/>
        <v>16200</v>
      </c>
      <c r="S1032" s="650">
        <f t="shared" si="324"/>
        <v>2700</v>
      </c>
      <c r="T1032" s="650">
        <f t="shared" si="309"/>
        <v>0</v>
      </c>
      <c r="U1032" s="650">
        <f t="shared" si="310"/>
        <v>0</v>
      </c>
      <c r="V1032" s="650">
        <f t="shared" si="311"/>
        <v>0</v>
      </c>
      <c r="W1032" s="650">
        <f t="shared" si="312"/>
        <v>0</v>
      </c>
      <c r="X1032" s="746">
        <v>0</v>
      </c>
      <c r="Y1032" s="746">
        <f t="shared" si="313"/>
        <v>0</v>
      </c>
    </row>
    <row r="1033" spans="2:25">
      <c r="B1033" s="598" t="s">
        <v>2595</v>
      </c>
      <c r="C1033" s="604" t="s">
        <v>864</v>
      </c>
      <c r="D1033" s="745">
        <v>2021</v>
      </c>
      <c r="E1033" s="604"/>
      <c r="F1033" s="738"/>
      <c r="G1033" s="739"/>
      <c r="H1033" s="741"/>
      <c r="I1033" s="742"/>
      <c r="J1033" s="740"/>
      <c r="K1033" s="739"/>
      <c r="L1033" s="864">
        <v>0</v>
      </c>
      <c r="M1033" s="740">
        <f t="shared" si="314"/>
        <v>0</v>
      </c>
      <c r="N1033" s="604">
        <f t="shared" ref="N1033:N1096" si="327">+IF(L1033-M1033&gt;0,G1033*F1033,0)</f>
        <v>0</v>
      </c>
      <c r="O1033" s="604">
        <f t="shared" ref="O1033:O1096" si="328">+IF(L1033-SUM(M1033:N1033)&gt;0,G1033*F1033,0)</f>
        <v>0</v>
      </c>
      <c r="P1033" s="604">
        <f t="shared" ref="P1033:P1096" si="329">+IF(L1033-SUM(M1033:O1033)&gt;0,G1033*F1033,0)</f>
        <v>0</v>
      </c>
      <c r="Q1033" s="604">
        <f t="shared" ref="Q1033:Q1096" si="330">+IF(L1033-SUM(M1033:P1033)&gt;0,G1033*F1033,0)</f>
        <v>0</v>
      </c>
      <c r="R1033" s="604">
        <f>+IF(L1033-SUM(M1033:Q1033)&gt;0,G1033*F1033,0)-X1033</f>
        <v>0</v>
      </c>
      <c r="S1033" s="604">
        <f t="shared" ref="S1033:S1096" si="331">+IF(L1033-SUM(M1033:R1033)&gt;0,G1033*F1033,0)</f>
        <v>0</v>
      </c>
      <c r="T1033" s="604">
        <f t="shared" ref="T1033:T1096" si="332">+IF(L1033-SUM(M1033:S1033)&gt;0,G1033*F1033,0)</f>
        <v>0</v>
      </c>
      <c r="U1033" s="604">
        <f t="shared" ref="U1033:U1096" si="333">+IF(L1033-SUM(M1033:T1033)&gt;0,G1033*F1033,0)</f>
        <v>0</v>
      </c>
      <c r="V1033" s="604">
        <f t="shared" ref="V1033:V1096" si="334">+IF(L1033-SUM(M1033:U1033)&gt;0,G1033*F1033,0)</f>
        <v>0</v>
      </c>
      <c r="W1033" s="604">
        <f t="shared" ref="W1033:W1096" si="335">+IF(L1033-SUM(M1033:V1033)&gt;0,G1033*F1033,0)</f>
        <v>0</v>
      </c>
      <c r="X1033" s="746"/>
      <c r="Y1033" s="746">
        <f t="shared" ref="Y1033:Y1096" si="336">+SUM(M1033:W1033)-L1033</f>
        <v>0</v>
      </c>
    </row>
    <row r="1034" spans="2:25">
      <c r="B1034" s="598" t="s">
        <v>2595</v>
      </c>
      <c r="C1034" s="604" t="s">
        <v>864</v>
      </c>
      <c r="D1034" s="745">
        <v>2021</v>
      </c>
      <c r="E1034" s="604"/>
      <c r="F1034" s="738"/>
      <c r="G1034" s="739"/>
      <c r="H1034" s="741"/>
      <c r="I1034" s="742"/>
      <c r="J1034" s="740"/>
      <c r="K1034" s="739"/>
      <c r="L1034" s="864">
        <v>0</v>
      </c>
      <c r="M1034" s="740">
        <f t="shared" si="314"/>
        <v>0</v>
      </c>
      <c r="N1034" s="604">
        <f t="shared" si="327"/>
        <v>0</v>
      </c>
      <c r="O1034" s="604">
        <f t="shared" si="328"/>
        <v>0</v>
      </c>
      <c r="P1034" s="604">
        <f t="shared" si="329"/>
        <v>0</v>
      </c>
      <c r="Q1034" s="604">
        <f t="shared" si="330"/>
        <v>0</v>
      </c>
      <c r="R1034" s="604">
        <f t="shared" si="326"/>
        <v>0</v>
      </c>
      <c r="S1034" s="604">
        <f t="shared" si="331"/>
        <v>0</v>
      </c>
      <c r="T1034" s="604">
        <f t="shared" si="332"/>
        <v>0</v>
      </c>
      <c r="U1034" s="604">
        <f t="shared" si="333"/>
        <v>0</v>
      </c>
      <c r="V1034" s="604">
        <f t="shared" si="334"/>
        <v>0</v>
      </c>
      <c r="W1034" s="604">
        <f t="shared" si="335"/>
        <v>0</v>
      </c>
      <c r="X1034" s="746"/>
      <c r="Y1034" s="746">
        <f t="shared" si="336"/>
        <v>0</v>
      </c>
    </row>
    <row r="1035" spans="2:25">
      <c r="B1035" s="598" t="s">
        <v>2595</v>
      </c>
      <c r="C1035" s="604" t="s">
        <v>864</v>
      </c>
      <c r="D1035" s="745">
        <v>2021</v>
      </c>
      <c r="E1035" s="604"/>
      <c r="F1035" s="738"/>
      <c r="G1035" s="739"/>
      <c r="H1035" s="741"/>
      <c r="I1035" s="742"/>
      <c r="J1035" s="740"/>
      <c r="K1035" s="739"/>
      <c r="L1035" s="864">
        <v>0</v>
      </c>
      <c r="M1035" s="740">
        <f t="shared" si="314"/>
        <v>0</v>
      </c>
      <c r="N1035" s="604">
        <f t="shared" si="327"/>
        <v>0</v>
      </c>
      <c r="O1035" s="604">
        <f t="shared" si="328"/>
        <v>0</v>
      </c>
      <c r="P1035" s="604">
        <f t="shared" si="329"/>
        <v>0</v>
      </c>
      <c r="Q1035" s="604">
        <f t="shared" si="330"/>
        <v>0</v>
      </c>
      <c r="R1035" s="604">
        <f t="shared" si="326"/>
        <v>0</v>
      </c>
      <c r="S1035" s="604">
        <f t="shared" si="331"/>
        <v>0</v>
      </c>
      <c r="T1035" s="604">
        <f t="shared" si="332"/>
        <v>0</v>
      </c>
      <c r="U1035" s="604">
        <f t="shared" si="333"/>
        <v>0</v>
      </c>
      <c r="V1035" s="604">
        <f t="shared" si="334"/>
        <v>0</v>
      </c>
      <c r="W1035" s="604">
        <f t="shared" si="335"/>
        <v>0</v>
      </c>
      <c r="X1035" s="746"/>
      <c r="Y1035" s="746">
        <f t="shared" si="336"/>
        <v>0</v>
      </c>
    </row>
    <row r="1036" spans="2:25">
      <c r="B1036" s="598" t="s">
        <v>2595</v>
      </c>
      <c r="C1036" s="604" t="s">
        <v>864</v>
      </c>
      <c r="D1036" s="745">
        <v>2021</v>
      </c>
      <c r="E1036" s="604"/>
      <c r="F1036" s="738"/>
      <c r="G1036" s="739"/>
      <c r="H1036" s="741"/>
      <c r="I1036" s="742"/>
      <c r="J1036" s="740"/>
      <c r="K1036" s="739"/>
      <c r="L1036" s="864">
        <v>0</v>
      </c>
      <c r="M1036" s="740">
        <f t="shared" ref="M1036:M1099" si="337">+IF(L1036=0,0,G1036*F1036)</f>
        <v>0</v>
      </c>
      <c r="N1036" s="604">
        <f t="shared" si="327"/>
        <v>0</v>
      </c>
      <c r="O1036" s="604">
        <f t="shared" si="328"/>
        <v>0</v>
      </c>
      <c r="P1036" s="604">
        <f t="shared" si="329"/>
        <v>0</v>
      </c>
      <c r="Q1036" s="604">
        <f t="shared" si="330"/>
        <v>0</v>
      </c>
      <c r="R1036" s="604">
        <f t="shared" si="326"/>
        <v>0</v>
      </c>
      <c r="S1036" s="604">
        <f t="shared" si="331"/>
        <v>0</v>
      </c>
      <c r="T1036" s="604">
        <f t="shared" si="332"/>
        <v>0</v>
      </c>
      <c r="U1036" s="604">
        <f t="shared" si="333"/>
        <v>0</v>
      </c>
      <c r="V1036" s="604">
        <f t="shared" si="334"/>
        <v>0</v>
      </c>
      <c r="W1036" s="604">
        <f t="shared" si="335"/>
        <v>0</v>
      </c>
      <c r="X1036" s="746"/>
      <c r="Y1036" s="746">
        <f t="shared" si="336"/>
        <v>0</v>
      </c>
    </row>
    <row r="1037" spans="2:25">
      <c r="B1037" s="598" t="s">
        <v>2595</v>
      </c>
      <c r="C1037" s="604" t="s">
        <v>864</v>
      </c>
      <c r="D1037" s="745">
        <v>2021</v>
      </c>
      <c r="E1037" s="604"/>
      <c r="F1037" s="738"/>
      <c r="G1037" s="739"/>
      <c r="H1037" s="741"/>
      <c r="I1037" s="742"/>
      <c r="J1037" s="740"/>
      <c r="K1037" s="739"/>
      <c r="L1037" s="864">
        <v>0</v>
      </c>
      <c r="M1037" s="740">
        <f t="shared" si="337"/>
        <v>0</v>
      </c>
      <c r="N1037" s="604">
        <f t="shared" si="327"/>
        <v>0</v>
      </c>
      <c r="O1037" s="604">
        <f t="shared" si="328"/>
        <v>0</v>
      </c>
      <c r="P1037" s="604">
        <f t="shared" si="329"/>
        <v>0</v>
      </c>
      <c r="Q1037" s="604">
        <f t="shared" si="330"/>
        <v>0</v>
      </c>
      <c r="R1037" s="604">
        <f t="shared" ref="R1037:R1096" si="338">+IF(L1037-SUM(M1037:Q1037)&gt;0,G1037*F1037,0)</f>
        <v>0</v>
      </c>
      <c r="S1037" s="604">
        <f t="shared" si="331"/>
        <v>0</v>
      </c>
      <c r="T1037" s="604">
        <f t="shared" si="332"/>
        <v>0</v>
      </c>
      <c r="U1037" s="604">
        <f t="shared" si="333"/>
        <v>0</v>
      </c>
      <c r="V1037" s="604">
        <f t="shared" si="334"/>
        <v>0</v>
      </c>
      <c r="W1037" s="604">
        <f t="shared" si="335"/>
        <v>0</v>
      </c>
      <c r="X1037" s="746"/>
      <c r="Y1037" s="746">
        <f t="shared" si="336"/>
        <v>0</v>
      </c>
    </row>
    <row r="1038" spans="2:25">
      <c r="B1038" s="598" t="s">
        <v>2595</v>
      </c>
      <c r="C1038" s="604" t="s">
        <v>864</v>
      </c>
      <c r="D1038" s="745">
        <v>2021</v>
      </c>
      <c r="E1038" s="604"/>
      <c r="F1038" s="738"/>
      <c r="G1038" s="739"/>
      <c r="H1038" s="741"/>
      <c r="I1038" s="742"/>
      <c r="J1038" s="740"/>
      <c r="K1038" s="739"/>
      <c r="L1038" s="864">
        <v>0</v>
      </c>
      <c r="M1038" s="740">
        <f t="shared" si="337"/>
        <v>0</v>
      </c>
      <c r="N1038" s="604">
        <f t="shared" si="327"/>
        <v>0</v>
      </c>
      <c r="O1038" s="604">
        <f t="shared" si="328"/>
        <v>0</v>
      </c>
      <c r="P1038" s="604">
        <f t="shared" si="329"/>
        <v>0</v>
      </c>
      <c r="Q1038" s="604">
        <f t="shared" si="330"/>
        <v>0</v>
      </c>
      <c r="R1038" s="604">
        <f t="shared" si="338"/>
        <v>0</v>
      </c>
      <c r="S1038" s="604">
        <f t="shared" si="331"/>
        <v>0</v>
      </c>
      <c r="T1038" s="604">
        <f t="shared" si="332"/>
        <v>0</v>
      </c>
      <c r="U1038" s="604">
        <f t="shared" si="333"/>
        <v>0</v>
      </c>
      <c r="V1038" s="604">
        <f t="shared" si="334"/>
        <v>0</v>
      </c>
      <c r="W1038" s="604">
        <f t="shared" si="335"/>
        <v>0</v>
      </c>
      <c r="X1038" s="746"/>
      <c r="Y1038" s="746">
        <f t="shared" si="336"/>
        <v>0</v>
      </c>
    </row>
    <row r="1039" spans="2:25">
      <c r="B1039" s="598" t="s">
        <v>2595</v>
      </c>
      <c r="C1039" s="604" t="s">
        <v>864</v>
      </c>
      <c r="D1039" s="745">
        <v>2021</v>
      </c>
      <c r="E1039" s="604"/>
      <c r="F1039" s="738"/>
      <c r="G1039" s="739"/>
      <c r="H1039" s="741"/>
      <c r="I1039" s="742"/>
      <c r="J1039" s="740"/>
      <c r="K1039" s="739"/>
      <c r="L1039" s="864">
        <v>0</v>
      </c>
      <c r="M1039" s="740">
        <f t="shared" si="337"/>
        <v>0</v>
      </c>
      <c r="N1039" s="604">
        <f t="shared" si="327"/>
        <v>0</v>
      </c>
      <c r="O1039" s="604">
        <f t="shared" si="328"/>
        <v>0</v>
      </c>
      <c r="P1039" s="604">
        <f t="shared" si="329"/>
        <v>0</v>
      </c>
      <c r="Q1039" s="604">
        <f t="shared" si="330"/>
        <v>0</v>
      </c>
      <c r="R1039" s="604">
        <f t="shared" ref="R1039:R1054" si="339">+IF(L1039-SUM(M1039:Q1039)&gt;0,G1039*F1039,0)-X1039</f>
        <v>0</v>
      </c>
      <c r="S1039" s="604">
        <f t="shared" si="331"/>
        <v>0</v>
      </c>
      <c r="T1039" s="604">
        <f t="shared" si="332"/>
        <v>0</v>
      </c>
      <c r="U1039" s="604">
        <f t="shared" si="333"/>
        <v>0</v>
      </c>
      <c r="V1039" s="604">
        <f t="shared" si="334"/>
        <v>0</v>
      </c>
      <c r="W1039" s="604">
        <f t="shared" si="335"/>
        <v>0</v>
      </c>
      <c r="X1039" s="746"/>
      <c r="Y1039" s="746">
        <f t="shared" si="336"/>
        <v>0</v>
      </c>
    </row>
    <row r="1040" spans="2:25">
      <c r="B1040" s="598" t="s">
        <v>2595</v>
      </c>
      <c r="C1040" s="604" t="s">
        <v>864</v>
      </c>
      <c r="D1040" s="745">
        <v>2021</v>
      </c>
      <c r="E1040" s="604"/>
      <c r="F1040" s="738"/>
      <c r="G1040" s="739"/>
      <c r="H1040" s="741"/>
      <c r="I1040" s="742"/>
      <c r="J1040" s="740"/>
      <c r="K1040" s="739"/>
      <c r="L1040" s="864">
        <v>0</v>
      </c>
      <c r="M1040" s="740">
        <f t="shared" si="337"/>
        <v>0</v>
      </c>
      <c r="N1040" s="604">
        <f t="shared" si="327"/>
        <v>0</v>
      </c>
      <c r="O1040" s="604">
        <f t="shared" si="328"/>
        <v>0</v>
      </c>
      <c r="P1040" s="604">
        <f t="shared" si="329"/>
        <v>0</v>
      </c>
      <c r="Q1040" s="604">
        <f t="shared" si="330"/>
        <v>0</v>
      </c>
      <c r="R1040" s="604">
        <f t="shared" si="339"/>
        <v>0</v>
      </c>
      <c r="S1040" s="604">
        <f t="shared" si="331"/>
        <v>0</v>
      </c>
      <c r="T1040" s="604">
        <f t="shared" si="332"/>
        <v>0</v>
      </c>
      <c r="U1040" s="604">
        <f t="shared" si="333"/>
        <v>0</v>
      </c>
      <c r="V1040" s="604">
        <f t="shared" si="334"/>
        <v>0</v>
      </c>
      <c r="W1040" s="604">
        <f t="shared" si="335"/>
        <v>0</v>
      </c>
      <c r="X1040" s="746"/>
      <c r="Y1040" s="746">
        <f t="shared" si="336"/>
        <v>0</v>
      </c>
    </row>
    <row r="1041" spans="2:25">
      <c r="B1041" s="598" t="s">
        <v>2595</v>
      </c>
      <c r="C1041" s="604" t="s">
        <v>864</v>
      </c>
      <c r="D1041" s="745">
        <v>2021</v>
      </c>
      <c r="E1041" s="604"/>
      <c r="F1041" s="738"/>
      <c r="G1041" s="739"/>
      <c r="H1041" s="741"/>
      <c r="I1041" s="742"/>
      <c r="J1041" s="740"/>
      <c r="K1041" s="739"/>
      <c r="L1041" s="864">
        <v>0</v>
      </c>
      <c r="M1041" s="740">
        <f t="shared" si="337"/>
        <v>0</v>
      </c>
      <c r="N1041" s="604">
        <f t="shared" si="327"/>
        <v>0</v>
      </c>
      <c r="O1041" s="604">
        <f t="shared" si="328"/>
        <v>0</v>
      </c>
      <c r="P1041" s="604">
        <f t="shared" si="329"/>
        <v>0</v>
      </c>
      <c r="Q1041" s="604">
        <f t="shared" si="330"/>
        <v>0</v>
      </c>
      <c r="R1041" s="604">
        <f t="shared" si="339"/>
        <v>0</v>
      </c>
      <c r="S1041" s="604">
        <f t="shared" si="331"/>
        <v>0</v>
      </c>
      <c r="T1041" s="604">
        <f t="shared" si="332"/>
        <v>0</v>
      </c>
      <c r="U1041" s="604">
        <f t="shared" si="333"/>
        <v>0</v>
      </c>
      <c r="V1041" s="604">
        <f t="shared" si="334"/>
        <v>0</v>
      </c>
      <c r="W1041" s="604">
        <f t="shared" si="335"/>
        <v>0</v>
      </c>
      <c r="X1041" s="746"/>
      <c r="Y1041" s="746">
        <f t="shared" si="336"/>
        <v>0</v>
      </c>
    </row>
    <row r="1042" spans="2:25">
      <c r="B1042" s="598" t="s">
        <v>2595</v>
      </c>
      <c r="C1042" s="604" t="s">
        <v>864</v>
      </c>
      <c r="D1042" s="745">
        <v>2021</v>
      </c>
      <c r="E1042" s="604"/>
      <c r="F1042" s="738"/>
      <c r="G1042" s="739"/>
      <c r="H1042" s="741"/>
      <c r="I1042" s="742"/>
      <c r="J1042" s="740"/>
      <c r="K1042" s="739"/>
      <c r="L1042" s="864">
        <v>0</v>
      </c>
      <c r="M1042" s="740">
        <f t="shared" si="337"/>
        <v>0</v>
      </c>
      <c r="N1042" s="604">
        <f t="shared" si="327"/>
        <v>0</v>
      </c>
      <c r="O1042" s="604">
        <f t="shared" si="328"/>
        <v>0</v>
      </c>
      <c r="P1042" s="604">
        <f t="shared" si="329"/>
        <v>0</v>
      </c>
      <c r="Q1042" s="604">
        <f t="shared" si="330"/>
        <v>0</v>
      </c>
      <c r="R1042" s="604">
        <f t="shared" si="339"/>
        <v>0</v>
      </c>
      <c r="S1042" s="604">
        <f t="shared" si="331"/>
        <v>0</v>
      </c>
      <c r="T1042" s="604">
        <f t="shared" si="332"/>
        <v>0</v>
      </c>
      <c r="U1042" s="604">
        <f t="shared" si="333"/>
        <v>0</v>
      </c>
      <c r="V1042" s="604">
        <f t="shared" si="334"/>
        <v>0</v>
      </c>
      <c r="W1042" s="604">
        <f t="shared" si="335"/>
        <v>0</v>
      </c>
      <c r="X1042" s="746"/>
      <c r="Y1042" s="746">
        <f t="shared" si="336"/>
        <v>0</v>
      </c>
    </row>
    <row r="1043" spans="2:25">
      <c r="B1043" s="598" t="s">
        <v>2595</v>
      </c>
      <c r="C1043" s="604" t="s">
        <v>864</v>
      </c>
      <c r="D1043" s="745">
        <v>2021</v>
      </c>
      <c r="E1043" s="604"/>
      <c r="F1043" s="738"/>
      <c r="G1043" s="739"/>
      <c r="H1043" s="741"/>
      <c r="I1043" s="742"/>
      <c r="J1043" s="740"/>
      <c r="K1043" s="739"/>
      <c r="L1043" s="864">
        <v>0</v>
      </c>
      <c r="M1043" s="740">
        <f t="shared" si="337"/>
        <v>0</v>
      </c>
      <c r="N1043" s="604">
        <f t="shared" si="327"/>
        <v>0</v>
      </c>
      <c r="O1043" s="604">
        <f t="shared" si="328"/>
        <v>0</v>
      </c>
      <c r="P1043" s="604">
        <f t="shared" si="329"/>
        <v>0</v>
      </c>
      <c r="Q1043" s="604">
        <f t="shared" si="330"/>
        <v>0</v>
      </c>
      <c r="R1043" s="604">
        <f t="shared" si="339"/>
        <v>0</v>
      </c>
      <c r="S1043" s="604">
        <f t="shared" si="331"/>
        <v>0</v>
      </c>
      <c r="T1043" s="604">
        <f t="shared" si="332"/>
        <v>0</v>
      </c>
      <c r="U1043" s="604">
        <f t="shared" si="333"/>
        <v>0</v>
      </c>
      <c r="V1043" s="604">
        <f t="shared" si="334"/>
        <v>0</v>
      </c>
      <c r="W1043" s="604">
        <f t="shared" si="335"/>
        <v>0</v>
      </c>
      <c r="X1043" s="746"/>
      <c r="Y1043" s="746">
        <f t="shared" si="336"/>
        <v>0</v>
      </c>
    </row>
    <row r="1044" spans="2:25">
      <c r="B1044" s="598" t="s">
        <v>2595</v>
      </c>
      <c r="C1044" s="604" t="s">
        <v>864</v>
      </c>
      <c r="D1044" s="745">
        <v>2021</v>
      </c>
      <c r="E1044" s="604"/>
      <c r="F1044" s="738"/>
      <c r="G1044" s="739"/>
      <c r="H1044" s="741"/>
      <c r="I1044" s="742"/>
      <c r="J1044" s="740"/>
      <c r="K1044" s="739"/>
      <c r="L1044" s="864">
        <v>0</v>
      </c>
      <c r="M1044" s="740">
        <f t="shared" si="337"/>
        <v>0</v>
      </c>
      <c r="N1044" s="604">
        <f t="shared" si="327"/>
        <v>0</v>
      </c>
      <c r="O1044" s="604">
        <f t="shared" si="328"/>
        <v>0</v>
      </c>
      <c r="P1044" s="604">
        <f t="shared" si="329"/>
        <v>0</v>
      </c>
      <c r="Q1044" s="604">
        <f t="shared" si="330"/>
        <v>0</v>
      </c>
      <c r="R1044" s="604">
        <f t="shared" si="339"/>
        <v>0</v>
      </c>
      <c r="S1044" s="604">
        <f t="shared" si="331"/>
        <v>0</v>
      </c>
      <c r="T1044" s="604">
        <f t="shared" si="332"/>
        <v>0</v>
      </c>
      <c r="U1044" s="604">
        <f t="shared" si="333"/>
        <v>0</v>
      </c>
      <c r="V1044" s="604">
        <f t="shared" si="334"/>
        <v>0</v>
      </c>
      <c r="W1044" s="604">
        <f t="shared" si="335"/>
        <v>0</v>
      </c>
      <c r="X1044" s="746"/>
      <c r="Y1044" s="746">
        <f t="shared" si="336"/>
        <v>0</v>
      </c>
    </row>
    <row r="1045" spans="2:25">
      <c r="B1045" s="598" t="s">
        <v>2595</v>
      </c>
      <c r="C1045" s="604" t="s">
        <v>864</v>
      </c>
      <c r="D1045" s="745">
        <v>2021</v>
      </c>
      <c r="E1045" s="604"/>
      <c r="F1045" s="738"/>
      <c r="G1045" s="739"/>
      <c r="H1045" s="741"/>
      <c r="I1045" s="742"/>
      <c r="J1045" s="740"/>
      <c r="K1045" s="739"/>
      <c r="L1045" s="864">
        <v>0</v>
      </c>
      <c r="M1045" s="740">
        <f t="shared" si="337"/>
        <v>0</v>
      </c>
      <c r="N1045" s="604">
        <f t="shared" si="327"/>
        <v>0</v>
      </c>
      <c r="O1045" s="604">
        <f t="shared" si="328"/>
        <v>0</v>
      </c>
      <c r="P1045" s="604">
        <f t="shared" si="329"/>
        <v>0</v>
      </c>
      <c r="Q1045" s="604">
        <f t="shared" si="330"/>
        <v>0</v>
      </c>
      <c r="R1045" s="604">
        <f t="shared" si="339"/>
        <v>0</v>
      </c>
      <c r="S1045" s="604">
        <f t="shared" si="331"/>
        <v>0</v>
      </c>
      <c r="T1045" s="604">
        <f t="shared" si="332"/>
        <v>0</v>
      </c>
      <c r="U1045" s="604">
        <f t="shared" si="333"/>
        <v>0</v>
      </c>
      <c r="V1045" s="604">
        <f t="shared" si="334"/>
        <v>0</v>
      </c>
      <c r="W1045" s="604">
        <f t="shared" si="335"/>
        <v>0</v>
      </c>
      <c r="X1045" s="746"/>
      <c r="Y1045" s="746">
        <f t="shared" si="336"/>
        <v>0</v>
      </c>
    </row>
    <row r="1046" spans="2:25">
      <c r="B1046" s="598" t="s">
        <v>2595</v>
      </c>
      <c r="C1046" s="604" t="s">
        <v>864</v>
      </c>
      <c r="D1046" s="745">
        <v>2021</v>
      </c>
      <c r="E1046" s="604"/>
      <c r="F1046" s="738"/>
      <c r="G1046" s="739"/>
      <c r="H1046" s="741"/>
      <c r="I1046" s="742"/>
      <c r="J1046" s="740"/>
      <c r="K1046" s="739"/>
      <c r="L1046" s="864">
        <v>0</v>
      </c>
      <c r="M1046" s="740">
        <f t="shared" si="337"/>
        <v>0</v>
      </c>
      <c r="N1046" s="604">
        <f t="shared" si="327"/>
        <v>0</v>
      </c>
      <c r="O1046" s="604">
        <f t="shared" si="328"/>
        <v>0</v>
      </c>
      <c r="P1046" s="604">
        <f t="shared" si="329"/>
        <v>0</v>
      </c>
      <c r="Q1046" s="604">
        <f t="shared" si="330"/>
        <v>0</v>
      </c>
      <c r="R1046" s="604">
        <f t="shared" si="339"/>
        <v>0</v>
      </c>
      <c r="S1046" s="604">
        <f t="shared" si="331"/>
        <v>0</v>
      </c>
      <c r="T1046" s="604">
        <f t="shared" si="332"/>
        <v>0</v>
      </c>
      <c r="U1046" s="604">
        <f t="shared" si="333"/>
        <v>0</v>
      </c>
      <c r="V1046" s="604">
        <f t="shared" si="334"/>
        <v>0</v>
      </c>
      <c r="W1046" s="604">
        <f t="shared" si="335"/>
        <v>0</v>
      </c>
      <c r="X1046" s="746"/>
      <c r="Y1046" s="746">
        <f t="shared" si="336"/>
        <v>0</v>
      </c>
    </row>
    <row r="1047" spans="2:25">
      <c r="B1047" s="598" t="s">
        <v>2595</v>
      </c>
      <c r="C1047" s="604" t="s">
        <v>864</v>
      </c>
      <c r="D1047" s="745">
        <v>2021</v>
      </c>
      <c r="E1047" s="604"/>
      <c r="F1047" s="738"/>
      <c r="G1047" s="739"/>
      <c r="H1047" s="741"/>
      <c r="I1047" s="742"/>
      <c r="J1047" s="740"/>
      <c r="K1047" s="739"/>
      <c r="L1047" s="864">
        <v>0</v>
      </c>
      <c r="M1047" s="740">
        <f t="shared" si="337"/>
        <v>0</v>
      </c>
      <c r="N1047" s="604">
        <f t="shared" si="327"/>
        <v>0</v>
      </c>
      <c r="O1047" s="604">
        <f t="shared" si="328"/>
        <v>0</v>
      </c>
      <c r="P1047" s="604">
        <f t="shared" si="329"/>
        <v>0</v>
      </c>
      <c r="Q1047" s="604">
        <f t="shared" si="330"/>
        <v>0</v>
      </c>
      <c r="R1047" s="604">
        <f t="shared" si="339"/>
        <v>0</v>
      </c>
      <c r="S1047" s="604">
        <f t="shared" si="331"/>
        <v>0</v>
      </c>
      <c r="T1047" s="604">
        <f t="shared" si="332"/>
        <v>0</v>
      </c>
      <c r="U1047" s="604">
        <f t="shared" si="333"/>
        <v>0</v>
      </c>
      <c r="V1047" s="604">
        <f t="shared" si="334"/>
        <v>0</v>
      </c>
      <c r="W1047" s="604">
        <f t="shared" si="335"/>
        <v>0</v>
      </c>
      <c r="X1047" s="746"/>
      <c r="Y1047" s="746">
        <f t="shared" si="336"/>
        <v>0</v>
      </c>
    </row>
    <row r="1048" spans="2:25">
      <c r="B1048" s="598" t="s">
        <v>2595</v>
      </c>
      <c r="C1048" s="604" t="s">
        <v>864</v>
      </c>
      <c r="D1048" s="745">
        <v>2021</v>
      </c>
      <c r="E1048" s="604"/>
      <c r="F1048" s="738"/>
      <c r="G1048" s="739"/>
      <c r="H1048" s="741"/>
      <c r="I1048" s="742"/>
      <c r="J1048" s="740"/>
      <c r="K1048" s="739"/>
      <c r="L1048" s="864">
        <v>0</v>
      </c>
      <c r="M1048" s="740">
        <f t="shared" si="337"/>
        <v>0</v>
      </c>
      <c r="N1048" s="604">
        <f t="shared" si="327"/>
        <v>0</v>
      </c>
      <c r="O1048" s="604">
        <f t="shared" si="328"/>
        <v>0</v>
      </c>
      <c r="P1048" s="604">
        <f t="shared" si="329"/>
        <v>0</v>
      </c>
      <c r="Q1048" s="604">
        <f t="shared" si="330"/>
        <v>0</v>
      </c>
      <c r="R1048" s="604">
        <f t="shared" si="339"/>
        <v>0</v>
      </c>
      <c r="S1048" s="604">
        <f t="shared" si="331"/>
        <v>0</v>
      </c>
      <c r="T1048" s="604">
        <f t="shared" si="332"/>
        <v>0</v>
      </c>
      <c r="U1048" s="604">
        <f t="shared" si="333"/>
        <v>0</v>
      </c>
      <c r="V1048" s="604">
        <f t="shared" si="334"/>
        <v>0</v>
      </c>
      <c r="W1048" s="604">
        <f t="shared" si="335"/>
        <v>0</v>
      </c>
      <c r="X1048" s="746"/>
      <c r="Y1048" s="746">
        <f t="shared" si="336"/>
        <v>0</v>
      </c>
    </row>
    <row r="1049" spans="2:25">
      <c r="B1049" s="598" t="s">
        <v>2595</v>
      </c>
      <c r="C1049" s="604" t="s">
        <v>864</v>
      </c>
      <c r="D1049" s="745">
        <v>2021</v>
      </c>
      <c r="E1049" s="604"/>
      <c r="F1049" s="738"/>
      <c r="G1049" s="739"/>
      <c r="H1049" s="741"/>
      <c r="I1049" s="742"/>
      <c r="J1049" s="740"/>
      <c r="K1049" s="739"/>
      <c r="L1049" s="864">
        <v>0</v>
      </c>
      <c r="M1049" s="740">
        <f t="shared" si="337"/>
        <v>0</v>
      </c>
      <c r="N1049" s="604">
        <f t="shared" si="327"/>
        <v>0</v>
      </c>
      <c r="O1049" s="604">
        <f t="shared" si="328"/>
        <v>0</v>
      </c>
      <c r="P1049" s="604">
        <f t="shared" si="329"/>
        <v>0</v>
      </c>
      <c r="Q1049" s="604">
        <f t="shared" si="330"/>
        <v>0</v>
      </c>
      <c r="R1049" s="604">
        <f t="shared" si="339"/>
        <v>0</v>
      </c>
      <c r="S1049" s="604">
        <f t="shared" si="331"/>
        <v>0</v>
      </c>
      <c r="T1049" s="604">
        <f t="shared" si="332"/>
        <v>0</v>
      </c>
      <c r="U1049" s="604">
        <f t="shared" si="333"/>
        <v>0</v>
      </c>
      <c r="V1049" s="604">
        <f t="shared" si="334"/>
        <v>0</v>
      </c>
      <c r="W1049" s="604">
        <f t="shared" si="335"/>
        <v>0</v>
      </c>
      <c r="X1049" s="746"/>
      <c r="Y1049" s="746">
        <f t="shared" si="336"/>
        <v>0</v>
      </c>
    </row>
    <row r="1050" spans="2:25">
      <c r="B1050" s="598" t="s">
        <v>2595</v>
      </c>
      <c r="C1050" s="604" t="s">
        <v>864</v>
      </c>
      <c r="D1050" s="745">
        <v>2021</v>
      </c>
      <c r="E1050" s="604"/>
      <c r="F1050" s="738"/>
      <c r="G1050" s="739"/>
      <c r="H1050" s="741"/>
      <c r="I1050" s="742"/>
      <c r="J1050" s="740"/>
      <c r="K1050" s="739"/>
      <c r="L1050" s="864">
        <v>0</v>
      </c>
      <c r="M1050" s="740">
        <f t="shared" si="337"/>
        <v>0</v>
      </c>
      <c r="N1050" s="604">
        <f t="shared" si="327"/>
        <v>0</v>
      </c>
      <c r="O1050" s="604">
        <f t="shared" si="328"/>
        <v>0</v>
      </c>
      <c r="P1050" s="604">
        <f t="shared" si="329"/>
        <v>0</v>
      </c>
      <c r="Q1050" s="604">
        <f t="shared" si="330"/>
        <v>0</v>
      </c>
      <c r="R1050" s="604">
        <f t="shared" si="339"/>
        <v>0</v>
      </c>
      <c r="S1050" s="604">
        <f t="shared" si="331"/>
        <v>0</v>
      </c>
      <c r="T1050" s="604">
        <f t="shared" si="332"/>
        <v>0</v>
      </c>
      <c r="U1050" s="604">
        <f t="shared" si="333"/>
        <v>0</v>
      </c>
      <c r="V1050" s="604">
        <f t="shared" si="334"/>
        <v>0</v>
      </c>
      <c r="W1050" s="604">
        <f t="shared" si="335"/>
        <v>0</v>
      </c>
      <c r="X1050" s="746"/>
      <c r="Y1050" s="746">
        <f t="shared" si="336"/>
        <v>0</v>
      </c>
    </row>
    <row r="1051" spans="2:25">
      <c r="B1051" s="598" t="s">
        <v>2595</v>
      </c>
      <c r="C1051" s="604" t="s">
        <v>864</v>
      </c>
      <c r="D1051" s="745">
        <v>2021</v>
      </c>
      <c r="E1051" s="604"/>
      <c r="F1051" s="738"/>
      <c r="G1051" s="739"/>
      <c r="H1051" s="741"/>
      <c r="I1051" s="742"/>
      <c r="J1051" s="740"/>
      <c r="K1051" s="739"/>
      <c r="L1051" s="864">
        <v>0</v>
      </c>
      <c r="M1051" s="740">
        <f t="shared" si="337"/>
        <v>0</v>
      </c>
      <c r="N1051" s="604">
        <f t="shared" si="327"/>
        <v>0</v>
      </c>
      <c r="O1051" s="604">
        <f t="shared" si="328"/>
        <v>0</v>
      </c>
      <c r="P1051" s="604">
        <f t="shared" si="329"/>
        <v>0</v>
      </c>
      <c r="Q1051" s="604">
        <f t="shared" si="330"/>
        <v>0</v>
      </c>
      <c r="R1051" s="604">
        <f t="shared" si="339"/>
        <v>0</v>
      </c>
      <c r="S1051" s="604">
        <f t="shared" si="331"/>
        <v>0</v>
      </c>
      <c r="T1051" s="604">
        <f t="shared" si="332"/>
        <v>0</v>
      </c>
      <c r="U1051" s="604">
        <f t="shared" si="333"/>
        <v>0</v>
      </c>
      <c r="V1051" s="604">
        <f t="shared" si="334"/>
        <v>0</v>
      </c>
      <c r="W1051" s="604">
        <f t="shared" si="335"/>
        <v>0</v>
      </c>
      <c r="X1051" s="746"/>
      <c r="Y1051" s="746">
        <f t="shared" si="336"/>
        <v>0</v>
      </c>
    </row>
    <row r="1052" spans="2:25">
      <c r="B1052" s="598" t="s">
        <v>2595</v>
      </c>
      <c r="C1052" s="604" t="s">
        <v>864</v>
      </c>
      <c r="D1052" s="745">
        <v>2021</v>
      </c>
      <c r="E1052" s="604"/>
      <c r="F1052" s="738"/>
      <c r="G1052" s="739"/>
      <c r="H1052" s="741"/>
      <c r="I1052" s="742"/>
      <c r="J1052" s="740"/>
      <c r="K1052" s="739"/>
      <c r="L1052" s="864">
        <v>0</v>
      </c>
      <c r="M1052" s="740">
        <f t="shared" si="337"/>
        <v>0</v>
      </c>
      <c r="N1052" s="604">
        <f t="shared" si="327"/>
        <v>0</v>
      </c>
      <c r="O1052" s="604">
        <f t="shared" si="328"/>
        <v>0</v>
      </c>
      <c r="P1052" s="604">
        <f t="shared" si="329"/>
        <v>0</v>
      </c>
      <c r="Q1052" s="604">
        <f t="shared" si="330"/>
        <v>0</v>
      </c>
      <c r="R1052" s="604">
        <f t="shared" si="339"/>
        <v>0</v>
      </c>
      <c r="S1052" s="604">
        <f t="shared" si="331"/>
        <v>0</v>
      </c>
      <c r="T1052" s="604">
        <f t="shared" si="332"/>
        <v>0</v>
      </c>
      <c r="U1052" s="604">
        <f t="shared" si="333"/>
        <v>0</v>
      </c>
      <c r="V1052" s="604">
        <f t="shared" si="334"/>
        <v>0</v>
      </c>
      <c r="W1052" s="604">
        <f t="shared" si="335"/>
        <v>0</v>
      </c>
      <c r="X1052" s="746"/>
      <c r="Y1052" s="746">
        <f t="shared" si="336"/>
        <v>0</v>
      </c>
    </row>
    <row r="1053" spans="2:25">
      <c r="B1053" s="598" t="s">
        <v>2595</v>
      </c>
      <c r="C1053" s="604" t="s">
        <v>864</v>
      </c>
      <c r="D1053" s="745">
        <v>2021</v>
      </c>
      <c r="E1053" s="604"/>
      <c r="F1053" s="738"/>
      <c r="G1053" s="739"/>
      <c r="H1053" s="741"/>
      <c r="I1053" s="742"/>
      <c r="J1053" s="740"/>
      <c r="K1053" s="739"/>
      <c r="L1053" s="864">
        <v>0</v>
      </c>
      <c r="M1053" s="740">
        <f t="shared" si="337"/>
        <v>0</v>
      </c>
      <c r="N1053" s="604">
        <f t="shared" si="327"/>
        <v>0</v>
      </c>
      <c r="O1053" s="604">
        <f t="shared" si="328"/>
        <v>0</v>
      </c>
      <c r="P1053" s="604">
        <f t="shared" si="329"/>
        <v>0</v>
      </c>
      <c r="Q1053" s="604">
        <f t="shared" si="330"/>
        <v>0</v>
      </c>
      <c r="R1053" s="604">
        <f t="shared" si="339"/>
        <v>0</v>
      </c>
      <c r="S1053" s="604">
        <f t="shared" si="331"/>
        <v>0</v>
      </c>
      <c r="T1053" s="604">
        <f t="shared" si="332"/>
        <v>0</v>
      </c>
      <c r="U1053" s="604">
        <f t="shared" si="333"/>
        <v>0</v>
      </c>
      <c r="V1053" s="604">
        <f t="shared" si="334"/>
        <v>0</v>
      </c>
      <c r="W1053" s="604">
        <f t="shared" si="335"/>
        <v>0</v>
      </c>
      <c r="X1053" s="746"/>
      <c r="Y1053" s="746">
        <f t="shared" si="336"/>
        <v>0</v>
      </c>
    </row>
    <row r="1054" spans="2:25">
      <c r="B1054" s="598" t="s">
        <v>2595</v>
      </c>
      <c r="C1054" s="604" t="s">
        <v>864</v>
      </c>
      <c r="D1054" s="745">
        <v>2021</v>
      </c>
      <c r="E1054" s="604"/>
      <c r="F1054" s="738"/>
      <c r="G1054" s="739"/>
      <c r="H1054" s="741"/>
      <c r="I1054" s="742"/>
      <c r="J1054" s="740"/>
      <c r="K1054" s="739"/>
      <c r="L1054" s="864">
        <v>0</v>
      </c>
      <c r="M1054" s="740">
        <f t="shared" si="337"/>
        <v>0</v>
      </c>
      <c r="N1054" s="604">
        <f t="shared" si="327"/>
        <v>0</v>
      </c>
      <c r="O1054" s="604">
        <f t="shared" si="328"/>
        <v>0</v>
      </c>
      <c r="P1054" s="604">
        <f t="shared" si="329"/>
        <v>0</v>
      </c>
      <c r="Q1054" s="604">
        <f t="shared" si="330"/>
        <v>0</v>
      </c>
      <c r="R1054" s="604">
        <f t="shared" si="339"/>
        <v>0</v>
      </c>
      <c r="S1054" s="604">
        <f t="shared" si="331"/>
        <v>0</v>
      </c>
      <c r="T1054" s="604">
        <f t="shared" si="332"/>
        <v>0</v>
      </c>
      <c r="U1054" s="604">
        <f t="shared" si="333"/>
        <v>0</v>
      </c>
      <c r="V1054" s="604">
        <f t="shared" si="334"/>
        <v>0</v>
      </c>
      <c r="W1054" s="604">
        <f t="shared" si="335"/>
        <v>0</v>
      </c>
      <c r="X1054" s="746"/>
      <c r="Y1054" s="746">
        <f t="shared" si="336"/>
        <v>0</v>
      </c>
    </row>
    <row r="1055" spans="2:25">
      <c r="B1055" s="598" t="s">
        <v>2595</v>
      </c>
      <c r="C1055" s="604" t="s">
        <v>864</v>
      </c>
      <c r="D1055" s="745">
        <v>2022</v>
      </c>
      <c r="E1055" s="604"/>
      <c r="F1055" s="738"/>
      <c r="G1055" s="739"/>
      <c r="H1055" s="741"/>
      <c r="I1055" s="742"/>
      <c r="J1055" s="740"/>
      <c r="K1055" s="739"/>
      <c r="L1055" s="864">
        <v>0</v>
      </c>
      <c r="M1055" s="740">
        <f t="shared" si="337"/>
        <v>0</v>
      </c>
      <c r="N1055" s="604">
        <f t="shared" si="327"/>
        <v>0</v>
      </c>
      <c r="O1055" s="604">
        <f t="shared" si="328"/>
        <v>0</v>
      </c>
      <c r="P1055" s="604">
        <f t="shared" si="329"/>
        <v>0</v>
      </c>
      <c r="Q1055" s="604">
        <f t="shared" si="330"/>
        <v>0</v>
      </c>
      <c r="R1055" s="604">
        <f t="shared" si="338"/>
        <v>0</v>
      </c>
      <c r="S1055" s="604">
        <f t="shared" ref="S1055:S1082" si="340">+IF(L1055-SUM(M1055:R1055)&gt;0,G1055*F1055,0)-X1055</f>
        <v>0</v>
      </c>
      <c r="T1055" s="604">
        <f t="shared" si="332"/>
        <v>0</v>
      </c>
      <c r="U1055" s="604">
        <f t="shared" si="333"/>
        <v>0</v>
      </c>
      <c r="V1055" s="604">
        <f t="shared" si="334"/>
        <v>0</v>
      </c>
      <c r="W1055" s="604">
        <f t="shared" si="335"/>
        <v>0</v>
      </c>
      <c r="X1055" s="746"/>
      <c r="Y1055" s="746">
        <f t="shared" si="336"/>
        <v>0</v>
      </c>
    </row>
    <row r="1056" spans="2:25">
      <c r="B1056" s="598" t="s">
        <v>2595</v>
      </c>
      <c r="C1056" s="604" t="s">
        <v>864</v>
      </c>
      <c r="D1056" s="745">
        <v>2022</v>
      </c>
      <c r="E1056" s="604"/>
      <c r="F1056" s="738"/>
      <c r="G1056" s="739"/>
      <c r="H1056" s="741"/>
      <c r="I1056" s="742"/>
      <c r="J1056" s="740"/>
      <c r="K1056" s="739"/>
      <c r="L1056" s="864">
        <v>0</v>
      </c>
      <c r="M1056" s="740">
        <f t="shared" si="337"/>
        <v>0</v>
      </c>
      <c r="N1056" s="604">
        <f t="shared" si="327"/>
        <v>0</v>
      </c>
      <c r="O1056" s="604">
        <f t="shared" si="328"/>
        <v>0</v>
      </c>
      <c r="P1056" s="604">
        <f t="shared" si="329"/>
        <v>0</v>
      </c>
      <c r="Q1056" s="604">
        <f t="shared" si="330"/>
        <v>0</v>
      </c>
      <c r="R1056" s="604">
        <f t="shared" si="338"/>
        <v>0</v>
      </c>
      <c r="S1056" s="604">
        <f t="shared" si="340"/>
        <v>0</v>
      </c>
      <c r="T1056" s="604">
        <f t="shared" si="332"/>
        <v>0</v>
      </c>
      <c r="U1056" s="604">
        <f t="shared" si="333"/>
        <v>0</v>
      </c>
      <c r="V1056" s="604">
        <f t="shared" si="334"/>
        <v>0</v>
      </c>
      <c r="W1056" s="604">
        <f t="shared" si="335"/>
        <v>0</v>
      </c>
      <c r="X1056" s="746"/>
      <c r="Y1056" s="746">
        <f t="shared" si="336"/>
        <v>0</v>
      </c>
    </row>
    <row r="1057" spans="2:25">
      <c r="B1057" s="598" t="s">
        <v>2595</v>
      </c>
      <c r="C1057" s="604" t="s">
        <v>864</v>
      </c>
      <c r="D1057" s="745">
        <v>2022</v>
      </c>
      <c r="E1057" s="604"/>
      <c r="F1057" s="738"/>
      <c r="G1057" s="739"/>
      <c r="H1057" s="741"/>
      <c r="I1057" s="742"/>
      <c r="J1057" s="740"/>
      <c r="K1057" s="739"/>
      <c r="L1057" s="864">
        <v>0</v>
      </c>
      <c r="M1057" s="740">
        <f t="shared" si="337"/>
        <v>0</v>
      </c>
      <c r="N1057" s="604">
        <f t="shared" si="327"/>
        <v>0</v>
      </c>
      <c r="O1057" s="604">
        <f t="shared" si="328"/>
        <v>0</v>
      </c>
      <c r="P1057" s="604">
        <f t="shared" si="329"/>
        <v>0</v>
      </c>
      <c r="Q1057" s="604">
        <f t="shared" si="330"/>
        <v>0</v>
      </c>
      <c r="R1057" s="604">
        <f t="shared" si="338"/>
        <v>0</v>
      </c>
      <c r="S1057" s="604">
        <f t="shared" si="340"/>
        <v>0</v>
      </c>
      <c r="T1057" s="604">
        <f t="shared" si="332"/>
        <v>0</v>
      </c>
      <c r="U1057" s="604">
        <f t="shared" si="333"/>
        <v>0</v>
      </c>
      <c r="V1057" s="604">
        <f t="shared" si="334"/>
        <v>0</v>
      </c>
      <c r="W1057" s="604">
        <f t="shared" si="335"/>
        <v>0</v>
      </c>
      <c r="X1057" s="746"/>
      <c r="Y1057" s="746">
        <f t="shared" si="336"/>
        <v>0</v>
      </c>
    </row>
    <row r="1058" spans="2:25">
      <c r="B1058" s="598" t="s">
        <v>2595</v>
      </c>
      <c r="C1058" s="604" t="s">
        <v>864</v>
      </c>
      <c r="D1058" s="745">
        <v>2022</v>
      </c>
      <c r="E1058" s="604"/>
      <c r="F1058" s="738"/>
      <c r="G1058" s="739"/>
      <c r="H1058" s="741"/>
      <c r="I1058" s="742"/>
      <c r="J1058" s="740"/>
      <c r="K1058" s="739"/>
      <c r="L1058" s="864">
        <v>0</v>
      </c>
      <c r="M1058" s="740">
        <f t="shared" si="337"/>
        <v>0</v>
      </c>
      <c r="N1058" s="604">
        <f t="shared" si="327"/>
        <v>0</v>
      </c>
      <c r="O1058" s="604">
        <f t="shared" si="328"/>
        <v>0</v>
      </c>
      <c r="P1058" s="604">
        <f t="shared" si="329"/>
        <v>0</v>
      </c>
      <c r="Q1058" s="604">
        <f t="shared" si="330"/>
        <v>0</v>
      </c>
      <c r="R1058" s="604">
        <f t="shared" si="338"/>
        <v>0</v>
      </c>
      <c r="S1058" s="604">
        <f t="shared" si="340"/>
        <v>0</v>
      </c>
      <c r="T1058" s="604">
        <f t="shared" si="332"/>
        <v>0</v>
      </c>
      <c r="U1058" s="604">
        <f t="shared" si="333"/>
        <v>0</v>
      </c>
      <c r="V1058" s="604">
        <f t="shared" si="334"/>
        <v>0</v>
      </c>
      <c r="W1058" s="604">
        <f t="shared" si="335"/>
        <v>0</v>
      </c>
      <c r="X1058" s="746"/>
      <c r="Y1058" s="746">
        <f t="shared" si="336"/>
        <v>0</v>
      </c>
    </row>
    <row r="1059" spans="2:25">
      <c r="B1059" s="598" t="s">
        <v>2595</v>
      </c>
      <c r="C1059" s="604" t="s">
        <v>864</v>
      </c>
      <c r="D1059" s="745">
        <v>2022</v>
      </c>
      <c r="E1059" s="604"/>
      <c r="F1059" s="738"/>
      <c r="G1059" s="739"/>
      <c r="H1059" s="741"/>
      <c r="I1059" s="742"/>
      <c r="J1059" s="740"/>
      <c r="K1059" s="739"/>
      <c r="L1059" s="864">
        <v>0</v>
      </c>
      <c r="M1059" s="740">
        <f t="shared" si="337"/>
        <v>0</v>
      </c>
      <c r="N1059" s="604">
        <f t="shared" si="327"/>
        <v>0</v>
      </c>
      <c r="O1059" s="604">
        <f t="shared" si="328"/>
        <v>0</v>
      </c>
      <c r="P1059" s="604">
        <f t="shared" si="329"/>
        <v>0</v>
      </c>
      <c r="Q1059" s="604">
        <f t="shared" si="330"/>
        <v>0</v>
      </c>
      <c r="R1059" s="604">
        <f t="shared" si="338"/>
        <v>0</v>
      </c>
      <c r="S1059" s="604">
        <f t="shared" si="340"/>
        <v>0</v>
      </c>
      <c r="T1059" s="604">
        <f t="shared" si="332"/>
        <v>0</v>
      </c>
      <c r="U1059" s="604">
        <f t="shared" si="333"/>
        <v>0</v>
      </c>
      <c r="V1059" s="604">
        <f t="shared" si="334"/>
        <v>0</v>
      </c>
      <c r="W1059" s="604">
        <f t="shared" si="335"/>
        <v>0</v>
      </c>
      <c r="X1059" s="746"/>
      <c r="Y1059" s="746">
        <f t="shared" si="336"/>
        <v>0</v>
      </c>
    </row>
    <row r="1060" spans="2:25">
      <c r="B1060" s="598" t="s">
        <v>2595</v>
      </c>
      <c r="C1060" s="604" t="s">
        <v>864</v>
      </c>
      <c r="D1060" s="745">
        <v>2022</v>
      </c>
      <c r="E1060" s="604"/>
      <c r="F1060" s="738"/>
      <c r="G1060" s="739"/>
      <c r="H1060" s="741"/>
      <c r="I1060" s="742"/>
      <c r="J1060" s="740"/>
      <c r="K1060" s="739"/>
      <c r="L1060" s="864">
        <v>0</v>
      </c>
      <c r="M1060" s="740">
        <f t="shared" si="337"/>
        <v>0</v>
      </c>
      <c r="N1060" s="604">
        <f t="shared" si="327"/>
        <v>0</v>
      </c>
      <c r="O1060" s="604">
        <f t="shared" si="328"/>
        <v>0</v>
      </c>
      <c r="P1060" s="604">
        <f t="shared" si="329"/>
        <v>0</v>
      </c>
      <c r="Q1060" s="604">
        <f t="shared" si="330"/>
        <v>0</v>
      </c>
      <c r="R1060" s="604">
        <f t="shared" si="338"/>
        <v>0</v>
      </c>
      <c r="S1060" s="604">
        <f t="shared" si="340"/>
        <v>0</v>
      </c>
      <c r="T1060" s="604">
        <f t="shared" si="332"/>
        <v>0</v>
      </c>
      <c r="U1060" s="604">
        <f t="shared" si="333"/>
        <v>0</v>
      </c>
      <c r="V1060" s="604">
        <f t="shared" si="334"/>
        <v>0</v>
      </c>
      <c r="W1060" s="604">
        <f t="shared" si="335"/>
        <v>0</v>
      </c>
      <c r="X1060" s="746"/>
      <c r="Y1060" s="746">
        <f t="shared" si="336"/>
        <v>0</v>
      </c>
    </row>
    <row r="1061" spans="2:25">
      <c r="B1061" s="598" t="s">
        <v>2595</v>
      </c>
      <c r="C1061" s="604" t="s">
        <v>864</v>
      </c>
      <c r="D1061" s="745">
        <v>2022</v>
      </c>
      <c r="E1061" s="604"/>
      <c r="F1061" s="738"/>
      <c r="G1061" s="739"/>
      <c r="H1061" s="741"/>
      <c r="I1061" s="742"/>
      <c r="J1061" s="740"/>
      <c r="K1061" s="739"/>
      <c r="L1061" s="864">
        <v>0</v>
      </c>
      <c r="M1061" s="740">
        <f t="shared" si="337"/>
        <v>0</v>
      </c>
      <c r="N1061" s="604">
        <f t="shared" si="327"/>
        <v>0</v>
      </c>
      <c r="O1061" s="604">
        <f t="shared" si="328"/>
        <v>0</v>
      </c>
      <c r="P1061" s="604">
        <f t="shared" si="329"/>
        <v>0</v>
      </c>
      <c r="Q1061" s="604">
        <f t="shared" si="330"/>
        <v>0</v>
      </c>
      <c r="R1061" s="604">
        <f t="shared" si="338"/>
        <v>0</v>
      </c>
      <c r="S1061" s="604">
        <f t="shared" si="340"/>
        <v>0</v>
      </c>
      <c r="T1061" s="604">
        <f t="shared" si="332"/>
        <v>0</v>
      </c>
      <c r="U1061" s="604">
        <f t="shared" si="333"/>
        <v>0</v>
      </c>
      <c r="V1061" s="604">
        <f t="shared" si="334"/>
        <v>0</v>
      </c>
      <c r="W1061" s="604">
        <f t="shared" si="335"/>
        <v>0</v>
      </c>
      <c r="X1061" s="746"/>
      <c r="Y1061" s="746">
        <f t="shared" si="336"/>
        <v>0</v>
      </c>
    </row>
    <row r="1062" spans="2:25">
      <c r="B1062" s="598" t="s">
        <v>2595</v>
      </c>
      <c r="C1062" s="604" t="s">
        <v>864</v>
      </c>
      <c r="D1062" s="745">
        <v>2022</v>
      </c>
      <c r="E1062" s="604"/>
      <c r="F1062" s="738"/>
      <c r="G1062" s="739"/>
      <c r="H1062" s="741"/>
      <c r="I1062" s="742"/>
      <c r="J1062" s="740"/>
      <c r="K1062" s="739"/>
      <c r="L1062" s="864">
        <v>0</v>
      </c>
      <c r="M1062" s="740">
        <f t="shared" si="337"/>
        <v>0</v>
      </c>
      <c r="N1062" s="604">
        <f t="shared" si="327"/>
        <v>0</v>
      </c>
      <c r="O1062" s="604">
        <f t="shared" si="328"/>
        <v>0</v>
      </c>
      <c r="P1062" s="604">
        <f t="shared" si="329"/>
        <v>0</v>
      </c>
      <c r="Q1062" s="604">
        <f t="shared" si="330"/>
        <v>0</v>
      </c>
      <c r="R1062" s="604">
        <f t="shared" si="338"/>
        <v>0</v>
      </c>
      <c r="S1062" s="604">
        <f t="shared" si="340"/>
        <v>0</v>
      </c>
      <c r="T1062" s="604">
        <f t="shared" si="332"/>
        <v>0</v>
      </c>
      <c r="U1062" s="604">
        <f t="shared" si="333"/>
        <v>0</v>
      </c>
      <c r="V1062" s="604">
        <f t="shared" si="334"/>
        <v>0</v>
      </c>
      <c r="W1062" s="604">
        <f t="shared" si="335"/>
        <v>0</v>
      </c>
      <c r="X1062" s="746"/>
      <c r="Y1062" s="746">
        <f t="shared" si="336"/>
        <v>0</v>
      </c>
    </row>
    <row r="1063" spans="2:25">
      <c r="B1063" s="598" t="s">
        <v>2595</v>
      </c>
      <c r="C1063" s="604" t="s">
        <v>864</v>
      </c>
      <c r="D1063" s="745">
        <v>2022</v>
      </c>
      <c r="E1063" s="604"/>
      <c r="F1063" s="738"/>
      <c r="G1063" s="739"/>
      <c r="H1063" s="741"/>
      <c r="I1063" s="742"/>
      <c r="J1063" s="740"/>
      <c r="K1063" s="739"/>
      <c r="L1063" s="864">
        <v>0</v>
      </c>
      <c r="M1063" s="740">
        <f t="shared" si="337"/>
        <v>0</v>
      </c>
      <c r="N1063" s="604">
        <f t="shared" si="327"/>
        <v>0</v>
      </c>
      <c r="O1063" s="604">
        <f t="shared" si="328"/>
        <v>0</v>
      </c>
      <c r="P1063" s="604">
        <f t="shared" si="329"/>
        <v>0</v>
      </c>
      <c r="Q1063" s="604">
        <f t="shared" si="330"/>
        <v>0</v>
      </c>
      <c r="R1063" s="604">
        <f t="shared" si="338"/>
        <v>0</v>
      </c>
      <c r="S1063" s="604">
        <f t="shared" si="340"/>
        <v>0</v>
      </c>
      <c r="T1063" s="604">
        <f t="shared" si="332"/>
        <v>0</v>
      </c>
      <c r="U1063" s="604">
        <f t="shared" si="333"/>
        <v>0</v>
      </c>
      <c r="V1063" s="604">
        <f t="shared" si="334"/>
        <v>0</v>
      </c>
      <c r="W1063" s="604">
        <f t="shared" si="335"/>
        <v>0</v>
      </c>
      <c r="X1063" s="746"/>
      <c r="Y1063" s="746">
        <f t="shared" si="336"/>
        <v>0</v>
      </c>
    </row>
    <row r="1064" spans="2:25">
      <c r="B1064" s="598" t="s">
        <v>2595</v>
      </c>
      <c r="C1064" s="604" t="s">
        <v>864</v>
      </c>
      <c r="D1064" s="745">
        <v>2022</v>
      </c>
      <c r="E1064" s="604"/>
      <c r="F1064" s="738"/>
      <c r="G1064" s="739"/>
      <c r="H1064" s="741"/>
      <c r="I1064" s="742"/>
      <c r="J1064" s="740"/>
      <c r="K1064" s="739"/>
      <c r="L1064" s="864">
        <v>0</v>
      </c>
      <c r="M1064" s="740">
        <f t="shared" si="337"/>
        <v>0</v>
      </c>
      <c r="N1064" s="604">
        <f t="shared" si="327"/>
        <v>0</v>
      </c>
      <c r="O1064" s="604">
        <f t="shared" si="328"/>
        <v>0</v>
      </c>
      <c r="P1064" s="604">
        <f t="shared" si="329"/>
        <v>0</v>
      </c>
      <c r="Q1064" s="604">
        <f t="shared" si="330"/>
        <v>0</v>
      </c>
      <c r="R1064" s="604">
        <f t="shared" si="338"/>
        <v>0</v>
      </c>
      <c r="S1064" s="604">
        <f t="shared" si="340"/>
        <v>0</v>
      </c>
      <c r="T1064" s="604">
        <f t="shared" si="332"/>
        <v>0</v>
      </c>
      <c r="U1064" s="604">
        <f t="shared" si="333"/>
        <v>0</v>
      </c>
      <c r="V1064" s="604">
        <f t="shared" si="334"/>
        <v>0</v>
      </c>
      <c r="W1064" s="604">
        <f t="shared" si="335"/>
        <v>0</v>
      </c>
      <c r="X1064" s="746"/>
      <c r="Y1064" s="746">
        <f t="shared" si="336"/>
        <v>0</v>
      </c>
    </row>
    <row r="1065" spans="2:25">
      <c r="B1065" s="598" t="s">
        <v>2595</v>
      </c>
      <c r="C1065" s="604" t="s">
        <v>864</v>
      </c>
      <c r="D1065" s="745">
        <v>2022</v>
      </c>
      <c r="E1065" s="604"/>
      <c r="F1065" s="738"/>
      <c r="G1065" s="739"/>
      <c r="H1065" s="741"/>
      <c r="I1065" s="742"/>
      <c r="J1065" s="740"/>
      <c r="K1065" s="739"/>
      <c r="L1065" s="864">
        <v>0</v>
      </c>
      <c r="M1065" s="740">
        <f t="shared" si="337"/>
        <v>0</v>
      </c>
      <c r="N1065" s="604">
        <f t="shared" si="327"/>
        <v>0</v>
      </c>
      <c r="O1065" s="604">
        <f t="shared" si="328"/>
        <v>0</v>
      </c>
      <c r="P1065" s="604">
        <f t="shared" si="329"/>
        <v>0</v>
      </c>
      <c r="Q1065" s="604">
        <f t="shared" si="330"/>
        <v>0</v>
      </c>
      <c r="R1065" s="604">
        <f t="shared" si="338"/>
        <v>0</v>
      </c>
      <c r="S1065" s="604">
        <f t="shared" si="340"/>
        <v>0</v>
      </c>
      <c r="T1065" s="604">
        <f t="shared" si="332"/>
        <v>0</v>
      </c>
      <c r="U1065" s="604">
        <f t="shared" si="333"/>
        <v>0</v>
      </c>
      <c r="V1065" s="604">
        <f t="shared" si="334"/>
        <v>0</v>
      </c>
      <c r="W1065" s="604">
        <f t="shared" si="335"/>
        <v>0</v>
      </c>
      <c r="X1065" s="746"/>
      <c r="Y1065" s="746">
        <f t="shared" si="336"/>
        <v>0</v>
      </c>
    </row>
    <row r="1066" spans="2:25">
      <c r="B1066" s="598" t="s">
        <v>2595</v>
      </c>
      <c r="C1066" s="604" t="s">
        <v>864</v>
      </c>
      <c r="D1066" s="745">
        <v>2022</v>
      </c>
      <c r="E1066" s="604"/>
      <c r="F1066" s="738"/>
      <c r="G1066" s="739"/>
      <c r="H1066" s="741"/>
      <c r="I1066" s="742"/>
      <c r="J1066" s="740"/>
      <c r="K1066" s="739"/>
      <c r="L1066" s="864">
        <v>0</v>
      </c>
      <c r="M1066" s="740">
        <f t="shared" si="337"/>
        <v>0</v>
      </c>
      <c r="N1066" s="604">
        <f t="shared" si="327"/>
        <v>0</v>
      </c>
      <c r="O1066" s="604">
        <f t="shared" si="328"/>
        <v>0</v>
      </c>
      <c r="P1066" s="604">
        <f t="shared" si="329"/>
        <v>0</v>
      </c>
      <c r="Q1066" s="604">
        <f t="shared" si="330"/>
        <v>0</v>
      </c>
      <c r="R1066" s="604">
        <f t="shared" si="338"/>
        <v>0</v>
      </c>
      <c r="S1066" s="604">
        <f t="shared" si="340"/>
        <v>0</v>
      </c>
      <c r="T1066" s="604">
        <f t="shared" si="332"/>
        <v>0</v>
      </c>
      <c r="U1066" s="604">
        <f t="shared" si="333"/>
        <v>0</v>
      </c>
      <c r="V1066" s="604">
        <f t="shared" si="334"/>
        <v>0</v>
      </c>
      <c r="W1066" s="604">
        <f t="shared" si="335"/>
        <v>0</v>
      </c>
      <c r="X1066" s="746"/>
      <c r="Y1066" s="746">
        <f t="shared" si="336"/>
        <v>0</v>
      </c>
    </row>
    <row r="1067" spans="2:25">
      <c r="B1067" s="598" t="s">
        <v>2595</v>
      </c>
      <c r="C1067" s="604" t="s">
        <v>864</v>
      </c>
      <c r="D1067" s="745">
        <v>2022</v>
      </c>
      <c r="E1067" s="604"/>
      <c r="F1067" s="738"/>
      <c r="G1067" s="739"/>
      <c r="H1067" s="741"/>
      <c r="I1067" s="742"/>
      <c r="J1067" s="740"/>
      <c r="K1067" s="739"/>
      <c r="L1067" s="864">
        <v>0</v>
      </c>
      <c r="M1067" s="740">
        <f t="shared" si="337"/>
        <v>0</v>
      </c>
      <c r="N1067" s="604">
        <f t="shared" si="327"/>
        <v>0</v>
      </c>
      <c r="O1067" s="604">
        <f t="shared" si="328"/>
        <v>0</v>
      </c>
      <c r="P1067" s="604">
        <f t="shared" si="329"/>
        <v>0</v>
      </c>
      <c r="Q1067" s="604">
        <f t="shared" si="330"/>
        <v>0</v>
      </c>
      <c r="R1067" s="604">
        <f t="shared" si="338"/>
        <v>0</v>
      </c>
      <c r="S1067" s="604">
        <f t="shared" si="340"/>
        <v>0</v>
      </c>
      <c r="T1067" s="604">
        <f t="shared" si="332"/>
        <v>0</v>
      </c>
      <c r="U1067" s="604">
        <f t="shared" si="333"/>
        <v>0</v>
      </c>
      <c r="V1067" s="604">
        <f t="shared" si="334"/>
        <v>0</v>
      </c>
      <c r="W1067" s="604">
        <f t="shared" si="335"/>
        <v>0</v>
      </c>
      <c r="X1067" s="746"/>
      <c r="Y1067" s="746">
        <f t="shared" si="336"/>
        <v>0</v>
      </c>
    </row>
    <row r="1068" spans="2:25">
      <c r="B1068" s="598" t="s">
        <v>2595</v>
      </c>
      <c r="C1068" s="604" t="s">
        <v>864</v>
      </c>
      <c r="D1068" s="745">
        <v>2022</v>
      </c>
      <c r="E1068" s="604"/>
      <c r="F1068" s="738"/>
      <c r="G1068" s="739"/>
      <c r="H1068" s="741"/>
      <c r="I1068" s="742"/>
      <c r="J1068" s="740"/>
      <c r="K1068" s="739"/>
      <c r="L1068" s="864">
        <v>0</v>
      </c>
      <c r="M1068" s="740">
        <f t="shared" si="337"/>
        <v>0</v>
      </c>
      <c r="N1068" s="604">
        <f t="shared" si="327"/>
        <v>0</v>
      </c>
      <c r="O1068" s="604">
        <f t="shared" si="328"/>
        <v>0</v>
      </c>
      <c r="P1068" s="604">
        <f t="shared" si="329"/>
        <v>0</v>
      </c>
      <c r="Q1068" s="604">
        <f t="shared" si="330"/>
        <v>0</v>
      </c>
      <c r="R1068" s="604">
        <f t="shared" si="338"/>
        <v>0</v>
      </c>
      <c r="S1068" s="604">
        <f t="shared" si="340"/>
        <v>0</v>
      </c>
      <c r="T1068" s="604">
        <f t="shared" si="332"/>
        <v>0</v>
      </c>
      <c r="U1068" s="604">
        <f t="shared" si="333"/>
        <v>0</v>
      </c>
      <c r="V1068" s="604">
        <f t="shared" si="334"/>
        <v>0</v>
      </c>
      <c r="W1068" s="604">
        <f t="shared" si="335"/>
        <v>0</v>
      </c>
      <c r="X1068" s="746"/>
      <c r="Y1068" s="746">
        <f t="shared" si="336"/>
        <v>0</v>
      </c>
    </row>
    <row r="1069" spans="2:25">
      <c r="B1069" s="598" t="s">
        <v>2595</v>
      </c>
      <c r="C1069" s="604" t="s">
        <v>864</v>
      </c>
      <c r="D1069" s="745">
        <v>2022</v>
      </c>
      <c r="E1069" s="604"/>
      <c r="F1069" s="738"/>
      <c r="G1069" s="739"/>
      <c r="H1069" s="741"/>
      <c r="I1069" s="742"/>
      <c r="J1069" s="740"/>
      <c r="K1069" s="739"/>
      <c r="L1069" s="864">
        <v>0</v>
      </c>
      <c r="M1069" s="740">
        <f t="shared" si="337"/>
        <v>0</v>
      </c>
      <c r="N1069" s="604">
        <f t="shared" si="327"/>
        <v>0</v>
      </c>
      <c r="O1069" s="604">
        <f t="shared" si="328"/>
        <v>0</v>
      </c>
      <c r="P1069" s="604">
        <f t="shared" si="329"/>
        <v>0</v>
      </c>
      <c r="Q1069" s="604">
        <f t="shared" si="330"/>
        <v>0</v>
      </c>
      <c r="R1069" s="604">
        <f t="shared" si="338"/>
        <v>0</v>
      </c>
      <c r="S1069" s="604">
        <f t="shared" si="340"/>
        <v>0</v>
      </c>
      <c r="T1069" s="604">
        <f t="shared" si="332"/>
        <v>0</v>
      </c>
      <c r="U1069" s="604">
        <f t="shared" si="333"/>
        <v>0</v>
      </c>
      <c r="V1069" s="604">
        <f t="shared" si="334"/>
        <v>0</v>
      </c>
      <c r="W1069" s="604">
        <f t="shared" si="335"/>
        <v>0</v>
      </c>
      <c r="X1069" s="746"/>
      <c r="Y1069" s="746">
        <f t="shared" si="336"/>
        <v>0</v>
      </c>
    </row>
    <row r="1070" spans="2:25">
      <c r="B1070" s="598" t="s">
        <v>2595</v>
      </c>
      <c r="C1070" s="604" t="s">
        <v>864</v>
      </c>
      <c r="D1070" s="745">
        <v>2022</v>
      </c>
      <c r="E1070" s="604"/>
      <c r="F1070" s="738"/>
      <c r="G1070" s="739"/>
      <c r="H1070" s="741"/>
      <c r="I1070" s="742"/>
      <c r="J1070" s="740"/>
      <c r="K1070" s="739"/>
      <c r="L1070" s="864">
        <v>0</v>
      </c>
      <c r="M1070" s="740">
        <f t="shared" si="337"/>
        <v>0</v>
      </c>
      <c r="N1070" s="604">
        <f t="shared" si="327"/>
        <v>0</v>
      </c>
      <c r="O1070" s="604">
        <f t="shared" si="328"/>
        <v>0</v>
      </c>
      <c r="P1070" s="604">
        <f t="shared" si="329"/>
        <v>0</v>
      </c>
      <c r="Q1070" s="604">
        <f t="shared" si="330"/>
        <v>0</v>
      </c>
      <c r="R1070" s="604">
        <f t="shared" si="338"/>
        <v>0</v>
      </c>
      <c r="S1070" s="604">
        <f t="shared" si="340"/>
        <v>0</v>
      </c>
      <c r="T1070" s="604">
        <f t="shared" si="332"/>
        <v>0</v>
      </c>
      <c r="U1070" s="604">
        <f t="shared" si="333"/>
        <v>0</v>
      </c>
      <c r="V1070" s="604">
        <f t="shared" si="334"/>
        <v>0</v>
      </c>
      <c r="W1070" s="604">
        <f t="shared" si="335"/>
        <v>0</v>
      </c>
      <c r="X1070" s="746"/>
      <c r="Y1070" s="746">
        <f t="shared" si="336"/>
        <v>0</v>
      </c>
    </row>
    <row r="1071" spans="2:25">
      <c r="B1071" s="598" t="s">
        <v>2595</v>
      </c>
      <c r="C1071" s="604" t="s">
        <v>864</v>
      </c>
      <c r="D1071" s="745">
        <v>2022</v>
      </c>
      <c r="E1071" s="604"/>
      <c r="F1071" s="738"/>
      <c r="G1071" s="739"/>
      <c r="H1071" s="741"/>
      <c r="I1071" s="742"/>
      <c r="J1071" s="740"/>
      <c r="K1071" s="739"/>
      <c r="L1071" s="864">
        <v>0</v>
      </c>
      <c r="M1071" s="740">
        <f t="shared" si="337"/>
        <v>0</v>
      </c>
      <c r="N1071" s="604">
        <f t="shared" si="327"/>
        <v>0</v>
      </c>
      <c r="O1071" s="604">
        <f t="shared" si="328"/>
        <v>0</v>
      </c>
      <c r="P1071" s="604">
        <f t="shared" si="329"/>
        <v>0</v>
      </c>
      <c r="Q1071" s="604">
        <f t="shared" si="330"/>
        <v>0</v>
      </c>
      <c r="R1071" s="604">
        <f t="shared" si="338"/>
        <v>0</v>
      </c>
      <c r="S1071" s="604">
        <f t="shared" si="340"/>
        <v>0</v>
      </c>
      <c r="T1071" s="604">
        <f t="shared" si="332"/>
        <v>0</v>
      </c>
      <c r="U1071" s="604">
        <f t="shared" si="333"/>
        <v>0</v>
      </c>
      <c r="V1071" s="604">
        <f t="shared" si="334"/>
        <v>0</v>
      </c>
      <c r="W1071" s="604">
        <f t="shared" si="335"/>
        <v>0</v>
      </c>
      <c r="X1071" s="746"/>
      <c r="Y1071" s="746">
        <f t="shared" si="336"/>
        <v>0</v>
      </c>
    </row>
    <row r="1072" spans="2:25">
      <c r="B1072" s="598" t="s">
        <v>2595</v>
      </c>
      <c r="C1072" s="604" t="s">
        <v>864</v>
      </c>
      <c r="D1072" s="745">
        <v>2022</v>
      </c>
      <c r="E1072" s="604"/>
      <c r="F1072" s="738"/>
      <c r="G1072" s="739"/>
      <c r="H1072" s="741"/>
      <c r="I1072" s="742"/>
      <c r="J1072" s="740"/>
      <c r="K1072" s="739"/>
      <c r="L1072" s="864">
        <v>0</v>
      </c>
      <c r="M1072" s="740">
        <f t="shared" si="337"/>
        <v>0</v>
      </c>
      <c r="N1072" s="604">
        <f t="shared" si="327"/>
        <v>0</v>
      </c>
      <c r="O1072" s="604">
        <f t="shared" si="328"/>
        <v>0</v>
      </c>
      <c r="P1072" s="604">
        <f t="shared" si="329"/>
        <v>0</v>
      </c>
      <c r="Q1072" s="604">
        <f t="shared" si="330"/>
        <v>0</v>
      </c>
      <c r="R1072" s="604">
        <f t="shared" si="338"/>
        <v>0</v>
      </c>
      <c r="S1072" s="604">
        <f t="shared" si="340"/>
        <v>0</v>
      </c>
      <c r="T1072" s="604">
        <f t="shared" si="332"/>
        <v>0</v>
      </c>
      <c r="U1072" s="604">
        <f t="shared" si="333"/>
        <v>0</v>
      </c>
      <c r="V1072" s="604">
        <f t="shared" si="334"/>
        <v>0</v>
      </c>
      <c r="W1072" s="604">
        <f t="shared" si="335"/>
        <v>0</v>
      </c>
      <c r="X1072" s="746"/>
      <c r="Y1072" s="746">
        <f t="shared" si="336"/>
        <v>0</v>
      </c>
    </row>
    <row r="1073" spans="2:27">
      <c r="B1073" s="598" t="s">
        <v>2595</v>
      </c>
      <c r="C1073" s="604" t="s">
        <v>864</v>
      </c>
      <c r="D1073" s="745">
        <v>2022</v>
      </c>
      <c r="E1073" s="604"/>
      <c r="F1073" s="738"/>
      <c r="G1073" s="739"/>
      <c r="H1073" s="741"/>
      <c r="I1073" s="742"/>
      <c r="J1073" s="740"/>
      <c r="K1073" s="739"/>
      <c r="L1073" s="864">
        <v>0</v>
      </c>
      <c r="M1073" s="740">
        <f t="shared" si="337"/>
        <v>0</v>
      </c>
      <c r="N1073" s="604">
        <f t="shared" si="327"/>
        <v>0</v>
      </c>
      <c r="O1073" s="604">
        <f t="shared" si="328"/>
        <v>0</v>
      </c>
      <c r="P1073" s="604">
        <f t="shared" si="329"/>
        <v>0</v>
      </c>
      <c r="Q1073" s="604">
        <f t="shared" si="330"/>
        <v>0</v>
      </c>
      <c r="R1073" s="604">
        <f t="shared" si="338"/>
        <v>0</v>
      </c>
      <c r="S1073" s="604">
        <f t="shared" si="340"/>
        <v>0</v>
      </c>
      <c r="T1073" s="604">
        <f t="shared" si="332"/>
        <v>0</v>
      </c>
      <c r="U1073" s="604">
        <f t="shared" si="333"/>
        <v>0</v>
      </c>
      <c r="V1073" s="604">
        <f t="shared" si="334"/>
        <v>0</v>
      </c>
      <c r="W1073" s="604">
        <f t="shared" si="335"/>
        <v>0</v>
      </c>
      <c r="X1073" s="746"/>
      <c r="Y1073" s="746">
        <f t="shared" si="336"/>
        <v>0</v>
      </c>
    </row>
    <row r="1074" spans="2:27">
      <c r="B1074" s="598" t="s">
        <v>2595</v>
      </c>
      <c r="C1074" s="604" t="s">
        <v>864</v>
      </c>
      <c r="D1074" s="745">
        <v>2022</v>
      </c>
      <c r="E1074" s="604"/>
      <c r="F1074" s="738"/>
      <c r="G1074" s="739"/>
      <c r="H1074" s="741"/>
      <c r="I1074" s="742"/>
      <c r="J1074" s="740"/>
      <c r="K1074" s="739"/>
      <c r="L1074" s="864">
        <v>0</v>
      </c>
      <c r="M1074" s="740">
        <f t="shared" si="337"/>
        <v>0</v>
      </c>
      <c r="N1074" s="604">
        <f t="shared" si="327"/>
        <v>0</v>
      </c>
      <c r="O1074" s="604">
        <f t="shared" si="328"/>
        <v>0</v>
      </c>
      <c r="P1074" s="604">
        <f t="shared" si="329"/>
        <v>0</v>
      </c>
      <c r="Q1074" s="604">
        <f t="shared" si="330"/>
        <v>0</v>
      </c>
      <c r="R1074" s="604">
        <f t="shared" si="338"/>
        <v>0</v>
      </c>
      <c r="S1074" s="604">
        <f t="shared" si="340"/>
        <v>0</v>
      </c>
      <c r="T1074" s="604">
        <f t="shared" si="332"/>
        <v>0</v>
      </c>
      <c r="U1074" s="604">
        <f t="shared" si="333"/>
        <v>0</v>
      </c>
      <c r="V1074" s="604">
        <f t="shared" si="334"/>
        <v>0</v>
      </c>
      <c r="W1074" s="604">
        <f t="shared" si="335"/>
        <v>0</v>
      </c>
      <c r="X1074" s="746"/>
      <c r="Y1074" s="746">
        <f t="shared" si="336"/>
        <v>0</v>
      </c>
    </row>
    <row r="1075" spans="2:27">
      <c r="B1075" s="598" t="s">
        <v>2595</v>
      </c>
      <c r="C1075" s="604" t="s">
        <v>864</v>
      </c>
      <c r="D1075" s="745">
        <v>2022</v>
      </c>
      <c r="E1075" s="604"/>
      <c r="F1075" s="738"/>
      <c r="G1075" s="739"/>
      <c r="H1075" s="741"/>
      <c r="I1075" s="742"/>
      <c r="J1075" s="740"/>
      <c r="K1075" s="739"/>
      <c r="L1075" s="864">
        <v>0</v>
      </c>
      <c r="M1075" s="740">
        <f t="shared" si="337"/>
        <v>0</v>
      </c>
      <c r="N1075" s="604">
        <f t="shared" si="327"/>
        <v>0</v>
      </c>
      <c r="O1075" s="604">
        <f t="shared" si="328"/>
        <v>0</v>
      </c>
      <c r="P1075" s="604">
        <f t="shared" si="329"/>
        <v>0</v>
      </c>
      <c r="Q1075" s="604">
        <f t="shared" si="330"/>
        <v>0</v>
      </c>
      <c r="R1075" s="604">
        <f t="shared" si="338"/>
        <v>0</v>
      </c>
      <c r="S1075" s="604">
        <f t="shared" si="340"/>
        <v>0</v>
      </c>
      <c r="T1075" s="604">
        <f t="shared" si="332"/>
        <v>0</v>
      </c>
      <c r="U1075" s="604">
        <f t="shared" si="333"/>
        <v>0</v>
      </c>
      <c r="V1075" s="604">
        <f t="shared" si="334"/>
        <v>0</v>
      </c>
      <c r="W1075" s="604">
        <f t="shared" si="335"/>
        <v>0</v>
      </c>
      <c r="X1075" s="746"/>
      <c r="Y1075" s="746">
        <f t="shared" si="336"/>
        <v>0</v>
      </c>
    </row>
    <row r="1076" spans="2:27">
      <c r="B1076" s="598" t="s">
        <v>2595</v>
      </c>
      <c r="C1076" s="604" t="s">
        <v>864</v>
      </c>
      <c r="D1076" s="745">
        <v>2022</v>
      </c>
      <c r="E1076" s="604"/>
      <c r="F1076" s="738"/>
      <c r="G1076" s="739"/>
      <c r="H1076" s="741"/>
      <c r="I1076" s="742"/>
      <c r="J1076" s="740"/>
      <c r="K1076" s="739"/>
      <c r="L1076" s="864">
        <v>0</v>
      </c>
      <c r="M1076" s="740">
        <f t="shared" si="337"/>
        <v>0</v>
      </c>
      <c r="N1076" s="604">
        <f t="shared" si="327"/>
        <v>0</v>
      </c>
      <c r="O1076" s="604">
        <f t="shared" si="328"/>
        <v>0</v>
      </c>
      <c r="P1076" s="604">
        <f t="shared" si="329"/>
        <v>0</v>
      </c>
      <c r="Q1076" s="604">
        <f t="shared" si="330"/>
        <v>0</v>
      </c>
      <c r="R1076" s="604">
        <f t="shared" si="338"/>
        <v>0</v>
      </c>
      <c r="S1076" s="604">
        <f t="shared" si="340"/>
        <v>0</v>
      </c>
      <c r="T1076" s="604">
        <f t="shared" si="332"/>
        <v>0</v>
      </c>
      <c r="U1076" s="604">
        <f t="shared" si="333"/>
        <v>0</v>
      </c>
      <c r="V1076" s="604">
        <f t="shared" si="334"/>
        <v>0</v>
      </c>
      <c r="W1076" s="604">
        <f t="shared" si="335"/>
        <v>0</v>
      </c>
      <c r="X1076" s="746"/>
      <c r="Y1076" s="746">
        <f t="shared" si="336"/>
        <v>0</v>
      </c>
    </row>
    <row r="1077" spans="2:27">
      <c r="B1077" s="598" t="s">
        <v>2595</v>
      </c>
      <c r="C1077" s="604" t="s">
        <v>864</v>
      </c>
      <c r="D1077" s="745">
        <v>2022</v>
      </c>
      <c r="E1077" s="604"/>
      <c r="F1077" s="738"/>
      <c r="G1077" s="739"/>
      <c r="H1077" s="741"/>
      <c r="I1077" s="742"/>
      <c r="J1077" s="740"/>
      <c r="K1077" s="739"/>
      <c r="L1077" s="864">
        <v>0</v>
      </c>
      <c r="M1077" s="740">
        <f t="shared" si="337"/>
        <v>0</v>
      </c>
      <c r="N1077" s="604">
        <f t="shared" si="327"/>
        <v>0</v>
      </c>
      <c r="O1077" s="604">
        <f t="shared" si="328"/>
        <v>0</v>
      </c>
      <c r="P1077" s="604">
        <f t="shared" si="329"/>
        <v>0</v>
      </c>
      <c r="Q1077" s="604">
        <f t="shared" si="330"/>
        <v>0</v>
      </c>
      <c r="R1077" s="604">
        <f t="shared" si="338"/>
        <v>0</v>
      </c>
      <c r="S1077" s="604">
        <f t="shared" si="340"/>
        <v>0</v>
      </c>
      <c r="T1077" s="604">
        <f t="shared" si="332"/>
        <v>0</v>
      </c>
      <c r="U1077" s="604">
        <f t="shared" si="333"/>
        <v>0</v>
      </c>
      <c r="V1077" s="604">
        <f t="shared" si="334"/>
        <v>0</v>
      </c>
      <c r="W1077" s="604">
        <f t="shared" si="335"/>
        <v>0</v>
      </c>
      <c r="X1077" s="746"/>
      <c r="Y1077" s="746">
        <f t="shared" si="336"/>
        <v>0</v>
      </c>
    </row>
    <row r="1078" spans="2:27">
      <c r="B1078" s="598" t="s">
        <v>2595</v>
      </c>
      <c r="C1078" s="604" t="s">
        <v>864</v>
      </c>
      <c r="D1078" s="745">
        <v>2022</v>
      </c>
      <c r="E1078" s="604"/>
      <c r="F1078" s="738"/>
      <c r="G1078" s="739"/>
      <c r="H1078" s="741"/>
      <c r="I1078" s="742"/>
      <c r="J1078" s="740"/>
      <c r="K1078" s="739"/>
      <c r="L1078" s="864">
        <v>0</v>
      </c>
      <c r="M1078" s="740">
        <f t="shared" si="337"/>
        <v>0</v>
      </c>
      <c r="N1078" s="604">
        <f t="shared" si="327"/>
        <v>0</v>
      </c>
      <c r="O1078" s="604">
        <f t="shared" si="328"/>
        <v>0</v>
      </c>
      <c r="P1078" s="604">
        <f t="shared" si="329"/>
        <v>0</v>
      </c>
      <c r="Q1078" s="604">
        <f t="shared" si="330"/>
        <v>0</v>
      </c>
      <c r="R1078" s="604">
        <f t="shared" si="338"/>
        <v>0</v>
      </c>
      <c r="S1078" s="604">
        <f t="shared" si="340"/>
        <v>0</v>
      </c>
      <c r="T1078" s="604">
        <f t="shared" si="332"/>
        <v>0</v>
      </c>
      <c r="U1078" s="604">
        <f t="shared" si="333"/>
        <v>0</v>
      </c>
      <c r="V1078" s="604">
        <f t="shared" si="334"/>
        <v>0</v>
      </c>
      <c r="W1078" s="604">
        <f t="shared" si="335"/>
        <v>0</v>
      </c>
      <c r="X1078" s="746"/>
      <c r="Y1078" s="746">
        <f t="shared" si="336"/>
        <v>0</v>
      </c>
    </row>
    <row r="1079" spans="2:27">
      <c r="B1079" s="598" t="s">
        <v>2595</v>
      </c>
      <c r="C1079" s="604" t="s">
        <v>864</v>
      </c>
      <c r="D1079" s="745">
        <v>2022</v>
      </c>
      <c r="E1079" s="604"/>
      <c r="F1079" s="738"/>
      <c r="G1079" s="739"/>
      <c r="H1079" s="741"/>
      <c r="I1079" s="742"/>
      <c r="J1079" s="740"/>
      <c r="K1079" s="739"/>
      <c r="L1079" s="864">
        <v>0</v>
      </c>
      <c r="M1079" s="740">
        <f t="shared" si="337"/>
        <v>0</v>
      </c>
      <c r="N1079" s="604">
        <f t="shared" si="327"/>
        <v>0</v>
      </c>
      <c r="O1079" s="604">
        <f t="shared" si="328"/>
        <v>0</v>
      </c>
      <c r="P1079" s="604">
        <f t="shared" si="329"/>
        <v>0</v>
      </c>
      <c r="Q1079" s="604">
        <f t="shared" si="330"/>
        <v>0</v>
      </c>
      <c r="R1079" s="604">
        <f t="shared" si="338"/>
        <v>0</v>
      </c>
      <c r="S1079" s="604">
        <f t="shared" si="340"/>
        <v>0</v>
      </c>
      <c r="T1079" s="604">
        <f t="shared" si="332"/>
        <v>0</v>
      </c>
      <c r="U1079" s="604">
        <f t="shared" si="333"/>
        <v>0</v>
      </c>
      <c r="V1079" s="604">
        <f t="shared" si="334"/>
        <v>0</v>
      </c>
      <c r="W1079" s="604">
        <f t="shared" si="335"/>
        <v>0</v>
      </c>
      <c r="X1079" s="746"/>
      <c r="Y1079" s="746">
        <f t="shared" si="336"/>
        <v>0</v>
      </c>
    </row>
    <row r="1080" spans="2:27">
      <c r="B1080" s="598" t="s">
        <v>2595</v>
      </c>
      <c r="C1080" s="604" t="s">
        <v>864</v>
      </c>
      <c r="D1080" s="745">
        <v>2022</v>
      </c>
      <c r="E1080" s="604"/>
      <c r="F1080" s="738"/>
      <c r="G1080" s="739"/>
      <c r="H1080" s="741"/>
      <c r="I1080" s="742"/>
      <c r="J1080" s="740"/>
      <c r="K1080" s="739"/>
      <c r="L1080" s="864">
        <v>0</v>
      </c>
      <c r="M1080" s="740">
        <f t="shared" si="337"/>
        <v>0</v>
      </c>
      <c r="N1080" s="604">
        <f t="shared" si="327"/>
        <v>0</v>
      </c>
      <c r="O1080" s="604">
        <f t="shared" si="328"/>
        <v>0</v>
      </c>
      <c r="P1080" s="604">
        <f t="shared" si="329"/>
        <v>0</v>
      </c>
      <c r="Q1080" s="604">
        <f t="shared" si="330"/>
        <v>0</v>
      </c>
      <c r="R1080" s="604">
        <f t="shared" si="338"/>
        <v>0</v>
      </c>
      <c r="S1080" s="604">
        <f t="shared" si="340"/>
        <v>0</v>
      </c>
      <c r="T1080" s="604">
        <f t="shared" si="332"/>
        <v>0</v>
      </c>
      <c r="U1080" s="604">
        <f t="shared" si="333"/>
        <v>0</v>
      </c>
      <c r="V1080" s="604">
        <f t="shared" si="334"/>
        <v>0</v>
      </c>
      <c r="W1080" s="604">
        <f t="shared" si="335"/>
        <v>0</v>
      </c>
      <c r="X1080" s="746"/>
      <c r="Y1080" s="746">
        <f t="shared" si="336"/>
        <v>0</v>
      </c>
    </row>
    <row r="1081" spans="2:27">
      <c r="B1081" s="598" t="s">
        <v>2595</v>
      </c>
      <c r="C1081" s="604" t="s">
        <v>864</v>
      </c>
      <c r="D1081" s="745">
        <v>2022</v>
      </c>
      <c r="E1081" s="604"/>
      <c r="F1081" s="738"/>
      <c r="G1081" s="739"/>
      <c r="H1081" s="741"/>
      <c r="I1081" s="742"/>
      <c r="J1081" s="740"/>
      <c r="K1081" s="739"/>
      <c r="L1081" s="864">
        <v>0</v>
      </c>
      <c r="M1081" s="740">
        <f t="shared" si="337"/>
        <v>0</v>
      </c>
      <c r="N1081" s="604">
        <f t="shared" si="327"/>
        <v>0</v>
      </c>
      <c r="O1081" s="604">
        <f t="shared" si="328"/>
        <v>0</v>
      </c>
      <c r="P1081" s="604">
        <f t="shared" si="329"/>
        <v>0</v>
      </c>
      <c r="Q1081" s="604">
        <f t="shared" si="330"/>
        <v>0</v>
      </c>
      <c r="R1081" s="604">
        <f t="shared" si="338"/>
        <v>0</v>
      </c>
      <c r="S1081" s="604">
        <f t="shared" si="340"/>
        <v>0</v>
      </c>
      <c r="T1081" s="604">
        <f t="shared" si="332"/>
        <v>0</v>
      </c>
      <c r="U1081" s="604">
        <f t="shared" si="333"/>
        <v>0</v>
      </c>
      <c r="V1081" s="604">
        <f t="shared" si="334"/>
        <v>0</v>
      </c>
      <c r="W1081" s="604">
        <f t="shared" si="335"/>
        <v>0</v>
      </c>
      <c r="X1081" s="746"/>
      <c r="Y1081" s="746">
        <f t="shared" si="336"/>
        <v>0</v>
      </c>
    </row>
    <row r="1082" spans="2:27">
      <c r="B1082" s="598" t="s">
        <v>2595</v>
      </c>
      <c r="C1082" s="604" t="s">
        <v>864</v>
      </c>
      <c r="D1082" s="745">
        <v>2022</v>
      </c>
      <c r="E1082" s="604"/>
      <c r="F1082" s="738"/>
      <c r="G1082" s="739"/>
      <c r="H1082" s="741"/>
      <c r="I1082" s="742"/>
      <c r="J1082" s="740"/>
      <c r="K1082" s="739"/>
      <c r="L1082" s="864">
        <v>0</v>
      </c>
      <c r="M1082" s="740">
        <f t="shared" si="337"/>
        <v>0</v>
      </c>
      <c r="N1082" s="604">
        <f t="shared" si="327"/>
        <v>0</v>
      </c>
      <c r="O1082" s="604">
        <f t="shared" si="328"/>
        <v>0</v>
      </c>
      <c r="P1082" s="604">
        <f t="shared" si="329"/>
        <v>0</v>
      </c>
      <c r="Q1082" s="604">
        <f t="shared" si="330"/>
        <v>0</v>
      </c>
      <c r="R1082" s="604">
        <f t="shared" si="338"/>
        <v>0</v>
      </c>
      <c r="S1082" s="604">
        <f t="shared" si="340"/>
        <v>0</v>
      </c>
      <c r="T1082" s="604">
        <f t="shared" si="332"/>
        <v>0</v>
      </c>
      <c r="U1082" s="604">
        <f t="shared" si="333"/>
        <v>0</v>
      </c>
      <c r="V1082" s="604">
        <f t="shared" si="334"/>
        <v>0</v>
      </c>
      <c r="W1082" s="604">
        <f t="shared" si="335"/>
        <v>0</v>
      </c>
      <c r="X1082" s="746"/>
      <c r="Y1082" s="746">
        <f t="shared" si="336"/>
        <v>0</v>
      </c>
    </row>
    <row r="1083" spans="2:27" ht="12.75" thickBot="1">
      <c r="B1083" s="598" t="s">
        <v>2595</v>
      </c>
      <c r="C1083" s="604" t="s">
        <v>1104</v>
      </c>
      <c r="D1083" s="745">
        <v>2011</v>
      </c>
      <c r="E1083" s="604" t="s">
        <v>1624</v>
      </c>
      <c r="F1083" s="738">
        <v>1</v>
      </c>
      <c r="G1083" s="739">
        <v>480</v>
      </c>
      <c r="H1083" s="741">
        <v>480</v>
      </c>
      <c r="I1083" s="742">
        <f t="shared" ref="I1083:I1100" si="341">+G1083-H1083</f>
        <v>0</v>
      </c>
      <c r="J1083" s="740">
        <f t="shared" ref="J1083:J1100" si="342">IF(I1083=0,0,G1083*F1083/2)</f>
        <v>0</v>
      </c>
      <c r="K1083" s="604">
        <f t="shared" ref="K1083:K1100" si="343">+H1083+J1083</f>
        <v>480</v>
      </c>
      <c r="L1083" s="852">
        <f t="shared" ref="L1083:L1100" si="344">+G1083-K1083</f>
        <v>0</v>
      </c>
      <c r="M1083" s="604">
        <f t="shared" si="337"/>
        <v>0</v>
      </c>
      <c r="N1083" s="604">
        <f t="shared" si="327"/>
        <v>0</v>
      </c>
      <c r="O1083" s="604">
        <f t="shared" si="328"/>
        <v>0</v>
      </c>
      <c r="P1083" s="604">
        <f t="shared" si="329"/>
        <v>0</v>
      </c>
      <c r="Q1083" s="604">
        <f t="shared" si="330"/>
        <v>0</v>
      </c>
      <c r="R1083" s="604">
        <f t="shared" si="338"/>
        <v>0</v>
      </c>
      <c r="S1083" s="604">
        <f t="shared" si="331"/>
        <v>0</v>
      </c>
      <c r="T1083" s="604">
        <f t="shared" si="332"/>
        <v>0</v>
      </c>
      <c r="U1083" s="604">
        <f t="shared" si="333"/>
        <v>0</v>
      </c>
      <c r="V1083" s="604">
        <f t="shared" si="334"/>
        <v>0</v>
      </c>
      <c r="W1083" s="604">
        <f t="shared" si="335"/>
        <v>0</v>
      </c>
      <c r="X1083" s="746">
        <v>0</v>
      </c>
      <c r="Y1083" s="746">
        <f t="shared" si="336"/>
        <v>0</v>
      </c>
    </row>
    <row r="1084" spans="2:27">
      <c r="B1084" s="598" t="s">
        <v>2595</v>
      </c>
      <c r="C1084" s="604" t="s">
        <v>1104</v>
      </c>
      <c r="D1084" s="745">
        <v>2012</v>
      </c>
      <c r="E1084" s="604" t="s">
        <v>1625</v>
      </c>
      <c r="F1084" s="738"/>
      <c r="G1084" s="739">
        <v>250</v>
      </c>
      <c r="H1084" s="741">
        <v>250</v>
      </c>
      <c r="I1084" s="742">
        <f t="shared" si="341"/>
        <v>0</v>
      </c>
      <c r="J1084" s="740">
        <f t="shared" si="342"/>
        <v>0</v>
      </c>
      <c r="K1084" s="739">
        <f t="shared" si="343"/>
        <v>250</v>
      </c>
      <c r="L1084" s="843">
        <f t="shared" si="344"/>
        <v>0</v>
      </c>
      <c r="M1084" s="740">
        <f t="shared" si="337"/>
        <v>0</v>
      </c>
      <c r="N1084" s="604">
        <f t="shared" si="327"/>
        <v>0</v>
      </c>
      <c r="O1084" s="604">
        <f t="shared" si="328"/>
        <v>0</v>
      </c>
      <c r="P1084" s="604">
        <f t="shared" si="329"/>
        <v>0</v>
      </c>
      <c r="Q1084" s="604">
        <f t="shared" si="330"/>
        <v>0</v>
      </c>
      <c r="R1084" s="604">
        <f t="shared" si="338"/>
        <v>0</v>
      </c>
      <c r="S1084" s="604">
        <f t="shared" si="331"/>
        <v>0</v>
      </c>
      <c r="T1084" s="604">
        <f t="shared" si="332"/>
        <v>0</v>
      </c>
      <c r="U1084" s="604">
        <f t="shared" si="333"/>
        <v>0</v>
      </c>
      <c r="V1084" s="604">
        <f t="shared" si="334"/>
        <v>0</v>
      </c>
      <c r="W1084" s="604">
        <f t="shared" si="335"/>
        <v>0</v>
      </c>
      <c r="X1084" s="746">
        <v>0</v>
      </c>
      <c r="Y1084" s="746">
        <f t="shared" si="336"/>
        <v>0</v>
      </c>
      <c r="Z1084" s="746">
        <f>+SUM(L1084:L1101)</f>
        <v>0</v>
      </c>
    </row>
    <row r="1085" spans="2:27">
      <c r="B1085" s="598" t="s">
        <v>2595</v>
      </c>
      <c r="C1085" s="604" t="s">
        <v>1104</v>
      </c>
      <c r="D1085" s="745">
        <v>2012</v>
      </c>
      <c r="E1085" s="604" t="s">
        <v>1626</v>
      </c>
      <c r="F1085" s="738"/>
      <c r="G1085" s="739">
        <v>200</v>
      </c>
      <c r="H1085" s="741">
        <v>200</v>
      </c>
      <c r="I1085" s="742">
        <f t="shared" si="341"/>
        <v>0</v>
      </c>
      <c r="J1085" s="740">
        <f t="shared" si="342"/>
        <v>0</v>
      </c>
      <c r="K1085" s="739">
        <f t="shared" si="343"/>
        <v>200</v>
      </c>
      <c r="L1085" s="844">
        <f t="shared" si="344"/>
        <v>0</v>
      </c>
      <c r="M1085" s="740">
        <f t="shared" si="337"/>
        <v>0</v>
      </c>
      <c r="N1085" s="604">
        <f t="shared" si="327"/>
        <v>0</v>
      </c>
      <c r="O1085" s="604">
        <f t="shared" si="328"/>
        <v>0</v>
      </c>
      <c r="P1085" s="604">
        <f t="shared" si="329"/>
        <v>0</v>
      </c>
      <c r="Q1085" s="604">
        <f t="shared" si="330"/>
        <v>0</v>
      </c>
      <c r="R1085" s="604">
        <f t="shared" si="338"/>
        <v>0</v>
      </c>
      <c r="S1085" s="604">
        <f t="shared" si="331"/>
        <v>0</v>
      </c>
      <c r="T1085" s="604">
        <f t="shared" si="332"/>
        <v>0</v>
      </c>
      <c r="U1085" s="604">
        <f t="shared" si="333"/>
        <v>0</v>
      </c>
      <c r="V1085" s="604">
        <f t="shared" si="334"/>
        <v>0</v>
      </c>
      <c r="W1085" s="604">
        <f t="shared" si="335"/>
        <v>0</v>
      </c>
      <c r="X1085" s="746">
        <v>0</v>
      </c>
      <c r="Y1085" s="746">
        <f t="shared" si="336"/>
        <v>0</v>
      </c>
      <c r="Z1085" s="746">
        <f>+Z1084-BdV!I46-BdV!I52</f>
        <v>0</v>
      </c>
      <c r="AA1085" s="863" t="s">
        <v>363</v>
      </c>
    </row>
    <row r="1086" spans="2:27">
      <c r="B1086" s="598" t="s">
        <v>2595</v>
      </c>
      <c r="C1086" s="604" t="s">
        <v>1104</v>
      </c>
      <c r="D1086" s="745">
        <v>2012</v>
      </c>
      <c r="E1086" s="604" t="s">
        <v>1627</v>
      </c>
      <c r="F1086" s="738"/>
      <c r="G1086" s="739">
        <v>450</v>
      </c>
      <c r="H1086" s="741">
        <v>450</v>
      </c>
      <c r="I1086" s="742">
        <f t="shared" si="341"/>
        <v>0</v>
      </c>
      <c r="J1086" s="740">
        <f t="shared" si="342"/>
        <v>0</v>
      </c>
      <c r="K1086" s="739">
        <f t="shared" si="343"/>
        <v>450</v>
      </c>
      <c r="L1086" s="844">
        <f t="shared" si="344"/>
        <v>0</v>
      </c>
      <c r="M1086" s="740">
        <f t="shared" si="337"/>
        <v>0</v>
      </c>
      <c r="N1086" s="604">
        <f t="shared" si="327"/>
        <v>0</v>
      </c>
      <c r="O1086" s="604">
        <f t="shared" si="328"/>
        <v>0</v>
      </c>
      <c r="P1086" s="604">
        <f t="shared" si="329"/>
        <v>0</v>
      </c>
      <c r="Q1086" s="604">
        <f t="shared" si="330"/>
        <v>0</v>
      </c>
      <c r="R1086" s="604">
        <f t="shared" si="338"/>
        <v>0</v>
      </c>
      <c r="S1086" s="604">
        <f t="shared" si="331"/>
        <v>0</v>
      </c>
      <c r="T1086" s="604">
        <f t="shared" si="332"/>
        <v>0</v>
      </c>
      <c r="U1086" s="604">
        <f t="shared" si="333"/>
        <v>0</v>
      </c>
      <c r="V1086" s="604">
        <f t="shared" si="334"/>
        <v>0</v>
      </c>
      <c r="W1086" s="604">
        <f t="shared" si="335"/>
        <v>0</v>
      </c>
      <c r="X1086" s="746">
        <v>0</v>
      </c>
      <c r="Y1086" s="746">
        <f t="shared" si="336"/>
        <v>0</v>
      </c>
    </row>
    <row r="1087" spans="2:27">
      <c r="B1087" s="598" t="s">
        <v>2595</v>
      </c>
      <c r="C1087" s="604" t="s">
        <v>1104</v>
      </c>
      <c r="D1087" s="745">
        <v>2012</v>
      </c>
      <c r="E1087" s="604" t="s">
        <v>1628</v>
      </c>
      <c r="F1087" s="738"/>
      <c r="G1087" s="739">
        <v>180</v>
      </c>
      <c r="H1087" s="741">
        <v>180</v>
      </c>
      <c r="I1087" s="742">
        <f t="shared" si="341"/>
        <v>0</v>
      </c>
      <c r="J1087" s="740">
        <f t="shared" si="342"/>
        <v>0</v>
      </c>
      <c r="K1087" s="739">
        <f t="shared" si="343"/>
        <v>180</v>
      </c>
      <c r="L1087" s="844">
        <f t="shared" si="344"/>
        <v>0</v>
      </c>
      <c r="M1087" s="740">
        <f t="shared" si="337"/>
        <v>0</v>
      </c>
      <c r="N1087" s="604">
        <f t="shared" si="327"/>
        <v>0</v>
      </c>
      <c r="O1087" s="604">
        <f t="shared" si="328"/>
        <v>0</v>
      </c>
      <c r="P1087" s="604">
        <f t="shared" si="329"/>
        <v>0</v>
      </c>
      <c r="Q1087" s="604">
        <f t="shared" si="330"/>
        <v>0</v>
      </c>
      <c r="R1087" s="604">
        <f t="shared" si="338"/>
        <v>0</v>
      </c>
      <c r="S1087" s="604">
        <f t="shared" si="331"/>
        <v>0</v>
      </c>
      <c r="T1087" s="604">
        <f t="shared" si="332"/>
        <v>0</v>
      </c>
      <c r="U1087" s="604">
        <f t="shared" si="333"/>
        <v>0</v>
      </c>
      <c r="V1087" s="604">
        <f t="shared" si="334"/>
        <v>0</v>
      </c>
      <c r="W1087" s="604">
        <f t="shared" si="335"/>
        <v>0</v>
      </c>
      <c r="X1087" s="746">
        <v>0</v>
      </c>
      <c r="Y1087" s="746">
        <f t="shared" si="336"/>
        <v>0</v>
      </c>
    </row>
    <row r="1088" spans="2:27">
      <c r="B1088" s="598" t="s">
        <v>2595</v>
      </c>
      <c r="C1088" s="604" t="s">
        <v>1104</v>
      </c>
      <c r="D1088" s="745">
        <v>2013</v>
      </c>
      <c r="E1088" s="604" t="s">
        <v>1629</v>
      </c>
      <c r="F1088" s="738"/>
      <c r="G1088" s="739">
        <v>371.8</v>
      </c>
      <c r="H1088" s="741">
        <v>371.8</v>
      </c>
      <c r="I1088" s="742">
        <f t="shared" si="341"/>
        <v>0</v>
      </c>
      <c r="J1088" s="740">
        <f t="shared" si="342"/>
        <v>0</v>
      </c>
      <c r="K1088" s="739">
        <f t="shared" si="343"/>
        <v>371.8</v>
      </c>
      <c r="L1088" s="844">
        <f t="shared" si="344"/>
        <v>0</v>
      </c>
      <c r="M1088" s="740">
        <f t="shared" si="337"/>
        <v>0</v>
      </c>
      <c r="N1088" s="604">
        <f t="shared" si="327"/>
        <v>0</v>
      </c>
      <c r="O1088" s="604">
        <f t="shared" si="328"/>
        <v>0</v>
      </c>
      <c r="P1088" s="604">
        <f t="shared" si="329"/>
        <v>0</v>
      </c>
      <c r="Q1088" s="604">
        <f t="shared" si="330"/>
        <v>0</v>
      </c>
      <c r="R1088" s="604">
        <f t="shared" si="338"/>
        <v>0</v>
      </c>
      <c r="S1088" s="604">
        <f t="shared" si="331"/>
        <v>0</v>
      </c>
      <c r="T1088" s="604">
        <f t="shared" si="332"/>
        <v>0</v>
      </c>
      <c r="U1088" s="604">
        <f t="shared" si="333"/>
        <v>0</v>
      </c>
      <c r="V1088" s="604">
        <f t="shared" si="334"/>
        <v>0</v>
      </c>
      <c r="W1088" s="604">
        <f t="shared" si="335"/>
        <v>0</v>
      </c>
      <c r="X1088" s="746">
        <v>0</v>
      </c>
      <c r="Y1088" s="746">
        <f t="shared" si="336"/>
        <v>0</v>
      </c>
    </row>
    <row r="1089" spans="2:27">
      <c r="B1089" s="598" t="s">
        <v>2595</v>
      </c>
      <c r="C1089" s="604" t="s">
        <v>1104</v>
      </c>
      <c r="D1089" s="745">
        <v>2014</v>
      </c>
      <c r="E1089" s="604" t="s">
        <v>1630</v>
      </c>
      <c r="F1089" s="738"/>
      <c r="G1089" s="739">
        <v>900</v>
      </c>
      <c r="H1089" s="741">
        <v>900</v>
      </c>
      <c r="I1089" s="742">
        <f t="shared" si="341"/>
        <v>0</v>
      </c>
      <c r="J1089" s="740">
        <f t="shared" si="342"/>
        <v>0</v>
      </c>
      <c r="K1089" s="739">
        <f t="shared" si="343"/>
        <v>900</v>
      </c>
      <c r="L1089" s="844">
        <f t="shared" si="344"/>
        <v>0</v>
      </c>
      <c r="M1089" s="740">
        <f t="shared" si="337"/>
        <v>0</v>
      </c>
      <c r="N1089" s="604">
        <f t="shared" si="327"/>
        <v>0</v>
      </c>
      <c r="O1089" s="604">
        <f t="shared" si="328"/>
        <v>0</v>
      </c>
      <c r="P1089" s="604">
        <f t="shared" si="329"/>
        <v>0</v>
      </c>
      <c r="Q1089" s="604">
        <f t="shared" si="330"/>
        <v>0</v>
      </c>
      <c r="R1089" s="604">
        <f t="shared" si="338"/>
        <v>0</v>
      </c>
      <c r="S1089" s="604">
        <f t="shared" si="331"/>
        <v>0</v>
      </c>
      <c r="T1089" s="604">
        <f t="shared" si="332"/>
        <v>0</v>
      </c>
      <c r="U1089" s="604">
        <f t="shared" si="333"/>
        <v>0</v>
      </c>
      <c r="V1089" s="604">
        <f t="shared" si="334"/>
        <v>0</v>
      </c>
      <c r="W1089" s="604">
        <f t="shared" si="335"/>
        <v>0</v>
      </c>
      <c r="X1089" s="746">
        <v>0</v>
      </c>
      <c r="Y1089" s="746">
        <f t="shared" si="336"/>
        <v>0</v>
      </c>
    </row>
    <row r="1090" spans="2:27">
      <c r="B1090" s="598" t="s">
        <v>2595</v>
      </c>
      <c r="C1090" s="604" t="s">
        <v>1104</v>
      </c>
      <c r="D1090" s="745">
        <v>2014</v>
      </c>
      <c r="E1090" s="604" t="s">
        <v>1631</v>
      </c>
      <c r="F1090" s="738"/>
      <c r="G1090" s="739">
        <v>350</v>
      </c>
      <c r="H1090" s="741">
        <v>350</v>
      </c>
      <c r="I1090" s="742">
        <f t="shared" si="341"/>
        <v>0</v>
      </c>
      <c r="J1090" s="740">
        <f t="shared" si="342"/>
        <v>0</v>
      </c>
      <c r="K1090" s="739">
        <f t="shared" si="343"/>
        <v>350</v>
      </c>
      <c r="L1090" s="844">
        <f t="shared" si="344"/>
        <v>0</v>
      </c>
      <c r="M1090" s="740">
        <f t="shared" si="337"/>
        <v>0</v>
      </c>
      <c r="N1090" s="604">
        <f t="shared" si="327"/>
        <v>0</v>
      </c>
      <c r="O1090" s="604">
        <f t="shared" si="328"/>
        <v>0</v>
      </c>
      <c r="P1090" s="604">
        <f t="shared" si="329"/>
        <v>0</v>
      </c>
      <c r="Q1090" s="604">
        <f t="shared" si="330"/>
        <v>0</v>
      </c>
      <c r="R1090" s="604">
        <f t="shared" si="338"/>
        <v>0</v>
      </c>
      <c r="S1090" s="604">
        <f t="shared" si="331"/>
        <v>0</v>
      </c>
      <c r="T1090" s="604">
        <f t="shared" si="332"/>
        <v>0</v>
      </c>
      <c r="U1090" s="604">
        <f t="shared" si="333"/>
        <v>0</v>
      </c>
      <c r="V1090" s="604">
        <f t="shared" si="334"/>
        <v>0</v>
      </c>
      <c r="W1090" s="604">
        <f t="shared" si="335"/>
        <v>0</v>
      </c>
      <c r="X1090" s="746">
        <v>0</v>
      </c>
      <c r="Y1090" s="746">
        <f t="shared" si="336"/>
        <v>0</v>
      </c>
    </row>
    <row r="1091" spans="2:27">
      <c r="B1091" s="598" t="s">
        <v>2595</v>
      </c>
      <c r="C1091" s="604" t="s">
        <v>1104</v>
      </c>
      <c r="D1091" s="745">
        <v>2014</v>
      </c>
      <c r="E1091" s="604" t="s">
        <v>1632</v>
      </c>
      <c r="F1091" s="738"/>
      <c r="G1091" s="739">
        <v>350</v>
      </c>
      <c r="H1091" s="741">
        <v>350</v>
      </c>
      <c r="I1091" s="742">
        <f t="shared" si="341"/>
        <v>0</v>
      </c>
      <c r="J1091" s="740">
        <f t="shared" si="342"/>
        <v>0</v>
      </c>
      <c r="K1091" s="739">
        <f t="shared" si="343"/>
        <v>350</v>
      </c>
      <c r="L1091" s="844">
        <f t="shared" si="344"/>
        <v>0</v>
      </c>
      <c r="M1091" s="740">
        <f t="shared" si="337"/>
        <v>0</v>
      </c>
      <c r="N1091" s="604">
        <f t="shared" si="327"/>
        <v>0</v>
      </c>
      <c r="O1091" s="604">
        <f t="shared" si="328"/>
        <v>0</v>
      </c>
      <c r="P1091" s="604">
        <f t="shared" si="329"/>
        <v>0</v>
      </c>
      <c r="Q1091" s="604">
        <f t="shared" si="330"/>
        <v>0</v>
      </c>
      <c r="R1091" s="604">
        <f t="shared" si="338"/>
        <v>0</v>
      </c>
      <c r="S1091" s="604">
        <f t="shared" si="331"/>
        <v>0</v>
      </c>
      <c r="T1091" s="604">
        <f t="shared" si="332"/>
        <v>0</v>
      </c>
      <c r="U1091" s="604">
        <f t="shared" si="333"/>
        <v>0</v>
      </c>
      <c r="V1091" s="604">
        <f t="shared" si="334"/>
        <v>0</v>
      </c>
      <c r="W1091" s="604">
        <f t="shared" si="335"/>
        <v>0</v>
      </c>
      <c r="X1091" s="746">
        <v>0</v>
      </c>
      <c r="Y1091" s="746">
        <f t="shared" si="336"/>
        <v>0</v>
      </c>
    </row>
    <row r="1092" spans="2:27">
      <c r="B1092" s="598" t="s">
        <v>2595</v>
      </c>
      <c r="C1092" s="604" t="s">
        <v>1104</v>
      </c>
      <c r="D1092" s="745">
        <v>2014</v>
      </c>
      <c r="E1092" s="604" t="s">
        <v>1633</v>
      </c>
      <c r="F1092" s="738"/>
      <c r="G1092" s="739">
        <v>250</v>
      </c>
      <c r="H1092" s="741">
        <v>250</v>
      </c>
      <c r="I1092" s="742">
        <f t="shared" si="341"/>
        <v>0</v>
      </c>
      <c r="J1092" s="740">
        <f t="shared" si="342"/>
        <v>0</v>
      </c>
      <c r="K1092" s="739">
        <f t="shared" si="343"/>
        <v>250</v>
      </c>
      <c r="L1092" s="844">
        <f t="shared" si="344"/>
        <v>0</v>
      </c>
      <c r="M1092" s="740">
        <f t="shared" si="337"/>
        <v>0</v>
      </c>
      <c r="N1092" s="604">
        <f t="shared" si="327"/>
        <v>0</v>
      </c>
      <c r="O1092" s="604">
        <f t="shared" si="328"/>
        <v>0</v>
      </c>
      <c r="P1092" s="604">
        <f t="shared" si="329"/>
        <v>0</v>
      </c>
      <c r="Q1092" s="604">
        <f t="shared" si="330"/>
        <v>0</v>
      </c>
      <c r="R1092" s="604">
        <f t="shared" si="338"/>
        <v>0</v>
      </c>
      <c r="S1092" s="604">
        <f t="shared" si="331"/>
        <v>0</v>
      </c>
      <c r="T1092" s="604">
        <f t="shared" si="332"/>
        <v>0</v>
      </c>
      <c r="U1092" s="604">
        <f t="shared" si="333"/>
        <v>0</v>
      </c>
      <c r="V1092" s="604">
        <f t="shared" si="334"/>
        <v>0</v>
      </c>
      <c r="W1092" s="604">
        <f t="shared" si="335"/>
        <v>0</v>
      </c>
      <c r="X1092" s="746">
        <v>0</v>
      </c>
      <c r="Y1092" s="746">
        <f t="shared" si="336"/>
        <v>0</v>
      </c>
    </row>
    <row r="1093" spans="2:27">
      <c r="B1093" s="598" t="s">
        <v>2595</v>
      </c>
      <c r="C1093" s="604" t="s">
        <v>1104</v>
      </c>
      <c r="D1093" s="745">
        <v>2014</v>
      </c>
      <c r="E1093" s="604" t="s">
        <v>1634</v>
      </c>
      <c r="F1093" s="738"/>
      <c r="G1093" s="739">
        <v>250</v>
      </c>
      <c r="H1093" s="741">
        <v>250</v>
      </c>
      <c r="I1093" s="742">
        <f t="shared" si="341"/>
        <v>0</v>
      </c>
      <c r="J1093" s="740">
        <f t="shared" si="342"/>
        <v>0</v>
      </c>
      <c r="K1093" s="739">
        <f t="shared" si="343"/>
        <v>250</v>
      </c>
      <c r="L1093" s="844">
        <f t="shared" si="344"/>
        <v>0</v>
      </c>
      <c r="M1093" s="740">
        <f t="shared" si="337"/>
        <v>0</v>
      </c>
      <c r="N1093" s="604">
        <f t="shared" si="327"/>
        <v>0</v>
      </c>
      <c r="O1093" s="604">
        <f t="shared" si="328"/>
        <v>0</v>
      </c>
      <c r="P1093" s="604">
        <f t="shared" si="329"/>
        <v>0</v>
      </c>
      <c r="Q1093" s="604">
        <f t="shared" si="330"/>
        <v>0</v>
      </c>
      <c r="R1093" s="604">
        <f t="shared" si="338"/>
        <v>0</v>
      </c>
      <c r="S1093" s="604">
        <f t="shared" si="331"/>
        <v>0</v>
      </c>
      <c r="T1093" s="604">
        <f t="shared" si="332"/>
        <v>0</v>
      </c>
      <c r="U1093" s="604">
        <f t="shared" si="333"/>
        <v>0</v>
      </c>
      <c r="V1093" s="604">
        <f t="shared" si="334"/>
        <v>0</v>
      </c>
      <c r="W1093" s="604">
        <f t="shared" si="335"/>
        <v>0</v>
      </c>
      <c r="X1093" s="746">
        <v>0</v>
      </c>
      <c r="Y1093" s="746">
        <f t="shared" si="336"/>
        <v>0</v>
      </c>
    </row>
    <row r="1094" spans="2:27">
      <c r="B1094" s="598" t="s">
        <v>2595</v>
      </c>
      <c r="C1094" s="604" t="s">
        <v>1104</v>
      </c>
      <c r="D1094" s="745">
        <v>2014</v>
      </c>
      <c r="E1094" s="604" t="s">
        <v>1635</v>
      </c>
      <c r="F1094" s="738"/>
      <c r="G1094" s="739">
        <v>300</v>
      </c>
      <c r="H1094" s="741">
        <v>300</v>
      </c>
      <c r="I1094" s="742">
        <f t="shared" si="341"/>
        <v>0</v>
      </c>
      <c r="J1094" s="740">
        <f t="shared" si="342"/>
        <v>0</v>
      </c>
      <c r="K1094" s="739">
        <f t="shared" si="343"/>
        <v>300</v>
      </c>
      <c r="L1094" s="844">
        <f t="shared" si="344"/>
        <v>0</v>
      </c>
      <c r="M1094" s="740">
        <f t="shared" si="337"/>
        <v>0</v>
      </c>
      <c r="N1094" s="604">
        <f t="shared" si="327"/>
        <v>0</v>
      </c>
      <c r="O1094" s="604">
        <f t="shared" si="328"/>
        <v>0</v>
      </c>
      <c r="P1094" s="604">
        <f t="shared" si="329"/>
        <v>0</v>
      </c>
      <c r="Q1094" s="604">
        <f t="shared" si="330"/>
        <v>0</v>
      </c>
      <c r="R1094" s="604">
        <f t="shared" si="338"/>
        <v>0</v>
      </c>
      <c r="S1094" s="604">
        <f t="shared" si="331"/>
        <v>0</v>
      </c>
      <c r="T1094" s="604">
        <f t="shared" si="332"/>
        <v>0</v>
      </c>
      <c r="U1094" s="604">
        <f t="shared" si="333"/>
        <v>0</v>
      </c>
      <c r="V1094" s="604">
        <f t="shared" si="334"/>
        <v>0</v>
      </c>
      <c r="W1094" s="604">
        <f t="shared" si="335"/>
        <v>0</v>
      </c>
      <c r="X1094" s="746">
        <v>0</v>
      </c>
      <c r="Y1094" s="746">
        <f t="shared" si="336"/>
        <v>0</v>
      </c>
    </row>
    <row r="1095" spans="2:27">
      <c r="B1095" s="598" t="s">
        <v>2595</v>
      </c>
      <c r="C1095" s="604" t="s">
        <v>1104</v>
      </c>
      <c r="D1095" s="745">
        <v>2014</v>
      </c>
      <c r="E1095" s="604" t="s">
        <v>1636</v>
      </c>
      <c r="F1095" s="738"/>
      <c r="G1095" s="739">
        <v>750</v>
      </c>
      <c r="H1095" s="741">
        <v>750</v>
      </c>
      <c r="I1095" s="742">
        <f t="shared" si="341"/>
        <v>0</v>
      </c>
      <c r="J1095" s="740">
        <f t="shared" si="342"/>
        <v>0</v>
      </c>
      <c r="K1095" s="739">
        <f t="shared" si="343"/>
        <v>750</v>
      </c>
      <c r="L1095" s="844">
        <f t="shared" si="344"/>
        <v>0</v>
      </c>
      <c r="M1095" s="740">
        <f t="shared" si="337"/>
        <v>0</v>
      </c>
      <c r="N1095" s="604">
        <f t="shared" si="327"/>
        <v>0</v>
      </c>
      <c r="O1095" s="604">
        <f t="shared" si="328"/>
        <v>0</v>
      </c>
      <c r="P1095" s="604">
        <f t="shared" si="329"/>
        <v>0</v>
      </c>
      <c r="Q1095" s="604">
        <f t="shared" si="330"/>
        <v>0</v>
      </c>
      <c r="R1095" s="604">
        <f t="shared" si="338"/>
        <v>0</v>
      </c>
      <c r="S1095" s="604">
        <f t="shared" si="331"/>
        <v>0</v>
      </c>
      <c r="T1095" s="604">
        <f t="shared" si="332"/>
        <v>0</v>
      </c>
      <c r="U1095" s="604">
        <f t="shared" si="333"/>
        <v>0</v>
      </c>
      <c r="V1095" s="604">
        <f t="shared" si="334"/>
        <v>0</v>
      </c>
      <c r="W1095" s="604">
        <f t="shared" si="335"/>
        <v>0</v>
      </c>
      <c r="X1095" s="746">
        <v>0</v>
      </c>
      <c r="Y1095" s="746">
        <f t="shared" si="336"/>
        <v>0</v>
      </c>
    </row>
    <row r="1096" spans="2:27">
      <c r="B1096" s="598" t="s">
        <v>2595</v>
      </c>
      <c r="C1096" s="604" t="s">
        <v>1104</v>
      </c>
      <c r="D1096" s="745">
        <v>2014</v>
      </c>
      <c r="E1096" s="604" t="s">
        <v>1637</v>
      </c>
      <c r="F1096" s="738"/>
      <c r="G1096" s="739">
        <v>300</v>
      </c>
      <c r="H1096" s="741">
        <v>300</v>
      </c>
      <c r="I1096" s="742">
        <f t="shared" si="341"/>
        <v>0</v>
      </c>
      <c r="J1096" s="740">
        <f t="shared" si="342"/>
        <v>0</v>
      </c>
      <c r="K1096" s="739">
        <f t="shared" si="343"/>
        <v>300</v>
      </c>
      <c r="L1096" s="844">
        <f t="shared" si="344"/>
        <v>0</v>
      </c>
      <c r="M1096" s="740">
        <f t="shared" si="337"/>
        <v>0</v>
      </c>
      <c r="N1096" s="604">
        <f t="shared" si="327"/>
        <v>0</v>
      </c>
      <c r="O1096" s="604">
        <f t="shared" si="328"/>
        <v>0</v>
      </c>
      <c r="P1096" s="604">
        <f t="shared" si="329"/>
        <v>0</v>
      </c>
      <c r="Q1096" s="604">
        <f t="shared" si="330"/>
        <v>0</v>
      </c>
      <c r="R1096" s="604">
        <f t="shared" si="338"/>
        <v>0</v>
      </c>
      <c r="S1096" s="604">
        <f t="shared" si="331"/>
        <v>0</v>
      </c>
      <c r="T1096" s="604">
        <f t="shared" si="332"/>
        <v>0</v>
      </c>
      <c r="U1096" s="604">
        <f t="shared" si="333"/>
        <v>0</v>
      </c>
      <c r="V1096" s="604">
        <f t="shared" si="334"/>
        <v>0</v>
      </c>
      <c r="W1096" s="604">
        <f t="shared" si="335"/>
        <v>0</v>
      </c>
      <c r="X1096" s="746">
        <v>0</v>
      </c>
      <c r="Y1096" s="746">
        <f t="shared" si="336"/>
        <v>0</v>
      </c>
    </row>
    <row r="1097" spans="2:27">
      <c r="B1097" s="598" t="s">
        <v>2595</v>
      </c>
      <c r="C1097" s="604" t="s">
        <v>1104</v>
      </c>
      <c r="D1097" s="745">
        <v>2014</v>
      </c>
      <c r="E1097" s="604" t="s">
        <v>1638</v>
      </c>
      <c r="F1097" s="738"/>
      <c r="G1097" s="739">
        <v>150</v>
      </c>
      <c r="H1097" s="741">
        <v>150</v>
      </c>
      <c r="I1097" s="742">
        <f t="shared" si="341"/>
        <v>0</v>
      </c>
      <c r="J1097" s="740">
        <f t="shared" si="342"/>
        <v>0</v>
      </c>
      <c r="K1097" s="739">
        <f t="shared" si="343"/>
        <v>150</v>
      </c>
      <c r="L1097" s="844">
        <f t="shared" si="344"/>
        <v>0</v>
      </c>
      <c r="M1097" s="740">
        <f t="shared" si="337"/>
        <v>0</v>
      </c>
      <c r="N1097" s="604">
        <f t="shared" ref="N1097:N1160" si="345">+IF(L1097-M1097&gt;0,G1097*F1097,0)</f>
        <v>0</v>
      </c>
      <c r="O1097" s="604">
        <f t="shared" ref="O1097:O1160" si="346">+IF(L1097-SUM(M1097:N1097)&gt;0,G1097*F1097,0)</f>
        <v>0</v>
      </c>
      <c r="P1097" s="604">
        <f t="shared" ref="P1097:P1160" si="347">+IF(L1097-SUM(M1097:O1097)&gt;0,G1097*F1097,0)</f>
        <v>0</v>
      </c>
      <c r="Q1097" s="604">
        <f t="shared" ref="Q1097:Q1160" si="348">+IF(L1097-SUM(M1097:P1097)&gt;0,G1097*F1097,0)</f>
        <v>0</v>
      </c>
      <c r="R1097" s="604">
        <f t="shared" ref="R1097:R1160" si="349">+IF(L1097-SUM(M1097:Q1097)&gt;0,G1097*F1097,0)</f>
        <v>0</v>
      </c>
      <c r="S1097" s="604">
        <f t="shared" ref="S1097:S1160" si="350">+IF(L1097-SUM(M1097:R1097)&gt;0,G1097*F1097,0)</f>
        <v>0</v>
      </c>
      <c r="T1097" s="604">
        <f t="shared" ref="T1097:T1160" si="351">+IF(L1097-SUM(M1097:S1097)&gt;0,G1097*F1097,0)</f>
        <v>0</v>
      </c>
      <c r="U1097" s="604">
        <f t="shared" ref="U1097:U1160" si="352">+IF(L1097-SUM(M1097:T1097)&gt;0,G1097*F1097,0)</f>
        <v>0</v>
      </c>
      <c r="V1097" s="604">
        <f t="shared" ref="V1097:V1160" si="353">+IF(L1097-SUM(M1097:U1097)&gt;0,G1097*F1097,0)</f>
        <v>0</v>
      </c>
      <c r="W1097" s="604">
        <f t="shared" ref="W1097:W1160" si="354">+IF(L1097-SUM(M1097:V1097)&gt;0,G1097*F1097,0)</f>
        <v>0</v>
      </c>
      <c r="X1097" s="746">
        <v>0</v>
      </c>
      <c r="Y1097" s="746">
        <f t="shared" ref="Y1097:Y1160" si="355">+SUM(M1097:W1097)-L1097</f>
        <v>0</v>
      </c>
    </row>
    <row r="1098" spans="2:27">
      <c r="B1098" s="598" t="s">
        <v>2595</v>
      </c>
      <c r="C1098" s="604" t="s">
        <v>1104</v>
      </c>
      <c r="D1098" s="745">
        <v>2015</v>
      </c>
      <c r="E1098" s="604" t="s">
        <v>1639</v>
      </c>
      <c r="F1098" s="738"/>
      <c r="G1098" s="739">
        <v>7300.29</v>
      </c>
      <c r="H1098" s="741">
        <v>7300.29</v>
      </c>
      <c r="I1098" s="742">
        <f t="shared" si="341"/>
        <v>0</v>
      </c>
      <c r="J1098" s="740">
        <f t="shared" si="342"/>
        <v>0</v>
      </c>
      <c r="K1098" s="739">
        <f t="shared" si="343"/>
        <v>7300.29</v>
      </c>
      <c r="L1098" s="844">
        <f t="shared" si="344"/>
        <v>0</v>
      </c>
      <c r="M1098" s="740">
        <f t="shared" si="337"/>
        <v>0</v>
      </c>
      <c r="N1098" s="604">
        <f t="shared" si="345"/>
        <v>0</v>
      </c>
      <c r="O1098" s="604">
        <f t="shared" si="346"/>
        <v>0</v>
      </c>
      <c r="P1098" s="604">
        <f t="shared" si="347"/>
        <v>0</v>
      </c>
      <c r="Q1098" s="604">
        <f t="shared" si="348"/>
        <v>0</v>
      </c>
      <c r="R1098" s="604">
        <f t="shared" si="349"/>
        <v>0</v>
      </c>
      <c r="S1098" s="604">
        <f t="shared" si="350"/>
        <v>0</v>
      </c>
      <c r="T1098" s="604">
        <f t="shared" si="351"/>
        <v>0</v>
      </c>
      <c r="U1098" s="604">
        <f t="shared" si="352"/>
        <v>0</v>
      </c>
      <c r="V1098" s="604">
        <f t="shared" si="353"/>
        <v>0</v>
      </c>
      <c r="W1098" s="604">
        <f t="shared" si="354"/>
        <v>0</v>
      </c>
      <c r="X1098" s="746">
        <v>0</v>
      </c>
      <c r="Y1098" s="746">
        <f t="shared" si="355"/>
        <v>0</v>
      </c>
    </row>
    <row r="1099" spans="2:27">
      <c r="B1099" s="598" t="s">
        <v>2595</v>
      </c>
      <c r="C1099" s="604" t="s">
        <v>1104</v>
      </c>
      <c r="D1099" s="745">
        <v>2015</v>
      </c>
      <c r="E1099" s="604" t="s">
        <v>1640</v>
      </c>
      <c r="F1099" s="738"/>
      <c r="G1099" s="739">
        <v>422.5</v>
      </c>
      <c r="H1099" s="741">
        <v>422.5</v>
      </c>
      <c r="I1099" s="742">
        <f t="shared" si="341"/>
        <v>0</v>
      </c>
      <c r="J1099" s="740">
        <f t="shared" si="342"/>
        <v>0</v>
      </c>
      <c r="K1099" s="739">
        <f t="shared" si="343"/>
        <v>422.5</v>
      </c>
      <c r="L1099" s="844">
        <f t="shared" si="344"/>
        <v>0</v>
      </c>
      <c r="M1099" s="740">
        <f t="shared" si="337"/>
        <v>0</v>
      </c>
      <c r="N1099" s="604">
        <f t="shared" si="345"/>
        <v>0</v>
      </c>
      <c r="O1099" s="604">
        <f t="shared" si="346"/>
        <v>0</v>
      </c>
      <c r="P1099" s="604">
        <f t="shared" si="347"/>
        <v>0</v>
      </c>
      <c r="Q1099" s="604">
        <f t="shared" si="348"/>
        <v>0</v>
      </c>
      <c r="R1099" s="604">
        <f t="shared" si="349"/>
        <v>0</v>
      </c>
      <c r="S1099" s="604">
        <f t="shared" si="350"/>
        <v>0</v>
      </c>
      <c r="T1099" s="604">
        <f t="shared" si="351"/>
        <v>0</v>
      </c>
      <c r="U1099" s="604">
        <f t="shared" si="352"/>
        <v>0</v>
      </c>
      <c r="V1099" s="604">
        <f t="shared" si="353"/>
        <v>0</v>
      </c>
      <c r="W1099" s="604">
        <f t="shared" si="354"/>
        <v>0</v>
      </c>
      <c r="X1099" s="746">
        <v>0</v>
      </c>
      <c r="Y1099" s="746">
        <f t="shared" si="355"/>
        <v>0</v>
      </c>
    </row>
    <row r="1100" spans="2:27">
      <c r="B1100" s="598" t="s">
        <v>2595</v>
      </c>
      <c r="C1100" s="604" t="s">
        <v>1104</v>
      </c>
      <c r="D1100" s="745">
        <v>2015</v>
      </c>
      <c r="E1100" s="604" t="s">
        <v>1641</v>
      </c>
      <c r="F1100" s="738"/>
      <c r="G1100" s="739">
        <v>1520.61</v>
      </c>
      <c r="H1100" s="741">
        <v>1520.61</v>
      </c>
      <c r="I1100" s="742">
        <f t="shared" si="341"/>
        <v>0</v>
      </c>
      <c r="J1100" s="740">
        <f t="shared" si="342"/>
        <v>0</v>
      </c>
      <c r="K1100" s="739">
        <f t="shared" si="343"/>
        <v>1520.61</v>
      </c>
      <c r="L1100" s="844">
        <f t="shared" si="344"/>
        <v>0</v>
      </c>
      <c r="M1100" s="740">
        <f t="shared" ref="M1100:M1163" si="356">+IF(L1100=0,0,G1100*F1100)</f>
        <v>0</v>
      </c>
      <c r="N1100" s="604">
        <f t="shared" si="345"/>
        <v>0</v>
      </c>
      <c r="O1100" s="604">
        <f t="shared" si="346"/>
        <v>0</v>
      </c>
      <c r="P1100" s="604">
        <f t="shared" si="347"/>
        <v>0</v>
      </c>
      <c r="Q1100" s="604">
        <f t="shared" si="348"/>
        <v>0</v>
      </c>
      <c r="R1100" s="604">
        <f t="shared" si="349"/>
        <v>0</v>
      </c>
      <c r="S1100" s="604">
        <f t="shared" si="350"/>
        <v>0</v>
      </c>
      <c r="T1100" s="604">
        <f t="shared" si="351"/>
        <v>0</v>
      </c>
      <c r="U1100" s="604">
        <f t="shared" si="352"/>
        <v>0</v>
      </c>
      <c r="V1100" s="604">
        <f t="shared" si="353"/>
        <v>0</v>
      </c>
      <c r="W1100" s="604">
        <f t="shared" si="354"/>
        <v>0</v>
      </c>
      <c r="X1100" s="746">
        <v>0</v>
      </c>
      <c r="Y1100" s="746">
        <f t="shared" si="355"/>
        <v>0</v>
      </c>
    </row>
    <row r="1101" spans="2:27" ht="12.75" thickBot="1">
      <c r="B1101" s="598" t="s">
        <v>2595</v>
      </c>
      <c r="C1101" s="604" t="s">
        <v>1104</v>
      </c>
      <c r="D1101" s="745">
        <v>2022</v>
      </c>
      <c r="E1101" s="604" t="s">
        <v>2558</v>
      </c>
      <c r="F1101" s="738">
        <v>1</v>
      </c>
      <c r="G1101" s="739">
        <v>557.46</v>
      </c>
      <c r="H1101" s="741">
        <v>0</v>
      </c>
      <c r="I1101" s="742">
        <f t="shared" ref="I1101" si="357">+G1101-H1101</f>
        <v>557.46</v>
      </c>
      <c r="J1101" s="740">
        <f>IF(I1101=0,0,G1101*F1101)</f>
        <v>557.46</v>
      </c>
      <c r="K1101" s="739">
        <f t="shared" ref="K1101" si="358">+H1101+J1101</f>
        <v>557.46</v>
      </c>
      <c r="L1101" s="845">
        <f t="shared" ref="L1101" si="359">+G1101-K1101</f>
        <v>0</v>
      </c>
      <c r="M1101" s="740">
        <f t="shared" si="356"/>
        <v>0</v>
      </c>
      <c r="N1101" s="604">
        <f t="shared" si="345"/>
        <v>0</v>
      </c>
      <c r="O1101" s="604">
        <f t="shared" si="346"/>
        <v>0</v>
      </c>
      <c r="P1101" s="604">
        <f t="shared" si="347"/>
        <v>0</v>
      </c>
      <c r="Q1101" s="604">
        <f t="shared" si="348"/>
        <v>0</v>
      </c>
      <c r="R1101" s="604">
        <f t="shared" si="349"/>
        <v>0</v>
      </c>
      <c r="S1101" s="604">
        <f t="shared" si="350"/>
        <v>0</v>
      </c>
      <c r="T1101" s="604">
        <f t="shared" si="351"/>
        <v>0</v>
      </c>
      <c r="U1101" s="604">
        <f t="shared" si="352"/>
        <v>0</v>
      </c>
      <c r="V1101" s="604">
        <f t="shared" si="353"/>
        <v>0</v>
      </c>
      <c r="W1101" s="604">
        <f t="shared" si="354"/>
        <v>0</v>
      </c>
      <c r="X1101" s="746">
        <v>0</v>
      </c>
      <c r="Y1101" s="746">
        <f t="shared" si="355"/>
        <v>0</v>
      </c>
    </row>
    <row r="1102" spans="2:27">
      <c r="B1102" s="598" t="s">
        <v>2595</v>
      </c>
      <c r="C1102" s="604" t="s">
        <v>1102</v>
      </c>
      <c r="D1102" s="745">
        <v>2002</v>
      </c>
      <c r="E1102" s="604" t="s">
        <v>1642</v>
      </c>
      <c r="F1102" s="738">
        <v>0.2</v>
      </c>
      <c r="G1102" s="739">
        <v>318.39999999999998</v>
      </c>
      <c r="H1102" s="741">
        <v>318.39999999999998</v>
      </c>
      <c r="I1102" s="742">
        <f t="shared" ref="I1102:I1165" si="360">+G1102-H1102</f>
        <v>0</v>
      </c>
      <c r="J1102" s="740">
        <f t="shared" ref="J1102:J1165" si="361">IF(I1102=0,0,G1102*F1102)</f>
        <v>0</v>
      </c>
      <c r="K1102" s="739">
        <f t="shared" ref="K1102:K1165" si="362">+H1102+J1102</f>
        <v>318.39999999999998</v>
      </c>
      <c r="L1102" s="841">
        <f t="shared" ref="L1102:L1165" si="363">+G1102-K1102</f>
        <v>0</v>
      </c>
      <c r="M1102" s="740">
        <f t="shared" si="356"/>
        <v>0</v>
      </c>
      <c r="N1102" s="604">
        <f t="shared" si="345"/>
        <v>0</v>
      </c>
      <c r="O1102" s="604">
        <f t="shared" si="346"/>
        <v>0</v>
      </c>
      <c r="P1102" s="604">
        <f t="shared" si="347"/>
        <v>0</v>
      </c>
      <c r="Q1102" s="604">
        <f t="shared" si="348"/>
        <v>0</v>
      </c>
      <c r="R1102" s="604">
        <f t="shared" si="349"/>
        <v>0</v>
      </c>
      <c r="S1102" s="604">
        <f t="shared" si="350"/>
        <v>0</v>
      </c>
      <c r="T1102" s="604">
        <f t="shared" si="351"/>
        <v>0</v>
      </c>
      <c r="U1102" s="604">
        <f t="shared" si="352"/>
        <v>0</v>
      </c>
      <c r="V1102" s="604">
        <f t="shared" si="353"/>
        <v>0</v>
      </c>
      <c r="W1102" s="604">
        <f t="shared" si="354"/>
        <v>0</v>
      </c>
      <c r="X1102" s="746">
        <v>0</v>
      </c>
      <c r="Y1102" s="746">
        <f t="shared" si="355"/>
        <v>0</v>
      </c>
      <c r="Z1102" s="746">
        <f>+SUM(L1102:L1243)</f>
        <v>462934.96000000008</v>
      </c>
    </row>
    <row r="1103" spans="2:27">
      <c r="B1103" s="598" t="s">
        <v>2595</v>
      </c>
      <c r="C1103" s="604" t="s">
        <v>1102</v>
      </c>
      <c r="D1103" s="745">
        <v>2004</v>
      </c>
      <c r="E1103" s="604" t="s">
        <v>1643</v>
      </c>
      <c r="F1103" s="738">
        <v>0.2</v>
      </c>
      <c r="G1103" s="739">
        <v>22800</v>
      </c>
      <c r="H1103" s="741">
        <v>22800</v>
      </c>
      <c r="I1103" s="742">
        <f>+G1103-H1103</f>
        <v>0</v>
      </c>
      <c r="J1103" s="740">
        <f t="shared" si="361"/>
        <v>0</v>
      </c>
      <c r="K1103" s="739">
        <f t="shared" si="362"/>
        <v>22800</v>
      </c>
      <c r="L1103" s="862">
        <f t="shared" si="363"/>
        <v>0</v>
      </c>
      <c r="M1103" s="740">
        <f t="shared" si="356"/>
        <v>0</v>
      </c>
      <c r="N1103" s="604">
        <f t="shared" si="345"/>
        <v>0</v>
      </c>
      <c r="O1103" s="604">
        <f t="shared" si="346"/>
        <v>0</v>
      </c>
      <c r="P1103" s="604">
        <f t="shared" si="347"/>
        <v>0</v>
      </c>
      <c r="Q1103" s="604">
        <f t="shared" si="348"/>
        <v>0</v>
      </c>
      <c r="R1103" s="604">
        <f t="shared" si="349"/>
        <v>0</v>
      </c>
      <c r="S1103" s="604">
        <f t="shared" si="350"/>
        <v>0</v>
      </c>
      <c r="T1103" s="604">
        <f t="shared" si="351"/>
        <v>0</v>
      </c>
      <c r="U1103" s="604">
        <f t="shared" si="352"/>
        <v>0</v>
      </c>
      <c r="V1103" s="604">
        <f t="shared" si="353"/>
        <v>0</v>
      </c>
      <c r="W1103" s="604">
        <f t="shared" si="354"/>
        <v>0</v>
      </c>
      <c r="X1103" s="746">
        <v>0</v>
      </c>
      <c r="Y1103" s="746">
        <f t="shared" si="355"/>
        <v>0</v>
      </c>
      <c r="Z1103" s="746">
        <f>+Z1102-BdV!I42-BdV!I48</f>
        <v>-9.9999998928979039E-3</v>
      </c>
      <c r="AA1103" s="598" t="s">
        <v>363</v>
      </c>
    </row>
    <row r="1104" spans="2:27">
      <c r="B1104" s="598" t="s">
        <v>2595</v>
      </c>
      <c r="C1104" s="604" t="s">
        <v>1102</v>
      </c>
      <c r="D1104" s="745">
        <v>2021</v>
      </c>
      <c r="E1104" s="604"/>
      <c r="F1104" s="738">
        <v>0.2</v>
      </c>
      <c r="G1104" s="739">
        <v>-22800</v>
      </c>
      <c r="H1104" s="741">
        <v>-22800</v>
      </c>
      <c r="I1104" s="742">
        <f t="shared" si="360"/>
        <v>0</v>
      </c>
      <c r="J1104" s="740">
        <f t="shared" si="361"/>
        <v>0</v>
      </c>
      <c r="K1104" s="739">
        <f t="shared" si="362"/>
        <v>-22800</v>
      </c>
      <c r="L1104" s="862">
        <f t="shared" si="363"/>
        <v>0</v>
      </c>
      <c r="M1104" s="740">
        <f t="shared" si="356"/>
        <v>0</v>
      </c>
      <c r="N1104" s="604">
        <f t="shared" si="345"/>
        <v>0</v>
      </c>
      <c r="O1104" s="604">
        <f t="shared" si="346"/>
        <v>0</v>
      </c>
      <c r="P1104" s="604">
        <f t="shared" si="347"/>
        <v>0</v>
      </c>
      <c r="Q1104" s="604">
        <f t="shared" si="348"/>
        <v>0</v>
      </c>
      <c r="R1104" s="604">
        <f t="shared" si="349"/>
        <v>0</v>
      </c>
      <c r="S1104" s="604">
        <f t="shared" si="350"/>
        <v>0</v>
      </c>
      <c r="T1104" s="604">
        <f t="shared" si="351"/>
        <v>0</v>
      </c>
      <c r="U1104" s="604">
        <f t="shared" si="352"/>
        <v>0</v>
      </c>
      <c r="V1104" s="604">
        <f t="shared" si="353"/>
        <v>0</v>
      </c>
      <c r="W1104" s="604">
        <f t="shared" si="354"/>
        <v>0</v>
      </c>
      <c r="X1104" s="746">
        <v>0</v>
      </c>
      <c r="Y1104" s="746">
        <f t="shared" si="355"/>
        <v>0</v>
      </c>
    </row>
    <row r="1105" spans="2:25">
      <c r="B1105" s="598" t="s">
        <v>2595</v>
      </c>
      <c r="C1105" s="604" t="s">
        <v>1102</v>
      </c>
      <c r="D1105" s="745">
        <v>2004</v>
      </c>
      <c r="E1105" s="604" t="s">
        <v>1644</v>
      </c>
      <c r="F1105" s="738">
        <v>0.2</v>
      </c>
      <c r="G1105" s="739">
        <v>2500</v>
      </c>
      <c r="H1105" s="741">
        <v>2500</v>
      </c>
      <c r="I1105" s="742">
        <f t="shared" si="360"/>
        <v>0</v>
      </c>
      <c r="J1105" s="740">
        <f t="shared" si="361"/>
        <v>0</v>
      </c>
      <c r="K1105" s="739">
        <f t="shared" si="362"/>
        <v>2500</v>
      </c>
      <c r="L1105" s="862">
        <f t="shared" si="363"/>
        <v>0</v>
      </c>
      <c r="M1105" s="740">
        <f t="shared" si="356"/>
        <v>0</v>
      </c>
      <c r="N1105" s="604">
        <f t="shared" si="345"/>
        <v>0</v>
      </c>
      <c r="O1105" s="604">
        <f t="shared" si="346"/>
        <v>0</v>
      </c>
      <c r="P1105" s="604">
        <f t="shared" si="347"/>
        <v>0</v>
      </c>
      <c r="Q1105" s="604">
        <f t="shared" si="348"/>
        <v>0</v>
      </c>
      <c r="R1105" s="604">
        <f t="shared" si="349"/>
        <v>0</v>
      </c>
      <c r="S1105" s="604">
        <f t="shared" si="350"/>
        <v>0</v>
      </c>
      <c r="T1105" s="604">
        <f t="shared" si="351"/>
        <v>0</v>
      </c>
      <c r="U1105" s="604">
        <f t="shared" si="352"/>
        <v>0</v>
      </c>
      <c r="V1105" s="604">
        <f t="shared" si="353"/>
        <v>0</v>
      </c>
      <c r="W1105" s="604">
        <f t="shared" si="354"/>
        <v>0</v>
      </c>
      <c r="X1105" s="746">
        <v>0</v>
      </c>
      <c r="Y1105" s="746">
        <f t="shared" si="355"/>
        <v>0</v>
      </c>
    </row>
    <row r="1106" spans="2:25">
      <c r="B1106" s="598" t="s">
        <v>2595</v>
      </c>
      <c r="C1106" s="604" t="s">
        <v>1102</v>
      </c>
      <c r="D1106" s="745">
        <v>2012</v>
      </c>
      <c r="E1106" s="604"/>
      <c r="F1106" s="738">
        <v>0.2</v>
      </c>
      <c r="G1106" s="739">
        <v>1045.5999999999999</v>
      </c>
      <c r="H1106" s="741">
        <v>1045.5999999999999</v>
      </c>
      <c r="I1106" s="742">
        <f t="shared" si="360"/>
        <v>0</v>
      </c>
      <c r="J1106" s="740">
        <f t="shared" si="361"/>
        <v>0</v>
      </c>
      <c r="K1106" s="739">
        <f t="shared" si="362"/>
        <v>1045.5999999999999</v>
      </c>
      <c r="L1106" s="862">
        <f t="shared" si="363"/>
        <v>0</v>
      </c>
      <c r="M1106" s="740">
        <f t="shared" si="356"/>
        <v>0</v>
      </c>
      <c r="N1106" s="604">
        <f t="shared" si="345"/>
        <v>0</v>
      </c>
      <c r="O1106" s="604">
        <f t="shared" si="346"/>
        <v>0</v>
      </c>
      <c r="P1106" s="604">
        <f t="shared" si="347"/>
        <v>0</v>
      </c>
      <c r="Q1106" s="604">
        <f t="shared" si="348"/>
        <v>0</v>
      </c>
      <c r="R1106" s="604">
        <f t="shared" si="349"/>
        <v>0</v>
      </c>
      <c r="S1106" s="604">
        <f t="shared" si="350"/>
        <v>0</v>
      </c>
      <c r="T1106" s="604">
        <f t="shared" si="351"/>
        <v>0</v>
      </c>
      <c r="U1106" s="604">
        <f t="shared" si="352"/>
        <v>0</v>
      </c>
      <c r="V1106" s="604">
        <f t="shared" si="353"/>
        <v>0</v>
      </c>
      <c r="W1106" s="604">
        <f t="shared" si="354"/>
        <v>0</v>
      </c>
      <c r="X1106" s="746">
        <v>0</v>
      </c>
      <c r="Y1106" s="746">
        <f t="shared" si="355"/>
        <v>0</v>
      </c>
    </row>
    <row r="1107" spans="2:25">
      <c r="B1107" s="598" t="s">
        <v>2595</v>
      </c>
      <c r="C1107" s="604" t="s">
        <v>1102</v>
      </c>
      <c r="D1107" s="745">
        <v>2006</v>
      </c>
      <c r="E1107" s="604" t="s">
        <v>1645</v>
      </c>
      <c r="F1107" s="738">
        <v>0.2</v>
      </c>
      <c r="G1107" s="739">
        <v>200</v>
      </c>
      <c r="H1107" s="741">
        <v>200</v>
      </c>
      <c r="I1107" s="742">
        <f t="shared" si="360"/>
        <v>0</v>
      </c>
      <c r="J1107" s="740">
        <f t="shared" si="361"/>
        <v>0</v>
      </c>
      <c r="K1107" s="739">
        <f t="shared" si="362"/>
        <v>200</v>
      </c>
      <c r="L1107" s="862">
        <f t="shared" si="363"/>
        <v>0</v>
      </c>
      <c r="M1107" s="740">
        <f t="shared" si="356"/>
        <v>0</v>
      </c>
      <c r="N1107" s="604">
        <f t="shared" si="345"/>
        <v>0</v>
      </c>
      <c r="O1107" s="604">
        <f t="shared" si="346"/>
        <v>0</v>
      </c>
      <c r="P1107" s="604">
        <f t="shared" si="347"/>
        <v>0</v>
      </c>
      <c r="Q1107" s="604">
        <f t="shared" si="348"/>
        <v>0</v>
      </c>
      <c r="R1107" s="604">
        <f t="shared" si="349"/>
        <v>0</v>
      </c>
      <c r="S1107" s="604">
        <f t="shared" si="350"/>
        <v>0</v>
      </c>
      <c r="T1107" s="604">
        <f t="shared" si="351"/>
        <v>0</v>
      </c>
      <c r="U1107" s="604">
        <f t="shared" si="352"/>
        <v>0</v>
      </c>
      <c r="V1107" s="604">
        <f t="shared" si="353"/>
        <v>0</v>
      </c>
      <c r="W1107" s="604">
        <f t="shared" si="354"/>
        <v>0</v>
      </c>
      <c r="X1107" s="746">
        <v>0</v>
      </c>
      <c r="Y1107" s="746">
        <f t="shared" si="355"/>
        <v>0</v>
      </c>
    </row>
    <row r="1108" spans="2:25">
      <c r="B1108" s="598" t="s">
        <v>2595</v>
      </c>
      <c r="C1108" s="604" t="s">
        <v>1102</v>
      </c>
      <c r="D1108" s="745">
        <v>2013</v>
      </c>
      <c r="E1108" s="604"/>
      <c r="F1108" s="738">
        <v>0.2</v>
      </c>
      <c r="G1108" s="739">
        <v>3089</v>
      </c>
      <c r="H1108" s="741">
        <v>3089</v>
      </c>
      <c r="I1108" s="742">
        <f t="shared" si="360"/>
        <v>0</v>
      </c>
      <c r="J1108" s="740">
        <f t="shared" si="361"/>
        <v>0</v>
      </c>
      <c r="K1108" s="739">
        <f t="shared" si="362"/>
        <v>3089</v>
      </c>
      <c r="L1108" s="862">
        <f t="shared" si="363"/>
        <v>0</v>
      </c>
      <c r="M1108" s="740">
        <f t="shared" si="356"/>
        <v>0</v>
      </c>
      <c r="N1108" s="604">
        <f t="shared" si="345"/>
        <v>0</v>
      </c>
      <c r="O1108" s="604">
        <f t="shared" si="346"/>
        <v>0</v>
      </c>
      <c r="P1108" s="604">
        <f t="shared" si="347"/>
        <v>0</v>
      </c>
      <c r="Q1108" s="604">
        <f t="shared" si="348"/>
        <v>0</v>
      </c>
      <c r="R1108" s="604">
        <f t="shared" si="349"/>
        <v>0</v>
      </c>
      <c r="S1108" s="604">
        <f t="shared" si="350"/>
        <v>0</v>
      </c>
      <c r="T1108" s="604">
        <f t="shared" si="351"/>
        <v>0</v>
      </c>
      <c r="U1108" s="604">
        <f t="shared" si="352"/>
        <v>0</v>
      </c>
      <c r="V1108" s="604">
        <f t="shared" si="353"/>
        <v>0</v>
      </c>
      <c r="W1108" s="604">
        <f t="shared" si="354"/>
        <v>0</v>
      </c>
      <c r="X1108" s="746">
        <v>0</v>
      </c>
      <c r="Y1108" s="746">
        <f t="shared" si="355"/>
        <v>0</v>
      </c>
    </row>
    <row r="1109" spans="2:25">
      <c r="B1109" s="598" t="s">
        <v>2595</v>
      </c>
      <c r="C1109" s="604" t="s">
        <v>1102</v>
      </c>
      <c r="D1109" s="745">
        <v>2006</v>
      </c>
      <c r="E1109" s="604" t="s">
        <v>1646</v>
      </c>
      <c r="F1109" s="738">
        <v>0.2</v>
      </c>
      <c r="G1109" s="739">
        <v>5417</v>
      </c>
      <c r="H1109" s="741">
        <v>5417</v>
      </c>
      <c r="I1109" s="742">
        <f t="shared" si="360"/>
        <v>0</v>
      </c>
      <c r="J1109" s="740">
        <f t="shared" si="361"/>
        <v>0</v>
      </c>
      <c r="K1109" s="739">
        <f t="shared" si="362"/>
        <v>5417</v>
      </c>
      <c r="L1109" s="862">
        <f t="shared" si="363"/>
        <v>0</v>
      </c>
      <c r="M1109" s="740">
        <f t="shared" si="356"/>
        <v>0</v>
      </c>
      <c r="N1109" s="604">
        <f t="shared" si="345"/>
        <v>0</v>
      </c>
      <c r="O1109" s="604">
        <f t="shared" si="346"/>
        <v>0</v>
      </c>
      <c r="P1109" s="604">
        <f t="shared" si="347"/>
        <v>0</v>
      </c>
      <c r="Q1109" s="604">
        <f t="shared" si="348"/>
        <v>0</v>
      </c>
      <c r="R1109" s="604">
        <f t="shared" si="349"/>
        <v>0</v>
      </c>
      <c r="S1109" s="604">
        <f t="shared" si="350"/>
        <v>0</v>
      </c>
      <c r="T1109" s="604">
        <f t="shared" si="351"/>
        <v>0</v>
      </c>
      <c r="U1109" s="604">
        <f t="shared" si="352"/>
        <v>0</v>
      </c>
      <c r="V1109" s="604">
        <f t="shared" si="353"/>
        <v>0</v>
      </c>
      <c r="W1109" s="604">
        <f t="shared" si="354"/>
        <v>0</v>
      </c>
      <c r="X1109" s="746">
        <v>0</v>
      </c>
      <c r="Y1109" s="746">
        <f t="shared" si="355"/>
        <v>0</v>
      </c>
    </row>
    <row r="1110" spans="2:25">
      <c r="B1110" s="598" t="s">
        <v>2595</v>
      </c>
      <c r="C1110" s="604" t="s">
        <v>1102</v>
      </c>
      <c r="D1110" s="745">
        <v>2008</v>
      </c>
      <c r="E1110" s="604" t="s">
        <v>1647</v>
      </c>
      <c r="F1110" s="738">
        <v>0.2</v>
      </c>
      <c r="G1110" s="739">
        <v>90000</v>
      </c>
      <c r="H1110" s="741">
        <v>90000</v>
      </c>
      <c r="I1110" s="742">
        <f t="shared" si="360"/>
        <v>0</v>
      </c>
      <c r="J1110" s="740">
        <f t="shared" si="361"/>
        <v>0</v>
      </c>
      <c r="K1110" s="739">
        <f t="shared" si="362"/>
        <v>90000</v>
      </c>
      <c r="L1110" s="862">
        <f t="shared" si="363"/>
        <v>0</v>
      </c>
      <c r="M1110" s="740">
        <f t="shared" si="356"/>
        <v>0</v>
      </c>
      <c r="N1110" s="604">
        <f t="shared" si="345"/>
        <v>0</v>
      </c>
      <c r="O1110" s="604">
        <f t="shared" si="346"/>
        <v>0</v>
      </c>
      <c r="P1110" s="604">
        <f t="shared" si="347"/>
        <v>0</v>
      </c>
      <c r="Q1110" s="604">
        <f t="shared" si="348"/>
        <v>0</v>
      </c>
      <c r="R1110" s="604">
        <f t="shared" si="349"/>
        <v>0</v>
      </c>
      <c r="S1110" s="604">
        <f t="shared" si="350"/>
        <v>0</v>
      </c>
      <c r="T1110" s="604">
        <f t="shared" si="351"/>
        <v>0</v>
      </c>
      <c r="U1110" s="604">
        <f t="shared" si="352"/>
        <v>0</v>
      </c>
      <c r="V1110" s="604">
        <f t="shared" si="353"/>
        <v>0</v>
      </c>
      <c r="W1110" s="604">
        <f t="shared" si="354"/>
        <v>0</v>
      </c>
      <c r="X1110" s="746">
        <v>0</v>
      </c>
      <c r="Y1110" s="746">
        <f t="shared" si="355"/>
        <v>0</v>
      </c>
    </row>
    <row r="1111" spans="2:25">
      <c r="B1111" s="598" t="s">
        <v>2595</v>
      </c>
      <c r="C1111" s="604" t="s">
        <v>1102</v>
      </c>
      <c r="D1111" s="745">
        <v>2012</v>
      </c>
      <c r="E1111" s="604"/>
      <c r="F1111" s="738">
        <v>0.2</v>
      </c>
      <c r="G1111" s="739">
        <v>1728</v>
      </c>
      <c r="H1111" s="741">
        <v>1728</v>
      </c>
      <c r="I1111" s="742">
        <f t="shared" si="360"/>
        <v>0</v>
      </c>
      <c r="J1111" s="740">
        <f t="shared" si="361"/>
        <v>0</v>
      </c>
      <c r="K1111" s="739">
        <f t="shared" si="362"/>
        <v>1728</v>
      </c>
      <c r="L1111" s="862">
        <f t="shared" si="363"/>
        <v>0</v>
      </c>
      <c r="M1111" s="740">
        <f t="shared" si="356"/>
        <v>0</v>
      </c>
      <c r="N1111" s="604">
        <f t="shared" si="345"/>
        <v>0</v>
      </c>
      <c r="O1111" s="604">
        <f t="shared" si="346"/>
        <v>0</v>
      </c>
      <c r="P1111" s="604">
        <f t="shared" si="347"/>
        <v>0</v>
      </c>
      <c r="Q1111" s="604">
        <f t="shared" si="348"/>
        <v>0</v>
      </c>
      <c r="R1111" s="604">
        <f t="shared" si="349"/>
        <v>0</v>
      </c>
      <c r="S1111" s="604">
        <f t="shared" si="350"/>
        <v>0</v>
      </c>
      <c r="T1111" s="604">
        <f t="shared" si="351"/>
        <v>0</v>
      </c>
      <c r="U1111" s="604">
        <f t="shared" si="352"/>
        <v>0</v>
      </c>
      <c r="V1111" s="604">
        <f t="shared" si="353"/>
        <v>0</v>
      </c>
      <c r="W1111" s="604">
        <f t="shared" si="354"/>
        <v>0</v>
      </c>
      <c r="X1111" s="746">
        <v>0</v>
      </c>
      <c r="Y1111" s="746">
        <f t="shared" si="355"/>
        <v>0</v>
      </c>
    </row>
    <row r="1112" spans="2:25">
      <c r="B1112" s="598" t="s">
        <v>2595</v>
      </c>
      <c r="C1112" s="604" t="s">
        <v>1102</v>
      </c>
      <c r="D1112" s="745">
        <v>2013</v>
      </c>
      <c r="E1112" s="604"/>
      <c r="F1112" s="738">
        <v>0.2</v>
      </c>
      <c r="G1112" s="739">
        <v>1300</v>
      </c>
      <c r="H1112" s="741">
        <v>1300</v>
      </c>
      <c r="I1112" s="742">
        <f t="shared" si="360"/>
        <v>0</v>
      </c>
      <c r="J1112" s="740">
        <f t="shared" si="361"/>
        <v>0</v>
      </c>
      <c r="K1112" s="739">
        <f t="shared" si="362"/>
        <v>1300</v>
      </c>
      <c r="L1112" s="862">
        <f t="shared" si="363"/>
        <v>0</v>
      </c>
      <c r="M1112" s="740">
        <f t="shared" si="356"/>
        <v>0</v>
      </c>
      <c r="N1112" s="604">
        <f t="shared" si="345"/>
        <v>0</v>
      </c>
      <c r="O1112" s="604">
        <f t="shared" si="346"/>
        <v>0</v>
      </c>
      <c r="P1112" s="604">
        <f t="shared" si="347"/>
        <v>0</v>
      </c>
      <c r="Q1112" s="604">
        <f t="shared" si="348"/>
        <v>0</v>
      </c>
      <c r="R1112" s="604">
        <f t="shared" si="349"/>
        <v>0</v>
      </c>
      <c r="S1112" s="604">
        <f t="shared" si="350"/>
        <v>0</v>
      </c>
      <c r="T1112" s="604">
        <f t="shared" si="351"/>
        <v>0</v>
      </c>
      <c r="U1112" s="604">
        <f t="shared" si="352"/>
        <v>0</v>
      </c>
      <c r="V1112" s="604">
        <f t="shared" si="353"/>
        <v>0</v>
      </c>
      <c r="W1112" s="604">
        <f t="shared" si="354"/>
        <v>0</v>
      </c>
      <c r="X1112" s="746">
        <v>0</v>
      </c>
      <c r="Y1112" s="746">
        <f t="shared" si="355"/>
        <v>0</v>
      </c>
    </row>
    <row r="1113" spans="2:25">
      <c r="B1113" s="598" t="s">
        <v>2595</v>
      </c>
      <c r="C1113" s="604" t="s">
        <v>1102</v>
      </c>
      <c r="D1113" s="745">
        <v>2022</v>
      </c>
      <c r="E1113" s="604"/>
      <c r="F1113" s="738">
        <v>0.2</v>
      </c>
      <c r="G1113" s="739">
        <v>-93028</v>
      </c>
      <c r="H1113" s="741">
        <v>-93028</v>
      </c>
      <c r="I1113" s="742">
        <f t="shared" si="360"/>
        <v>0</v>
      </c>
      <c r="J1113" s="740">
        <f t="shared" si="361"/>
        <v>0</v>
      </c>
      <c r="K1113" s="739">
        <f t="shared" si="362"/>
        <v>-93028</v>
      </c>
      <c r="L1113" s="862">
        <f t="shared" si="363"/>
        <v>0</v>
      </c>
      <c r="M1113" s="740">
        <f t="shared" si="356"/>
        <v>0</v>
      </c>
      <c r="N1113" s="604">
        <f t="shared" si="345"/>
        <v>0</v>
      </c>
      <c r="O1113" s="604">
        <f t="shared" si="346"/>
        <v>0</v>
      </c>
      <c r="P1113" s="604">
        <f t="shared" si="347"/>
        <v>0</v>
      </c>
      <c r="Q1113" s="604">
        <f t="shared" si="348"/>
        <v>0</v>
      </c>
      <c r="R1113" s="604">
        <f t="shared" si="349"/>
        <v>0</v>
      </c>
      <c r="S1113" s="604">
        <f t="shared" si="350"/>
        <v>0</v>
      </c>
      <c r="T1113" s="604">
        <f t="shared" si="351"/>
        <v>0</v>
      </c>
      <c r="U1113" s="604">
        <f t="shared" si="352"/>
        <v>0</v>
      </c>
      <c r="V1113" s="604">
        <f t="shared" si="353"/>
        <v>0</v>
      </c>
      <c r="W1113" s="604">
        <f t="shared" si="354"/>
        <v>0</v>
      </c>
      <c r="X1113" s="746">
        <v>0</v>
      </c>
      <c r="Y1113" s="746">
        <f t="shared" si="355"/>
        <v>0</v>
      </c>
    </row>
    <row r="1114" spans="2:25">
      <c r="B1114" s="598" t="s">
        <v>2595</v>
      </c>
      <c r="C1114" s="604" t="s">
        <v>1102</v>
      </c>
      <c r="D1114" s="745">
        <v>2008</v>
      </c>
      <c r="E1114" s="604" t="s">
        <v>1648</v>
      </c>
      <c r="F1114" s="738">
        <v>0.2</v>
      </c>
      <c r="G1114" s="739">
        <v>13000</v>
      </c>
      <c r="H1114" s="741">
        <v>13000</v>
      </c>
      <c r="I1114" s="742">
        <f t="shared" si="360"/>
        <v>0</v>
      </c>
      <c r="J1114" s="740">
        <f t="shared" si="361"/>
        <v>0</v>
      </c>
      <c r="K1114" s="739">
        <f t="shared" si="362"/>
        <v>13000</v>
      </c>
      <c r="L1114" s="862">
        <f t="shared" si="363"/>
        <v>0</v>
      </c>
      <c r="M1114" s="740">
        <f t="shared" si="356"/>
        <v>0</v>
      </c>
      <c r="N1114" s="604">
        <f t="shared" si="345"/>
        <v>0</v>
      </c>
      <c r="O1114" s="604">
        <f t="shared" si="346"/>
        <v>0</v>
      </c>
      <c r="P1114" s="604">
        <f t="shared" si="347"/>
        <v>0</v>
      </c>
      <c r="Q1114" s="604">
        <f t="shared" si="348"/>
        <v>0</v>
      </c>
      <c r="R1114" s="604">
        <f t="shared" si="349"/>
        <v>0</v>
      </c>
      <c r="S1114" s="604">
        <f t="shared" si="350"/>
        <v>0</v>
      </c>
      <c r="T1114" s="604">
        <f t="shared" si="351"/>
        <v>0</v>
      </c>
      <c r="U1114" s="604">
        <f t="shared" si="352"/>
        <v>0</v>
      </c>
      <c r="V1114" s="604">
        <f t="shared" si="353"/>
        <v>0</v>
      </c>
      <c r="W1114" s="604">
        <f t="shared" si="354"/>
        <v>0</v>
      </c>
      <c r="X1114" s="746">
        <v>0</v>
      </c>
      <c r="Y1114" s="746">
        <f t="shared" si="355"/>
        <v>0</v>
      </c>
    </row>
    <row r="1115" spans="2:25">
      <c r="B1115" s="598" t="s">
        <v>2595</v>
      </c>
      <c r="C1115" s="604" t="s">
        <v>1102</v>
      </c>
      <c r="D1115" s="745">
        <v>2009</v>
      </c>
      <c r="E1115" s="604" t="s">
        <v>1649</v>
      </c>
      <c r="F1115" s="738">
        <v>0.2</v>
      </c>
      <c r="G1115" s="739">
        <v>55000</v>
      </c>
      <c r="H1115" s="741">
        <v>55000</v>
      </c>
      <c r="I1115" s="742">
        <f t="shared" si="360"/>
        <v>0</v>
      </c>
      <c r="J1115" s="740">
        <f t="shared" si="361"/>
        <v>0</v>
      </c>
      <c r="K1115" s="739">
        <f t="shared" si="362"/>
        <v>55000</v>
      </c>
      <c r="L1115" s="862">
        <f t="shared" si="363"/>
        <v>0</v>
      </c>
      <c r="M1115" s="740">
        <f t="shared" si="356"/>
        <v>0</v>
      </c>
      <c r="N1115" s="604">
        <f t="shared" si="345"/>
        <v>0</v>
      </c>
      <c r="O1115" s="604">
        <f t="shared" si="346"/>
        <v>0</v>
      </c>
      <c r="P1115" s="604">
        <f t="shared" si="347"/>
        <v>0</v>
      </c>
      <c r="Q1115" s="604">
        <f t="shared" si="348"/>
        <v>0</v>
      </c>
      <c r="R1115" s="604">
        <f t="shared" si="349"/>
        <v>0</v>
      </c>
      <c r="S1115" s="604">
        <f t="shared" si="350"/>
        <v>0</v>
      </c>
      <c r="T1115" s="604">
        <f t="shared" si="351"/>
        <v>0</v>
      </c>
      <c r="U1115" s="604">
        <f t="shared" si="352"/>
        <v>0</v>
      </c>
      <c r="V1115" s="604">
        <f t="shared" si="353"/>
        <v>0</v>
      </c>
      <c r="W1115" s="604">
        <f t="shared" si="354"/>
        <v>0</v>
      </c>
      <c r="X1115" s="746">
        <v>0</v>
      </c>
      <c r="Y1115" s="746">
        <f t="shared" si="355"/>
        <v>0</v>
      </c>
    </row>
    <row r="1116" spans="2:25">
      <c r="B1116" s="598" t="s">
        <v>2595</v>
      </c>
      <c r="C1116" s="604" t="s">
        <v>1102</v>
      </c>
      <c r="D1116" s="745">
        <v>2009</v>
      </c>
      <c r="E1116" s="604" t="s">
        <v>1650</v>
      </c>
      <c r="F1116" s="738">
        <v>0.2</v>
      </c>
      <c r="G1116" s="739">
        <v>20000</v>
      </c>
      <c r="H1116" s="741">
        <v>20000</v>
      </c>
      <c r="I1116" s="742">
        <f t="shared" si="360"/>
        <v>0</v>
      </c>
      <c r="J1116" s="740">
        <f t="shared" si="361"/>
        <v>0</v>
      </c>
      <c r="K1116" s="739">
        <f t="shared" si="362"/>
        <v>20000</v>
      </c>
      <c r="L1116" s="862">
        <f t="shared" si="363"/>
        <v>0</v>
      </c>
      <c r="M1116" s="740">
        <f t="shared" si="356"/>
        <v>0</v>
      </c>
      <c r="N1116" s="604">
        <f t="shared" si="345"/>
        <v>0</v>
      </c>
      <c r="O1116" s="604">
        <f t="shared" si="346"/>
        <v>0</v>
      </c>
      <c r="P1116" s="604">
        <f t="shared" si="347"/>
        <v>0</v>
      </c>
      <c r="Q1116" s="604">
        <f t="shared" si="348"/>
        <v>0</v>
      </c>
      <c r="R1116" s="604">
        <f t="shared" si="349"/>
        <v>0</v>
      </c>
      <c r="S1116" s="604">
        <f t="shared" si="350"/>
        <v>0</v>
      </c>
      <c r="T1116" s="604">
        <f t="shared" si="351"/>
        <v>0</v>
      </c>
      <c r="U1116" s="604">
        <f t="shared" si="352"/>
        <v>0</v>
      </c>
      <c r="V1116" s="604">
        <f t="shared" si="353"/>
        <v>0</v>
      </c>
      <c r="W1116" s="604">
        <f t="shared" si="354"/>
        <v>0</v>
      </c>
      <c r="X1116" s="746">
        <v>0</v>
      </c>
      <c r="Y1116" s="746">
        <f t="shared" si="355"/>
        <v>0</v>
      </c>
    </row>
    <row r="1117" spans="2:25">
      <c r="B1117" s="598" t="s">
        <v>2595</v>
      </c>
      <c r="C1117" s="604" t="s">
        <v>1102</v>
      </c>
      <c r="D1117" s="745">
        <v>2009</v>
      </c>
      <c r="E1117" s="604" t="s">
        <v>1651</v>
      </c>
      <c r="F1117" s="738">
        <v>0.2</v>
      </c>
      <c r="G1117" s="739">
        <v>5000</v>
      </c>
      <c r="H1117" s="741">
        <v>5000</v>
      </c>
      <c r="I1117" s="742">
        <f t="shared" si="360"/>
        <v>0</v>
      </c>
      <c r="J1117" s="740">
        <f t="shared" si="361"/>
        <v>0</v>
      </c>
      <c r="K1117" s="739">
        <f t="shared" si="362"/>
        <v>5000</v>
      </c>
      <c r="L1117" s="862">
        <f t="shared" si="363"/>
        <v>0</v>
      </c>
      <c r="M1117" s="740">
        <f t="shared" si="356"/>
        <v>0</v>
      </c>
      <c r="N1117" s="604">
        <f t="shared" si="345"/>
        <v>0</v>
      </c>
      <c r="O1117" s="604">
        <f t="shared" si="346"/>
        <v>0</v>
      </c>
      <c r="P1117" s="604">
        <f t="shared" si="347"/>
        <v>0</v>
      </c>
      <c r="Q1117" s="604">
        <f t="shared" si="348"/>
        <v>0</v>
      </c>
      <c r="R1117" s="604">
        <f t="shared" si="349"/>
        <v>0</v>
      </c>
      <c r="S1117" s="604">
        <f t="shared" si="350"/>
        <v>0</v>
      </c>
      <c r="T1117" s="604">
        <f t="shared" si="351"/>
        <v>0</v>
      </c>
      <c r="U1117" s="604">
        <f t="shared" si="352"/>
        <v>0</v>
      </c>
      <c r="V1117" s="604">
        <f t="shared" si="353"/>
        <v>0</v>
      </c>
      <c r="W1117" s="604">
        <f t="shared" si="354"/>
        <v>0</v>
      </c>
      <c r="X1117" s="746">
        <v>0</v>
      </c>
      <c r="Y1117" s="746">
        <f t="shared" si="355"/>
        <v>0</v>
      </c>
    </row>
    <row r="1118" spans="2:25">
      <c r="B1118" s="598" t="s">
        <v>2595</v>
      </c>
      <c r="C1118" s="604" t="s">
        <v>1102</v>
      </c>
      <c r="D1118" s="745">
        <v>2010</v>
      </c>
      <c r="E1118" s="604" t="s">
        <v>1652</v>
      </c>
      <c r="F1118" s="738">
        <v>0.2</v>
      </c>
      <c r="G1118" s="739">
        <v>12500</v>
      </c>
      <c r="H1118" s="741">
        <v>12500</v>
      </c>
      <c r="I1118" s="742">
        <f t="shared" si="360"/>
        <v>0</v>
      </c>
      <c r="J1118" s="740">
        <f t="shared" si="361"/>
        <v>0</v>
      </c>
      <c r="K1118" s="739">
        <f t="shared" si="362"/>
        <v>12500</v>
      </c>
      <c r="L1118" s="862">
        <f t="shared" si="363"/>
        <v>0</v>
      </c>
      <c r="M1118" s="740">
        <f t="shared" si="356"/>
        <v>0</v>
      </c>
      <c r="N1118" s="604">
        <f t="shared" si="345"/>
        <v>0</v>
      </c>
      <c r="O1118" s="604">
        <f t="shared" si="346"/>
        <v>0</v>
      </c>
      <c r="P1118" s="604">
        <f t="shared" si="347"/>
        <v>0</v>
      </c>
      <c r="Q1118" s="604">
        <f t="shared" si="348"/>
        <v>0</v>
      </c>
      <c r="R1118" s="604">
        <f t="shared" si="349"/>
        <v>0</v>
      </c>
      <c r="S1118" s="604">
        <f t="shared" si="350"/>
        <v>0</v>
      </c>
      <c r="T1118" s="604">
        <f t="shared" si="351"/>
        <v>0</v>
      </c>
      <c r="U1118" s="604">
        <f t="shared" si="352"/>
        <v>0</v>
      </c>
      <c r="V1118" s="604">
        <f t="shared" si="353"/>
        <v>0</v>
      </c>
      <c r="W1118" s="604">
        <f t="shared" si="354"/>
        <v>0</v>
      </c>
      <c r="X1118" s="746">
        <v>0</v>
      </c>
      <c r="Y1118" s="746">
        <f t="shared" si="355"/>
        <v>0</v>
      </c>
    </row>
    <row r="1119" spans="2:25">
      <c r="B1119" s="598" t="s">
        <v>2595</v>
      </c>
      <c r="C1119" s="604" t="s">
        <v>1102</v>
      </c>
      <c r="D1119" s="745">
        <v>2011</v>
      </c>
      <c r="E1119" s="604" t="s">
        <v>1653</v>
      </c>
      <c r="F1119" s="738">
        <v>0.2</v>
      </c>
      <c r="G1119" s="739">
        <v>595.36</v>
      </c>
      <c r="H1119" s="741">
        <v>595.36</v>
      </c>
      <c r="I1119" s="742">
        <f t="shared" si="360"/>
        <v>0</v>
      </c>
      <c r="J1119" s="740">
        <f t="shared" si="361"/>
        <v>0</v>
      </c>
      <c r="K1119" s="739">
        <f t="shared" si="362"/>
        <v>595.36</v>
      </c>
      <c r="L1119" s="862">
        <f t="shared" si="363"/>
        <v>0</v>
      </c>
      <c r="M1119" s="740">
        <f t="shared" si="356"/>
        <v>0</v>
      </c>
      <c r="N1119" s="604">
        <f t="shared" si="345"/>
        <v>0</v>
      </c>
      <c r="O1119" s="604">
        <f t="shared" si="346"/>
        <v>0</v>
      </c>
      <c r="P1119" s="604">
        <f t="shared" si="347"/>
        <v>0</v>
      </c>
      <c r="Q1119" s="604">
        <f t="shared" si="348"/>
        <v>0</v>
      </c>
      <c r="R1119" s="604">
        <f t="shared" si="349"/>
        <v>0</v>
      </c>
      <c r="S1119" s="604">
        <f t="shared" si="350"/>
        <v>0</v>
      </c>
      <c r="T1119" s="604">
        <f t="shared" si="351"/>
        <v>0</v>
      </c>
      <c r="U1119" s="604">
        <f t="shared" si="352"/>
        <v>0</v>
      </c>
      <c r="V1119" s="604">
        <f t="shared" si="353"/>
        <v>0</v>
      </c>
      <c r="W1119" s="604">
        <f t="shared" si="354"/>
        <v>0</v>
      </c>
      <c r="X1119" s="746">
        <v>0</v>
      </c>
      <c r="Y1119" s="746">
        <f t="shared" si="355"/>
        <v>0</v>
      </c>
    </row>
    <row r="1120" spans="2:25">
      <c r="B1120" s="598" t="s">
        <v>2595</v>
      </c>
      <c r="C1120" s="604" t="s">
        <v>1102</v>
      </c>
      <c r="D1120" s="745">
        <v>2013</v>
      </c>
      <c r="E1120" s="604"/>
      <c r="F1120" s="738">
        <v>0.2</v>
      </c>
      <c r="G1120" s="739">
        <v>982.82</v>
      </c>
      <c r="H1120" s="741">
        <v>982.82</v>
      </c>
      <c r="I1120" s="742">
        <f t="shared" si="360"/>
        <v>0</v>
      </c>
      <c r="J1120" s="740">
        <f t="shared" si="361"/>
        <v>0</v>
      </c>
      <c r="K1120" s="739">
        <f t="shared" si="362"/>
        <v>982.82</v>
      </c>
      <c r="L1120" s="862">
        <f t="shared" si="363"/>
        <v>0</v>
      </c>
      <c r="M1120" s="740">
        <f t="shared" si="356"/>
        <v>0</v>
      </c>
      <c r="N1120" s="604">
        <f t="shared" si="345"/>
        <v>0</v>
      </c>
      <c r="O1120" s="604">
        <f t="shared" si="346"/>
        <v>0</v>
      </c>
      <c r="P1120" s="604">
        <f t="shared" si="347"/>
        <v>0</v>
      </c>
      <c r="Q1120" s="604">
        <f t="shared" si="348"/>
        <v>0</v>
      </c>
      <c r="R1120" s="604">
        <f t="shared" si="349"/>
        <v>0</v>
      </c>
      <c r="S1120" s="604">
        <f t="shared" si="350"/>
        <v>0</v>
      </c>
      <c r="T1120" s="604">
        <f t="shared" si="351"/>
        <v>0</v>
      </c>
      <c r="U1120" s="604">
        <f t="shared" si="352"/>
        <v>0</v>
      </c>
      <c r="V1120" s="604">
        <f t="shared" si="353"/>
        <v>0</v>
      </c>
      <c r="W1120" s="604">
        <f t="shared" si="354"/>
        <v>0</v>
      </c>
      <c r="X1120" s="746">
        <v>0</v>
      </c>
      <c r="Y1120" s="746">
        <f t="shared" si="355"/>
        <v>0</v>
      </c>
    </row>
    <row r="1121" spans="2:25">
      <c r="B1121" s="598" t="s">
        <v>2595</v>
      </c>
      <c r="C1121" s="604" t="s">
        <v>1102</v>
      </c>
      <c r="D1121" s="745">
        <v>2021</v>
      </c>
      <c r="E1121" s="604"/>
      <c r="F1121" s="738">
        <v>0.2</v>
      </c>
      <c r="G1121" s="739">
        <v>-1578.18</v>
      </c>
      <c r="H1121" s="741">
        <v>-1578.18</v>
      </c>
      <c r="I1121" s="742">
        <f t="shared" si="360"/>
        <v>0</v>
      </c>
      <c r="J1121" s="740">
        <f t="shared" si="361"/>
        <v>0</v>
      </c>
      <c r="K1121" s="739">
        <f t="shared" si="362"/>
        <v>-1578.18</v>
      </c>
      <c r="L1121" s="862">
        <f t="shared" si="363"/>
        <v>0</v>
      </c>
      <c r="M1121" s="740">
        <f t="shared" si="356"/>
        <v>0</v>
      </c>
      <c r="N1121" s="604">
        <f t="shared" si="345"/>
        <v>0</v>
      </c>
      <c r="O1121" s="604">
        <f t="shared" si="346"/>
        <v>0</v>
      </c>
      <c r="P1121" s="604">
        <f t="shared" si="347"/>
        <v>0</v>
      </c>
      <c r="Q1121" s="604">
        <f t="shared" si="348"/>
        <v>0</v>
      </c>
      <c r="R1121" s="604">
        <f t="shared" si="349"/>
        <v>0</v>
      </c>
      <c r="S1121" s="604">
        <f t="shared" si="350"/>
        <v>0</v>
      </c>
      <c r="T1121" s="604">
        <f t="shared" si="351"/>
        <v>0</v>
      </c>
      <c r="U1121" s="604">
        <f t="shared" si="352"/>
        <v>0</v>
      </c>
      <c r="V1121" s="604">
        <f t="shared" si="353"/>
        <v>0</v>
      </c>
      <c r="W1121" s="604">
        <f t="shared" si="354"/>
        <v>0</v>
      </c>
      <c r="X1121" s="746">
        <v>0</v>
      </c>
      <c r="Y1121" s="746">
        <f t="shared" si="355"/>
        <v>0</v>
      </c>
    </row>
    <row r="1122" spans="2:25">
      <c r="B1122" s="598" t="s">
        <v>2595</v>
      </c>
      <c r="C1122" s="604" t="s">
        <v>1102</v>
      </c>
      <c r="D1122" s="745">
        <v>2011</v>
      </c>
      <c r="E1122" s="604" t="s">
        <v>1654</v>
      </c>
      <c r="F1122" s="738">
        <v>0.2</v>
      </c>
      <c r="G1122" s="739">
        <v>225.69</v>
      </c>
      <c r="H1122" s="741">
        <v>225.69</v>
      </c>
      <c r="I1122" s="742">
        <f t="shared" si="360"/>
        <v>0</v>
      </c>
      <c r="J1122" s="740">
        <f t="shared" si="361"/>
        <v>0</v>
      </c>
      <c r="K1122" s="739">
        <f t="shared" si="362"/>
        <v>225.69</v>
      </c>
      <c r="L1122" s="862">
        <f t="shared" si="363"/>
        <v>0</v>
      </c>
      <c r="M1122" s="740">
        <f t="shared" si="356"/>
        <v>0</v>
      </c>
      <c r="N1122" s="604">
        <f t="shared" si="345"/>
        <v>0</v>
      </c>
      <c r="O1122" s="604">
        <f t="shared" si="346"/>
        <v>0</v>
      </c>
      <c r="P1122" s="604">
        <f t="shared" si="347"/>
        <v>0</v>
      </c>
      <c r="Q1122" s="604">
        <f t="shared" si="348"/>
        <v>0</v>
      </c>
      <c r="R1122" s="604">
        <f t="shared" si="349"/>
        <v>0</v>
      </c>
      <c r="S1122" s="604">
        <f t="shared" si="350"/>
        <v>0</v>
      </c>
      <c r="T1122" s="604">
        <f t="shared" si="351"/>
        <v>0</v>
      </c>
      <c r="U1122" s="604">
        <f t="shared" si="352"/>
        <v>0</v>
      </c>
      <c r="V1122" s="604">
        <f t="shared" si="353"/>
        <v>0</v>
      </c>
      <c r="W1122" s="604">
        <f t="shared" si="354"/>
        <v>0</v>
      </c>
      <c r="X1122" s="746">
        <v>0</v>
      </c>
      <c r="Y1122" s="746">
        <f t="shared" si="355"/>
        <v>0</v>
      </c>
    </row>
    <row r="1123" spans="2:25">
      <c r="B1123" s="598" t="s">
        <v>2595</v>
      </c>
      <c r="C1123" s="604" t="s">
        <v>1102</v>
      </c>
      <c r="D1123" s="745">
        <v>2012</v>
      </c>
      <c r="E1123" s="604" t="s">
        <v>1655</v>
      </c>
      <c r="F1123" s="738">
        <v>0.2</v>
      </c>
      <c r="G1123" s="739">
        <v>3000</v>
      </c>
      <c r="H1123" s="741">
        <v>3000</v>
      </c>
      <c r="I1123" s="742">
        <f t="shared" si="360"/>
        <v>0</v>
      </c>
      <c r="J1123" s="740">
        <f t="shared" si="361"/>
        <v>0</v>
      </c>
      <c r="K1123" s="739">
        <f t="shared" si="362"/>
        <v>3000</v>
      </c>
      <c r="L1123" s="862">
        <f t="shared" si="363"/>
        <v>0</v>
      </c>
      <c r="M1123" s="740">
        <f t="shared" si="356"/>
        <v>0</v>
      </c>
      <c r="N1123" s="604">
        <f t="shared" si="345"/>
        <v>0</v>
      </c>
      <c r="O1123" s="604">
        <f t="shared" si="346"/>
        <v>0</v>
      </c>
      <c r="P1123" s="604">
        <f t="shared" si="347"/>
        <v>0</v>
      </c>
      <c r="Q1123" s="604">
        <f t="shared" si="348"/>
        <v>0</v>
      </c>
      <c r="R1123" s="604">
        <f t="shared" si="349"/>
        <v>0</v>
      </c>
      <c r="S1123" s="604">
        <f t="shared" si="350"/>
        <v>0</v>
      </c>
      <c r="T1123" s="604">
        <f t="shared" si="351"/>
        <v>0</v>
      </c>
      <c r="U1123" s="604">
        <f t="shared" si="352"/>
        <v>0</v>
      </c>
      <c r="V1123" s="604">
        <f t="shared" si="353"/>
        <v>0</v>
      </c>
      <c r="W1123" s="604">
        <f t="shared" si="354"/>
        <v>0</v>
      </c>
      <c r="X1123" s="746">
        <v>0</v>
      </c>
      <c r="Y1123" s="746">
        <f t="shared" si="355"/>
        <v>0</v>
      </c>
    </row>
    <row r="1124" spans="2:25">
      <c r="B1124" s="598" t="s">
        <v>2595</v>
      </c>
      <c r="C1124" s="604" t="s">
        <v>1102</v>
      </c>
      <c r="D1124" s="745">
        <v>2012</v>
      </c>
      <c r="E1124" s="604"/>
      <c r="F1124" s="738">
        <v>0.2</v>
      </c>
      <c r="G1124" s="739">
        <v>1487</v>
      </c>
      <c r="H1124" s="741">
        <v>1487</v>
      </c>
      <c r="I1124" s="742">
        <f t="shared" si="360"/>
        <v>0</v>
      </c>
      <c r="J1124" s="740">
        <f t="shared" si="361"/>
        <v>0</v>
      </c>
      <c r="K1124" s="739">
        <f t="shared" si="362"/>
        <v>1487</v>
      </c>
      <c r="L1124" s="862">
        <f t="shared" si="363"/>
        <v>0</v>
      </c>
      <c r="M1124" s="740">
        <f t="shared" si="356"/>
        <v>0</v>
      </c>
      <c r="N1124" s="604">
        <f t="shared" si="345"/>
        <v>0</v>
      </c>
      <c r="O1124" s="604">
        <f t="shared" si="346"/>
        <v>0</v>
      </c>
      <c r="P1124" s="604">
        <f t="shared" si="347"/>
        <v>0</v>
      </c>
      <c r="Q1124" s="604">
        <f t="shared" si="348"/>
        <v>0</v>
      </c>
      <c r="R1124" s="604">
        <f t="shared" si="349"/>
        <v>0</v>
      </c>
      <c r="S1124" s="604">
        <f t="shared" si="350"/>
        <v>0</v>
      </c>
      <c r="T1124" s="604">
        <f t="shared" si="351"/>
        <v>0</v>
      </c>
      <c r="U1124" s="604">
        <f t="shared" si="352"/>
        <v>0</v>
      </c>
      <c r="V1124" s="604">
        <f t="shared" si="353"/>
        <v>0</v>
      </c>
      <c r="W1124" s="604">
        <f t="shared" si="354"/>
        <v>0</v>
      </c>
      <c r="X1124" s="746">
        <v>0</v>
      </c>
      <c r="Y1124" s="746">
        <f t="shared" si="355"/>
        <v>0</v>
      </c>
    </row>
    <row r="1125" spans="2:25">
      <c r="B1125" s="598" t="s">
        <v>2595</v>
      </c>
      <c r="C1125" s="604" t="s">
        <v>1102</v>
      </c>
      <c r="D1125" s="745">
        <v>2012</v>
      </c>
      <c r="E1125" s="604"/>
      <c r="F1125" s="738">
        <v>0.2</v>
      </c>
      <c r="G1125" s="739">
        <v>2560</v>
      </c>
      <c r="H1125" s="741">
        <v>2560</v>
      </c>
      <c r="I1125" s="742">
        <f t="shared" si="360"/>
        <v>0</v>
      </c>
      <c r="J1125" s="740">
        <f t="shared" si="361"/>
        <v>0</v>
      </c>
      <c r="K1125" s="739">
        <f t="shared" si="362"/>
        <v>2560</v>
      </c>
      <c r="L1125" s="862">
        <f t="shared" si="363"/>
        <v>0</v>
      </c>
      <c r="M1125" s="740">
        <f t="shared" si="356"/>
        <v>0</v>
      </c>
      <c r="N1125" s="604">
        <f t="shared" si="345"/>
        <v>0</v>
      </c>
      <c r="O1125" s="604">
        <f t="shared" si="346"/>
        <v>0</v>
      </c>
      <c r="P1125" s="604">
        <f t="shared" si="347"/>
        <v>0</v>
      </c>
      <c r="Q1125" s="604">
        <f t="shared" si="348"/>
        <v>0</v>
      </c>
      <c r="R1125" s="604">
        <f t="shared" si="349"/>
        <v>0</v>
      </c>
      <c r="S1125" s="604">
        <f t="shared" si="350"/>
        <v>0</v>
      </c>
      <c r="T1125" s="604">
        <f t="shared" si="351"/>
        <v>0</v>
      </c>
      <c r="U1125" s="604">
        <f t="shared" si="352"/>
        <v>0</v>
      </c>
      <c r="V1125" s="604">
        <f t="shared" si="353"/>
        <v>0</v>
      </c>
      <c r="W1125" s="604">
        <f t="shared" si="354"/>
        <v>0</v>
      </c>
      <c r="X1125" s="746">
        <v>0</v>
      </c>
      <c r="Y1125" s="746">
        <f t="shared" si="355"/>
        <v>0</v>
      </c>
    </row>
    <row r="1126" spans="2:25">
      <c r="B1126" s="598" t="s">
        <v>2595</v>
      </c>
      <c r="C1126" s="604" t="s">
        <v>1102</v>
      </c>
      <c r="D1126" s="745">
        <v>2012</v>
      </c>
      <c r="E1126" s="604" t="s">
        <v>1656</v>
      </c>
      <c r="F1126" s="738">
        <v>0.2</v>
      </c>
      <c r="G1126" s="739">
        <v>3000</v>
      </c>
      <c r="H1126" s="741">
        <v>3000</v>
      </c>
      <c r="I1126" s="742">
        <f t="shared" si="360"/>
        <v>0</v>
      </c>
      <c r="J1126" s="740">
        <f t="shared" si="361"/>
        <v>0</v>
      </c>
      <c r="K1126" s="739">
        <f t="shared" si="362"/>
        <v>3000</v>
      </c>
      <c r="L1126" s="862">
        <f t="shared" si="363"/>
        <v>0</v>
      </c>
      <c r="M1126" s="740">
        <f t="shared" si="356"/>
        <v>0</v>
      </c>
      <c r="N1126" s="604">
        <f t="shared" si="345"/>
        <v>0</v>
      </c>
      <c r="O1126" s="604">
        <f t="shared" si="346"/>
        <v>0</v>
      </c>
      <c r="P1126" s="604">
        <f t="shared" si="347"/>
        <v>0</v>
      </c>
      <c r="Q1126" s="604">
        <f t="shared" si="348"/>
        <v>0</v>
      </c>
      <c r="R1126" s="604">
        <f t="shared" si="349"/>
        <v>0</v>
      </c>
      <c r="S1126" s="604">
        <f t="shared" si="350"/>
        <v>0</v>
      </c>
      <c r="T1126" s="604">
        <f t="shared" si="351"/>
        <v>0</v>
      </c>
      <c r="U1126" s="604">
        <f t="shared" si="352"/>
        <v>0</v>
      </c>
      <c r="V1126" s="604">
        <f t="shared" si="353"/>
        <v>0</v>
      </c>
      <c r="W1126" s="604">
        <f t="shared" si="354"/>
        <v>0</v>
      </c>
      <c r="X1126" s="746">
        <v>0</v>
      </c>
      <c r="Y1126" s="746">
        <f t="shared" si="355"/>
        <v>0</v>
      </c>
    </row>
    <row r="1127" spans="2:25">
      <c r="B1127" s="598" t="s">
        <v>2595</v>
      </c>
      <c r="C1127" s="604" t="s">
        <v>1102</v>
      </c>
      <c r="D1127" s="745">
        <v>2012</v>
      </c>
      <c r="E1127" s="604"/>
      <c r="F1127" s="738">
        <v>0.2</v>
      </c>
      <c r="G1127" s="739">
        <v>3259</v>
      </c>
      <c r="H1127" s="741">
        <v>3259</v>
      </c>
      <c r="I1127" s="742">
        <f t="shared" si="360"/>
        <v>0</v>
      </c>
      <c r="J1127" s="740">
        <f t="shared" si="361"/>
        <v>0</v>
      </c>
      <c r="K1127" s="739">
        <f t="shared" si="362"/>
        <v>3259</v>
      </c>
      <c r="L1127" s="862">
        <f t="shared" si="363"/>
        <v>0</v>
      </c>
      <c r="M1127" s="740">
        <f t="shared" si="356"/>
        <v>0</v>
      </c>
      <c r="N1127" s="604">
        <f t="shared" si="345"/>
        <v>0</v>
      </c>
      <c r="O1127" s="604">
        <f t="shared" si="346"/>
        <v>0</v>
      </c>
      <c r="P1127" s="604">
        <f t="shared" si="347"/>
        <v>0</v>
      </c>
      <c r="Q1127" s="604">
        <f t="shared" si="348"/>
        <v>0</v>
      </c>
      <c r="R1127" s="604">
        <f t="shared" si="349"/>
        <v>0</v>
      </c>
      <c r="S1127" s="604">
        <f t="shared" si="350"/>
        <v>0</v>
      </c>
      <c r="T1127" s="604">
        <f t="shared" si="351"/>
        <v>0</v>
      </c>
      <c r="U1127" s="604">
        <f t="shared" si="352"/>
        <v>0</v>
      </c>
      <c r="V1127" s="604">
        <f t="shared" si="353"/>
        <v>0</v>
      </c>
      <c r="W1127" s="604">
        <f t="shared" si="354"/>
        <v>0</v>
      </c>
      <c r="X1127" s="746">
        <v>0</v>
      </c>
      <c r="Y1127" s="746">
        <f t="shared" si="355"/>
        <v>0</v>
      </c>
    </row>
    <row r="1128" spans="2:25">
      <c r="B1128" s="598" t="s">
        <v>2595</v>
      </c>
      <c r="C1128" s="604" t="s">
        <v>1102</v>
      </c>
      <c r="D1128" s="745">
        <v>2012</v>
      </c>
      <c r="E1128" s="604" t="s">
        <v>1657</v>
      </c>
      <c r="F1128" s="738">
        <v>0.2</v>
      </c>
      <c r="G1128" s="739">
        <v>3000</v>
      </c>
      <c r="H1128" s="741">
        <v>3000</v>
      </c>
      <c r="I1128" s="742">
        <f t="shared" si="360"/>
        <v>0</v>
      </c>
      <c r="J1128" s="740">
        <f t="shared" si="361"/>
        <v>0</v>
      </c>
      <c r="K1128" s="739">
        <f t="shared" si="362"/>
        <v>3000</v>
      </c>
      <c r="L1128" s="862">
        <f t="shared" si="363"/>
        <v>0</v>
      </c>
      <c r="M1128" s="740">
        <f t="shared" si="356"/>
        <v>0</v>
      </c>
      <c r="N1128" s="604">
        <f t="shared" si="345"/>
        <v>0</v>
      </c>
      <c r="O1128" s="604">
        <f t="shared" si="346"/>
        <v>0</v>
      </c>
      <c r="P1128" s="604">
        <f t="shared" si="347"/>
        <v>0</v>
      </c>
      <c r="Q1128" s="604">
        <f t="shared" si="348"/>
        <v>0</v>
      </c>
      <c r="R1128" s="604">
        <f t="shared" si="349"/>
        <v>0</v>
      </c>
      <c r="S1128" s="604">
        <f t="shared" si="350"/>
        <v>0</v>
      </c>
      <c r="T1128" s="604">
        <f t="shared" si="351"/>
        <v>0</v>
      </c>
      <c r="U1128" s="604">
        <f t="shared" si="352"/>
        <v>0</v>
      </c>
      <c r="V1128" s="604">
        <f t="shared" si="353"/>
        <v>0</v>
      </c>
      <c r="W1128" s="604">
        <f t="shared" si="354"/>
        <v>0</v>
      </c>
      <c r="X1128" s="746">
        <v>0</v>
      </c>
      <c r="Y1128" s="746">
        <f t="shared" si="355"/>
        <v>0</v>
      </c>
    </row>
    <row r="1129" spans="2:25">
      <c r="B1129" s="598" t="s">
        <v>2595</v>
      </c>
      <c r="C1129" s="604" t="s">
        <v>1102</v>
      </c>
      <c r="D1129" s="745">
        <v>2012</v>
      </c>
      <c r="E1129" s="604"/>
      <c r="F1129" s="738">
        <v>0.2</v>
      </c>
      <c r="G1129" s="739">
        <v>1882</v>
      </c>
      <c r="H1129" s="741">
        <v>1882</v>
      </c>
      <c r="I1129" s="742">
        <f t="shared" si="360"/>
        <v>0</v>
      </c>
      <c r="J1129" s="740">
        <f t="shared" si="361"/>
        <v>0</v>
      </c>
      <c r="K1129" s="739">
        <f t="shared" si="362"/>
        <v>1882</v>
      </c>
      <c r="L1129" s="862">
        <f t="shared" si="363"/>
        <v>0</v>
      </c>
      <c r="M1129" s="740">
        <f t="shared" si="356"/>
        <v>0</v>
      </c>
      <c r="N1129" s="604">
        <f t="shared" si="345"/>
        <v>0</v>
      </c>
      <c r="O1129" s="604">
        <f t="shared" si="346"/>
        <v>0</v>
      </c>
      <c r="P1129" s="604">
        <f t="shared" si="347"/>
        <v>0</v>
      </c>
      <c r="Q1129" s="604">
        <f t="shared" si="348"/>
        <v>0</v>
      </c>
      <c r="R1129" s="604">
        <f t="shared" si="349"/>
        <v>0</v>
      </c>
      <c r="S1129" s="604">
        <f t="shared" si="350"/>
        <v>0</v>
      </c>
      <c r="T1129" s="604">
        <f t="shared" si="351"/>
        <v>0</v>
      </c>
      <c r="U1129" s="604">
        <f t="shared" si="352"/>
        <v>0</v>
      </c>
      <c r="V1129" s="604">
        <f t="shared" si="353"/>
        <v>0</v>
      </c>
      <c r="W1129" s="604">
        <f t="shared" si="354"/>
        <v>0</v>
      </c>
      <c r="X1129" s="746">
        <v>0</v>
      </c>
      <c r="Y1129" s="746">
        <f t="shared" si="355"/>
        <v>0</v>
      </c>
    </row>
    <row r="1130" spans="2:25">
      <c r="B1130" s="598" t="s">
        <v>2595</v>
      </c>
      <c r="C1130" s="604" t="s">
        <v>1102</v>
      </c>
      <c r="D1130" s="745">
        <v>2012</v>
      </c>
      <c r="E1130" s="604" t="s">
        <v>1658</v>
      </c>
      <c r="F1130" s="738">
        <v>0.2</v>
      </c>
      <c r="G1130" s="739">
        <v>9600</v>
      </c>
      <c r="H1130" s="741">
        <v>9600</v>
      </c>
      <c r="I1130" s="742">
        <f t="shared" si="360"/>
        <v>0</v>
      </c>
      <c r="J1130" s="740">
        <f t="shared" si="361"/>
        <v>0</v>
      </c>
      <c r="K1130" s="739">
        <f t="shared" si="362"/>
        <v>9600</v>
      </c>
      <c r="L1130" s="862">
        <f t="shared" si="363"/>
        <v>0</v>
      </c>
      <c r="M1130" s="740">
        <f t="shared" si="356"/>
        <v>0</v>
      </c>
      <c r="N1130" s="604">
        <f t="shared" si="345"/>
        <v>0</v>
      </c>
      <c r="O1130" s="604">
        <f t="shared" si="346"/>
        <v>0</v>
      </c>
      <c r="P1130" s="604">
        <f t="shared" si="347"/>
        <v>0</v>
      </c>
      <c r="Q1130" s="604">
        <f t="shared" si="348"/>
        <v>0</v>
      </c>
      <c r="R1130" s="604">
        <f t="shared" si="349"/>
        <v>0</v>
      </c>
      <c r="S1130" s="604">
        <f t="shared" si="350"/>
        <v>0</v>
      </c>
      <c r="T1130" s="604">
        <f t="shared" si="351"/>
        <v>0</v>
      </c>
      <c r="U1130" s="604">
        <f t="shared" si="352"/>
        <v>0</v>
      </c>
      <c r="V1130" s="604">
        <f t="shared" si="353"/>
        <v>0</v>
      </c>
      <c r="W1130" s="604">
        <f t="shared" si="354"/>
        <v>0</v>
      </c>
      <c r="X1130" s="746">
        <v>0</v>
      </c>
      <c r="Y1130" s="746">
        <f t="shared" si="355"/>
        <v>0</v>
      </c>
    </row>
    <row r="1131" spans="2:25">
      <c r="B1131" s="598" t="s">
        <v>2595</v>
      </c>
      <c r="C1131" s="604" t="s">
        <v>1102</v>
      </c>
      <c r="D1131" s="745">
        <v>2021</v>
      </c>
      <c r="E1131" s="604"/>
      <c r="F1131" s="738">
        <v>0.2</v>
      </c>
      <c r="G1131" s="739">
        <v>-9600</v>
      </c>
      <c r="H1131" s="741">
        <v>-9600</v>
      </c>
      <c r="I1131" s="742">
        <f t="shared" si="360"/>
        <v>0</v>
      </c>
      <c r="J1131" s="740">
        <f t="shared" si="361"/>
        <v>0</v>
      </c>
      <c r="K1131" s="739">
        <f t="shared" si="362"/>
        <v>-9600</v>
      </c>
      <c r="L1131" s="862">
        <f t="shared" si="363"/>
        <v>0</v>
      </c>
      <c r="M1131" s="740">
        <f t="shared" si="356"/>
        <v>0</v>
      </c>
      <c r="N1131" s="604">
        <f t="shared" si="345"/>
        <v>0</v>
      </c>
      <c r="O1131" s="604">
        <f t="shared" si="346"/>
        <v>0</v>
      </c>
      <c r="P1131" s="604">
        <f t="shared" si="347"/>
        <v>0</v>
      </c>
      <c r="Q1131" s="604">
        <f t="shared" si="348"/>
        <v>0</v>
      </c>
      <c r="R1131" s="604">
        <f t="shared" si="349"/>
        <v>0</v>
      </c>
      <c r="S1131" s="604">
        <f t="shared" si="350"/>
        <v>0</v>
      </c>
      <c r="T1131" s="604">
        <f t="shared" si="351"/>
        <v>0</v>
      </c>
      <c r="U1131" s="604">
        <f t="shared" si="352"/>
        <v>0</v>
      </c>
      <c r="V1131" s="604">
        <f t="shared" si="353"/>
        <v>0</v>
      </c>
      <c r="W1131" s="604">
        <f t="shared" si="354"/>
        <v>0</v>
      </c>
      <c r="X1131" s="746">
        <v>0</v>
      </c>
      <c r="Y1131" s="746">
        <f t="shared" si="355"/>
        <v>0</v>
      </c>
    </row>
    <row r="1132" spans="2:25">
      <c r="B1132" s="598" t="s">
        <v>2595</v>
      </c>
      <c r="C1132" s="604" t="s">
        <v>1102</v>
      </c>
      <c r="D1132" s="745">
        <v>2013</v>
      </c>
      <c r="E1132" s="604" t="s">
        <v>1659</v>
      </c>
      <c r="F1132" s="738">
        <v>0.2</v>
      </c>
      <c r="G1132" s="739">
        <v>14400</v>
      </c>
      <c r="H1132" s="741">
        <v>14400</v>
      </c>
      <c r="I1132" s="742">
        <f t="shared" si="360"/>
        <v>0</v>
      </c>
      <c r="J1132" s="740">
        <f t="shared" si="361"/>
        <v>0</v>
      </c>
      <c r="K1132" s="739">
        <f t="shared" si="362"/>
        <v>14400</v>
      </c>
      <c r="L1132" s="862">
        <f t="shared" si="363"/>
        <v>0</v>
      </c>
      <c r="M1132" s="740">
        <f t="shared" si="356"/>
        <v>0</v>
      </c>
      <c r="N1132" s="604">
        <f t="shared" si="345"/>
        <v>0</v>
      </c>
      <c r="O1132" s="604">
        <f t="shared" si="346"/>
        <v>0</v>
      </c>
      <c r="P1132" s="604">
        <f t="shared" si="347"/>
        <v>0</v>
      </c>
      <c r="Q1132" s="604">
        <f t="shared" si="348"/>
        <v>0</v>
      </c>
      <c r="R1132" s="604">
        <f t="shared" si="349"/>
        <v>0</v>
      </c>
      <c r="S1132" s="604">
        <f t="shared" si="350"/>
        <v>0</v>
      </c>
      <c r="T1132" s="604">
        <f t="shared" si="351"/>
        <v>0</v>
      </c>
      <c r="U1132" s="604">
        <f t="shared" si="352"/>
        <v>0</v>
      </c>
      <c r="V1132" s="604">
        <f t="shared" si="353"/>
        <v>0</v>
      </c>
      <c r="W1132" s="604">
        <f t="shared" si="354"/>
        <v>0</v>
      </c>
      <c r="X1132" s="746">
        <v>0</v>
      </c>
      <c r="Y1132" s="746">
        <f t="shared" si="355"/>
        <v>0</v>
      </c>
    </row>
    <row r="1133" spans="2:25">
      <c r="B1133" s="598" t="s">
        <v>2595</v>
      </c>
      <c r="C1133" s="604" t="s">
        <v>1102</v>
      </c>
      <c r="D1133" s="745">
        <v>2013</v>
      </c>
      <c r="E1133" s="604" t="s">
        <v>1660</v>
      </c>
      <c r="F1133" s="738">
        <v>0.2</v>
      </c>
      <c r="G1133" s="739">
        <v>10800</v>
      </c>
      <c r="H1133" s="741">
        <v>10800</v>
      </c>
      <c r="I1133" s="742">
        <f t="shared" si="360"/>
        <v>0</v>
      </c>
      <c r="J1133" s="740">
        <f t="shared" si="361"/>
        <v>0</v>
      </c>
      <c r="K1133" s="739">
        <f t="shared" si="362"/>
        <v>10800</v>
      </c>
      <c r="L1133" s="862">
        <f t="shared" si="363"/>
        <v>0</v>
      </c>
      <c r="M1133" s="740">
        <f t="shared" si="356"/>
        <v>0</v>
      </c>
      <c r="N1133" s="604">
        <f t="shared" si="345"/>
        <v>0</v>
      </c>
      <c r="O1133" s="604">
        <f t="shared" si="346"/>
        <v>0</v>
      </c>
      <c r="P1133" s="604">
        <f t="shared" si="347"/>
        <v>0</v>
      </c>
      <c r="Q1133" s="604">
        <f t="shared" si="348"/>
        <v>0</v>
      </c>
      <c r="R1133" s="604">
        <f t="shared" si="349"/>
        <v>0</v>
      </c>
      <c r="S1133" s="604">
        <f t="shared" si="350"/>
        <v>0</v>
      </c>
      <c r="T1133" s="604">
        <f t="shared" si="351"/>
        <v>0</v>
      </c>
      <c r="U1133" s="604">
        <f t="shared" si="352"/>
        <v>0</v>
      </c>
      <c r="V1133" s="604">
        <f t="shared" si="353"/>
        <v>0</v>
      </c>
      <c r="W1133" s="604">
        <f t="shared" si="354"/>
        <v>0</v>
      </c>
      <c r="X1133" s="746">
        <v>0</v>
      </c>
      <c r="Y1133" s="746">
        <f t="shared" si="355"/>
        <v>0</v>
      </c>
    </row>
    <row r="1134" spans="2:25">
      <c r="B1134" s="598" t="s">
        <v>2595</v>
      </c>
      <c r="C1134" s="604" t="s">
        <v>1102</v>
      </c>
      <c r="D1134" s="745">
        <v>2021</v>
      </c>
      <c r="E1134" s="604"/>
      <c r="F1134" s="738">
        <v>0.2</v>
      </c>
      <c r="G1134" s="739">
        <v>-10800</v>
      </c>
      <c r="H1134" s="741">
        <v>-10800</v>
      </c>
      <c r="I1134" s="742">
        <f t="shared" si="360"/>
        <v>0</v>
      </c>
      <c r="J1134" s="740">
        <f t="shared" si="361"/>
        <v>0</v>
      </c>
      <c r="K1134" s="739">
        <f t="shared" si="362"/>
        <v>-10800</v>
      </c>
      <c r="L1134" s="862">
        <f t="shared" si="363"/>
        <v>0</v>
      </c>
      <c r="M1134" s="740">
        <f t="shared" si="356"/>
        <v>0</v>
      </c>
      <c r="N1134" s="604">
        <f t="shared" si="345"/>
        <v>0</v>
      </c>
      <c r="O1134" s="604">
        <f t="shared" si="346"/>
        <v>0</v>
      </c>
      <c r="P1134" s="604">
        <f t="shared" si="347"/>
        <v>0</v>
      </c>
      <c r="Q1134" s="604">
        <f t="shared" si="348"/>
        <v>0</v>
      </c>
      <c r="R1134" s="604">
        <f t="shared" si="349"/>
        <v>0</v>
      </c>
      <c r="S1134" s="604">
        <f t="shared" si="350"/>
        <v>0</v>
      </c>
      <c r="T1134" s="604">
        <f t="shared" si="351"/>
        <v>0</v>
      </c>
      <c r="U1134" s="604">
        <f t="shared" si="352"/>
        <v>0</v>
      </c>
      <c r="V1134" s="604">
        <f t="shared" si="353"/>
        <v>0</v>
      </c>
      <c r="W1134" s="604">
        <f t="shared" si="354"/>
        <v>0</v>
      </c>
      <c r="X1134" s="746">
        <v>0</v>
      </c>
      <c r="Y1134" s="746">
        <f t="shared" si="355"/>
        <v>0</v>
      </c>
    </row>
    <row r="1135" spans="2:25">
      <c r="B1135" s="598" t="s">
        <v>2595</v>
      </c>
      <c r="C1135" s="604" t="s">
        <v>1102</v>
      </c>
      <c r="D1135" s="745">
        <v>2013</v>
      </c>
      <c r="E1135" s="604" t="s">
        <v>1661</v>
      </c>
      <c r="F1135" s="738">
        <v>0.2</v>
      </c>
      <c r="G1135" s="739">
        <v>10600</v>
      </c>
      <c r="H1135" s="741">
        <v>10600</v>
      </c>
      <c r="I1135" s="742">
        <f t="shared" si="360"/>
        <v>0</v>
      </c>
      <c r="J1135" s="740">
        <f t="shared" si="361"/>
        <v>0</v>
      </c>
      <c r="K1135" s="739">
        <f t="shared" si="362"/>
        <v>10600</v>
      </c>
      <c r="L1135" s="862">
        <f t="shared" si="363"/>
        <v>0</v>
      </c>
      <c r="M1135" s="740">
        <f t="shared" si="356"/>
        <v>0</v>
      </c>
      <c r="N1135" s="604">
        <f t="shared" si="345"/>
        <v>0</v>
      </c>
      <c r="O1135" s="604">
        <f t="shared" si="346"/>
        <v>0</v>
      </c>
      <c r="P1135" s="604">
        <f t="shared" si="347"/>
        <v>0</v>
      </c>
      <c r="Q1135" s="604">
        <f t="shared" si="348"/>
        <v>0</v>
      </c>
      <c r="R1135" s="604">
        <f t="shared" si="349"/>
        <v>0</v>
      </c>
      <c r="S1135" s="604">
        <f t="shared" si="350"/>
        <v>0</v>
      </c>
      <c r="T1135" s="604">
        <f t="shared" si="351"/>
        <v>0</v>
      </c>
      <c r="U1135" s="604">
        <f t="shared" si="352"/>
        <v>0</v>
      </c>
      <c r="V1135" s="604">
        <f t="shared" si="353"/>
        <v>0</v>
      </c>
      <c r="W1135" s="604">
        <f t="shared" si="354"/>
        <v>0</v>
      </c>
      <c r="X1135" s="746">
        <v>0</v>
      </c>
      <c r="Y1135" s="746">
        <f t="shared" si="355"/>
        <v>0</v>
      </c>
    </row>
    <row r="1136" spans="2:25">
      <c r="B1136" s="598" t="s">
        <v>2595</v>
      </c>
      <c r="C1136" s="604" t="s">
        <v>1102</v>
      </c>
      <c r="D1136" s="745">
        <v>2013</v>
      </c>
      <c r="E1136" s="604" t="s">
        <v>1662</v>
      </c>
      <c r="F1136" s="738">
        <v>0.2</v>
      </c>
      <c r="G1136" s="739">
        <v>23000</v>
      </c>
      <c r="H1136" s="741">
        <v>23000</v>
      </c>
      <c r="I1136" s="742">
        <f t="shared" si="360"/>
        <v>0</v>
      </c>
      <c r="J1136" s="740">
        <f t="shared" si="361"/>
        <v>0</v>
      </c>
      <c r="K1136" s="739">
        <f t="shared" si="362"/>
        <v>23000</v>
      </c>
      <c r="L1136" s="862">
        <f t="shared" si="363"/>
        <v>0</v>
      </c>
      <c r="M1136" s="740">
        <f t="shared" si="356"/>
        <v>0</v>
      </c>
      <c r="N1136" s="604">
        <f t="shared" si="345"/>
        <v>0</v>
      </c>
      <c r="O1136" s="604">
        <f t="shared" si="346"/>
        <v>0</v>
      </c>
      <c r="P1136" s="604">
        <f t="shared" si="347"/>
        <v>0</v>
      </c>
      <c r="Q1136" s="604">
        <f t="shared" si="348"/>
        <v>0</v>
      </c>
      <c r="R1136" s="604">
        <f t="shared" si="349"/>
        <v>0</v>
      </c>
      <c r="S1136" s="604">
        <f t="shared" si="350"/>
        <v>0</v>
      </c>
      <c r="T1136" s="604">
        <f t="shared" si="351"/>
        <v>0</v>
      </c>
      <c r="U1136" s="604">
        <f t="shared" si="352"/>
        <v>0</v>
      </c>
      <c r="V1136" s="604">
        <f t="shared" si="353"/>
        <v>0</v>
      </c>
      <c r="W1136" s="604">
        <f t="shared" si="354"/>
        <v>0</v>
      </c>
      <c r="X1136" s="746">
        <v>0</v>
      </c>
      <c r="Y1136" s="746">
        <f t="shared" si="355"/>
        <v>0</v>
      </c>
    </row>
    <row r="1137" spans="2:25">
      <c r="B1137" s="598" t="s">
        <v>2595</v>
      </c>
      <c r="C1137" s="604" t="s">
        <v>1102</v>
      </c>
      <c r="D1137" s="745">
        <v>2013</v>
      </c>
      <c r="E1137" s="604" t="s">
        <v>1663</v>
      </c>
      <c r="F1137" s="738">
        <v>0.2</v>
      </c>
      <c r="G1137" s="739">
        <v>23000</v>
      </c>
      <c r="H1137" s="741">
        <v>23000</v>
      </c>
      <c r="I1137" s="742">
        <f t="shared" si="360"/>
        <v>0</v>
      </c>
      <c r="J1137" s="740">
        <f t="shared" si="361"/>
        <v>0</v>
      </c>
      <c r="K1137" s="739">
        <f t="shared" si="362"/>
        <v>23000</v>
      </c>
      <c r="L1137" s="862">
        <f t="shared" si="363"/>
        <v>0</v>
      </c>
      <c r="M1137" s="740">
        <f t="shared" si="356"/>
        <v>0</v>
      </c>
      <c r="N1137" s="604">
        <f t="shared" si="345"/>
        <v>0</v>
      </c>
      <c r="O1137" s="604">
        <f t="shared" si="346"/>
        <v>0</v>
      </c>
      <c r="P1137" s="604">
        <f t="shared" si="347"/>
        <v>0</v>
      </c>
      <c r="Q1137" s="604">
        <f t="shared" si="348"/>
        <v>0</v>
      </c>
      <c r="R1137" s="604">
        <f t="shared" si="349"/>
        <v>0</v>
      </c>
      <c r="S1137" s="604">
        <f t="shared" si="350"/>
        <v>0</v>
      </c>
      <c r="T1137" s="604">
        <f t="shared" si="351"/>
        <v>0</v>
      </c>
      <c r="U1137" s="604">
        <f t="shared" si="352"/>
        <v>0</v>
      </c>
      <c r="V1137" s="604">
        <f t="shared" si="353"/>
        <v>0</v>
      </c>
      <c r="W1137" s="604">
        <f t="shared" si="354"/>
        <v>0</v>
      </c>
      <c r="X1137" s="746">
        <v>0</v>
      </c>
      <c r="Y1137" s="746">
        <f t="shared" si="355"/>
        <v>0</v>
      </c>
    </row>
    <row r="1138" spans="2:25">
      <c r="B1138" s="598" t="s">
        <v>2595</v>
      </c>
      <c r="C1138" s="604" t="s">
        <v>1102</v>
      </c>
      <c r="D1138" s="745">
        <v>2013</v>
      </c>
      <c r="E1138" s="604" t="s">
        <v>1664</v>
      </c>
      <c r="F1138" s="738">
        <v>0.2</v>
      </c>
      <c r="G1138" s="739">
        <v>1000</v>
      </c>
      <c r="H1138" s="741">
        <v>1000</v>
      </c>
      <c r="I1138" s="742">
        <f t="shared" si="360"/>
        <v>0</v>
      </c>
      <c r="J1138" s="740">
        <f t="shared" si="361"/>
        <v>0</v>
      </c>
      <c r="K1138" s="739">
        <f t="shared" si="362"/>
        <v>1000</v>
      </c>
      <c r="L1138" s="862">
        <f t="shared" si="363"/>
        <v>0</v>
      </c>
      <c r="M1138" s="740">
        <f t="shared" si="356"/>
        <v>0</v>
      </c>
      <c r="N1138" s="604">
        <f t="shared" si="345"/>
        <v>0</v>
      </c>
      <c r="O1138" s="604">
        <f t="shared" si="346"/>
        <v>0</v>
      </c>
      <c r="P1138" s="604">
        <f t="shared" si="347"/>
        <v>0</v>
      </c>
      <c r="Q1138" s="604">
        <f t="shared" si="348"/>
        <v>0</v>
      </c>
      <c r="R1138" s="604">
        <f t="shared" si="349"/>
        <v>0</v>
      </c>
      <c r="S1138" s="604">
        <f t="shared" si="350"/>
        <v>0</v>
      </c>
      <c r="T1138" s="604">
        <f t="shared" si="351"/>
        <v>0</v>
      </c>
      <c r="U1138" s="604">
        <f t="shared" si="352"/>
        <v>0</v>
      </c>
      <c r="V1138" s="604">
        <f t="shared" si="353"/>
        <v>0</v>
      </c>
      <c r="W1138" s="604">
        <f t="shared" si="354"/>
        <v>0</v>
      </c>
      <c r="X1138" s="746">
        <v>0</v>
      </c>
      <c r="Y1138" s="746">
        <f t="shared" si="355"/>
        <v>0</v>
      </c>
    </row>
    <row r="1139" spans="2:25">
      <c r="B1139" s="598" t="s">
        <v>2595</v>
      </c>
      <c r="C1139" s="604" t="s">
        <v>1102</v>
      </c>
      <c r="D1139" s="745">
        <v>2021</v>
      </c>
      <c r="E1139" s="604"/>
      <c r="F1139" s="738">
        <v>0.2</v>
      </c>
      <c r="G1139" s="739">
        <v>-1000</v>
      </c>
      <c r="H1139" s="741">
        <v>-1000</v>
      </c>
      <c r="I1139" s="742">
        <f t="shared" si="360"/>
        <v>0</v>
      </c>
      <c r="J1139" s="740">
        <f t="shared" si="361"/>
        <v>0</v>
      </c>
      <c r="K1139" s="739">
        <f t="shared" si="362"/>
        <v>-1000</v>
      </c>
      <c r="L1139" s="862">
        <f t="shared" si="363"/>
        <v>0</v>
      </c>
      <c r="M1139" s="740">
        <f t="shared" si="356"/>
        <v>0</v>
      </c>
      <c r="N1139" s="604">
        <f t="shared" si="345"/>
        <v>0</v>
      </c>
      <c r="O1139" s="604">
        <f t="shared" si="346"/>
        <v>0</v>
      </c>
      <c r="P1139" s="604">
        <f t="shared" si="347"/>
        <v>0</v>
      </c>
      <c r="Q1139" s="604">
        <f t="shared" si="348"/>
        <v>0</v>
      </c>
      <c r="R1139" s="604">
        <f t="shared" si="349"/>
        <v>0</v>
      </c>
      <c r="S1139" s="604">
        <f t="shared" si="350"/>
        <v>0</v>
      </c>
      <c r="T1139" s="604">
        <f t="shared" si="351"/>
        <v>0</v>
      </c>
      <c r="U1139" s="604">
        <f t="shared" si="352"/>
        <v>0</v>
      </c>
      <c r="V1139" s="604">
        <f t="shared" si="353"/>
        <v>0</v>
      </c>
      <c r="W1139" s="604">
        <f t="shared" si="354"/>
        <v>0</v>
      </c>
      <c r="X1139" s="746">
        <v>0</v>
      </c>
      <c r="Y1139" s="746">
        <f t="shared" si="355"/>
        <v>0</v>
      </c>
    </row>
    <row r="1140" spans="2:25">
      <c r="B1140" s="598" t="s">
        <v>2595</v>
      </c>
      <c r="C1140" s="604" t="s">
        <v>1102</v>
      </c>
      <c r="D1140" s="745">
        <v>2014</v>
      </c>
      <c r="E1140" s="604" t="s">
        <v>1665</v>
      </c>
      <c r="F1140" s="738">
        <v>0.2</v>
      </c>
      <c r="G1140" s="739">
        <v>600</v>
      </c>
      <c r="H1140" s="741">
        <v>600</v>
      </c>
      <c r="I1140" s="742">
        <f t="shared" si="360"/>
        <v>0</v>
      </c>
      <c r="J1140" s="740">
        <f t="shared" si="361"/>
        <v>0</v>
      </c>
      <c r="K1140" s="739">
        <f t="shared" si="362"/>
        <v>600</v>
      </c>
      <c r="L1140" s="862">
        <f t="shared" si="363"/>
        <v>0</v>
      </c>
      <c r="M1140" s="740">
        <f t="shared" si="356"/>
        <v>0</v>
      </c>
      <c r="N1140" s="604">
        <f t="shared" si="345"/>
        <v>0</v>
      </c>
      <c r="O1140" s="604">
        <f t="shared" si="346"/>
        <v>0</v>
      </c>
      <c r="P1140" s="604">
        <f t="shared" si="347"/>
        <v>0</v>
      </c>
      <c r="Q1140" s="604">
        <f t="shared" si="348"/>
        <v>0</v>
      </c>
      <c r="R1140" s="604">
        <f t="shared" si="349"/>
        <v>0</v>
      </c>
      <c r="S1140" s="604">
        <f t="shared" si="350"/>
        <v>0</v>
      </c>
      <c r="T1140" s="604">
        <f t="shared" si="351"/>
        <v>0</v>
      </c>
      <c r="U1140" s="604">
        <f t="shared" si="352"/>
        <v>0</v>
      </c>
      <c r="V1140" s="604">
        <f t="shared" si="353"/>
        <v>0</v>
      </c>
      <c r="W1140" s="604">
        <f t="shared" si="354"/>
        <v>0</v>
      </c>
      <c r="X1140" s="746">
        <v>0</v>
      </c>
      <c r="Y1140" s="746">
        <f t="shared" si="355"/>
        <v>0</v>
      </c>
    </row>
    <row r="1141" spans="2:25">
      <c r="B1141" s="598" t="s">
        <v>2595</v>
      </c>
      <c r="C1141" s="604" t="s">
        <v>1102</v>
      </c>
      <c r="D1141" s="745">
        <v>2021</v>
      </c>
      <c r="E1141" s="604"/>
      <c r="F1141" s="738">
        <v>0.2</v>
      </c>
      <c r="G1141" s="739">
        <v>-600</v>
      </c>
      <c r="H1141" s="741">
        <v>-600</v>
      </c>
      <c r="I1141" s="742">
        <f t="shared" si="360"/>
        <v>0</v>
      </c>
      <c r="J1141" s="740">
        <f t="shared" si="361"/>
        <v>0</v>
      </c>
      <c r="K1141" s="739">
        <f t="shared" si="362"/>
        <v>-600</v>
      </c>
      <c r="L1141" s="862">
        <f t="shared" si="363"/>
        <v>0</v>
      </c>
      <c r="M1141" s="740">
        <f t="shared" si="356"/>
        <v>0</v>
      </c>
      <c r="N1141" s="604">
        <f t="shared" si="345"/>
        <v>0</v>
      </c>
      <c r="O1141" s="604">
        <f t="shared" si="346"/>
        <v>0</v>
      </c>
      <c r="P1141" s="604">
        <f t="shared" si="347"/>
        <v>0</v>
      </c>
      <c r="Q1141" s="604">
        <f t="shared" si="348"/>
        <v>0</v>
      </c>
      <c r="R1141" s="604">
        <f t="shared" si="349"/>
        <v>0</v>
      </c>
      <c r="S1141" s="604">
        <f t="shared" si="350"/>
        <v>0</v>
      </c>
      <c r="T1141" s="604">
        <f t="shared" si="351"/>
        <v>0</v>
      </c>
      <c r="U1141" s="604">
        <f t="shared" si="352"/>
        <v>0</v>
      </c>
      <c r="V1141" s="604">
        <f t="shared" si="353"/>
        <v>0</v>
      </c>
      <c r="W1141" s="604">
        <f t="shared" si="354"/>
        <v>0</v>
      </c>
      <c r="X1141" s="746">
        <v>0</v>
      </c>
      <c r="Y1141" s="746">
        <f t="shared" si="355"/>
        <v>0</v>
      </c>
    </row>
    <row r="1142" spans="2:25">
      <c r="B1142" s="598" t="s">
        <v>2595</v>
      </c>
      <c r="C1142" s="604" t="s">
        <v>1102</v>
      </c>
      <c r="D1142" s="745">
        <v>2014</v>
      </c>
      <c r="E1142" s="604" t="s">
        <v>1666</v>
      </c>
      <c r="F1142" s="738">
        <v>0.2</v>
      </c>
      <c r="G1142" s="739">
        <v>600</v>
      </c>
      <c r="H1142" s="741">
        <v>600</v>
      </c>
      <c r="I1142" s="742">
        <f t="shared" si="360"/>
        <v>0</v>
      </c>
      <c r="J1142" s="740">
        <f t="shared" si="361"/>
        <v>0</v>
      </c>
      <c r="K1142" s="739">
        <f t="shared" si="362"/>
        <v>600</v>
      </c>
      <c r="L1142" s="862">
        <f t="shared" si="363"/>
        <v>0</v>
      </c>
      <c r="M1142" s="740">
        <f t="shared" si="356"/>
        <v>0</v>
      </c>
      <c r="N1142" s="604">
        <f t="shared" si="345"/>
        <v>0</v>
      </c>
      <c r="O1142" s="604">
        <f t="shared" si="346"/>
        <v>0</v>
      </c>
      <c r="P1142" s="604">
        <f t="shared" si="347"/>
        <v>0</v>
      </c>
      <c r="Q1142" s="604">
        <f t="shared" si="348"/>
        <v>0</v>
      </c>
      <c r="R1142" s="604">
        <f t="shared" si="349"/>
        <v>0</v>
      </c>
      <c r="S1142" s="604">
        <f t="shared" si="350"/>
        <v>0</v>
      </c>
      <c r="T1142" s="604">
        <f t="shared" si="351"/>
        <v>0</v>
      </c>
      <c r="U1142" s="604">
        <f t="shared" si="352"/>
        <v>0</v>
      </c>
      <c r="V1142" s="604">
        <f t="shared" si="353"/>
        <v>0</v>
      </c>
      <c r="W1142" s="604">
        <f t="shared" si="354"/>
        <v>0</v>
      </c>
      <c r="X1142" s="746">
        <v>0</v>
      </c>
      <c r="Y1142" s="746">
        <f t="shared" si="355"/>
        <v>0</v>
      </c>
    </row>
    <row r="1143" spans="2:25">
      <c r="B1143" s="598" t="s">
        <v>2595</v>
      </c>
      <c r="C1143" s="604" t="s">
        <v>1102</v>
      </c>
      <c r="D1143" s="745">
        <v>2021</v>
      </c>
      <c r="E1143" s="604"/>
      <c r="F1143" s="738">
        <v>0.2</v>
      </c>
      <c r="G1143" s="739">
        <v>-600</v>
      </c>
      <c r="H1143" s="741">
        <v>-600</v>
      </c>
      <c r="I1143" s="742">
        <f t="shared" si="360"/>
        <v>0</v>
      </c>
      <c r="J1143" s="740">
        <f t="shared" si="361"/>
        <v>0</v>
      </c>
      <c r="K1143" s="739">
        <f t="shared" si="362"/>
        <v>-600</v>
      </c>
      <c r="L1143" s="862">
        <f t="shared" si="363"/>
        <v>0</v>
      </c>
      <c r="M1143" s="740">
        <f t="shared" si="356"/>
        <v>0</v>
      </c>
      <c r="N1143" s="604">
        <f t="shared" si="345"/>
        <v>0</v>
      </c>
      <c r="O1143" s="604">
        <f t="shared" si="346"/>
        <v>0</v>
      </c>
      <c r="P1143" s="604">
        <f t="shared" si="347"/>
        <v>0</v>
      </c>
      <c r="Q1143" s="604">
        <f t="shared" si="348"/>
        <v>0</v>
      </c>
      <c r="R1143" s="604">
        <f t="shared" si="349"/>
        <v>0</v>
      </c>
      <c r="S1143" s="604">
        <f t="shared" si="350"/>
        <v>0</v>
      </c>
      <c r="T1143" s="604">
        <f t="shared" si="351"/>
        <v>0</v>
      </c>
      <c r="U1143" s="604">
        <f t="shared" si="352"/>
        <v>0</v>
      </c>
      <c r="V1143" s="604">
        <f t="shared" si="353"/>
        <v>0</v>
      </c>
      <c r="W1143" s="604">
        <f t="shared" si="354"/>
        <v>0</v>
      </c>
      <c r="X1143" s="746">
        <v>0</v>
      </c>
      <c r="Y1143" s="746">
        <f t="shared" si="355"/>
        <v>0</v>
      </c>
    </row>
    <row r="1144" spans="2:25">
      <c r="B1144" s="598" t="s">
        <v>2595</v>
      </c>
      <c r="C1144" s="604" t="s">
        <v>1102</v>
      </c>
      <c r="D1144" s="745">
        <v>2014</v>
      </c>
      <c r="E1144" s="604" t="s">
        <v>1667</v>
      </c>
      <c r="F1144" s="738">
        <v>0.2</v>
      </c>
      <c r="G1144" s="739">
        <v>1080</v>
      </c>
      <c r="H1144" s="741">
        <v>1080</v>
      </c>
      <c r="I1144" s="742">
        <f t="shared" si="360"/>
        <v>0</v>
      </c>
      <c r="J1144" s="740">
        <f t="shared" si="361"/>
        <v>0</v>
      </c>
      <c r="K1144" s="739">
        <f t="shared" si="362"/>
        <v>1080</v>
      </c>
      <c r="L1144" s="862">
        <f t="shared" si="363"/>
        <v>0</v>
      </c>
      <c r="M1144" s="740">
        <f t="shared" si="356"/>
        <v>0</v>
      </c>
      <c r="N1144" s="604">
        <f t="shared" si="345"/>
        <v>0</v>
      </c>
      <c r="O1144" s="604">
        <f t="shared" si="346"/>
        <v>0</v>
      </c>
      <c r="P1144" s="604">
        <f t="shared" si="347"/>
        <v>0</v>
      </c>
      <c r="Q1144" s="604">
        <f t="shared" si="348"/>
        <v>0</v>
      </c>
      <c r="R1144" s="604">
        <f t="shared" si="349"/>
        <v>0</v>
      </c>
      <c r="S1144" s="604">
        <f t="shared" si="350"/>
        <v>0</v>
      </c>
      <c r="T1144" s="604">
        <f t="shared" si="351"/>
        <v>0</v>
      </c>
      <c r="U1144" s="604">
        <f t="shared" si="352"/>
        <v>0</v>
      </c>
      <c r="V1144" s="604">
        <f t="shared" si="353"/>
        <v>0</v>
      </c>
      <c r="W1144" s="604">
        <f t="shared" si="354"/>
        <v>0</v>
      </c>
      <c r="X1144" s="746">
        <v>0</v>
      </c>
      <c r="Y1144" s="746">
        <f t="shared" si="355"/>
        <v>0</v>
      </c>
    </row>
    <row r="1145" spans="2:25">
      <c r="B1145" s="598" t="s">
        <v>2595</v>
      </c>
      <c r="C1145" s="604" t="s">
        <v>1102</v>
      </c>
      <c r="D1145" s="745">
        <v>2014</v>
      </c>
      <c r="E1145" s="604" t="s">
        <v>1668</v>
      </c>
      <c r="F1145" s="738">
        <v>0.2</v>
      </c>
      <c r="G1145" s="739">
        <v>220</v>
      </c>
      <c r="H1145" s="741">
        <v>220</v>
      </c>
      <c r="I1145" s="742">
        <f t="shared" si="360"/>
        <v>0</v>
      </c>
      <c r="J1145" s="740">
        <f t="shared" si="361"/>
        <v>0</v>
      </c>
      <c r="K1145" s="739">
        <f t="shared" si="362"/>
        <v>220</v>
      </c>
      <c r="L1145" s="862">
        <f t="shared" si="363"/>
        <v>0</v>
      </c>
      <c r="M1145" s="740">
        <f t="shared" si="356"/>
        <v>0</v>
      </c>
      <c r="N1145" s="604">
        <f t="shared" si="345"/>
        <v>0</v>
      </c>
      <c r="O1145" s="604">
        <f t="shared" si="346"/>
        <v>0</v>
      </c>
      <c r="P1145" s="604">
        <f t="shared" si="347"/>
        <v>0</v>
      </c>
      <c r="Q1145" s="604">
        <f t="shared" si="348"/>
        <v>0</v>
      </c>
      <c r="R1145" s="604">
        <f t="shared" si="349"/>
        <v>0</v>
      </c>
      <c r="S1145" s="604">
        <f t="shared" si="350"/>
        <v>0</v>
      </c>
      <c r="T1145" s="604">
        <f t="shared" si="351"/>
        <v>0</v>
      </c>
      <c r="U1145" s="604">
        <f t="shared" si="352"/>
        <v>0</v>
      </c>
      <c r="V1145" s="604">
        <f t="shared" si="353"/>
        <v>0</v>
      </c>
      <c r="W1145" s="604">
        <f t="shared" si="354"/>
        <v>0</v>
      </c>
      <c r="X1145" s="746">
        <v>0</v>
      </c>
      <c r="Y1145" s="746">
        <f t="shared" si="355"/>
        <v>0</v>
      </c>
    </row>
    <row r="1146" spans="2:25">
      <c r="B1146" s="598" t="s">
        <v>2595</v>
      </c>
      <c r="C1146" s="604" t="s">
        <v>1102</v>
      </c>
      <c r="D1146" s="745">
        <v>2021</v>
      </c>
      <c r="E1146" s="604"/>
      <c r="F1146" s="738">
        <v>0.2</v>
      </c>
      <c r="G1146" s="739">
        <v>-220</v>
      </c>
      <c r="H1146" s="741">
        <v>-220</v>
      </c>
      <c r="I1146" s="742">
        <f t="shared" si="360"/>
        <v>0</v>
      </c>
      <c r="J1146" s="740">
        <f t="shared" si="361"/>
        <v>0</v>
      </c>
      <c r="K1146" s="739">
        <f t="shared" si="362"/>
        <v>-220</v>
      </c>
      <c r="L1146" s="862">
        <f t="shared" si="363"/>
        <v>0</v>
      </c>
      <c r="M1146" s="740">
        <f t="shared" si="356"/>
        <v>0</v>
      </c>
      <c r="N1146" s="604">
        <f t="shared" si="345"/>
        <v>0</v>
      </c>
      <c r="O1146" s="604">
        <f t="shared" si="346"/>
        <v>0</v>
      </c>
      <c r="P1146" s="604">
        <f t="shared" si="347"/>
        <v>0</v>
      </c>
      <c r="Q1146" s="604">
        <f t="shared" si="348"/>
        <v>0</v>
      </c>
      <c r="R1146" s="604">
        <f t="shared" si="349"/>
        <v>0</v>
      </c>
      <c r="S1146" s="604">
        <f t="shared" si="350"/>
        <v>0</v>
      </c>
      <c r="T1146" s="604">
        <f t="shared" si="351"/>
        <v>0</v>
      </c>
      <c r="U1146" s="604">
        <f t="shared" si="352"/>
        <v>0</v>
      </c>
      <c r="V1146" s="604">
        <f t="shared" si="353"/>
        <v>0</v>
      </c>
      <c r="W1146" s="604">
        <f t="shared" si="354"/>
        <v>0</v>
      </c>
      <c r="X1146" s="746">
        <v>0</v>
      </c>
      <c r="Y1146" s="746">
        <f t="shared" si="355"/>
        <v>0</v>
      </c>
    </row>
    <row r="1147" spans="2:25">
      <c r="B1147" s="598" t="s">
        <v>2595</v>
      </c>
      <c r="C1147" s="604" t="s">
        <v>1102</v>
      </c>
      <c r="D1147" s="745">
        <v>2015</v>
      </c>
      <c r="E1147" s="604" t="s">
        <v>1669</v>
      </c>
      <c r="F1147" s="738">
        <v>0.2</v>
      </c>
      <c r="G1147" s="739">
        <v>6500</v>
      </c>
      <c r="H1147" s="741">
        <v>6500</v>
      </c>
      <c r="I1147" s="742">
        <f t="shared" si="360"/>
        <v>0</v>
      </c>
      <c r="J1147" s="740">
        <f t="shared" si="361"/>
        <v>0</v>
      </c>
      <c r="K1147" s="739">
        <f t="shared" si="362"/>
        <v>6500</v>
      </c>
      <c r="L1147" s="862">
        <f t="shared" si="363"/>
        <v>0</v>
      </c>
      <c r="M1147" s="740">
        <f t="shared" si="356"/>
        <v>0</v>
      </c>
      <c r="N1147" s="604">
        <f t="shared" si="345"/>
        <v>0</v>
      </c>
      <c r="O1147" s="604">
        <f t="shared" si="346"/>
        <v>0</v>
      </c>
      <c r="P1147" s="604">
        <f t="shared" si="347"/>
        <v>0</v>
      </c>
      <c r="Q1147" s="604">
        <f t="shared" si="348"/>
        <v>0</v>
      </c>
      <c r="R1147" s="604">
        <f t="shared" si="349"/>
        <v>0</v>
      </c>
      <c r="S1147" s="604">
        <f t="shared" si="350"/>
        <v>0</v>
      </c>
      <c r="T1147" s="604">
        <f t="shared" si="351"/>
        <v>0</v>
      </c>
      <c r="U1147" s="604">
        <f t="shared" si="352"/>
        <v>0</v>
      </c>
      <c r="V1147" s="604">
        <f t="shared" si="353"/>
        <v>0</v>
      </c>
      <c r="W1147" s="604">
        <f t="shared" si="354"/>
        <v>0</v>
      </c>
      <c r="X1147" s="746">
        <v>0</v>
      </c>
      <c r="Y1147" s="746">
        <f t="shared" si="355"/>
        <v>0</v>
      </c>
    </row>
    <row r="1148" spans="2:25">
      <c r="B1148" s="598" t="s">
        <v>2595</v>
      </c>
      <c r="C1148" s="604" t="s">
        <v>1102</v>
      </c>
      <c r="D1148" s="745">
        <v>2015</v>
      </c>
      <c r="E1148" s="604" t="s">
        <v>1670</v>
      </c>
      <c r="F1148" s="738">
        <v>0.2</v>
      </c>
      <c r="G1148" s="739">
        <v>207</v>
      </c>
      <c r="H1148" s="741">
        <v>207</v>
      </c>
      <c r="I1148" s="742">
        <f t="shared" si="360"/>
        <v>0</v>
      </c>
      <c r="J1148" s="740">
        <f t="shared" si="361"/>
        <v>0</v>
      </c>
      <c r="K1148" s="739">
        <f t="shared" si="362"/>
        <v>207</v>
      </c>
      <c r="L1148" s="862">
        <f t="shared" si="363"/>
        <v>0</v>
      </c>
      <c r="M1148" s="740">
        <f t="shared" si="356"/>
        <v>0</v>
      </c>
      <c r="N1148" s="604">
        <f t="shared" si="345"/>
        <v>0</v>
      </c>
      <c r="O1148" s="604">
        <f t="shared" si="346"/>
        <v>0</v>
      </c>
      <c r="P1148" s="604">
        <f t="shared" si="347"/>
        <v>0</v>
      </c>
      <c r="Q1148" s="604">
        <f t="shared" si="348"/>
        <v>0</v>
      </c>
      <c r="R1148" s="604">
        <f t="shared" si="349"/>
        <v>0</v>
      </c>
      <c r="S1148" s="604">
        <f t="shared" si="350"/>
        <v>0</v>
      </c>
      <c r="T1148" s="604">
        <f t="shared" si="351"/>
        <v>0</v>
      </c>
      <c r="U1148" s="604">
        <f t="shared" si="352"/>
        <v>0</v>
      </c>
      <c r="V1148" s="604">
        <f t="shared" si="353"/>
        <v>0</v>
      </c>
      <c r="W1148" s="604">
        <f t="shared" si="354"/>
        <v>0</v>
      </c>
      <c r="X1148" s="746">
        <v>0</v>
      </c>
      <c r="Y1148" s="746">
        <f t="shared" si="355"/>
        <v>0</v>
      </c>
    </row>
    <row r="1149" spans="2:25">
      <c r="B1149" s="598" t="s">
        <v>2595</v>
      </c>
      <c r="C1149" s="604" t="s">
        <v>1102</v>
      </c>
      <c r="D1149" s="745">
        <v>2021</v>
      </c>
      <c r="E1149" s="604"/>
      <c r="F1149" s="738">
        <v>0.2</v>
      </c>
      <c r="G1149" s="739">
        <v>-207</v>
      </c>
      <c r="H1149" s="741">
        <v>-207</v>
      </c>
      <c r="I1149" s="742">
        <f t="shared" si="360"/>
        <v>0</v>
      </c>
      <c r="J1149" s="740">
        <f t="shared" si="361"/>
        <v>0</v>
      </c>
      <c r="K1149" s="739">
        <f t="shared" si="362"/>
        <v>-207</v>
      </c>
      <c r="L1149" s="862">
        <f t="shared" si="363"/>
        <v>0</v>
      </c>
      <c r="M1149" s="740">
        <f t="shared" si="356"/>
        <v>0</v>
      </c>
      <c r="N1149" s="604">
        <f t="shared" si="345"/>
        <v>0</v>
      </c>
      <c r="O1149" s="604">
        <f t="shared" si="346"/>
        <v>0</v>
      </c>
      <c r="P1149" s="604">
        <f t="shared" si="347"/>
        <v>0</v>
      </c>
      <c r="Q1149" s="604">
        <f t="shared" si="348"/>
        <v>0</v>
      </c>
      <c r="R1149" s="604">
        <f t="shared" si="349"/>
        <v>0</v>
      </c>
      <c r="S1149" s="604">
        <f t="shared" si="350"/>
        <v>0</v>
      </c>
      <c r="T1149" s="604">
        <f t="shared" si="351"/>
        <v>0</v>
      </c>
      <c r="U1149" s="604">
        <f t="shared" si="352"/>
        <v>0</v>
      </c>
      <c r="V1149" s="604">
        <f t="shared" si="353"/>
        <v>0</v>
      </c>
      <c r="W1149" s="604">
        <f t="shared" si="354"/>
        <v>0</v>
      </c>
      <c r="X1149" s="746">
        <v>0</v>
      </c>
      <c r="Y1149" s="746">
        <f t="shared" si="355"/>
        <v>0</v>
      </c>
    </row>
    <row r="1150" spans="2:25">
      <c r="B1150" s="598" t="s">
        <v>2595</v>
      </c>
      <c r="C1150" s="604" t="s">
        <v>1102</v>
      </c>
      <c r="D1150" s="745">
        <v>2015</v>
      </c>
      <c r="E1150" s="604" t="s">
        <v>1671</v>
      </c>
      <c r="F1150" s="738">
        <v>0.2</v>
      </c>
      <c r="G1150" s="739">
        <v>128</v>
      </c>
      <c r="H1150" s="741">
        <v>128</v>
      </c>
      <c r="I1150" s="742">
        <f t="shared" si="360"/>
        <v>0</v>
      </c>
      <c r="J1150" s="740">
        <f t="shared" si="361"/>
        <v>0</v>
      </c>
      <c r="K1150" s="739">
        <f t="shared" si="362"/>
        <v>128</v>
      </c>
      <c r="L1150" s="862">
        <f t="shared" si="363"/>
        <v>0</v>
      </c>
      <c r="M1150" s="740">
        <f t="shared" si="356"/>
        <v>0</v>
      </c>
      <c r="N1150" s="604">
        <f t="shared" si="345"/>
        <v>0</v>
      </c>
      <c r="O1150" s="604">
        <f t="shared" si="346"/>
        <v>0</v>
      </c>
      <c r="P1150" s="604">
        <f t="shared" si="347"/>
        <v>0</v>
      </c>
      <c r="Q1150" s="604">
        <f t="shared" si="348"/>
        <v>0</v>
      </c>
      <c r="R1150" s="604">
        <f t="shared" si="349"/>
        <v>0</v>
      </c>
      <c r="S1150" s="604">
        <f t="shared" si="350"/>
        <v>0</v>
      </c>
      <c r="T1150" s="604">
        <f t="shared" si="351"/>
        <v>0</v>
      </c>
      <c r="U1150" s="604">
        <f t="shared" si="352"/>
        <v>0</v>
      </c>
      <c r="V1150" s="604">
        <f t="shared" si="353"/>
        <v>0</v>
      </c>
      <c r="W1150" s="604">
        <f t="shared" si="354"/>
        <v>0</v>
      </c>
      <c r="X1150" s="746">
        <v>0</v>
      </c>
      <c r="Y1150" s="746">
        <f t="shared" si="355"/>
        <v>0</v>
      </c>
    </row>
    <row r="1151" spans="2:25">
      <c r="B1151" s="598" t="s">
        <v>2595</v>
      </c>
      <c r="C1151" s="604" t="s">
        <v>1102</v>
      </c>
      <c r="D1151" s="745">
        <v>2021</v>
      </c>
      <c r="E1151" s="604"/>
      <c r="F1151" s="738">
        <v>0.2</v>
      </c>
      <c r="G1151" s="739">
        <v>-128</v>
      </c>
      <c r="H1151" s="741">
        <v>-128</v>
      </c>
      <c r="I1151" s="742">
        <f t="shared" si="360"/>
        <v>0</v>
      </c>
      <c r="J1151" s="740">
        <f t="shared" si="361"/>
        <v>0</v>
      </c>
      <c r="K1151" s="739">
        <f t="shared" si="362"/>
        <v>-128</v>
      </c>
      <c r="L1151" s="862">
        <f t="shared" si="363"/>
        <v>0</v>
      </c>
      <c r="M1151" s="740">
        <f t="shared" si="356"/>
        <v>0</v>
      </c>
      <c r="N1151" s="604">
        <f t="shared" si="345"/>
        <v>0</v>
      </c>
      <c r="O1151" s="604">
        <f t="shared" si="346"/>
        <v>0</v>
      </c>
      <c r="P1151" s="604">
        <f t="shared" si="347"/>
        <v>0</v>
      </c>
      <c r="Q1151" s="604">
        <f t="shared" si="348"/>
        <v>0</v>
      </c>
      <c r="R1151" s="604">
        <f t="shared" si="349"/>
        <v>0</v>
      </c>
      <c r="S1151" s="604">
        <f t="shared" si="350"/>
        <v>0</v>
      </c>
      <c r="T1151" s="604">
        <f t="shared" si="351"/>
        <v>0</v>
      </c>
      <c r="U1151" s="604">
        <f t="shared" si="352"/>
        <v>0</v>
      </c>
      <c r="V1151" s="604">
        <f t="shared" si="353"/>
        <v>0</v>
      </c>
      <c r="W1151" s="604">
        <f t="shared" si="354"/>
        <v>0</v>
      </c>
      <c r="X1151" s="746">
        <v>0</v>
      </c>
      <c r="Y1151" s="746">
        <f t="shared" si="355"/>
        <v>0</v>
      </c>
    </row>
    <row r="1152" spans="2:25">
      <c r="B1152" s="598" t="s">
        <v>2595</v>
      </c>
      <c r="C1152" s="604" t="s">
        <v>1102</v>
      </c>
      <c r="D1152" s="745">
        <v>2015</v>
      </c>
      <c r="E1152" s="604" t="s">
        <v>1672</v>
      </c>
      <c r="F1152" s="738">
        <v>0.2</v>
      </c>
      <c r="G1152" s="739">
        <v>128</v>
      </c>
      <c r="H1152" s="741">
        <v>128</v>
      </c>
      <c r="I1152" s="742">
        <f t="shared" si="360"/>
        <v>0</v>
      </c>
      <c r="J1152" s="740">
        <f t="shared" si="361"/>
        <v>0</v>
      </c>
      <c r="K1152" s="739">
        <f t="shared" si="362"/>
        <v>128</v>
      </c>
      <c r="L1152" s="862">
        <f t="shared" si="363"/>
        <v>0</v>
      </c>
      <c r="M1152" s="740">
        <f t="shared" si="356"/>
        <v>0</v>
      </c>
      <c r="N1152" s="604">
        <f t="shared" si="345"/>
        <v>0</v>
      </c>
      <c r="O1152" s="604">
        <f t="shared" si="346"/>
        <v>0</v>
      </c>
      <c r="P1152" s="604">
        <f t="shared" si="347"/>
        <v>0</v>
      </c>
      <c r="Q1152" s="604">
        <f t="shared" si="348"/>
        <v>0</v>
      </c>
      <c r="R1152" s="604">
        <f t="shared" si="349"/>
        <v>0</v>
      </c>
      <c r="S1152" s="604">
        <f t="shared" si="350"/>
        <v>0</v>
      </c>
      <c r="T1152" s="604">
        <f t="shared" si="351"/>
        <v>0</v>
      </c>
      <c r="U1152" s="604">
        <f t="shared" si="352"/>
        <v>0</v>
      </c>
      <c r="V1152" s="604">
        <f t="shared" si="353"/>
        <v>0</v>
      </c>
      <c r="W1152" s="604">
        <f t="shared" si="354"/>
        <v>0</v>
      </c>
      <c r="X1152" s="746">
        <v>0</v>
      </c>
      <c r="Y1152" s="746">
        <f t="shared" si="355"/>
        <v>0</v>
      </c>
    </row>
    <row r="1153" spans="2:25">
      <c r="B1153" s="598" t="s">
        <v>2595</v>
      </c>
      <c r="C1153" s="604" t="s">
        <v>1102</v>
      </c>
      <c r="D1153" s="745">
        <v>2021</v>
      </c>
      <c r="E1153" s="604"/>
      <c r="F1153" s="738">
        <v>0.2</v>
      </c>
      <c r="G1153" s="739">
        <v>-128</v>
      </c>
      <c r="H1153" s="741">
        <v>-128</v>
      </c>
      <c r="I1153" s="742">
        <f t="shared" si="360"/>
        <v>0</v>
      </c>
      <c r="J1153" s="740">
        <f t="shared" si="361"/>
        <v>0</v>
      </c>
      <c r="K1153" s="739">
        <f t="shared" si="362"/>
        <v>-128</v>
      </c>
      <c r="L1153" s="862">
        <f t="shared" si="363"/>
        <v>0</v>
      </c>
      <c r="M1153" s="740">
        <f t="shared" si="356"/>
        <v>0</v>
      </c>
      <c r="N1153" s="604">
        <f t="shared" si="345"/>
        <v>0</v>
      </c>
      <c r="O1153" s="604">
        <f t="shared" si="346"/>
        <v>0</v>
      </c>
      <c r="P1153" s="604">
        <f t="shared" si="347"/>
        <v>0</v>
      </c>
      <c r="Q1153" s="604">
        <f t="shared" si="348"/>
        <v>0</v>
      </c>
      <c r="R1153" s="604">
        <f t="shared" si="349"/>
        <v>0</v>
      </c>
      <c r="S1153" s="604">
        <f t="shared" si="350"/>
        <v>0</v>
      </c>
      <c r="T1153" s="604">
        <f t="shared" si="351"/>
        <v>0</v>
      </c>
      <c r="U1153" s="604">
        <f t="shared" si="352"/>
        <v>0</v>
      </c>
      <c r="V1153" s="604">
        <f t="shared" si="353"/>
        <v>0</v>
      </c>
      <c r="W1153" s="604">
        <f t="shared" si="354"/>
        <v>0</v>
      </c>
      <c r="X1153" s="746">
        <v>0</v>
      </c>
      <c r="Y1153" s="746">
        <f t="shared" si="355"/>
        <v>0</v>
      </c>
    </row>
    <row r="1154" spans="2:25">
      <c r="B1154" s="598" t="s">
        <v>2595</v>
      </c>
      <c r="C1154" s="604" t="s">
        <v>1102</v>
      </c>
      <c r="D1154" s="745">
        <v>2015</v>
      </c>
      <c r="E1154" s="604" t="s">
        <v>1673</v>
      </c>
      <c r="F1154" s="738">
        <v>0.2</v>
      </c>
      <c r="G1154" s="739">
        <v>5000</v>
      </c>
      <c r="H1154" s="741">
        <v>5000</v>
      </c>
      <c r="I1154" s="742">
        <f t="shared" si="360"/>
        <v>0</v>
      </c>
      <c r="J1154" s="740">
        <f t="shared" si="361"/>
        <v>0</v>
      </c>
      <c r="K1154" s="739">
        <f t="shared" si="362"/>
        <v>5000</v>
      </c>
      <c r="L1154" s="862">
        <f t="shared" si="363"/>
        <v>0</v>
      </c>
      <c r="M1154" s="740">
        <f t="shared" si="356"/>
        <v>0</v>
      </c>
      <c r="N1154" s="604">
        <f t="shared" si="345"/>
        <v>0</v>
      </c>
      <c r="O1154" s="604">
        <f t="shared" si="346"/>
        <v>0</v>
      </c>
      <c r="P1154" s="604">
        <f t="shared" si="347"/>
        <v>0</v>
      </c>
      <c r="Q1154" s="604">
        <f t="shared" si="348"/>
        <v>0</v>
      </c>
      <c r="R1154" s="604">
        <f t="shared" si="349"/>
        <v>0</v>
      </c>
      <c r="S1154" s="604">
        <f t="shared" si="350"/>
        <v>0</v>
      </c>
      <c r="T1154" s="604">
        <f t="shared" si="351"/>
        <v>0</v>
      </c>
      <c r="U1154" s="604">
        <f t="shared" si="352"/>
        <v>0</v>
      </c>
      <c r="V1154" s="604">
        <f t="shared" si="353"/>
        <v>0</v>
      </c>
      <c r="W1154" s="604">
        <f t="shared" si="354"/>
        <v>0</v>
      </c>
      <c r="X1154" s="746">
        <v>0</v>
      </c>
      <c r="Y1154" s="746">
        <f t="shared" si="355"/>
        <v>0</v>
      </c>
    </row>
    <row r="1155" spans="2:25">
      <c r="B1155" s="598" t="s">
        <v>2595</v>
      </c>
      <c r="C1155" s="604" t="s">
        <v>1102</v>
      </c>
      <c r="D1155" s="745">
        <v>2015</v>
      </c>
      <c r="E1155" s="604" t="s">
        <v>1674</v>
      </c>
      <c r="F1155" s="738">
        <v>0.2</v>
      </c>
      <c r="G1155" s="739">
        <v>128</v>
      </c>
      <c r="H1155" s="741">
        <v>128</v>
      </c>
      <c r="I1155" s="742">
        <f t="shared" si="360"/>
        <v>0</v>
      </c>
      <c r="J1155" s="740">
        <f t="shared" si="361"/>
        <v>0</v>
      </c>
      <c r="K1155" s="739">
        <f t="shared" si="362"/>
        <v>128</v>
      </c>
      <c r="L1155" s="862">
        <f t="shared" si="363"/>
        <v>0</v>
      </c>
      <c r="M1155" s="740">
        <f t="shared" si="356"/>
        <v>0</v>
      </c>
      <c r="N1155" s="604">
        <f t="shared" si="345"/>
        <v>0</v>
      </c>
      <c r="O1155" s="604">
        <f t="shared" si="346"/>
        <v>0</v>
      </c>
      <c r="P1155" s="604">
        <f t="shared" si="347"/>
        <v>0</v>
      </c>
      <c r="Q1155" s="604">
        <f t="shared" si="348"/>
        <v>0</v>
      </c>
      <c r="R1155" s="604">
        <f t="shared" si="349"/>
        <v>0</v>
      </c>
      <c r="S1155" s="604">
        <f t="shared" si="350"/>
        <v>0</v>
      </c>
      <c r="T1155" s="604">
        <f t="shared" si="351"/>
        <v>0</v>
      </c>
      <c r="U1155" s="604">
        <f t="shared" si="352"/>
        <v>0</v>
      </c>
      <c r="V1155" s="604">
        <f t="shared" si="353"/>
        <v>0</v>
      </c>
      <c r="W1155" s="604">
        <f t="shared" si="354"/>
        <v>0</v>
      </c>
      <c r="X1155" s="746">
        <v>0</v>
      </c>
      <c r="Y1155" s="746">
        <f t="shared" si="355"/>
        <v>0</v>
      </c>
    </row>
    <row r="1156" spans="2:25">
      <c r="B1156" s="598" t="s">
        <v>2595</v>
      </c>
      <c r="C1156" s="604" t="s">
        <v>1102</v>
      </c>
      <c r="D1156" s="745">
        <v>2021</v>
      </c>
      <c r="E1156" s="604"/>
      <c r="F1156" s="738">
        <v>0.2</v>
      </c>
      <c r="G1156" s="739">
        <v>-128</v>
      </c>
      <c r="H1156" s="741">
        <v>-128</v>
      </c>
      <c r="I1156" s="742">
        <f t="shared" si="360"/>
        <v>0</v>
      </c>
      <c r="J1156" s="740">
        <f t="shared" si="361"/>
        <v>0</v>
      </c>
      <c r="K1156" s="739">
        <f t="shared" si="362"/>
        <v>-128</v>
      </c>
      <c r="L1156" s="862">
        <f t="shared" si="363"/>
        <v>0</v>
      </c>
      <c r="M1156" s="740">
        <f t="shared" si="356"/>
        <v>0</v>
      </c>
      <c r="N1156" s="604">
        <f t="shared" si="345"/>
        <v>0</v>
      </c>
      <c r="O1156" s="604">
        <f t="shared" si="346"/>
        <v>0</v>
      </c>
      <c r="P1156" s="604">
        <f t="shared" si="347"/>
        <v>0</v>
      </c>
      <c r="Q1156" s="604">
        <f t="shared" si="348"/>
        <v>0</v>
      </c>
      <c r="R1156" s="604">
        <f t="shared" si="349"/>
        <v>0</v>
      </c>
      <c r="S1156" s="604">
        <f t="shared" si="350"/>
        <v>0</v>
      </c>
      <c r="T1156" s="604">
        <f t="shared" si="351"/>
        <v>0</v>
      </c>
      <c r="U1156" s="604">
        <f t="shared" si="352"/>
        <v>0</v>
      </c>
      <c r="V1156" s="604">
        <f t="shared" si="353"/>
        <v>0</v>
      </c>
      <c r="W1156" s="604">
        <f t="shared" si="354"/>
        <v>0</v>
      </c>
      <c r="X1156" s="746">
        <v>0</v>
      </c>
      <c r="Y1156" s="746">
        <f t="shared" si="355"/>
        <v>0</v>
      </c>
    </row>
    <row r="1157" spans="2:25">
      <c r="B1157" s="598" t="s">
        <v>2595</v>
      </c>
      <c r="C1157" s="604" t="s">
        <v>1102</v>
      </c>
      <c r="D1157" s="745">
        <v>2015</v>
      </c>
      <c r="E1157" s="604" t="s">
        <v>1675</v>
      </c>
      <c r="F1157" s="738">
        <v>0.2</v>
      </c>
      <c r="G1157" s="739">
        <v>12660</v>
      </c>
      <c r="H1157" s="741">
        <v>12660</v>
      </c>
      <c r="I1157" s="742">
        <f t="shared" si="360"/>
        <v>0</v>
      </c>
      <c r="J1157" s="740">
        <f t="shared" si="361"/>
        <v>0</v>
      </c>
      <c r="K1157" s="739">
        <f t="shared" si="362"/>
        <v>12660</v>
      </c>
      <c r="L1157" s="862">
        <f t="shared" si="363"/>
        <v>0</v>
      </c>
      <c r="M1157" s="740">
        <f t="shared" si="356"/>
        <v>0</v>
      </c>
      <c r="N1157" s="604">
        <f t="shared" si="345"/>
        <v>0</v>
      </c>
      <c r="O1157" s="604">
        <f t="shared" si="346"/>
        <v>0</v>
      </c>
      <c r="P1157" s="604">
        <f t="shared" si="347"/>
        <v>0</v>
      </c>
      <c r="Q1157" s="604">
        <f t="shared" si="348"/>
        <v>0</v>
      </c>
      <c r="R1157" s="604">
        <f t="shared" si="349"/>
        <v>0</v>
      </c>
      <c r="S1157" s="604">
        <f t="shared" si="350"/>
        <v>0</v>
      </c>
      <c r="T1157" s="604">
        <f t="shared" si="351"/>
        <v>0</v>
      </c>
      <c r="U1157" s="604">
        <f t="shared" si="352"/>
        <v>0</v>
      </c>
      <c r="V1157" s="604">
        <f t="shared" si="353"/>
        <v>0</v>
      </c>
      <c r="W1157" s="604">
        <f t="shared" si="354"/>
        <v>0</v>
      </c>
      <c r="X1157" s="746">
        <v>0</v>
      </c>
      <c r="Y1157" s="746">
        <f t="shared" si="355"/>
        <v>0</v>
      </c>
    </row>
    <row r="1158" spans="2:25">
      <c r="B1158" s="598" t="s">
        <v>2595</v>
      </c>
      <c r="C1158" s="604" t="s">
        <v>1102</v>
      </c>
      <c r="D1158" s="745">
        <v>2015</v>
      </c>
      <c r="E1158" s="604" t="s">
        <v>1676</v>
      </c>
      <c r="F1158" s="738">
        <v>0.2</v>
      </c>
      <c r="G1158" s="739">
        <v>128</v>
      </c>
      <c r="H1158" s="741">
        <v>128</v>
      </c>
      <c r="I1158" s="742">
        <f t="shared" si="360"/>
        <v>0</v>
      </c>
      <c r="J1158" s="740">
        <f t="shared" si="361"/>
        <v>0</v>
      </c>
      <c r="K1158" s="739">
        <f t="shared" si="362"/>
        <v>128</v>
      </c>
      <c r="L1158" s="862">
        <f t="shared" si="363"/>
        <v>0</v>
      </c>
      <c r="M1158" s="740">
        <f t="shared" si="356"/>
        <v>0</v>
      </c>
      <c r="N1158" s="604">
        <f t="shared" si="345"/>
        <v>0</v>
      </c>
      <c r="O1158" s="604">
        <f t="shared" si="346"/>
        <v>0</v>
      </c>
      <c r="P1158" s="604">
        <f t="shared" si="347"/>
        <v>0</v>
      </c>
      <c r="Q1158" s="604">
        <f t="shared" si="348"/>
        <v>0</v>
      </c>
      <c r="R1158" s="604">
        <f t="shared" si="349"/>
        <v>0</v>
      </c>
      <c r="S1158" s="604">
        <f t="shared" si="350"/>
        <v>0</v>
      </c>
      <c r="T1158" s="604">
        <f t="shared" si="351"/>
        <v>0</v>
      </c>
      <c r="U1158" s="604">
        <f t="shared" si="352"/>
        <v>0</v>
      </c>
      <c r="V1158" s="604">
        <f t="shared" si="353"/>
        <v>0</v>
      </c>
      <c r="W1158" s="604">
        <f t="shared" si="354"/>
        <v>0</v>
      </c>
      <c r="X1158" s="746">
        <v>0</v>
      </c>
      <c r="Y1158" s="746">
        <f t="shared" si="355"/>
        <v>0</v>
      </c>
    </row>
    <row r="1159" spans="2:25">
      <c r="B1159" s="598" t="s">
        <v>2595</v>
      </c>
      <c r="C1159" s="604" t="s">
        <v>1102</v>
      </c>
      <c r="D1159" s="745">
        <v>2021</v>
      </c>
      <c r="E1159" s="604"/>
      <c r="F1159" s="738">
        <v>0.2</v>
      </c>
      <c r="G1159" s="739">
        <v>-128</v>
      </c>
      <c r="H1159" s="741">
        <v>-128</v>
      </c>
      <c r="I1159" s="742">
        <f t="shared" si="360"/>
        <v>0</v>
      </c>
      <c r="J1159" s="740">
        <f t="shared" si="361"/>
        <v>0</v>
      </c>
      <c r="K1159" s="739">
        <f t="shared" si="362"/>
        <v>-128</v>
      </c>
      <c r="L1159" s="862">
        <f t="shared" si="363"/>
        <v>0</v>
      </c>
      <c r="M1159" s="740">
        <f t="shared" si="356"/>
        <v>0</v>
      </c>
      <c r="N1159" s="604">
        <f t="shared" si="345"/>
        <v>0</v>
      </c>
      <c r="O1159" s="604">
        <f t="shared" si="346"/>
        <v>0</v>
      </c>
      <c r="P1159" s="604">
        <f t="shared" si="347"/>
        <v>0</v>
      </c>
      <c r="Q1159" s="604">
        <f t="shared" si="348"/>
        <v>0</v>
      </c>
      <c r="R1159" s="604">
        <f t="shared" si="349"/>
        <v>0</v>
      </c>
      <c r="S1159" s="604">
        <f t="shared" si="350"/>
        <v>0</v>
      </c>
      <c r="T1159" s="604">
        <f t="shared" si="351"/>
        <v>0</v>
      </c>
      <c r="U1159" s="604">
        <f t="shared" si="352"/>
        <v>0</v>
      </c>
      <c r="V1159" s="604">
        <f t="shared" si="353"/>
        <v>0</v>
      </c>
      <c r="W1159" s="604">
        <f t="shared" si="354"/>
        <v>0</v>
      </c>
      <c r="X1159" s="746">
        <v>0</v>
      </c>
      <c r="Y1159" s="746">
        <f t="shared" si="355"/>
        <v>0</v>
      </c>
    </row>
    <row r="1160" spans="2:25">
      <c r="B1160" s="598" t="s">
        <v>2595</v>
      </c>
      <c r="C1160" s="604" t="s">
        <v>1102</v>
      </c>
      <c r="D1160" s="745">
        <v>2015</v>
      </c>
      <c r="E1160" s="604" t="s">
        <v>1677</v>
      </c>
      <c r="F1160" s="738">
        <v>0.2</v>
      </c>
      <c r="G1160" s="739">
        <v>235</v>
      </c>
      <c r="H1160" s="741">
        <v>235</v>
      </c>
      <c r="I1160" s="742">
        <f t="shared" si="360"/>
        <v>0</v>
      </c>
      <c r="J1160" s="740">
        <f t="shared" si="361"/>
        <v>0</v>
      </c>
      <c r="K1160" s="739">
        <f t="shared" si="362"/>
        <v>235</v>
      </c>
      <c r="L1160" s="862">
        <f t="shared" si="363"/>
        <v>0</v>
      </c>
      <c r="M1160" s="740">
        <f t="shared" si="356"/>
        <v>0</v>
      </c>
      <c r="N1160" s="604">
        <f t="shared" si="345"/>
        <v>0</v>
      </c>
      <c r="O1160" s="604">
        <f t="shared" si="346"/>
        <v>0</v>
      </c>
      <c r="P1160" s="604">
        <f t="shared" si="347"/>
        <v>0</v>
      </c>
      <c r="Q1160" s="604">
        <f t="shared" si="348"/>
        <v>0</v>
      </c>
      <c r="R1160" s="604">
        <f t="shared" si="349"/>
        <v>0</v>
      </c>
      <c r="S1160" s="604">
        <f t="shared" si="350"/>
        <v>0</v>
      </c>
      <c r="T1160" s="604">
        <f t="shared" si="351"/>
        <v>0</v>
      </c>
      <c r="U1160" s="604">
        <f t="shared" si="352"/>
        <v>0</v>
      </c>
      <c r="V1160" s="604">
        <f t="shared" si="353"/>
        <v>0</v>
      </c>
      <c r="W1160" s="604">
        <f t="shared" si="354"/>
        <v>0</v>
      </c>
      <c r="X1160" s="746">
        <v>0</v>
      </c>
      <c r="Y1160" s="746">
        <f t="shared" si="355"/>
        <v>0</v>
      </c>
    </row>
    <row r="1161" spans="2:25">
      <c r="B1161" s="598" t="s">
        <v>2595</v>
      </c>
      <c r="C1161" s="604" t="s">
        <v>1102</v>
      </c>
      <c r="D1161" s="745">
        <v>2016</v>
      </c>
      <c r="E1161" s="604" t="s">
        <v>1678</v>
      </c>
      <c r="F1161" s="738">
        <v>0.2</v>
      </c>
      <c r="G1161" s="739">
        <v>4000</v>
      </c>
      <c r="H1161" s="741">
        <v>4000</v>
      </c>
      <c r="I1161" s="742">
        <f t="shared" si="360"/>
        <v>0</v>
      </c>
      <c r="J1161" s="740">
        <f t="shared" si="361"/>
        <v>0</v>
      </c>
      <c r="K1161" s="739">
        <f t="shared" si="362"/>
        <v>4000</v>
      </c>
      <c r="L1161" s="862">
        <f t="shared" si="363"/>
        <v>0</v>
      </c>
      <c r="M1161" s="740">
        <f t="shared" si="356"/>
        <v>0</v>
      </c>
      <c r="N1161" s="604">
        <f t="shared" ref="N1161:N1224" si="364">+IF(L1161-M1161&gt;0,G1161*F1161,0)</f>
        <v>0</v>
      </c>
      <c r="O1161" s="604">
        <f t="shared" ref="O1161:O1224" si="365">+IF(L1161-SUM(M1161:N1161)&gt;0,G1161*F1161,0)</f>
        <v>0</v>
      </c>
      <c r="P1161" s="604">
        <f t="shared" ref="P1161:P1224" si="366">+IF(L1161-SUM(M1161:O1161)&gt;0,G1161*F1161,0)</f>
        <v>0</v>
      </c>
      <c r="Q1161" s="604">
        <f t="shared" ref="Q1161:Q1217" si="367">+IF(L1161-SUM(M1161:P1161)&gt;0,G1161*F1161,0)</f>
        <v>0</v>
      </c>
      <c r="R1161" s="604">
        <f t="shared" ref="R1161:R1224" si="368">+IF(L1161-SUM(M1161:Q1161)&gt;0,G1161*F1161,0)</f>
        <v>0</v>
      </c>
      <c r="S1161" s="604">
        <f t="shared" ref="S1161:S1224" si="369">+IF(L1161-SUM(M1161:R1161)&gt;0,G1161*F1161,0)</f>
        <v>0</v>
      </c>
      <c r="T1161" s="604">
        <f t="shared" ref="T1161:T1224" si="370">+IF(L1161-SUM(M1161:S1161)&gt;0,G1161*F1161,0)</f>
        <v>0</v>
      </c>
      <c r="U1161" s="604">
        <f t="shared" ref="U1161:U1224" si="371">+IF(L1161-SUM(M1161:T1161)&gt;0,G1161*F1161,0)</f>
        <v>0</v>
      </c>
      <c r="V1161" s="604">
        <f t="shared" ref="V1161:V1224" si="372">+IF(L1161-SUM(M1161:U1161)&gt;0,G1161*F1161,0)</f>
        <v>0</v>
      </c>
      <c r="W1161" s="604">
        <f t="shared" ref="W1161:W1224" si="373">+IF(L1161-SUM(M1161:V1161)&gt;0,G1161*F1161,0)</f>
        <v>0</v>
      </c>
      <c r="X1161" s="746">
        <v>0</v>
      </c>
      <c r="Y1161" s="746">
        <f t="shared" ref="Y1161:Y1224" si="374">+SUM(M1161:W1161)-L1161</f>
        <v>0</v>
      </c>
    </row>
    <row r="1162" spans="2:25">
      <c r="B1162" s="598" t="s">
        <v>2595</v>
      </c>
      <c r="C1162" s="604" t="s">
        <v>1102</v>
      </c>
      <c r="D1162" s="745">
        <v>2016</v>
      </c>
      <c r="E1162" s="604"/>
      <c r="F1162" s="738">
        <v>0.2</v>
      </c>
      <c r="G1162" s="739">
        <v>4428.8</v>
      </c>
      <c r="H1162" s="741">
        <v>4428.8</v>
      </c>
      <c r="I1162" s="742">
        <f t="shared" si="360"/>
        <v>0</v>
      </c>
      <c r="J1162" s="740">
        <f t="shared" si="361"/>
        <v>0</v>
      </c>
      <c r="K1162" s="739">
        <f t="shared" si="362"/>
        <v>4428.8</v>
      </c>
      <c r="L1162" s="862">
        <f t="shared" si="363"/>
        <v>0</v>
      </c>
      <c r="M1162" s="740">
        <f t="shared" si="356"/>
        <v>0</v>
      </c>
      <c r="N1162" s="604">
        <f t="shared" si="364"/>
        <v>0</v>
      </c>
      <c r="O1162" s="604">
        <f t="shared" si="365"/>
        <v>0</v>
      </c>
      <c r="P1162" s="604">
        <f t="shared" si="366"/>
        <v>0</v>
      </c>
      <c r="Q1162" s="604">
        <f t="shared" si="367"/>
        <v>0</v>
      </c>
      <c r="R1162" s="604">
        <f t="shared" si="368"/>
        <v>0</v>
      </c>
      <c r="S1162" s="604">
        <f t="shared" si="369"/>
        <v>0</v>
      </c>
      <c r="T1162" s="604">
        <f t="shared" si="370"/>
        <v>0</v>
      </c>
      <c r="U1162" s="604">
        <f t="shared" si="371"/>
        <v>0</v>
      </c>
      <c r="V1162" s="604">
        <f t="shared" si="372"/>
        <v>0</v>
      </c>
      <c r="W1162" s="604">
        <f t="shared" si="373"/>
        <v>0</v>
      </c>
      <c r="X1162" s="746">
        <v>0</v>
      </c>
      <c r="Y1162" s="746">
        <f t="shared" si="374"/>
        <v>0</v>
      </c>
    </row>
    <row r="1163" spans="2:25">
      <c r="B1163" s="598" t="s">
        <v>2595</v>
      </c>
      <c r="C1163" s="604" t="s">
        <v>1102</v>
      </c>
      <c r="D1163" s="745">
        <v>2016</v>
      </c>
      <c r="E1163" s="604" t="s">
        <v>1679</v>
      </c>
      <c r="F1163" s="738">
        <v>0.2</v>
      </c>
      <c r="G1163" s="739">
        <v>2000</v>
      </c>
      <c r="H1163" s="741">
        <v>2000</v>
      </c>
      <c r="I1163" s="742">
        <f t="shared" si="360"/>
        <v>0</v>
      </c>
      <c r="J1163" s="740">
        <f t="shared" si="361"/>
        <v>0</v>
      </c>
      <c r="K1163" s="739">
        <f t="shared" si="362"/>
        <v>2000</v>
      </c>
      <c r="L1163" s="862">
        <f t="shared" si="363"/>
        <v>0</v>
      </c>
      <c r="M1163" s="740">
        <f t="shared" si="356"/>
        <v>0</v>
      </c>
      <c r="N1163" s="604">
        <f t="shared" si="364"/>
        <v>0</v>
      </c>
      <c r="O1163" s="604">
        <f t="shared" si="365"/>
        <v>0</v>
      </c>
      <c r="P1163" s="604">
        <f t="shared" si="366"/>
        <v>0</v>
      </c>
      <c r="Q1163" s="604">
        <f t="shared" si="367"/>
        <v>0</v>
      </c>
      <c r="R1163" s="604">
        <f t="shared" si="368"/>
        <v>0</v>
      </c>
      <c r="S1163" s="604">
        <f t="shared" si="369"/>
        <v>0</v>
      </c>
      <c r="T1163" s="604">
        <f t="shared" si="370"/>
        <v>0</v>
      </c>
      <c r="U1163" s="604">
        <f t="shared" si="371"/>
        <v>0</v>
      </c>
      <c r="V1163" s="604">
        <f t="shared" si="372"/>
        <v>0</v>
      </c>
      <c r="W1163" s="604">
        <f t="shared" si="373"/>
        <v>0</v>
      </c>
      <c r="X1163" s="746">
        <v>0</v>
      </c>
      <c r="Y1163" s="746">
        <f t="shared" si="374"/>
        <v>0</v>
      </c>
    </row>
    <row r="1164" spans="2:25">
      <c r="B1164" s="598" t="s">
        <v>2595</v>
      </c>
      <c r="C1164" s="604" t="s">
        <v>1102</v>
      </c>
      <c r="D1164" s="745">
        <v>2016</v>
      </c>
      <c r="E1164" s="604"/>
      <c r="F1164" s="738">
        <v>0.2</v>
      </c>
      <c r="G1164" s="739">
        <v>2214.4</v>
      </c>
      <c r="H1164" s="741">
        <v>2214.4</v>
      </c>
      <c r="I1164" s="742">
        <f t="shared" si="360"/>
        <v>0</v>
      </c>
      <c r="J1164" s="740">
        <f t="shared" si="361"/>
        <v>0</v>
      </c>
      <c r="K1164" s="739">
        <f t="shared" si="362"/>
        <v>2214.4</v>
      </c>
      <c r="L1164" s="862">
        <f t="shared" si="363"/>
        <v>0</v>
      </c>
      <c r="M1164" s="740">
        <f t="shared" ref="M1164:M1226" si="375">+IF(L1164=0,0,G1164*F1164)</f>
        <v>0</v>
      </c>
      <c r="N1164" s="604">
        <f t="shared" si="364"/>
        <v>0</v>
      </c>
      <c r="O1164" s="604">
        <f t="shared" si="365"/>
        <v>0</v>
      </c>
      <c r="P1164" s="604">
        <f t="shared" si="366"/>
        <v>0</v>
      </c>
      <c r="Q1164" s="604">
        <f t="shared" si="367"/>
        <v>0</v>
      </c>
      <c r="R1164" s="604">
        <f t="shared" si="368"/>
        <v>0</v>
      </c>
      <c r="S1164" s="604">
        <f t="shared" si="369"/>
        <v>0</v>
      </c>
      <c r="T1164" s="604">
        <f t="shared" si="370"/>
        <v>0</v>
      </c>
      <c r="U1164" s="604">
        <f t="shared" si="371"/>
        <v>0</v>
      </c>
      <c r="V1164" s="604">
        <f t="shared" si="372"/>
        <v>0</v>
      </c>
      <c r="W1164" s="604">
        <f t="shared" si="373"/>
        <v>0</v>
      </c>
      <c r="X1164" s="746">
        <v>0</v>
      </c>
      <c r="Y1164" s="746">
        <f t="shared" si="374"/>
        <v>0</v>
      </c>
    </row>
    <row r="1165" spans="2:25">
      <c r="B1165" s="598" t="s">
        <v>2595</v>
      </c>
      <c r="C1165" s="604" t="s">
        <v>1102</v>
      </c>
      <c r="D1165" s="745">
        <v>2016</v>
      </c>
      <c r="E1165" s="604" t="s">
        <v>1680</v>
      </c>
      <c r="F1165" s="738">
        <v>0.2</v>
      </c>
      <c r="G1165" s="739">
        <v>13000</v>
      </c>
      <c r="H1165" s="741">
        <v>13000</v>
      </c>
      <c r="I1165" s="742">
        <f t="shared" si="360"/>
        <v>0</v>
      </c>
      <c r="J1165" s="740">
        <f t="shared" si="361"/>
        <v>0</v>
      </c>
      <c r="K1165" s="739">
        <f t="shared" si="362"/>
        <v>13000</v>
      </c>
      <c r="L1165" s="862">
        <f t="shared" si="363"/>
        <v>0</v>
      </c>
      <c r="M1165" s="740">
        <f t="shared" si="375"/>
        <v>0</v>
      </c>
      <c r="N1165" s="604">
        <f t="shared" si="364"/>
        <v>0</v>
      </c>
      <c r="O1165" s="604">
        <f t="shared" si="365"/>
        <v>0</v>
      </c>
      <c r="P1165" s="604">
        <f t="shared" si="366"/>
        <v>0</v>
      </c>
      <c r="Q1165" s="604">
        <f t="shared" si="367"/>
        <v>0</v>
      </c>
      <c r="R1165" s="604">
        <f t="shared" si="368"/>
        <v>0</v>
      </c>
      <c r="S1165" s="604">
        <f t="shared" si="369"/>
        <v>0</v>
      </c>
      <c r="T1165" s="604">
        <f t="shared" si="370"/>
        <v>0</v>
      </c>
      <c r="U1165" s="604">
        <f t="shared" si="371"/>
        <v>0</v>
      </c>
      <c r="V1165" s="604">
        <f t="shared" si="372"/>
        <v>0</v>
      </c>
      <c r="W1165" s="604">
        <f t="shared" si="373"/>
        <v>0</v>
      </c>
      <c r="X1165" s="746">
        <v>0</v>
      </c>
      <c r="Y1165" s="746">
        <f t="shared" si="374"/>
        <v>0</v>
      </c>
    </row>
    <row r="1166" spans="2:25">
      <c r="B1166" s="598" t="s">
        <v>2595</v>
      </c>
      <c r="C1166" s="604" t="s">
        <v>1102</v>
      </c>
      <c r="D1166" s="745">
        <v>2016</v>
      </c>
      <c r="E1166" s="604" t="s">
        <v>1681</v>
      </c>
      <c r="F1166" s="738">
        <v>0.2</v>
      </c>
      <c r="G1166" s="739">
        <v>13000</v>
      </c>
      <c r="H1166" s="741">
        <v>13000</v>
      </c>
      <c r="I1166" s="742">
        <f t="shared" ref="I1166:I1229" si="376">+G1166-H1166</f>
        <v>0</v>
      </c>
      <c r="J1166" s="740">
        <f t="shared" ref="J1166" si="377">IF(I1166=0,0,G1166*F1166)</f>
        <v>0</v>
      </c>
      <c r="K1166" s="739">
        <f t="shared" ref="K1166:K1228" si="378">+H1166+J1166</f>
        <v>13000</v>
      </c>
      <c r="L1166" s="862">
        <f t="shared" ref="L1166:L1228" si="379">+G1166-K1166</f>
        <v>0</v>
      </c>
      <c r="M1166" s="740">
        <f t="shared" si="375"/>
        <v>0</v>
      </c>
      <c r="N1166" s="604">
        <f t="shared" si="364"/>
        <v>0</v>
      </c>
      <c r="O1166" s="604">
        <f t="shared" si="365"/>
        <v>0</v>
      </c>
      <c r="P1166" s="604">
        <f t="shared" si="366"/>
        <v>0</v>
      </c>
      <c r="Q1166" s="604">
        <f t="shared" si="367"/>
        <v>0</v>
      </c>
      <c r="R1166" s="604">
        <f t="shared" si="368"/>
        <v>0</v>
      </c>
      <c r="S1166" s="604">
        <f t="shared" si="369"/>
        <v>0</v>
      </c>
      <c r="T1166" s="604">
        <f t="shared" si="370"/>
        <v>0</v>
      </c>
      <c r="U1166" s="604">
        <f t="shared" si="371"/>
        <v>0</v>
      </c>
      <c r="V1166" s="604">
        <f t="shared" si="372"/>
        <v>0</v>
      </c>
      <c r="W1166" s="604">
        <f t="shared" si="373"/>
        <v>0</v>
      </c>
      <c r="X1166" s="746">
        <v>0</v>
      </c>
      <c r="Y1166" s="746">
        <f t="shared" si="374"/>
        <v>0</v>
      </c>
    </row>
    <row r="1167" spans="2:25">
      <c r="B1167" s="598" t="s">
        <v>2595</v>
      </c>
      <c r="C1167" s="604" t="s">
        <v>1102</v>
      </c>
      <c r="D1167" s="745">
        <v>2017</v>
      </c>
      <c r="E1167" s="604" t="s">
        <v>1682</v>
      </c>
      <c r="F1167" s="738">
        <v>0.2</v>
      </c>
      <c r="G1167" s="739">
        <v>10409.84</v>
      </c>
      <c r="H1167" s="741">
        <v>9368.86</v>
      </c>
      <c r="I1167" s="742">
        <f t="shared" si="376"/>
        <v>1040.9799999999996</v>
      </c>
      <c r="J1167" s="740">
        <f t="shared" ref="J1167:J1170" si="380">IF(I1167=0,0,G1167*F1167/2)</f>
        <v>1040.9840000000002</v>
      </c>
      <c r="K1167" s="739">
        <f t="shared" si="378"/>
        <v>10409.844000000001</v>
      </c>
      <c r="L1167" s="862">
        <f t="shared" si="379"/>
        <v>-4.0000000008149073E-3</v>
      </c>
      <c r="M1167" s="740">
        <f>+IF(L1167=0,0,G1167*F1167)-X1167</f>
        <v>-4.0000000008149073E-3</v>
      </c>
      <c r="N1167" s="604">
        <f t="shared" si="364"/>
        <v>0</v>
      </c>
      <c r="O1167" s="604">
        <f t="shared" si="365"/>
        <v>0</v>
      </c>
      <c r="P1167" s="604">
        <f t="shared" si="366"/>
        <v>0</v>
      </c>
      <c r="Q1167" s="604">
        <f t="shared" si="367"/>
        <v>0</v>
      </c>
      <c r="R1167" s="604">
        <f t="shared" si="368"/>
        <v>0</v>
      </c>
      <c r="S1167" s="604">
        <f t="shared" si="369"/>
        <v>0</v>
      </c>
      <c r="T1167" s="604">
        <f t="shared" si="370"/>
        <v>0</v>
      </c>
      <c r="U1167" s="604">
        <f t="shared" si="371"/>
        <v>0</v>
      </c>
      <c r="V1167" s="604">
        <f t="shared" si="372"/>
        <v>0</v>
      </c>
      <c r="W1167" s="604">
        <f t="shared" si="373"/>
        <v>0</v>
      </c>
      <c r="X1167" s="746">
        <v>2081.9720000000011</v>
      </c>
      <c r="Y1167" s="746">
        <f t="shared" si="374"/>
        <v>0</v>
      </c>
    </row>
    <row r="1168" spans="2:25">
      <c r="B1168" s="598" t="s">
        <v>2595</v>
      </c>
      <c r="C1168" s="604" t="s">
        <v>1102</v>
      </c>
      <c r="D1168" s="745">
        <v>2017</v>
      </c>
      <c r="E1168" s="604" t="s">
        <v>1683</v>
      </c>
      <c r="F1168" s="738">
        <v>0.2</v>
      </c>
      <c r="G1168" s="739">
        <v>240</v>
      </c>
      <c r="H1168" s="741">
        <v>216</v>
      </c>
      <c r="I1168" s="742">
        <f t="shared" si="376"/>
        <v>24</v>
      </c>
      <c r="J1168" s="740">
        <f t="shared" si="380"/>
        <v>24</v>
      </c>
      <c r="K1168" s="739">
        <f t="shared" si="378"/>
        <v>240</v>
      </c>
      <c r="L1168" s="862">
        <f t="shared" si="379"/>
        <v>0</v>
      </c>
      <c r="M1168" s="740">
        <f t="shared" si="375"/>
        <v>0</v>
      </c>
      <c r="N1168" s="604">
        <f t="shared" si="364"/>
        <v>0</v>
      </c>
      <c r="O1168" s="604">
        <f t="shared" si="365"/>
        <v>0</v>
      </c>
      <c r="P1168" s="604">
        <f t="shared" si="366"/>
        <v>0</v>
      </c>
      <c r="Q1168" s="604">
        <f t="shared" si="367"/>
        <v>0</v>
      </c>
      <c r="R1168" s="604">
        <f t="shared" si="368"/>
        <v>0</v>
      </c>
      <c r="S1168" s="604">
        <f t="shared" si="369"/>
        <v>0</v>
      </c>
      <c r="T1168" s="604">
        <f t="shared" si="370"/>
        <v>0</v>
      </c>
      <c r="U1168" s="604">
        <f t="shared" si="371"/>
        <v>0</v>
      </c>
      <c r="V1168" s="604">
        <f t="shared" si="372"/>
        <v>0</v>
      </c>
      <c r="W1168" s="604">
        <f t="shared" si="373"/>
        <v>0</v>
      </c>
      <c r="X1168" s="746">
        <v>0</v>
      </c>
      <c r="Y1168" s="746">
        <f t="shared" si="374"/>
        <v>0</v>
      </c>
    </row>
    <row r="1169" spans="2:25">
      <c r="B1169" s="598" t="s">
        <v>2595</v>
      </c>
      <c r="C1169" s="604" t="s">
        <v>1102</v>
      </c>
      <c r="D1169" s="745">
        <v>2017</v>
      </c>
      <c r="E1169" s="604" t="s">
        <v>1684</v>
      </c>
      <c r="F1169" s="738">
        <v>0.2</v>
      </c>
      <c r="G1169" s="739">
        <v>5000</v>
      </c>
      <c r="H1169" s="741">
        <v>4500</v>
      </c>
      <c r="I1169" s="742">
        <f t="shared" si="376"/>
        <v>500</v>
      </c>
      <c r="J1169" s="740">
        <f t="shared" si="380"/>
        <v>500</v>
      </c>
      <c r="K1169" s="739">
        <f t="shared" si="378"/>
        <v>5000</v>
      </c>
      <c r="L1169" s="862">
        <f t="shared" si="379"/>
        <v>0</v>
      </c>
      <c r="M1169" s="740">
        <f t="shared" si="375"/>
        <v>0</v>
      </c>
      <c r="N1169" s="604">
        <f t="shared" si="364"/>
        <v>0</v>
      </c>
      <c r="O1169" s="604">
        <f t="shared" si="365"/>
        <v>0</v>
      </c>
      <c r="P1169" s="604">
        <f t="shared" si="366"/>
        <v>0</v>
      </c>
      <c r="Q1169" s="604">
        <f t="shared" si="367"/>
        <v>0</v>
      </c>
      <c r="R1169" s="604">
        <f t="shared" si="368"/>
        <v>0</v>
      </c>
      <c r="S1169" s="604">
        <f t="shared" si="369"/>
        <v>0</v>
      </c>
      <c r="T1169" s="604">
        <f t="shared" si="370"/>
        <v>0</v>
      </c>
      <c r="U1169" s="604">
        <f t="shared" si="371"/>
        <v>0</v>
      </c>
      <c r="V1169" s="604">
        <f t="shared" si="372"/>
        <v>0</v>
      </c>
      <c r="W1169" s="604">
        <f t="shared" si="373"/>
        <v>0</v>
      </c>
      <c r="X1169" s="746">
        <v>0</v>
      </c>
      <c r="Y1169" s="746">
        <f t="shared" si="374"/>
        <v>0</v>
      </c>
    </row>
    <row r="1170" spans="2:25">
      <c r="B1170" s="598" t="s">
        <v>2595</v>
      </c>
      <c r="C1170" s="604" t="s">
        <v>1102</v>
      </c>
      <c r="D1170" s="745">
        <v>2017</v>
      </c>
      <c r="E1170" s="604" t="s">
        <v>1685</v>
      </c>
      <c r="F1170" s="738">
        <v>0.2</v>
      </c>
      <c r="G1170" s="739">
        <v>265</v>
      </c>
      <c r="H1170" s="741">
        <v>238.5</v>
      </c>
      <c r="I1170" s="742">
        <f t="shared" si="376"/>
        <v>26.5</v>
      </c>
      <c r="J1170" s="740">
        <f t="shared" si="380"/>
        <v>26.5</v>
      </c>
      <c r="K1170" s="739">
        <f t="shared" si="378"/>
        <v>265</v>
      </c>
      <c r="L1170" s="862">
        <f t="shared" si="379"/>
        <v>0</v>
      </c>
      <c r="M1170" s="740">
        <f t="shared" si="375"/>
        <v>0</v>
      </c>
      <c r="N1170" s="604">
        <f t="shared" si="364"/>
        <v>0</v>
      </c>
      <c r="O1170" s="604">
        <f t="shared" si="365"/>
        <v>0</v>
      </c>
      <c r="P1170" s="604">
        <f t="shared" si="366"/>
        <v>0</v>
      </c>
      <c r="Q1170" s="604">
        <f t="shared" si="367"/>
        <v>0</v>
      </c>
      <c r="R1170" s="604">
        <f t="shared" si="368"/>
        <v>0</v>
      </c>
      <c r="S1170" s="604">
        <f t="shared" si="369"/>
        <v>0</v>
      </c>
      <c r="T1170" s="604">
        <f t="shared" si="370"/>
        <v>0</v>
      </c>
      <c r="U1170" s="604">
        <f t="shared" si="371"/>
        <v>0</v>
      </c>
      <c r="V1170" s="604">
        <f t="shared" si="372"/>
        <v>0</v>
      </c>
      <c r="W1170" s="604">
        <f t="shared" si="373"/>
        <v>0</v>
      </c>
      <c r="X1170" s="746">
        <v>0</v>
      </c>
      <c r="Y1170" s="746">
        <f t="shared" si="374"/>
        <v>0</v>
      </c>
    </row>
    <row r="1171" spans="2:25">
      <c r="B1171" s="598" t="s">
        <v>2595</v>
      </c>
      <c r="C1171" s="604" t="s">
        <v>1102</v>
      </c>
      <c r="D1171" s="745">
        <v>2018</v>
      </c>
      <c r="E1171" s="604" t="s">
        <v>1686</v>
      </c>
      <c r="F1171" s="738">
        <v>0.2</v>
      </c>
      <c r="G1171" s="739">
        <v>5000</v>
      </c>
      <c r="H1171" s="741">
        <v>3500</v>
      </c>
      <c r="I1171" s="742">
        <f t="shared" si="376"/>
        <v>1500</v>
      </c>
      <c r="J1171" s="740">
        <f>IF(I1171=0,0,G1171*F1171)</f>
        <v>1000</v>
      </c>
      <c r="K1171" s="739">
        <f t="shared" si="378"/>
        <v>4500</v>
      </c>
      <c r="L1171" s="862">
        <f t="shared" si="379"/>
        <v>500</v>
      </c>
      <c r="M1171" s="740">
        <f>+IF(L1171=0,0,G1171*F1171)-X1171</f>
        <v>500</v>
      </c>
      <c r="N1171" s="604">
        <f>+IF(L1171-M1171&gt;0,G1171*F1171,0)</f>
        <v>0</v>
      </c>
      <c r="O1171" s="604">
        <f t="shared" si="365"/>
        <v>0</v>
      </c>
      <c r="P1171" s="604">
        <f t="shared" si="366"/>
        <v>0</v>
      </c>
      <c r="Q1171" s="604">
        <f t="shared" si="367"/>
        <v>0</v>
      </c>
      <c r="R1171" s="604">
        <f t="shared" si="368"/>
        <v>0</v>
      </c>
      <c r="S1171" s="604">
        <f t="shared" si="369"/>
        <v>0</v>
      </c>
      <c r="T1171" s="604">
        <f t="shared" si="370"/>
        <v>0</v>
      </c>
      <c r="U1171" s="604">
        <f t="shared" si="371"/>
        <v>0</v>
      </c>
      <c r="V1171" s="604">
        <f t="shared" si="372"/>
        <v>0</v>
      </c>
      <c r="W1171" s="604">
        <f t="shared" si="373"/>
        <v>0</v>
      </c>
      <c r="X1171" s="746">
        <v>500</v>
      </c>
      <c r="Y1171" s="746">
        <f t="shared" si="374"/>
        <v>0</v>
      </c>
    </row>
    <row r="1172" spans="2:25">
      <c r="B1172" s="598" t="s">
        <v>2595</v>
      </c>
      <c r="C1172" s="604" t="s">
        <v>1102</v>
      </c>
      <c r="D1172" s="745">
        <v>2019</v>
      </c>
      <c r="E1172" s="604" t="s">
        <v>1687</v>
      </c>
      <c r="F1172" s="738">
        <v>0.2</v>
      </c>
      <c r="G1172" s="739">
        <v>1370</v>
      </c>
      <c r="H1172" s="741">
        <v>685</v>
      </c>
      <c r="I1172" s="742">
        <f t="shared" si="376"/>
        <v>685</v>
      </c>
      <c r="J1172" s="740">
        <f>IF(I1172=0,0,G1172*F1172)</f>
        <v>274</v>
      </c>
      <c r="K1172" s="739">
        <f>+H1172+J1172</f>
        <v>959</v>
      </c>
      <c r="L1172" s="862">
        <f>+G1172-K1172</f>
        <v>411</v>
      </c>
      <c r="M1172" s="740">
        <f t="shared" si="375"/>
        <v>274</v>
      </c>
      <c r="N1172" s="604">
        <f>+IF(L1172-M1172&gt;0,G1172*F1172,0)-X1172</f>
        <v>137</v>
      </c>
      <c r="O1172" s="604">
        <f t="shared" si="365"/>
        <v>0</v>
      </c>
      <c r="P1172" s="604">
        <f t="shared" si="366"/>
        <v>0</v>
      </c>
      <c r="Q1172" s="604">
        <f t="shared" si="367"/>
        <v>0</v>
      </c>
      <c r="R1172" s="604">
        <f t="shared" si="368"/>
        <v>0</v>
      </c>
      <c r="S1172" s="604">
        <f t="shared" si="369"/>
        <v>0</v>
      </c>
      <c r="T1172" s="604">
        <f t="shared" si="370"/>
        <v>0</v>
      </c>
      <c r="U1172" s="604">
        <f t="shared" si="371"/>
        <v>0</v>
      </c>
      <c r="V1172" s="604">
        <f t="shared" si="372"/>
        <v>0</v>
      </c>
      <c r="W1172" s="604">
        <f t="shared" si="373"/>
        <v>0</v>
      </c>
      <c r="X1172" s="746">
        <v>137</v>
      </c>
      <c r="Y1172" s="746">
        <f t="shared" si="374"/>
        <v>0</v>
      </c>
    </row>
    <row r="1173" spans="2:25">
      <c r="B1173" s="598" t="s">
        <v>2595</v>
      </c>
      <c r="C1173" s="604" t="s">
        <v>1102</v>
      </c>
      <c r="D1173" s="745">
        <v>2019</v>
      </c>
      <c r="E1173" s="604" t="s">
        <v>1688</v>
      </c>
      <c r="F1173" s="738">
        <v>0.2</v>
      </c>
      <c r="G1173" s="739">
        <v>133.69999999999999</v>
      </c>
      <c r="H1173" s="741">
        <v>66.849999999999994</v>
      </c>
      <c r="I1173" s="742">
        <f t="shared" si="376"/>
        <v>66.849999999999994</v>
      </c>
      <c r="J1173" s="740">
        <f t="shared" ref="J1173:J1218" si="381">IF(I1173=0,0,G1173*F1173)</f>
        <v>26.74</v>
      </c>
      <c r="K1173" s="739">
        <f t="shared" si="378"/>
        <v>93.589999999999989</v>
      </c>
      <c r="L1173" s="862">
        <f t="shared" si="379"/>
        <v>40.11</v>
      </c>
      <c r="M1173" s="740">
        <f t="shared" si="375"/>
        <v>26.74</v>
      </c>
      <c r="N1173" s="604">
        <f>+IF(L1173-M1173&gt;0,G1173*F1173,0)-X1173</f>
        <v>13.370000000000001</v>
      </c>
      <c r="O1173" s="604">
        <f t="shared" si="365"/>
        <v>0</v>
      </c>
      <c r="P1173" s="604">
        <f t="shared" si="366"/>
        <v>0</v>
      </c>
      <c r="Q1173" s="604">
        <f t="shared" si="367"/>
        <v>0</v>
      </c>
      <c r="R1173" s="604">
        <f t="shared" si="368"/>
        <v>0</v>
      </c>
      <c r="S1173" s="604">
        <f t="shared" si="369"/>
        <v>0</v>
      </c>
      <c r="T1173" s="604">
        <f t="shared" si="370"/>
        <v>0</v>
      </c>
      <c r="U1173" s="604">
        <f t="shared" si="371"/>
        <v>0</v>
      </c>
      <c r="V1173" s="604">
        <f t="shared" si="372"/>
        <v>0</v>
      </c>
      <c r="W1173" s="604">
        <f t="shared" si="373"/>
        <v>0</v>
      </c>
      <c r="X1173" s="746">
        <v>13.369999999999997</v>
      </c>
      <c r="Y1173" s="746">
        <f t="shared" si="374"/>
        <v>0</v>
      </c>
    </row>
    <row r="1174" spans="2:25">
      <c r="B1174" s="598" t="s">
        <v>2595</v>
      </c>
      <c r="C1174" s="604" t="s">
        <v>1102</v>
      </c>
      <c r="D1174" s="745">
        <v>2019</v>
      </c>
      <c r="E1174" s="604" t="s">
        <v>1689</v>
      </c>
      <c r="F1174" s="738">
        <v>1</v>
      </c>
      <c r="G1174" s="739">
        <v>147</v>
      </c>
      <c r="H1174" s="741">
        <v>147</v>
      </c>
      <c r="I1174" s="742">
        <f t="shared" si="376"/>
        <v>0</v>
      </c>
      <c r="J1174" s="740">
        <f t="shared" si="381"/>
        <v>0</v>
      </c>
      <c r="K1174" s="739">
        <f t="shared" si="378"/>
        <v>147</v>
      </c>
      <c r="L1174" s="862">
        <f t="shared" si="379"/>
        <v>0</v>
      </c>
      <c r="M1174" s="740">
        <f t="shared" si="375"/>
        <v>0</v>
      </c>
      <c r="N1174" s="604">
        <f t="shared" si="364"/>
        <v>0</v>
      </c>
      <c r="O1174" s="604">
        <f t="shared" si="365"/>
        <v>0</v>
      </c>
      <c r="P1174" s="604">
        <f t="shared" si="366"/>
        <v>0</v>
      </c>
      <c r="Q1174" s="604">
        <f t="shared" si="367"/>
        <v>0</v>
      </c>
      <c r="R1174" s="604">
        <f t="shared" si="368"/>
        <v>0</v>
      </c>
      <c r="S1174" s="604">
        <f t="shared" si="369"/>
        <v>0</v>
      </c>
      <c r="T1174" s="604">
        <f t="shared" si="370"/>
        <v>0</v>
      </c>
      <c r="U1174" s="604">
        <f t="shared" si="371"/>
        <v>0</v>
      </c>
      <c r="V1174" s="604">
        <f t="shared" si="372"/>
        <v>0</v>
      </c>
      <c r="W1174" s="604">
        <f t="shared" si="373"/>
        <v>0</v>
      </c>
      <c r="X1174" s="746">
        <v>0</v>
      </c>
      <c r="Y1174" s="746">
        <f t="shared" si="374"/>
        <v>0</v>
      </c>
    </row>
    <row r="1175" spans="2:25">
      <c r="B1175" s="598" t="s">
        <v>2595</v>
      </c>
      <c r="C1175" s="604" t="s">
        <v>1102</v>
      </c>
      <c r="D1175" s="745">
        <v>2020</v>
      </c>
      <c r="E1175" s="604" t="s">
        <v>1690</v>
      </c>
      <c r="F1175" s="738">
        <v>0.2</v>
      </c>
      <c r="G1175" s="739">
        <v>4999.93</v>
      </c>
      <c r="H1175" s="741">
        <v>1499.98</v>
      </c>
      <c r="I1175" s="742">
        <f t="shared" si="376"/>
        <v>3499.9500000000003</v>
      </c>
      <c r="J1175" s="740">
        <f t="shared" si="381"/>
        <v>999.9860000000001</v>
      </c>
      <c r="K1175" s="739">
        <f t="shared" si="378"/>
        <v>2499.9660000000003</v>
      </c>
      <c r="L1175" s="862">
        <f t="shared" si="379"/>
        <v>2499.9639999999999</v>
      </c>
      <c r="M1175" s="740">
        <f>+IF(L1175=0,0,G1175*F1175)</f>
        <v>999.9860000000001</v>
      </c>
      <c r="N1175" s="604">
        <f t="shared" si="364"/>
        <v>999.9860000000001</v>
      </c>
      <c r="O1175" s="604">
        <f t="shared" ref="O1175:O1184" si="382">+IF(L1175-SUM(M1175:N1175)&gt;0,G1175*F1175,0)-X1175</f>
        <v>499.99199999999951</v>
      </c>
      <c r="P1175" s="604">
        <f t="shared" si="366"/>
        <v>0</v>
      </c>
      <c r="Q1175" s="604">
        <f t="shared" si="367"/>
        <v>0</v>
      </c>
      <c r="R1175" s="604">
        <f t="shared" si="368"/>
        <v>0</v>
      </c>
      <c r="S1175" s="604">
        <f t="shared" si="369"/>
        <v>0</v>
      </c>
      <c r="T1175" s="604">
        <f t="shared" si="370"/>
        <v>0</v>
      </c>
      <c r="U1175" s="604">
        <f t="shared" si="371"/>
        <v>0</v>
      </c>
      <c r="V1175" s="604">
        <f t="shared" si="372"/>
        <v>0</v>
      </c>
      <c r="W1175" s="604">
        <f t="shared" si="373"/>
        <v>0</v>
      </c>
      <c r="X1175" s="746">
        <v>499.9940000000006</v>
      </c>
      <c r="Y1175" s="746">
        <f t="shared" si="374"/>
        <v>0</v>
      </c>
    </row>
    <row r="1176" spans="2:25">
      <c r="B1176" s="598" t="s">
        <v>2595</v>
      </c>
      <c r="C1176" s="604" t="s">
        <v>1102</v>
      </c>
      <c r="D1176" s="745">
        <v>2020</v>
      </c>
      <c r="E1176" s="604" t="s">
        <v>1691</v>
      </c>
      <c r="F1176" s="738">
        <v>0.2</v>
      </c>
      <c r="G1176" s="739">
        <v>80000</v>
      </c>
      <c r="H1176" s="741">
        <v>24000</v>
      </c>
      <c r="I1176" s="742">
        <f t="shared" si="376"/>
        <v>56000</v>
      </c>
      <c r="J1176" s="740">
        <f t="shared" si="381"/>
        <v>16000</v>
      </c>
      <c r="K1176" s="739">
        <f t="shared" si="378"/>
        <v>40000</v>
      </c>
      <c r="L1176" s="862">
        <f t="shared" si="379"/>
        <v>40000</v>
      </c>
      <c r="M1176" s="740">
        <f t="shared" si="375"/>
        <v>16000</v>
      </c>
      <c r="N1176" s="604">
        <f t="shared" si="364"/>
        <v>16000</v>
      </c>
      <c r="O1176" s="604">
        <f t="shared" si="382"/>
        <v>8000</v>
      </c>
      <c r="P1176" s="604">
        <f t="shared" si="366"/>
        <v>0</v>
      </c>
      <c r="Q1176" s="604">
        <f t="shared" si="367"/>
        <v>0</v>
      </c>
      <c r="R1176" s="604">
        <f t="shared" si="368"/>
        <v>0</v>
      </c>
      <c r="S1176" s="604">
        <f t="shared" si="369"/>
        <v>0</v>
      </c>
      <c r="T1176" s="604">
        <f t="shared" si="370"/>
        <v>0</v>
      </c>
      <c r="U1176" s="604">
        <f t="shared" si="371"/>
        <v>0</v>
      </c>
      <c r="V1176" s="604">
        <f t="shared" si="372"/>
        <v>0</v>
      </c>
      <c r="W1176" s="604">
        <f t="shared" si="373"/>
        <v>0</v>
      </c>
      <c r="X1176" s="746">
        <v>8000</v>
      </c>
      <c r="Y1176" s="746">
        <f t="shared" si="374"/>
        <v>0</v>
      </c>
    </row>
    <row r="1177" spans="2:25">
      <c r="B1177" s="598" t="s">
        <v>2595</v>
      </c>
      <c r="C1177" s="604" t="s">
        <v>1102</v>
      </c>
      <c r="D1177" s="745">
        <v>2020</v>
      </c>
      <c r="E1177" s="604" t="s">
        <v>1692</v>
      </c>
      <c r="F1177" s="738">
        <v>0.2</v>
      </c>
      <c r="G1177" s="739">
        <v>11750</v>
      </c>
      <c r="H1177" s="741">
        <v>3525</v>
      </c>
      <c r="I1177" s="742">
        <f t="shared" si="376"/>
        <v>8225</v>
      </c>
      <c r="J1177" s="740">
        <f t="shared" si="381"/>
        <v>2350</v>
      </c>
      <c r="K1177" s="739">
        <f t="shared" si="378"/>
        <v>5875</v>
      </c>
      <c r="L1177" s="862">
        <f t="shared" si="379"/>
        <v>5875</v>
      </c>
      <c r="M1177" s="740">
        <f t="shared" si="375"/>
        <v>2350</v>
      </c>
      <c r="N1177" s="604">
        <f t="shared" si="364"/>
        <v>2350</v>
      </c>
      <c r="O1177" s="604">
        <f t="shared" si="382"/>
        <v>1175</v>
      </c>
      <c r="P1177" s="604">
        <f t="shared" si="366"/>
        <v>0</v>
      </c>
      <c r="Q1177" s="604">
        <f t="shared" si="367"/>
        <v>0</v>
      </c>
      <c r="R1177" s="604">
        <f t="shared" si="368"/>
        <v>0</v>
      </c>
      <c r="S1177" s="604">
        <f t="shared" si="369"/>
        <v>0</v>
      </c>
      <c r="T1177" s="604">
        <f t="shared" si="370"/>
        <v>0</v>
      </c>
      <c r="U1177" s="604">
        <f t="shared" si="371"/>
        <v>0</v>
      </c>
      <c r="V1177" s="604">
        <f t="shared" si="372"/>
        <v>0</v>
      </c>
      <c r="W1177" s="604">
        <f t="shared" si="373"/>
        <v>0</v>
      </c>
      <c r="X1177" s="746">
        <v>1175</v>
      </c>
      <c r="Y1177" s="746">
        <f t="shared" si="374"/>
        <v>0</v>
      </c>
    </row>
    <row r="1178" spans="2:25">
      <c r="B1178" s="598" t="s">
        <v>2595</v>
      </c>
      <c r="C1178" s="604" t="s">
        <v>1102</v>
      </c>
      <c r="D1178" s="745">
        <v>2020</v>
      </c>
      <c r="E1178" s="604" t="s">
        <v>1693</v>
      </c>
      <c r="F1178" s="738">
        <v>0.2</v>
      </c>
      <c r="G1178" s="739">
        <v>11750</v>
      </c>
      <c r="H1178" s="741">
        <v>3525</v>
      </c>
      <c r="I1178" s="742">
        <f t="shared" si="376"/>
        <v>8225</v>
      </c>
      <c r="J1178" s="740">
        <f t="shared" si="381"/>
        <v>2350</v>
      </c>
      <c r="K1178" s="739">
        <f t="shared" si="378"/>
        <v>5875</v>
      </c>
      <c r="L1178" s="862">
        <f t="shared" si="379"/>
        <v>5875</v>
      </c>
      <c r="M1178" s="740">
        <f t="shared" si="375"/>
        <v>2350</v>
      </c>
      <c r="N1178" s="604">
        <f t="shared" si="364"/>
        <v>2350</v>
      </c>
      <c r="O1178" s="604">
        <f t="shared" si="382"/>
        <v>1175</v>
      </c>
      <c r="P1178" s="604">
        <f t="shared" si="366"/>
        <v>0</v>
      </c>
      <c r="Q1178" s="604">
        <f t="shared" si="367"/>
        <v>0</v>
      </c>
      <c r="R1178" s="604">
        <f t="shared" si="368"/>
        <v>0</v>
      </c>
      <c r="S1178" s="604">
        <f t="shared" si="369"/>
        <v>0</v>
      </c>
      <c r="T1178" s="604">
        <f t="shared" si="370"/>
        <v>0</v>
      </c>
      <c r="U1178" s="604">
        <f t="shared" si="371"/>
        <v>0</v>
      </c>
      <c r="V1178" s="604">
        <f t="shared" si="372"/>
        <v>0</v>
      </c>
      <c r="W1178" s="604">
        <f t="shared" si="373"/>
        <v>0</v>
      </c>
      <c r="X1178" s="746">
        <v>1175</v>
      </c>
      <c r="Y1178" s="746">
        <f t="shared" si="374"/>
        <v>0</v>
      </c>
    </row>
    <row r="1179" spans="2:25">
      <c r="B1179" s="598" t="s">
        <v>2595</v>
      </c>
      <c r="C1179" s="604" t="s">
        <v>1102</v>
      </c>
      <c r="D1179" s="745">
        <v>2020</v>
      </c>
      <c r="E1179" s="604" t="s">
        <v>1694</v>
      </c>
      <c r="F1179" s="738">
        <v>0.2</v>
      </c>
      <c r="G1179" s="739">
        <v>10000</v>
      </c>
      <c r="H1179" s="741">
        <v>3000</v>
      </c>
      <c r="I1179" s="742">
        <f t="shared" si="376"/>
        <v>7000</v>
      </c>
      <c r="J1179" s="740">
        <f t="shared" si="381"/>
        <v>2000</v>
      </c>
      <c r="K1179" s="739">
        <f t="shared" si="378"/>
        <v>5000</v>
      </c>
      <c r="L1179" s="862">
        <f t="shared" si="379"/>
        <v>5000</v>
      </c>
      <c r="M1179" s="740">
        <f t="shared" si="375"/>
        <v>2000</v>
      </c>
      <c r="N1179" s="604">
        <f t="shared" si="364"/>
        <v>2000</v>
      </c>
      <c r="O1179" s="604">
        <f t="shared" si="382"/>
        <v>1000</v>
      </c>
      <c r="P1179" s="604">
        <f t="shared" si="366"/>
        <v>0</v>
      </c>
      <c r="Q1179" s="604">
        <f t="shared" si="367"/>
        <v>0</v>
      </c>
      <c r="R1179" s="604">
        <f t="shared" si="368"/>
        <v>0</v>
      </c>
      <c r="S1179" s="604">
        <f t="shared" si="369"/>
        <v>0</v>
      </c>
      <c r="T1179" s="604">
        <f t="shared" si="370"/>
        <v>0</v>
      </c>
      <c r="U1179" s="604">
        <f t="shared" si="371"/>
        <v>0</v>
      </c>
      <c r="V1179" s="604">
        <f t="shared" si="372"/>
        <v>0</v>
      </c>
      <c r="W1179" s="604">
        <f t="shared" si="373"/>
        <v>0</v>
      </c>
      <c r="X1179" s="746">
        <v>1000</v>
      </c>
      <c r="Y1179" s="746">
        <f t="shared" si="374"/>
        <v>0</v>
      </c>
    </row>
    <row r="1180" spans="2:25">
      <c r="B1180" s="598" t="s">
        <v>2595</v>
      </c>
      <c r="C1180" s="604" t="s">
        <v>1102</v>
      </c>
      <c r="D1180" s="745">
        <v>2020</v>
      </c>
      <c r="E1180" s="604" t="s">
        <v>1695</v>
      </c>
      <c r="F1180" s="738">
        <v>0.2</v>
      </c>
      <c r="G1180" s="739">
        <v>130</v>
      </c>
      <c r="H1180" s="741">
        <v>39</v>
      </c>
      <c r="I1180" s="742">
        <f t="shared" si="376"/>
        <v>91</v>
      </c>
      <c r="J1180" s="740">
        <f t="shared" si="381"/>
        <v>26</v>
      </c>
      <c r="K1180" s="739">
        <f t="shared" si="378"/>
        <v>65</v>
      </c>
      <c r="L1180" s="862">
        <f t="shared" si="379"/>
        <v>65</v>
      </c>
      <c r="M1180" s="740">
        <f t="shared" si="375"/>
        <v>26</v>
      </c>
      <c r="N1180" s="604">
        <f t="shared" si="364"/>
        <v>26</v>
      </c>
      <c r="O1180" s="604">
        <f t="shared" si="382"/>
        <v>13</v>
      </c>
      <c r="P1180" s="604">
        <f t="shared" si="366"/>
        <v>0</v>
      </c>
      <c r="Q1180" s="604">
        <f t="shared" si="367"/>
        <v>0</v>
      </c>
      <c r="R1180" s="604">
        <f t="shared" si="368"/>
        <v>0</v>
      </c>
      <c r="S1180" s="604">
        <f t="shared" si="369"/>
        <v>0</v>
      </c>
      <c r="T1180" s="604">
        <f t="shared" si="370"/>
        <v>0</v>
      </c>
      <c r="U1180" s="604">
        <f t="shared" si="371"/>
        <v>0</v>
      </c>
      <c r="V1180" s="604">
        <f t="shared" si="372"/>
        <v>0</v>
      </c>
      <c r="W1180" s="604">
        <f t="shared" si="373"/>
        <v>0</v>
      </c>
      <c r="X1180" s="746">
        <v>13</v>
      </c>
      <c r="Y1180" s="746">
        <f t="shared" si="374"/>
        <v>0</v>
      </c>
    </row>
    <row r="1181" spans="2:25">
      <c r="B1181" s="598" t="s">
        <v>2595</v>
      </c>
      <c r="C1181" s="604" t="s">
        <v>1102</v>
      </c>
      <c r="D1181" s="745">
        <v>2020</v>
      </c>
      <c r="E1181" s="604" t="s">
        <v>1696</v>
      </c>
      <c r="F1181" s="738">
        <v>0.2</v>
      </c>
      <c r="G1181" s="739">
        <v>140</v>
      </c>
      <c r="H1181" s="741">
        <v>42</v>
      </c>
      <c r="I1181" s="742">
        <f t="shared" si="376"/>
        <v>98</v>
      </c>
      <c r="J1181" s="740">
        <f t="shared" si="381"/>
        <v>28</v>
      </c>
      <c r="K1181" s="739">
        <f t="shared" si="378"/>
        <v>70</v>
      </c>
      <c r="L1181" s="862">
        <f t="shared" si="379"/>
        <v>70</v>
      </c>
      <c r="M1181" s="740">
        <f t="shared" si="375"/>
        <v>28</v>
      </c>
      <c r="N1181" s="604">
        <f t="shared" si="364"/>
        <v>28</v>
      </c>
      <c r="O1181" s="604">
        <f t="shared" si="382"/>
        <v>14</v>
      </c>
      <c r="P1181" s="604">
        <f t="shared" si="366"/>
        <v>0</v>
      </c>
      <c r="Q1181" s="604">
        <f t="shared" si="367"/>
        <v>0</v>
      </c>
      <c r="R1181" s="604">
        <f t="shared" si="368"/>
        <v>0</v>
      </c>
      <c r="S1181" s="604">
        <f t="shared" si="369"/>
        <v>0</v>
      </c>
      <c r="T1181" s="604">
        <f t="shared" si="370"/>
        <v>0</v>
      </c>
      <c r="U1181" s="604">
        <f t="shared" si="371"/>
        <v>0</v>
      </c>
      <c r="V1181" s="604">
        <f t="shared" si="372"/>
        <v>0</v>
      </c>
      <c r="W1181" s="604">
        <f t="shared" si="373"/>
        <v>0</v>
      </c>
      <c r="X1181" s="746">
        <v>14</v>
      </c>
      <c r="Y1181" s="746">
        <f t="shared" si="374"/>
        <v>0</v>
      </c>
    </row>
    <row r="1182" spans="2:25">
      <c r="B1182" s="598" t="s">
        <v>2595</v>
      </c>
      <c r="C1182" s="604" t="s">
        <v>1102</v>
      </c>
      <c r="D1182" s="745">
        <v>2020</v>
      </c>
      <c r="E1182" s="604" t="s">
        <v>1697</v>
      </c>
      <c r="F1182" s="738">
        <v>0.2</v>
      </c>
      <c r="G1182" s="739">
        <v>240</v>
      </c>
      <c r="H1182" s="741">
        <v>72</v>
      </c>
      <c r="I1182" s="742">
        <f t="shared" si="376"/>
        <v>168</v>
      </c>
      <c r="J1182" s="740">
        <f t="shared" si="381"/>
        <v>48</v>
      </c>
      <c r="K1182" s="739">
        <f t="shared" si="378"/>
        <v>120</v>
      </c>
      <c r="L1182" s="862">
        <f t="shared" si="379"/>
        <v>120</v>
      </c>
      <c r="M1182" s="740">
        <f t="shared" si="375"/>
        <v>48</v>
      </c>
      <c r="N1182" s="604">
        <f t="shared" si="364"/>
        <v>48</v>
      </c>
      <c r="O1182" s="604">
        <f t="shared" si="382"/>
        <v>24</v>
      </c>
      <c r="P1182" s="604">
        <f t="shared" si="366"/>
        <v>0</v>
      </c>
      <c r="Q1182" s="604">
        <f t="shared" si="367"/>
        <v>0</v>
      </c>
      <c r="R1182" s="604">
        <f t="shared" si="368"/>
        <v>0</v>
      </c>
      <c r="S1182" s="604">
        <f t="shared" si="369"/>
        <v>0</v>
      </c>
      <c r="T1182" s="604">
        <f t="shared" si="370"/>
        <v>0</v>
      </c>
      <c r="U1182" s="604">
        <f t="shared" si="371"/>
        <v>0</v>
      </c>
      <c r="V1182" s="604">
        <f t="shared" si="372"/>
        <v>0</v>
      </c>
      <c r="W1182" s="604">
        <f t="shared" si="373"/>
        <v>0</v>
      </c>
      <c r="X1182" s="746">
        <v>24</v>
      </c>
      <c r="Y1182" s="746">
        <f t="shared" si="374"/>
        <v>0</v>
      </c>
    </row>
    <row r="1183" spans="2:25">
      <c r="B1183" s="598" t="s">
        <v>2595</v>
      </c>
      <c r="C1183" s="604" t="s">
        <v>1102</v>
      </c>
      <c r="D1183" s="745">
        <v>2020</v>
      </c>
      <c r="E1183" s="604" t="s">
        <v>1698</v>
      </c>
      <c r="F1183" s="738">
        <v>0.2</v>
      </c>
      <c r="G1183" s="739">
        <v>190</v>
      </c>
      <c r="H1183" s="741">
        <v>57</v>
      </c>
      <c r="I1183" s="742">
        <f t="shared" si="376"/>
        <v>133</v>
      </c>
      <c r="J1183" s="740">
        <f t="shared" si="381"/>
        <v>38</v>
      </c>
      <c r="K1183" s="739">
        <f t="shared" si="378"/>
        <v>95</v>
      </c>
      <c r="L1183" s="862">
        <f t="shared" si="379"/>
        <v>95</v>
      </c>
      <c r="M1183" s="740">
        <f t="shared" si="375"/>
        <v>38</v>
      </c>
      <c r="N1183" s="604">
        <f t="shared" si="364"/>
        <v>38</v>
      </c>
      <c r="O1183" s="604">
        <f t="shared" si="382"/>
        <v>19</v>
      </c>
      <c r="P1183" s="604">
        <f t="shared" si="366"/>
        <v>0</v>
      </c>
      <c r="Q1183" s="604">
        <f t="shared" si="367"/>
        <v>0</v>
      </c>
      <c r="R1183" s="604">
        <f t="shared" si="368"/>
        <v>0</v>
      </c>
      <c r="S1183" s="604">
        <f t="shared" si="369"/>
        <v>0</v>
      </c>
      <c r="T1183" s="604">
        <f t="shared" si="370"/>
        <v>0</v>
      </c>
      <c r="U1183" s="604">
        <f t="shared" si="371"/>
        <v>0</v>
      </c>
      <c r="V1183" s="604">
        <f t="shared" si="372"/>
        <v>0</v>
      </c>
      <c r="W1183" s="604">
        <f t="shared" si="373"/>
        <v>0</v>
      </c>
      <c r="X1183" s="746">
        <v>19</v>
      </c>
      <c r="Y1183" s="746">
        <f t="shared" si="374"/>
        <v>0</v>
      </c>
    </row>
    <row r="1184" spans="2:25">
      <c r="B1184" s="598" t="s">
        <v>2595</v>
      </c>
      <c r="C1184" s="604" t="s">
        <v>1102</v>
      </c>
      <c r="D1184" s="745">
        <v>2020</v>
      </c>
      <c r="E1184" s="604" t="s">
        <v>1699</v>
      </c>
      <c r="F1184" s="738">
        <v>0.2</v>
      </c>
      <c r="G1184" s="739">
        <v>140</v>
      </c>
      <c r="H1184" s="741">
        <v>42</v>
      </c>
      <c r="I1184" s="742">
        <f t="shared" si="376"/>
        <v>98</v>
      </c>
      <c r="J1184" s="740">
        <f t="shared" si="381"/>
        <v>28</v>
      </c>
      <c r="K1184" s="739">
        <f t="shared" si="378"/>
        <v>70</v>
      </c>
      <c r="L1184" s="862">
        <f t="shared" si="379"/>
        <v>70</v>
      </c>
      <c r="M1184" s="740">
        <f t="shared" si="375"/>
        <v>28</v>
      </c>
      <c r="N1184" s="604">
        <f t="shared" si="364"/>
        <v>28</v>
      </c>
      <c r="O1184" s="604">
        <f t="shared" si="382"/>
        <v>14</v>
      </c>
      <c r="P1184" s="604">
        <f t="shared" si="366"/>
        <v>0</v>
      </c>
      <c r="Q1184" s="604">
        <f t="shared" si="367"/>
        <v>0</v>
      </c>
      <c r="R1184" s="604">
        <f t="shared" si="368"/>
        <v>0</v>
      </c>
      <c r="S1184" s="604">
        <f t="shared" si="369"/>
        <v>0</v>
      </c>
      <c r="T1184" s="604">
        <f t="shared" si="370"/>
        <v>0</v>
      </c>
      <c r="U1184" s="604">
        <f t="shared" si="371"/>
        <v>0</v>
      </c>
      <c r="V1184" s="604">
        <f t="shared" si="372"/>
        <v>0</v>
      </c>
      <c r="W1184" s="604">
        <f t="shared" si="373"/>
        <v>0</v>
      </c>
      <c r="X1184" s="746">
        <v>14</v>
      </c>
      <c r="Y1184" s="746">
        <f t="shared" si="374"/>
        <v>0</v>
      </c>
    </row>
    <row r="1185" spans="2:25">
      <c r="B1185" s="598" t="s">
        <v>2595</v>
      </c>
      <c r="C1185" s="604" t="s">
        <v>1102</v>
      </c>
      <c r="D1185" s="745">
        <v>2021</v>
      </c>
      <c r="E1185" s="604" t="s">
        <v>1700</v>
      </c>
      <c r="F1185" s="738">
        <v>0.2</v>
      </c>
      <c r="G1185" s="739">
        <v>16000</v>
      </c>
      <c r="H1185" s="741">
        <v>1600</v>
      </c>
      <c r="I1185" s="742">
        <f t="shared" si="376"/>
        <v>14400</v>
      </c>
      <c r="J1185" s="740">
        <v>0</v>
      </c>
      <c r="K1185" s="739">
        <f t="shared" si="378"/>
        <v>1600</v>
      </c>
      <c r="L1185" s="862">
        <f t="shared" si="379"/>
        <v>14400</v>
      </c>
      <c r="M1185" s="740"/>
      <c r="N1185" s="604"/>
      <c r="O1185" s="604"/>
      <c r="P1185" s="604"/>
      <c r="Q1185" s="604"/>
      <c r="R1185" s="604"/>
      <c r="S1185" s="604"/>
      <c r="T1185" s="604"/>
      <c r="U1185" s="604"/>
      <c r="V1185" s="604"/>
      <c r="W1185" s="604"/>
      <c r="X1185" s="746"/>
      <c r="Y1185" s="746"/>
    </row>
    <row r="1186" spans="2:25">
      <c r="B1186" s="598" t="s">
        <v>2595</v>
      </c>
      <c r="C1186" s="604" t="s">
        <v>1102</v>
      </c>
      <c r="D1186" s="745">
        <v>2022</v>
      </c>
      <c r="E1186" s="604"/>
      <c r="F1186" s="738">
        <v>0.2</v>
      </c>
      <c r="G1186" s="739">
        <v>-16000</v>
      </c>
      <c r="H1186" s="741">
        <v>-1600</v>
      </c>
      <c r="I1186" s="742">
        <f t="shared" si="376"/>
        <v>-14400</v>
      </c>
      <c r="J1186" s="740">
        <v>0</v>
      </c>
      <c r="K1186" s="739">
        <f t="shared" si="378"/>
        <v>-1600</v>
      </c>
      <c r="L1186" s="862">
        <f t="shared" si="379"/>
        <v>-14400</v>
      </c>
      <c r="M1186" s="740"/>
      <c r="N1186" s="604"/>
      <c r="O1186" s="604"/>
      <c r="P1186" s="604"/>
      <c r="Q1186" s="604"/>
      <c r="R1186" s="604"/>
      <c r="S1186" s="604"/>
      <c r="T1186" s="604"/>
      <c r="U1186" s="604"/>
      <c r="V1186" s="604"/>
      <c r="W1186" s="604"/>
      <c r="X1186" s="746"/>
      <c r="Y1186" s="746"/>
    </row>
    <row r="1187" spans="2:25">
      <c r="B1187" s="598" t="s">
        <v>2595</v>
      </c>
      <c r="C1187" s="604" t="s">
        <v>1102</v>
      </c>
      <c r="D1187" s="745">
        <v>2021</v>
      </c>
      <c r="E1187" s="604" t="s">
        <v>1701</v>
      </c>
      <c r="F1187" s="738">
        <v>0.2</v>
      </c>
      <c r="G1187" s="739">
        <v>16000</v>
      </c>
      <c r="H1187" s="741">
        <v>1600</v>
      </c>
      <c r="I1187" s="742">
        <f t="shared" si="376"/>
        <v>14400</v>
      </c>
      <c r="J1187" s="740">
        <f t="shared" si="381"/>
        <v>3200</v>
      </c>
      <c r="K1187" s="739">
        <f t="shared" si="378"/>
        <v>4800</v>
      </c>
      <c r="L1187" s="862">
        <f t="shared" si="379"/>
        <v>11200</v>
      </c>
      <c r="M1187" s="740">
        <f t="shared" si="375"/>
        <v>3200</v>
      </c>
      <c r="N1187" s="604">
        <f t="shared" si="364"/>
        <v>3200</v>
      </c>
      <c r="O1187" s="604">
        <f t="shared" si="365"/>
        <v>3200</v>
      </c>
      <c r="P1187" s="604">
        <f t="shared" ref="P1187:P1207" si="383">+IF(L1187-SUM(M1187:O1187)&gt;0,G1187*F1187,0)-X1187</f>
        <v>1600</v>
      </c>
      <c r="Q1187" s="604">
        <f t="shared" si="367"/>
        <v>0</v>
      </c>
      <c r="R1187" s="604">
        <f t="shared" si="368"/>
        <v>0</v>
      </c>
      <c r="S1187" s="604">
        <f t="shared" si="369"/>
        <v>0</v>
      </c>
      <c r="T1187" s="604">
        <f t="shared" si="370"/>
        <v>0</v>
      </c>
      <c r="U1187" s="604">
        <f t="shared" si="371"/>
        <v>0</v>
      </c>
      <c r="V1187" s="604">
        <f t="shared" si="372"/>
        <v>0</v>
      </c>
      <c r="W1187" s="604">
        <f t="shared" si="373"/>
        <v>0</v>
      </c>
      <c r="X1187" s="746">
        <v>1600</v>
      </c>
      <c r="Y1187" s="746">
        <f t="shared" si="374"/>
        <v>0</v>
      </c>
    </row>
    <row r="1188" spans="2:25">
      <c r="B1188" s="598" t="s">
        <v>2595</v>
      </c>
      <c r="C1188" s="604" t="s">
        <v>1102</v>
      </c>
      <c r="D1188" s="745">
        <v>2021</v>
      </c>
      <c r="E1188" s="604" t="s">
        <v>1702</v>
      </c>
      <c r="F1188" s="738">
        <v>0.2</v>
      </c>
      <c r="G1188" s="739">
        <v>16000</v>
      </c>
      <c r="H1188" s="741">
        <v>1600</v>
      </c>
      <c r="I1188" s="742">
        <f t="shared" si="376"/>
        <v>14400</v>
      </c>
      <c r="J1188" s="740">
        <f t="shared" si="381"/>
        <v>3200</v>
      </c>
      <c r="K1188" s="739">
        <f t="shared" si="378"/>
        <v>4800</v>
      </c>
      <c r="L1188" s="862">
        <f t="shared" si="379"/>
        <v>11200</v>
      </c>
      <c r="M1188" s="740">
        <f t="shared" si="375"/>
        <v>3200</v>
      </c>
      <c r="N1188" s="604">
        <f t="shared" si="364"/>
        <v>3200</v>
      </c>
      <c r="O1188" s="604">
        <f t="shared" si="365"/>
        <v>3200</v>
      </c>
      <c r="P1188" s="604">
        <f t="shared" si="383"/>
        <v>1600</v>
      </c>
      <c r="Q1188" s="604">
        <f t="shared" si="367"/>
        <v>0</v>
      </c>
      <c r="R1188" s="604">
        <f t="shared" si="368"/>
        <v>0</v>
      </c>
      <c r="S1188" s="604">
        <f t="shared" si="369"/>
        <v>0</v>
      </c>
      <c r="T1188" s="604">
        <f t="shared" si="370"/>
        <v>0</v>
      </c>
      <c r="U1188" s="604">
        <f t="shared" si="371"/>
        <v>0</v>
      </c>
      <c r="V1188" s="604">
        <f t="shared" si="372"/>
        <v>0</v>
      </c>
      <c r="W1188" s="604">
        <f t="shared" si="373"/>
        <v>0</v>
      </c>
      <c r="X1188" s="746">
        <v>1600</v>
      </c>
      <c r="Y1188" s="746">
        <f t="shared" si="374"/>
        <v>0</v>
      </c>
    </row>
    <row r="1189" spans="2:25">
      <c r="B1189" s="598" t="s">
        <v>2595</v>
      </c>
      <c r="C1189" s="604" t="s">
        <v>1102</v>
      </c>
      <c r="D1189" s="745">
        <v>2021</v>
      </c>
      <c r="E1189" s="604" t="s">
        <v>1703</v>
      </c>
      <c r="F1189" s="738">
        <v>0.2</v>
      </c>
      <c r="G1189" s="739">
        <v>16000</v>
      </c>
      <c r="H1189" s="741">
        <v>1600</v>
      </c>
      <c r="I1189" s="742">
        <f t="shared" si="376"/>
        <v>14400</v>
      </c>
      <c r="J1189" s="740">
        <f t="shared" si="381"/>
        <v>3200</v>
      </c>
      <c r="K1189" s="739">
        <f t="shared" si="378"/>
        <v>4800</v>
      </c>
      <c r="L1189" s="862">
        <f t="shared" si="379"/>
        <v>11200</v>
      </c>
      <c r="M1189" s="740">
        <f t="shared" si="375"/>
        <v>3200</v>
      </c>
      <c r="N1189" s="604">
        <f t="shared" si="364"/>
        <v>3200</v>
      </c>
      <c r="O1189" s="604">
        <f t="shared" si="365"/>
        <v>3200</v>
      </c>
      <c r="P1189" s="604">
        <f t="shared" si="383"/>
        <v>1600</v>
      </c>
      <c r="Q1189" s="604">
        <f t="shared" si="367"/>
        <v>0</v>
      </c>
      <c r="R1189" s="604">
        <f t="shared" si="368"/>
        <v>0</v>
      </c>
      <c r="S1189" s="604">
        <f t="shared" si="369"/>
        <v>0</v>
      </c>
      <c r="T1189" s="604">
        <f t="shared" si="370"/>
        <v>0</v>
      </c>
      <c r="U1189" s="604">
        <f t="shared" si="371"/>
        <v>0</v>
      </c>
      <c r="V1189" s="604">
        <f t="shared" si="372"/>
        <v>0</v>
      </c>
      <c r="W1189" s="604">
        <f t="shared" si="373"/>
        <v>0</v>
      </c>
      <c r="X1189" s="746">
        <v>1600</v>
      </c>
      <c r="Y1189" s="746">
        <f t="shared" si="374"/>
        <v>0</v>
      </c>
    </row>
    <row r="1190" spans="2:25">
      <c r="B1190" s="598" t="s">
        <v>2595</v>
      </c>
      <c r="C1190" s="604" t="s">
        <v>1102</v>
      </c>
      <c r="D1190" s="745">
        <v>2021</v>
      </c>
      <c r="E1190" s="604" t="s">
        <v>1704</v>
      </c>
      <c r="F1190" s="738">
        <v>0.2</v>
      </c>
      <c r="G1190" s="739">
        <v>12657</v>
      </c>
      <c r="H1190" s="741">
        <v>1265.7</v>
      </c>
      <c r="I1190" s="742">
        <f t="shared" si="376"/>
        <v>11391.3</v>
      </c>
      <c r="J1190" s="740">
        <f t="shared" si="381"/>
        <v>2531.4</v>
      </c>
      <c r="K1190" s="739">
        <f t="shared" si="378"/>
        <v>3797.1000000000004</v>
      </c>
      <c r="L1190" s="862">
        <f t="shared" si="379"/>
        <v>8859.9</v>
      </c>
      <c r="M1190" s="740">
        <f t="shared" si="375"/>
        <v>2531.4</v>
      </c>
      <c r="N1190" s="604">
        <f t="shared" si="364"/>
        <v>2531.4</v>
      </c>
      <c r="O1190" s="604">
        <f t="shared" si="365"/>
        <v>2531.4</v>
      </c>
      <c r="P1190" s="604">
        <f t="shared" si="383"/>
        <v>1265.6999999999994</v>
      </c>
      <c r="Q1190" s="604">
        <f t="shared" si="367"/>
        <v>0</v>
      </c>
      <c r="R1190" s="604">
        <f t="shared" si="368"/>
        <v>0</v>
      </c>
      <c r="S1190" s="604">
        <f t="shared" si="369"/>
        <v>0</v>
      </c>
      <c r="T1190" s="604">
        <f t="shared" si="370"/>
        <v>0</v>
      </c>
      <c r="U1190" s="604">
        <f t="shared" si="371"/>
        <v>0</v>
      </c>
      <c r="V1190" s="604">
        <f t="shared" si="372"/>
        <v>0</v>
      </c>
      <c r="W1190" s="604">
        <f t="shared" si="373"/>
        <v>0</v>
      </c>
      <c r="X1190" s="746">
        <v>1265.7000000000007</v>
      </c>
      <c r="Y1190" s="746">
        <f t="shared" si="374"/>
        <v>0</v>
      </c>
    </row>
    <row r="1191" spans="2:25">
      <c r="B1191" s="598" t="s">
        <v>2595</v>
      </c>
      <c r="C1191" s="604" t="s">
        <v>1102</v>
      </c>
      <c r="D1191" s="745">
        <v>2021</v>
      </c>
      <c r="E1191" s="604" t="s">
        <v>1705</v>
      </c>
      <c r="F1191" s="738">
        <v>0.2</v>
      </c>
      <c r="G1191" s="739">
        <v>412</v>
      </c>
      <c r="H1191" s="741">
        <v>41.2</v>
      </c>
      <c r="I1191" s="742">
        <f t="shared" si="376"/>
        <v>370.8</v>
      </c>
      <c r="J1191" s="740">
        <f t="shared" si="381"/>
        <v>82.4</v>
      </c>
      <c r="K1191" s="739">
        <f t="shared" si="378"/>
        <v>123.60000000000001</v>
      </c>
      <c r="L1191" s="862">
        <f t="shared" si="379"/>
        <v>288.39999999999998</v>
      </c>
      <c r="M1191" s="740">
        <f t="shared" si="375"/>
        <v>82.4</v>
      </c>
      <c r="N1191" s="604">
        <f t="shared" si="364"/>
        <v>82.4</v>
      </c>
      <c r="O1191" s="604">
        <f t="shared" si="365"/>
        <v>82.4</v>
      </c>
      <c r="P1191" s="604">
        <f t="shared" si="383"/>
        <v>41.19999999999996</v>
      </c>
      <c r="Q1191" s="604">
        <f t="shared" si="367"/>
        <v>0</v>
      </c>
      <c r="R1191" s="604">
        <f t="shared" si="368"/>
        <v>0</v>
      </c>
      <c r="S1191" s="604">
        <f t="shared" si="369"/>
        <v>0</v>
      </c>
      <c r="T1191" s="604">
        <f t="shared" si="370"/>
        <v>0</v>
      </c>
      <c r="U1191" s="604">
        <f t="shared" si="371"/>
        <v>0</v>
      </c>
      <c r="V1191" s="604">
        <f t="shared" si="372"/>
        <v>0</v>
      </c>
      <c r="W1191" s="604">
        <f t="shared" si="373"/>
        <v>0</v>
      </c>
      <c r="X1191" s="746">
        <v>41.200000000000045</v>
      </c>
      <c r="Y1191" s="746">
        <f t="shared" si="374"/>
        <v>0</v>
      </c>
    </row>
    <row r="1192" spans="2:25">
      <c r="B1192" s="598" t="s">
        <v>2595</v>
      </c>
      <c r="C1192" s="604" t="s">
        <v>1102</v>
      </c>
      <c r="D1192" s="745">
        <v>2021</v>
      </c>
      <c r="E1192" s="604" t="s">
        <v>1706</v>
      </c>
      <c r="F1192" s="738">
        <v>0.2</v>
      </c>
      <c r="G1192" s="739">
        <v>412</v>
      </c>
      <c r="H1192" s="741">
        <v>41.2</v>
      </c>
      <c r="I1192" s="742">
        <f t="shared" si="376"/>
        <v>370.8</v>
      </c>
      <c r="J1192" s="740">
        <f t="shared" si="381"/>
        <v>82.4</v>
      </c>
      <c r="K1192" s="739">
        <f t="shared" si="378"/>
        <v>123.60000000000001</v>
      </c>
      <c r="L1192" s="862">
        <f t="shared" si="379"/>
        <v>288.39999999999998</v>
      </c>
      <c r="M1192" s="740">
        <f t="shared" si="375"/>
        <v>82.4</v>
      </c>
      <c r="N1192" s="604">
        <f t="shared" si="364"/>
        <v>82.4</v>
      </c>
      <c r="O1192" s="604">
        <f t="shared" si="365"/>
        <v>82.4</v>
      </c>
      <c r="P1192" s="604">
        <f t="shared" si="383"/>
        <v>41.19999999999996</v>
      </c>
      <c r="Q1192" s="604">
        <f t="shared" si="367"/>
        <v>0</v>
      </c>
      <c r="R1192" s="604">
        <f t="shared" si="368"/>
        <v>0</v>
      </c>
      <c r="S1192" s="604">
        <f t="shared" si="369"/>
        <v>0</v>
      </c>
      <c r="T1192" s="604">
        <f t="shared" si="370"/>
        <v>0</v>
      </c>
      <c r="U1192" s="604">
        <f t="shared" si="371"/>
        <v>0</v>
      </c>
      <c r="V1192" s="604">
        <f t="shared" si="372"/>
        <v>0</v>
      </c>
      <c r="W1192" s="604">
        <f t="shared" si="373"/>
        <v>0</v>
      </c>
      <c r="X1192" s="746">
        <v>41.200000000000045</v>
      </c>
      <c r="Y1192" s="746">
        <f t="shared" si="374"/>
        <v>0</v>
      </c>
    </row>
    <row r="1193" spans="2:25">
      <c r="B1193" s="598" t="s">
        <v>2595</v>
      </c>
      <c r="C1193" s="604" t="s">
        <v>1102</v>
      </c>
      <c r="D1193" s="745">
        <v>2021</v>
      </c>
      <c r="E1193" s="604" t="s">
        <v>1707</v>
      </c>
      <c r="F1193" s="738">
        <v>0.2</v>
      </c>
      <c r="G1193" s="739">
        <v>412</v>
      </c>
      <c r="H1193" s="741">
        <v>41.2</v>
      </c>
      <c r="I1193" s="742">
        <f t="shared" si="376"/>
        <v>370.8</v>
      </c>
      <c r="J1193" s="740">
        <f t="shared" si="381"/>
        <v>82.4</v>
      </c>
      <c r="K1193" s="739">
        <f t="shared" si="378"/>
        <v>123.60000000000001</v>
      </c>
      <c r="L1193" s="862">
        <f t="shared" si="379"/>
        <v>288.39999999999998</v>
      </c>
      <c r="M1193" s="740">
        <f t="shared" si="375"/>
        <v>82.4</v>
      </c>
      <c r="N1193" s="604">
        <f t="shared" si="364"/>
        <v>82.4</v>
      </c>
      <c r="O1193" s="604">
        <f t="shared" si="365"/>
        <v>82.4</v>
      </c>
      <c r="P1193" s="604">
        <f t="shared" si="383"/>
        <v>41.19999999999996</v>
      </c>
      <c r="Q1193" s="604">
        <f t="shared" si="367"/>
        <v>0</v>
      </c>
      <c r="R1193" s="604">
        <f t="shared" si="368"/>
        <v>0</v>
      </c>
      <c r="S1193" s="604">
        <f t="shared" si="369"/>
        <v>0</v>
      </c>
      <c r="T1193" s="604">
        <f t="shared" si="370"/>
        <v>0</v>
      </c>
      <c r="U1193" s="604">
        <f t="shared" si="371"/>
        <v>0</v>
      </c>
      <c r="V1193" s="604">
        <f t="shared" si="372"/>
        <v>0</v>
      </c>
      <c r="W1193" s="604">
        <f t="shared" si="373"/>
        <v>0</v>
      </c>
      <c r="X1193" s="746">
        <v>41.200000000000045</v>
      </c>
      <c r="Y1193" s="746">
        <f t="shared" si="374"/>
        <v>0</v>
      </c>
    </row>
    <row r="1194" spans="2:25">
      <c r="B1194" s="598" t="s">
        <v>2595</v>
      </c>
      <c r="C1194" s="604" t="s">
        <v>1102</v>
      </c>
      <c r="D1194" s="745">
        <v>2021</v>
      </c>
      <c r="E1194" s="604" t="s">
        <v>1708</v>
      </c>
      <c r="F1194" s="738">
        <v>0.2</v>
      </c>
      <c r="G1194" s="739">
        <v>25600</v>
      </c>
      <c r="H1194" s="741">
        <v>2560</v>
      </c>
      <c r="I1194" s="742">
        <f t="shared" si="376"/>
        <v>23040</v>
      </c>
      <c r="J1194" s="740">
        <f t="shared" si="381"/>
        <v>5120</v>
      </c>
      <c r="K1194" s="739">
        <f t="shared" si="378"/>
        <v>7680</v>
      </c>
      <c r="L1194" s="862">
        <f t="shared" si="379"/>
        <v>17920</v>
      </c>
      <c r="M1194" s="740">
        <f t="shared" si="375"/>
        <v>5120</v>
      </c>
      <c r="N1194" s="604">
        <f t="shared" si="364"/>
        <v>5120</v>
      </c>
      <c r="O1194" s="604">
        <f t="shared" si="365"/>
        <v>5120</v>
      </c>
      <c r="P1194" s="604">
        <f t="shared" si="383"/>
        <v>2560</v>
      </c>
      <c r="Q1194" s="604">
        <f t="shared" si="367"/>
        <v>0</v>
      </c>
      <c r="R1194" s="604">
        <f t="shared" si="368"/>
        <v>0</v>
      </c>
      <c r="S1194" s="604">
        <f t="shared" si="369"/>
        <v>0</v>
      </c>
      <c r="T1194" s="604">
        <f t="shared" si="370"/>
        <v>0</v>
      </c>
      <c r="U1194" s="604">
        <f t="shared" si="371"/>
        <v>0</v>
      </c>
      <c r="V1194" s="604">
        <f t="shared" si="372"/>
        <v>0</v>
      </c>
      <c r="W1194" s="604">
        <f t="shared" si="373"/>
        <v>0</v>
      </c>
      <c r="X1194" s="746">
        <v>2560</v>
      </c>
      <c r="Y1194" s="746">
        <f t="shared" si="374"/>
        <v>0</v>
      </c>
    </row>
    <row r="1195" spans="2:25">
      <c r="B1195" s="598" t="s">
        <v>2595</v>
      </c>
      <c r="C1195" s="604" t="s">
        <v>1102</v>
      </c>
      <c r="D1195" s="745">
        <v>2021</v>
      </c>
      <c r="E1195" s="604" t="s">
        <v>1709</v>
      </c>
      <c r="F1195" s="738">
        <v>0.2</v>
      </c>
      <c r="G1195" s="739">
        <v>16000</v>
      </c>
      <c r="H1195" s="741">
        <v>1600</v>
      </c>
      <c r="I1195" s="742">
        <f t="shared" si="376"/>
        <v>14400</v>
      </c>
      <c r="J1195" s="740">
        <f t="shared" si="381"/>
        <v>3200</v>
      </c>
      <c r="K1195" s="739">
        <f t="shared" si="378"/>
        <v>4800</v>
      </c>
      <c r="L1195" s="862">
        <f t="shared" si="379"/>
        <v>11200</v>
      </c>
      <c r="M1195" s="740">
        <f t="shared" si="375"/>
        <v>3200</v>
      </c>
      <c r="N1195" s="604">
        <f t="shared" si="364"/>
        <v>3200</v>
      </c>
      <c r="O1195" s="604">
        <f t="shared" si="365"/>
        <v>3200</v>
      </c>
      <c r="P1195" s="604">
        <f t="shared" si="383"/>
        <v>1600</v>
      </c>
      <c r="Q1195" s="604">
        <f t="shared" si="367"/>
        <v>0</v>
      </c>
      <c r="R1195" s="604">
        <f t="shared" si="368"/>
        <v>0</v>
      </c>
      <c r="S1195" s="604">
        <f t="shared" si="369"/>
        <v>0</v>
      </c>
      <c r="T1195" s="604">
        <f t="shared" si="370"/>
        <v>0</v>
      </c>
      <c r="U1195" s="604">
        <f t="shared" si="371"/>
        <v>0</v>
      </c>
      <c r="V1195" s="604">
        <f t="shared" si="372"/>
        <v>0</v>
      </c>
      <c r="W1195" s="604">
        <f t="shared" si="373"/>
        <v>0</v>
      </c>
      <c r="X1195" s="746">
        <v>1600</v>
      </c>
      <c r="Y1195" s="746">
        <f t="shared" si="374"/>
        <v>0</v>
      </c>
    </row>
    <row r="1196" spans="2:25">
      <c r="B1196" s="598" t="s">
        <v>2595</v>
      </c>
      <c r="C1196" s="604" t="s">
        <v>1102</v>
      </c>
      <c r="D1196" s="745">
        <v>2021</v>
      </c>
      <c r="E1196" s="604" t="s">
        <v>1710</v>
      </c>
      <c r="F1196" s="738">
        <v>0.2</v>
      </c>
      <c r="G1196" s="739">
        <v>16500</v>
      </c>
      <c r="H1196" s="741">
        <v>1650</v>
      </c>
      <c r="I1196" s="742">
        <f t="shared" si="376"/>
        <v>14850</v>
      </c>
      <c r="J1196" s="740">
        <f t="shared" si="381"/>
        <v>3300</v>
      </c>
      <c r="K1196" s="739">
        <f t="shared" si="378"/>
        <v>4950</v>
      </c>
      <c r="L1196" s="862">
        <f t="shared" si="379"/>
        <v>11550</v>
      </c>
      <c r="M1196" s="740">
        <f t="shared" si="375"/>
        <v>3300</v>
      </c>
      <c r="N1196" s="604">
        <f t="shared" si="364"/>
        <v>3300</v>
      </c>
      <c r="O1196" s="604">
        <f t="shared" si="365"/>
        <v>3300</v>
      </c>
      <c r="P1196" s="604">
        <f t="shared" si="383"/>
        <v>1650</v>
      </c>
      <c r="Q1196" s="604">
        <f t="shared" si="367"/>
        <v>0</v>
      </c>
      <c r="R1196" s="604">
        <f t="shared" si="368"/>
        <v>0</v>
      </c>
      <c r="S1196" s="604">
        <f t="shared" si="369"/>
        <v>0</v>
      </c>
      <c r="T1196" s="604">
        <f t="shared" si="370"/>
        <v>0</v>
      </c>
      <c r="U1196" s="604">
        <f t="shared" si="371"/>
        <v>0</v>
      </c>
      <c r="V1196" s="604">
        <f t="shared" si="372"/>
        <v>0</v>
      </c>
      <c r="W1196" s="604">
        <f t="shared" si="373"/>
        <v>0</v>
      </c>
      <c r="X1196" s="746">
        <v>1650</v>
      </c>
      <c r="Y1196" s="746">
        <f t="shared" si="374"/>
        <v>0</v>
      </c>
    </row>
    <row r="1197" spans="2:25">
      <c r="B1197" s="598" t="s">
        <v>2595</v>
      </c>
      <c r="C1197" s="604" t="s">
        <v>1102</v>
      </c>
      <c r="D1197" s="745">
        <v>2021</v>
      </c>
      <c r="E1197" s="604" t="s">
        <v>1711</v>
      </c>
      <c r="F1197" s="738">
        <v>0.2</v>
      </c>
      <c r="G1197" s="739">
        <v>16500</v>
      </c>
      <c r="H1197" s="741">
        <v>1650</v>
      </c>
      <c r="I1197" s="742">
        <f t="shared" si="376"/>
        <v>14850</v>
      </c>
      <c r="J1197" s="740">
        <f t="shared" si="381"/>
        <v>3300</v>
      </c>
      <c r="K1197" s="739">
        <f t="shared" si="378"/>
        <v>4950</v>
      </c>
      <c r="L1197" s="862">
        <f t="shared" si="379"/>
        <v>11550</v>
      </c>
      <c r="M1197" s="740">
        <f t="shared" si="375"/>
        <v>3300</v>
      </c>
      <c r="N1197" s="604">
        <f t="shared" si="364"/>
        <v>3300</v>
      </c>
      <c r="O1197" s="604">
        <f t="shared" si="365"/>
        <v>3300</v>
      </c>
      <c r="P1197" s="604">
        <f t="shared" si="383"/>
        <v>1650</v>
      </c>
      <c r="Q1197" s="604">
        <f t="shared" si="367"/>
        <v>0</v>
      </c>
      <c r="R1197" s="604">
        <f t="shared" si="368"/>
        <v>0</v>
      </c>
      <c r="S1197" s="604">
        <f t="shared" si="369"/>
        <v>0</v>
      </c>
      <c r="T1197" s="604">
        <f t="shared" si="370"/>
        <v>0</v>
      </c>
      <c r="U1197" s="604">
        <f t="shared" si="371"/>
        <v>0</v>
      </c>
      <c r="V1197" s="604">
        <f t="shared" si="372"/>
        <v>0</v>
      </c>
      <c r="W1197" s="604">
        <f t="shared" si="373"/>
        <v>0</v>
      </c>
      <c r="X1197" s="746">
        <v>1650</v>
      </c>
      <c r="Y1197" s="746">
        <f t="shared" si="374"/>
        <v>0</v>
      </c>
    </row>
    <row r="1198" spans="2:25">
      <c r="B1198" s="598" t="s">
        <v>2595</v>
      </c>
      <c r="C1198" s="604" t="s">
        <v>1102</v>
      </c>
      <c r="D1198" s="745">
        <v>2021</v>
      </c>
      <c r="E1198" s="604" t="s">
        <v>1712</v>
      </c>
      <c r="F1198" s="738">
        <v>0.2</v>
      </c>
      <c r="G1198" s="739">
        <v>16000</v>
      </c>
      <c r="H1198" s="741">
        <v>1600</v>
      </c>
      <c r="I1198" s="742">
        <f t="shared" si="376"/>
        <v>14400</v>
      </c>
      <c r="J1198" s="740">
        <f t="shared" si="381"/>
        <v>3200</v>
      </c>
      <c r="K1198" s="739">
        <f t="shared" si="378"/>
        <v>4800</v>
      </c>
      <c r="L1198" s="862">
        <f t="shared" si="379"/>
        <v>11200</v>
      </c>
      <c r="M1198" s="740">
        <f t="shared" si="375"/>
        <v>3200</v>
      </c>
      <c r="N1198" s="604">
        <f t="shared" si="364"/>
        <v>3200</v>
      </c>
      <c r="O1198" s="604">
        <f t="shared" si="365"/>
        <v>3200</v>
      </c>
      <c r="P1198" s="604">
        <f t="shared" si="383"/>
        <v>1600</v>
      </c>
      <c r="Q1198" s="604">
        <f t="shared" si="367"/>
        <v>0</v>
      </c>
      <c r="R1198" s="604">
        <f t="shared" si="368"/>
        <v>0</v>
      </c>
      <c r="S1198" s="604">
        <f t="shared" si="369"/>
        <v>0</v>
      </c>
      <c r="T1198" s="604">
        <f t="shared" si="370"/>
        <v>0</v>
      </c>
      <c r="U1198" s="604">
        <f t="shared" si="371"/>
        <v>0</v>
      </c>
      <c r="V1198" s="604">
        <f t="shared" si="372"/>
        <v>0</v>
      </c>
      <c r="W1198" s="604">
        <f t="shared" si="373"/>
        <v>0</v>
      </c>
      <c r="X1198" s="746">
        <v>1600</v>
      </c>
      <c r="Y1198" s="746">
        <f t="shared" si="374"/>
        <v>0</v>
      </c>
    </row>
    <row r="1199" spans="2:25">
      <c r="B1199" s="598" t="s">
        <v>2595</v>
      </c>
      <c r="C1199" s="604" t="s">
        <v>1102</v>
      </c>
      <c r="D1199" s="745">
        <v>2021</v>
      </c>
      <c r="E1199" s="604" t="s">
        <v>1713</v>
      </c>
      <c r="F1199" s="738">
        <v>0.2</v>
      </c>
      <c r="G1199" s="739">
        <v>450</v>
      </c>
      <c r="H1199" s="741">
        <v>45</v>
      </c>
      <c r="I1199" s="742">
        <f t="shared" si="376"/>
        <v>405</v>
      </c>
      <c r="J1199" s="740">
        <f t="shared" si="381"/>
        <v>90</v>
      </c>
      <c r="K1199" s="739">
        <f t="shared" si="378"/>
        <v>135</v>
      </c>
      <c r="L1199" s="862">
        <f t="shared" si="379"/>
        <v>315</v>
      </c>
      <c r="M1199" s="740">
        <f t="shared" si="375"/>
        <v>90</v>
      </c>
      <c r="N1199" s="604">
        <f t="shared" si="364"/>
        <v>90</v>
      </c>
      <c r="O1199" s="604">
        <f t="shared" si="365"/>
        <v>90</v>
      </c>
      <c r="P1199" s="604">
        <f t="shared" si="383"/>
        <v>45</v>
      </c>
      <c r="Q1199" s="604">
        <f t="shared" si="367"/>
        <v>0</v>
      </c>
      <c r="R1199" s="604">
        <f t="shared" si="368"/>
        <v>0</v>
      </c>
      <c r="S1199" s="604">
        <f t="shared" si="369"/>
        <v>0</v>
      </c>
      <c r="T1199" s="604">
        <f t="shared" si="370"/>
        <v>0</v>
      </c>
      <c r="U1199" s="604">
        <f t="shared" si="371"/>
        <v>0</v>
      </c>
      <c r="V1199" s="604">
        <f t="shared" si="372"/>
        <v>0</v>
      </c>
      <c r="W1199" s="604">
        <f t="shared" si="373"/>
        <v>0</v>
      </c>
      <c r="X1199" s="746">
        <v>45</v>
      </c>
      <c r="Y1199" s="746">
        <f t="shared" si="374"/>
        <v>0</v>
      </c>
    </row>
    <row r="1200" spans="2:25">
      <c r="B1200" s="598" t="s">
        <v>2595</v>
      </c>
      <c r="C1200" s="604" t="s">
        <v>1102</v>
      </c>
      <c r="D1200" s="745">
        <v>2021</v>
      </c>
      <c r="E1200" s="604" t="s">
        <v>1714</v>
      </c>
      <c r="F1200" s="738">
        <v>0.2</v>
      </c>
      <c r="G1200" s="739">
        <v>450</v>
      </c>
      <c r="H1200" s="741">
        <v>45</v>
      </c>
      <c r="I1200" s="742">
        <f t="shared" si="376"/>
        <v>405</v>
      </c>
      <c r="J1200" s="740">
        <f t="shared" si="381"/>
        <v>90</v>
      </c>
      <c r="K1200" s="739">
        <f t="shared" si="378"/>
        <v>135</v>
      </c>
      <c r="L1200" s="862">
        <f t="shared" si="379"/>
        <v>315</v>
      </c>
      <c r="M1200" s="740">
        <f t="shared" si="375"/>
        <v>90</v>
      </c>
      <c r="N1200" s="604">
        <f t="shared" si="364"/>
        <v>90</v>
      </c>
      <c r="O1200" s="604">
        <f t="shared" si="365"/>
        <v>90</v>
      </c>
      <c r="P1200" s="604">
        <f t="shared" si="383"/>
        <v>45</v>
      </c>
      <c r="Q1200" s="604">
        <f t="shared" si="367"/>
        <v>0</v>
      </c>
      <c r="R1200" s="604">
        <f t="shared" si="368"/>
        <v>0</v>
      </c>
      <c r="S1200" s="604">
        <f t="shared" si="369"/>
        <v>0</v>
      </c>
      <c r="T1200" s="604">
        <f t="shared" si="370"/>
        <v>0</v>
      </c>
      <c r="U1200" s="604">
        <f t="shared" si="371"/>
        <v>0</v>
      </c>
      <c r="V1200" s="604">
        <f t="shared" si="372"/>
        <v>0</v>
      </c>
      <c r="W1200" s="604">
        <f t="shared" si="373"/>
        <v>0</v>
      </c>
      <c r="X1200" s="746">
        <v>45</v>
      </c>
      <c r="Y1200" s="746">
        <f t="shared" si="374"/>
        <v>0</v>
      </c>
    </row>
    <row r="1201" spans="2:25">
      <c r="B1201" s="598" t="s">
        <v>2595</v>
      </c>
      <c r="C1201" s="604" t="s">
        <v>1102</v>
      </c>
      <c r="D1201" s="745">
        <v>2021</v>
      </c>
      <c r="E1201" s="604" t="s">
        <v>1715</v>
      </c>
      <c r="F1201" s="738">
        <v>0.2</v>
      </c>
      <c r="G1201" s="739">
        <v>520</v>
      </c>
      <c r="H1201" s="741">
        <v>52</v>
      </c>
      <c r="I1201" s="742">
        <f t="shared" si="376"/>
        <v>468</v>
      </c>
      <c r="J1201" s="740">
        <f t="shared" si="381"/>
        <v>104</v>
      </c>
      <c r="K1201" s="739">
        <f t="shared" si="378"/>
        <v>156</v>
      </c>
      <c r="L1201" s="862">
        <f t="shared" si="379"/>
        <v>364</v>
      </c>
      <c r="M1201" s="740">
        <f t="shared" si="375"/>
        <v>104</v>
      </c>
      <c r="N1201" s="604">
        <f t="shared" si="364"/>
        <v>104</v>
      </c>
      <c r="O1201" s="604">
        <f t="shared" si="365"/>
        <v>104</v>
      </c>
      <c r="P1201" s="604">
        <f t="shared" si="383"/>
        <v>52</v>
      </c>
      <c r="Q1201" s="604">
        <f t="shared" si="367"/>
        <v>0</v>
      </c>
      <c r="R1201" s="604">
        <f t="shared" si="368"/>
        <v>0</v>
      </c>
      <c r="S1201" s="604">
        <f t="shared" si="369"/>
        <v>0</v>
      </c>
      <c r="T1201" s="604">
        <f t="shared" si="370"/>
        <v>0</v>
      </c>
      <c r="U1201" s="604">
        <f t="shared" si="371"/>
        <v>0</v>
      </c>
      <c r="V1201" s="604">
        <f t="shared" si="372"/>
        <v>0</v>
      </c>
      <c r="W1201" s="604">
        <f t="shared" si="373"/>
        <v>0</v>
      </c>
      <c r="X1201" s="746">
        <v>52</v>
      </c>
      <c r="Y1201" s="746">
        <f t="shared" si="374"/>
        <v>0</v>
      </c>
    </row>
    <row r="1202" spans="2:25">
      <c r="B1202" s="598" t="s">
        <v>2595</v>
      </c>
      <c r="C1202" s="604" t="s">
        <v>1102</v>
      </c>
      <c r="D1202" s="745">
        <v>2021</v>
      </c>
      <c r="E1202" s="604" t="s">
        <v>1716</v>
      </c>
      <c r="F1202" s="738">
        <v>0.2</v>
      </c>
      <c r="G1202" s="739">
        <v>16000</v>
      </c>
      <c r="H1202" s="741">
        <v>1600</v>
      </c>
      <c r="I1202" s="742">
        <f t="shared" si="376"/>
        <v>14400</v>
      </c>
      <c r="J1202" s="740">
        <f t="shared" si="381"/>
        <v>3200</v>
      </c>
      <c r="K1202" s="739">
        <f t="shared" si="378"/>
        <v>4800</v>
      </c>
      <c r="L1202" s="862">
        <f t="shared" si="379"/>
        <v>11200</v>
      </c>
      <c r="M1202" s="740">
        <f t="shared" si="375"/>
        <v>3200</v>
      </c>
      <c r="N1202" s="604">
        <f t="shared" si="364"/>
        <v>3200</v>
      </c>
      <c r="O1202" s="604">
        <f t="shared" si="365"/>
        <v>3200</v>
      </c>
      <c r="P1202" s="604">
        <f t="shared" si="383"/>
        <v>1600</v>
      </c>
      <c r="Q1202" s="604">
        <f t="shared" si="367"/>
        <v>0</v>
      </c>
      <c r="R1202" s="604">
        <f t="shared" si="368"/>
        <v>0</v>
      </c>
      <c r="S1202" s="604">
        <f t="shared" si="369"/>
        <v>0</v>
      </c>
      <c r="T1202" s="604">
        <f t="shared" si="370"/>
        <v>0</v>
      </c>
      <c r="U1202" s="604">
        <f t="shared" si="371"/>
        <v>0</v>
      </c>
      <c r="V1202" s="604">
        <f t="shared" si="372"/>
        <v>0</v>
      </c>
      <c r="W1202" s="604">
        <f t="shared" si="373"/>
        <v>0</v>
      </c>
      <c r="X1202" s="746">
        <v>1600</v>
      </c>
      <c r="Y1202" s="746">
        <f t="shared" si="374"/>
        <v>0</v>
      </c>
    </row>
    <row r="1203" spans="2:25">
      <c r="B1203" s="598" t="s">
        <v>2595</v>
      </c>
      <c r="C1203" s="604" t="s">
        <v>1102</v>
      </c>
      <c r="D1203" s="745">
        <v>2021</v>
      </c>
      <c r="E1203" s="604" t="s">
        <v>1717</v>
      </c>
      <c r="F1203" s="738">
        <v>0.2</v>
      </c>
      <c r="G1203" s="739">
        <v>15800</v>
      </c>
      <c r="H1203" s="741">
        <v>1580</v>
      </c>
      <c r="I1203" s="742">
        <f t="shared" si="376"/>
        <v>14220</v>
      </c>
      <c r="J1203" s="740">
        <f t="shared" si="381"/>
        <v>3160</v>
      </c>
      <c r="K1203" s="739">
        <f t="shared" si="378"/>
        <v>4740</v>
      </c>
      <c r="L1203" s="862">
        <f t="shared" si="379"/>
        <v>11060</v>
      </c>
      <c r="M1203" s="740">
        <f t="shared" si="375"/>
        <v>3160</v>
      </c>
      <c r="N1203" s="604">
        <f t="shared" si="364"/>
        <v>3160</v>
      </c>
      <c r="O1203" s="604">
        <f t="shared" si="365"/>
        <v>3160</v>
      </c>
      <c r="P1203" s="604">
        <f t="shared" si="383"/>
        <v>1580</v>
      </c>
      <c r="Q1203" s="604">
        <f t="shared" si="367"/>
        <v>0</v>
      </c>
      <c r="R1203" s="604">
        <f t="shared" si="368"/>
        <v>0</v>
      </c>
      <c r="S1203" s="604">
        <f t="shared" si="369"/>
        <v>0</v>
      </c>
      <c r="T1203" s="604">
        <f t="shared" si="370"/>
        <v>0</v>
      </c>
      <c r="U1203" s="604">
        <f t="shared" si="371"/>
        <v>0</v>
      </c>
      <c r="V1203" s="604">
        <f t="shared" si="372"/>
        <v>0</v>
      </c>
      <c r="W1203" s="604">
        <f t="shared" si="373"/>
        <v>0</v>
      </c>
      <c r="X1203" s="746">
        <v>1580</v>
      </c>
      <c r="Y1203" s="746">
        <f t="shared" si="374"/>
        <v>0</v>
      </c>
    </row>
    <row r="1204" spans="2:25">
      <c r="B1204" s="598" t="s">
        <v>2595</v>
      </c>
      <c r="C1204" s="604" t="s">
        <v>1102</v>
      </c>
      <c r="D1204" s="745">
        <v>2021</v>
      </c>
      <c r="E1204" s="604" t="s">
        <v>1718</v>
      </c>
      <c r="F1204" s="738">
        <v>0.2</v>
      </c>
      <c r="G1204" s="739">
        <v>15150</v>
      </c>
      <c r="H1204" s="741">
        <v>1515</v>
      </c>
      <c r="I1204" s="742">
        <f t="shared" si="376"/>
        <v>13635</v>
      </c>
      <c r="J1204" s="740">
        <f t="shared" si="381"/>
        <v>3030</v>
      </c>
      <c r="K1204" s="739">
        <f t="shared" si="378"/>
        <v>4545</v>
      </c>
      <c r="L1204" s="862">
        <f t="shared" si="379"/>
        <v>10605</v>
      </c>
      <c r="M1204" s="740">
        <f t="shared" si="375"/>
        <v>3030</v>
      </c>
      <c r="N1204" s="604">
        <f t="shared" si="364"/>
        <v>3030</v>
      </c>
      <c r="O1204" s="604">
        <f t="shared" si="365"/>
        <v>3030</v>
      </c>
      <c r="P1204" s="604">
        <f t="shared" si="383"/>
        <v>1515</v>
      </c>
      <c r="Q1204" s="604">
        <f t="shared" si="367"/>
        <v>0</v>
      </c>
      <c r="R1204" s="604">
        <f t="shared" si="368"/>
        <v>0</v>
      </c>
      <c r="S1204" s="604">
        <f t="shared" si="369"/>
        <v>0</v>
      </c>
      <c r="T1204" s="604">
        <f t="shared" si="370"/>
        <v>0</v>
      </c>
      <c r="U1204" s="604">
        <f t="shared" si="371"/>
        <v>0</v>
      </c>
      <c r="V1204" s="604">
        <f t="shared" si="372"/>
        <v>0</v>
      </c>
      <c r="W1204" s="604">
        <f t="shared" si="373"/>
        <v>0</v>
      </c>
      <c r="X1204" s="746">
        <v>1515</v>
      </c>
      <c r="Y1204" s="746">
        <f t="shared" si="374"/>
        <v>0</v>
      </c>
    </row>
    <row r="1205" spans="2:25">
      <c r="B1205" s="598" t="s">
        <v>2595</v>
      </c>
      <c r="C1205" s="604" t="s">
        <v>1102</v>
      </c>
      <c r="D1205" s="745">
        <v>2021</v>
      </c>
      <c r="E1205" s="604" t="s">
        <v>1719</v>
      </c>
      <c r="F1205" s="738">
        <v>0.2</v>
      </c>
      <c r="G1205" s="739">
        <v>15150</v>
      </c>
      <c r="H1205" s="741">
        <v>1515</v>
      </c>
      <c r="I1205" s="742">
        <f t="shared" si="376"/>
        <v>13635</v>
      </c>
      <c r="J1205" s="740">
        <f t="shared" si="381"/>
        <v>3030</v>
      </c>
      <c r="K1205" s="739">
        <f t="shared" si="378"/>
        <v>4545</v>
      </c>
      <c r="L1205" s="862">
        <f t="shared" si="379"/>
        <v>10605</v>
      </c>
      <c r="M1205" s="740">
        <f t="shared" si="375"/>
        <v>3030</v>
      </c>
      <c r="N1205" s="604">
        <f t="shared" si="364"/>
        <v>3030</v>
      </c>
      <c r="O1205" s="604">
        <f t="shared" si="365"/>
        <v>3030</v>
      </c>
      <c r="P1205" s="604">
        <f t="shared" si="383"/>
        <v>1515</v>
      </c>
      <c r="Q1205" s="604">
        <f t="shared" si="367"/>
        <v>0</v>
      </c>
      <c r="R1205" s="604">
        <f t="shared" si="368"/>
        <v>0</v>
      </c>
      <c r="S1205" s="604">
        <f t="shared" si="369"/>
        <v>0</v>
      </c>
      <c r="T1205" s="604">
        <f t="shared" si="370"/>
        <v>0</v>
      </c>
      <c r="U1205" s="604">
        <f t="shared" si="371"/>
        <v>0</v>
      </c>
      <c r="V1205" s="604">
        <f t="shared" si="372"/>
        <v>0</v>
      </c>
      <c r="W1205" s="604">
        <f t="shared" si="373"/>
        <v>0</v>
      </c>
      <c r="X1205" s="746">
        <v>1515</v>
      </c>
      <c r="Y1205" s="746">
        <f t="shared" si="374"/>
        <v>0</v>
      </c>
    </row>
    <row r="1206" spans="2:25">
      <c r="B1206" s="598" t="s">
        <v>2595</v>
      </c>
      <c r="C1206" s="604" t="s">
        <v>1102</v>
      </c>
      <c r="D1206" s="745">
        <v>2021</v>
      </c>
      <c r="E1206" s="604" t="s">
        <v>1720</v>
      </c>
      <c r="F1206" s="738">
        <v>0.2</v>
      </c>
      <c r="G1206" s="739">
        <v>16000</v>
      </c>
      <c r="H1206" s="741">
        <v>1600</v>
      </c>
      <c r="I1206" s="742">
        <f t="shared" si="376"/>
        <v>14400</v>
      </c>
      <c r="J1206" s="740">
        <f t="shared" si="381"/>
        <v>3200</v>
      </c>
      <c r="K1206" s="739">
        <f t="shared" si="378"/>
        <v>4800</v>
      </c>
      <c r="L1206" s="862">
        <f t="shared" si="379"/>
        <v>11200</v>
      </c>
      <c r="M1206" s="740">
        <f t="shared" si="375"/>
        <v>3200</v>
      </c>
      <c r="N1206" s="604">
        <f t="shared" si="364"/>
        <v>3200</v>
      </c>
      <c r="O1206" s="604">
        <f t="shared" si="365"/>
        <v>3200</v>
      </c>
      <c r="P1206" s="604">
        <f t="shared" si="383"/>
        <v>1600</v>
      </c>
      <c r="Q1206" s="604">
        <f t="shared" si="367"/>
        <v>0</v>
      </c>
      <c r="R1206" s="604">
        <f t="shared" si="368"/>
        <v>0</v>
      </c>
      <c r="S1206" s="604">
        <f t="shared" si="369"/>
        <v>0</v>
      </c>
      <c r="T1206" s="604">
        <f t="shared" si="370"/>
        <v>0</v>
      </c>
      <c r="U1206" s="604">
        <f t="shared" si="371"/>
        <v>0</v>
      </c>
      <c r="V1206" s="604">
        <f t="shared" si="372"/>
        <v>0</v>
      </c>
      <c r="W1206" s="604">
        <f t="shared" si="373"/>
        <v>0</v>
      </c>
      <c r="X1206" s="746">
        <v>1600</v>
      </c>
      <c r="Y1206" s="746">
        <f t="shared" si="374"/>
        <v>0</v>
      </c>
    </row>
    <row r="1207" spans="2:25">
      <c r="B1207" s="598" t="s">
        <v>2595</v>
      </c>
      <c r="C1207" s="604" t="s">
        <v>1102</v>
      </c>
      <c r="D1207" s="745">
        <v>2021</v>
      </c>
      <c r="E1207" s="604" t="s">
        <v>1721</v>
      </c>
      <c r="F1207" s="738">
        <v>0.2</v>
      </c>
      <c r="G1207" s="739">
        <v>510.94</v>
      </c>
      <c r="H1207" s="741">
        <v>51.09</v>
      </c>
      <c r="I1207" s="742">
        <f t="shared" si="376"/>
        <v>459.85</v>
      </c>
      <c r="J1207" s="740">
        <f t="shared" si="381"/>
        <v>102.188</v>
      </c>
      <c r="K1207" s="739">
        <f t="shared" si="378"/>
        <v>153.27800000000002</v>
      </c>
      <c r="L1207" s="862">
        <f t="shared" si="379"/>
        <v>357.66199999999998</v>
      </c>
      <c r="M1207" s="740">
        <f t="shared" si="375"/>
        <v>102.188</v>
      </c>
      <c r="N1207" s="604">
        <f t="shared" si="364"/>
        <v>102.188</v>
      </c>
      <c r="O1207" s="604">
        <f t="shared" si="365"/>
        <v>102.188</v>
      </c>
      <c r="P1207" s="604">
        <f t="shared" si="383"/>
        <v>51.097999999999971</v>
      </c>
      <c r="Q1207" s="604">
        <f t="shared" si="367"/>
        <v>0</v>
      </c>
      <c r="R1207" s="604">
        <f t="shared" si="368"/>
        <v>0</v>
      </c>
      <c r="S1207" s="604">
        <f t="shared" si="369"/>
        <v>0</v>
      </c>
      <c r="T1207" s="604">
        <f t="shared" si="370"/>
        <v>0</v>
      </c>
      <c r="U1207" s="604">
        <f t="shared" si="371"/>
        <v>0</v>
      </c>
      <c r="V1207" s="604">
        <f t="shared" si="372"/>
        <v>0</v>
      </c>
      <c r="W1207" s="604">
        <f t="shared" si="373"/>
        <v>0</v>
      </c>
      <c r="X1207" s="746">
        <v>51.090000000000032</v>
      </c>
      <c r="Y1207" s="746">
        <f t="shared" si="374"/>
        <v>0</v>
      </c>
    </row>
    <row r="1208" spans="2:25">
      <c r="B1208" s="598" t="s">
        <v>2595</v>
      </c>
      <c r="C1208" s="604" t="s">
        <v>1102</v>
      </c>
      <c r="D1208" s="745">
        <v>2021</v>
      </c>
      <c r="E1208" s="604" t="s">
        <v>1722</v>
      </c>
      <c r="F1208" s="738">
        <v>0.2</v>
      </c>
      <c r="G1208" s="739">
        <v>510.94</v>
      </c>
      <c r="H1208" s="741">
        <v>510.94</v>
      </c>
      <c r="I1208" s="742">
        <f t="shared" si="376"/>
        <v>0</v>
      </c>
      <c r="J1208" s="740">
        <f t="shared" si="381"/>
        <v>0</v>
      </c>
      <c r="K1208" s="739">
        <f t="shared" si="378"/>
        <v>510.94</v>
      </c>
      <c r="L1208" s="862">
        <f t="shared" si="379"/>
        <v>0</v>
      </c>
      <c r="M1208" s="740">
        <f t="shared" si="375"/>
        <v>0</v>
      </c>
      <c r="N1208" s="604">
        <f t="shared" si="364"/>
        <v>0</v>
      </c>
      <c r="O1208" s="604">
        <f t="shared" si="365"/>
        <v>0</v>
      </c>
      <c r="P1208" s="604">
        <f t="shared" si="366"/>
        <v>0</v>
      </c>
      <c r="Q1208" s="604">
        <f t="shared" si="367"/>
        <v>0</v>
      </c>
      <c r="R1208" s="604">
        <f t="shared" si="368"/>
        <v>0</v>
      </c>
      <c r="S1208" s="604">
        <f t="shared" si="369"/>
        <v>0</v>
      </c>
      <c r="T1208" s="604">
        <f t="shared" si="370"/>
        <v>0</v>
      </c>
      <c r="U1208" s="604">
        <f t="shared" si="371"/>
        <v>0</v>
      </c>
      <c r="V1208" s="604">
        <f t="shared" si="372"/>
        <v>0</v>
      </c>
      <c r="W1208" s="604">
        <f t="shared" si="373"/>
        <v>0</v>
      </c>
      <c r="X1208" s="746">
        <v>0</v>
      </c>
      <c r="Y1208" s="746">
        <f t="shared" si="374"/>
        <v>0</v>
      </c>
    </row>
    <row r="1209" spans="2:25">
      <c r="B1209" s="598" t="s">
        <v>2595</v>
      </c>
      <c r="C1209" s="604" t="s">
        <v>1102</v>
      </c>
      <c r="D1209" s="745">
        <v>2021</v>
      </c>
      <c r="E1209" s="604"/>
      <c r="F1209" s="738">
        <v>0.2</v>
      </c>
      <c r="G1209" s="739">
        <v>-510.94</v>
      </c>
      <c r="H1209" s="741">
        <v>-510.94</v>
      </c>
      <c r="I1209" s="742">
        <f t="shared" si="376"/>
        <v>0</v>
      </c>
      <c r="J1209" s="740">
        <f t="shared" si="381"/>
        <v>0</v>
      </c>
      <c r="K1209" s="739">
        <f t="shared" si="378"/>
        <v>-510.94</v>
      </c>
      <c r="L1209" s="862">
        <f t="shared" si="379"/>
        <v>0</v>
      </c>
      <c r="M1209" s="740">
        <f t="shared" si="375"/>
        <v>0</v>
      </c>
      <c r="N1209" s="604">
        <f t="shared" si="364"/>
        <v>0</v>
      </c>
      <c r="O1209" s="604">
        <f t="shared" si="365"/>
        <v>0</v>
      </c>
      <c r="P1209" s="604">
        <f t="shared" si="366"/>
        <v>0</v>
      </c>
      <c r="Q1209" s="604">
        <f t="shared" si="367"/>
        <v>0</v>
      </c>
      <c r="R1209" s="604">
        <f t="shared" si="368"/>
        <v>0</v>
      </c>
      <c r="S1209" s="604">
        <f t="shared" si="369"/>
        <v>0</v>
      </c>
      <c r="T1209" s="604">
        <f t="shared" si="370"/>
        <v>0</v>
      </c>
      <c r="U1209" s="604">
        <f t="shared" si="371"/>
        <v>0</v>
      </c>
      <c r="V1209" s="604">
        <f t="shared" si="372"/>
        <v>0</v>
      </c>
      <c r="W1209" s="604">
        <f t="shared" si="373"/>
        <v>0</v>
      </c>
      <c r="X1209" s="746">
        <v>0</v>
      </c>
      <c r="Y1209" s="746">
        <f t="shared" si="374"/>
        <v>0</v>
      </c>
    </row>
    <row r="1210" spans="2:25">
      <c r="B1210" s="598" t="s">
        <v>2595</v>
      </c>
      <c r="C1210" s="604" t="s">
        <v>1102</v>
      </c>
      <c r="D1210" s="745">
        <v>2021</v>
      </c>
      <c r="E1210" s="604" t="s">
        <v>1723</v>
      </c>
      <c r="F1210" s="738">
        <v>0.2</v>
      </c>
      <c r="G1210" s="739">
        <v>505</v>
      </c>
      <c r="H1210" s="741">
        <v>50.5</v>
      </c>
      <c r="I1210" s="742">
        <f t="shared" si="376"/>
        <v>454.5</v>
      </c>
      <c r="J1210" s="740">
        <f t="shared" si="381"/>
        <v>101</v>
      </c>
      <c r="K1210" s="739">
        <f t="shared" si="378"/>
        <v>151.5</v>
      </c>
      <c r="L1210" s="862">
        <f t="shared" si="379"/>
        <v>353.5</v>
      </c>
      <c r="M1210" s="740">
        <f t="shared" si="375"/>
        <v>101</v>
      </c>
      <c r="N1210" s="604">
        <f t="shared" si="364"/>
        <v>101</v>
      </c>
      <c r="O1210" s="604">
        <f t="shared" si="365"/>
        <v>101</v>
      </c>
      <c r="P1210" s="604">
        <f t="shared" ref="P1210:P1217" si="384">+IF(L1210-SUM(M1210:O1210)&gt;0,G1210*F1210,0)-X1210</f>
        <v>50.5</v>
      </c>
      <c r="Q1210" s="604">
        <f t="shared" si="367"/>
        <v>0</v>
      </c>
      <c r="R1210" s="604">
        <f t="shared" si="368"/>
        <v>0</v>
      </c>
      <c r="S1210" s="604">
        <f t="shared" si="369"/>
        <v>0</v>
      </c>
      <c r="T1210" s="604">
        <f t="shared" si="370"/>
        <v>0</v>
      </c>
      <c r="U1210" s="604">
        <f t="shared" si="371"/>
        <v>0</v>
      </c>
      <c r="V1210" s="604">
        <f t="shared" si="372"/>
        <v>0</v>
      </c>
      <c r="W1210" s="604">
        <f t="shared" si="373"/>
        <v>0</v>
      </c>
      <c r="X1210" s="746">
        <v>50.5</v>
      </c>
      <c r="Y1210" s="746">
        <f t="shared" si="374"/>
        <v>0</v>
      </c>
    </row>
    <row r="1211" spans="2:25">
      <c r="B1211" s="598" t="s">
        <v>2595</v>
      </c>
      <c r="C1211" s="604" t="s">
        <v>1102</v>
      </c>
      <c r="D1211" s="745">
        <v>2021</v>
      </c>
      <c r="E1211" s="604" t="s">
        <v>1724</v>
      </c>
      <c r="F1211" s="738">
        <v>0.2</v>
      </c>
      <c r="G1211" s="739">
        <v>29000</v>
      </c>
      <c r="H1211" s="741">
        <v>2900</v>
      </c>
      <c r="I1211" s="742">
        <f t="shared" si="376"/>
        <v>26100</v>
      </c>
      <c r="J1211" s="740">
        <f t="shared" si="381"/>
        <v>5800</v>
      </c>
      <c r="K1211" s="739">
        <f t="shared" si="378"/>
        <v>8700</v>
      </c>
      <c r="L1211" s="862">
        <f t="shared" si="379"/>
        <v>20300</v>
      </c>
      <c r="M1211" s="740">
        <f t="shared" si="375"/>
        <v>5800</v>
      </c>
      <c r="N1211" s="604">
        <f t="shared" si="364"/>
        <v>5800</v>
      </c>
      <c r="O1211" s="604">
        <f t="shared" si="365"/>
        <v>5800</v>
      </c>
      <c r="P1211" s="604">
        <f t="shared" si="384"/>
        <v>2900</v>
      </c>
      <c r="Q1211" s="604">
        <f t="shared" si="367"/>
        <v>0</v>
      </c>
      <c r="R1211" s="604">
        <f t="shared" si="368"/>
        <v>0</v>
      </c>
      <c r="S1211" s="604">
        <f t="shared" si="369"/>
        <v>0</v>
      </c>
      <c r="T1211" s="604">
        <f t="shared" si="370"/>
        <v>0</v>
      </c>
      <c r="U1211" s="604">
        <f t="shared" si="371"/>
        <v>0</v>
      </c>
      <c r="V1211" s="604">
        <f t="shared" si="372"/>
        <v>0</v>
      </c>
      <c r="W1211" s="604">
        <f t="shared" si="373"/>
        <v>0</v>
      </c>
      <c r="X1211" s="746">
        <v>2900</v>
      </c>
      <c r="Y1211" s="746">
        <f t="shared" si="374"/>
        <v>0</v>
      </c>
    </row>
    <row r="1212" spans="2:25">
      <c r="B1212" s="598" t="s">
        <v>2595</v>
      </c>
      <c r="C1212" s="604" t="s">
        <v>1102</v>
      </c>
      <c r="D1212" s="745">
        <v>2021</v>
      </c>
      <c r="E1212" s="604" t="s">
        <v>1725</v>
      </c>
      <c r="F1212" s="738">
        <v>0.2</v>
      </c>
      <c r="G1212" s="739">
        <v>498</v>
      </c>
      <c r="H1212" s="741">
        <v>49.8</v>
      </c>
      <c r="I1212" s="742">
        <f t="shared" si="376"/>
        <v>448.2</v>
      </c>
      <c r="J1212" s="740">
        <f t="shared" si="381"/>
        <v>99.600000000000009</v>
      </c>
      <c r="K1212" s="739">
        <f t="shared" si="378"/>
        <v>149.4</v>
      </c>
      <c r="L1212" s="862">
        <f t="shared" si="379"/>
        <v>348.6</v>
      </c>
      <c r="M1212" s="740">
        <f t="shared" si="375"/>
        <v>99.600000000000009</v>
      </c>
      <c r="N1212" s="604">
        <f t="shared" si="364"/>
        <v>99.600000000000009</v>
      </c>
      <c r="O1212" s="604">
        <f t="shared" si="365"/>
        <v>99.600000000000009</v>
      </c>
      <c r="P1212" s="604">
        <f t="shared" si="384"/>
        <v>49.8</v>
      </c>
      <c r="Q1212" s="604">
        <f t="shared" si="367"/>
        <v>0</v>
      </c>
      <c r="R1212" s="604">
        <f t="shared" si="368"/>
        <v>0</v>
      </c>
      <c r="S1212" s="604">
        <f t="shared" si="369"/>
        <v>0</v>
      </c>
      <c r="T1212" s="604">
        <f t="shared" si="370"/>
        <v>0</v>
      </c>
      <c r="U1212" s="604">
        <f t="shared" si="371"/>
        <v>0</v>
      </c>
      <c r="V1212" s="604">
        <f t="shared" si="372"/>
        <v>0</v>
      </c>
      <c r="W1212" s="604">
        <f t="shared" si="373"/>
        <v>0</v>
      </c>
      <c r="X1212" s="746">
        <v>49.800000000000011</v>
      </c>
      <c r="Y1212" s="746">
        <f t="shared" si="374"/>
        <v>0</v>
      </c>
    </row>
    <row r="1213" spans="2:25">
      <c r="B1213" s="598" t="s">
        <v>2595</v>
      </c>
      <c r="C1213" s="604" t="s">
        <v>1102</v>
      </c>
      <c r="D1213" s="745">
        <v>2021</v>
      </c>
      <c r="E1213" s="604" t="s">
        <v>1726</v>
      </c>
      <c r="F1213" s="738">
        <v>0.2</v>
      </c>
      <c r="G1213" s="739">
        <v>16000</v>
      </c>
      <c r="H1213" s="741">
        <v>1600</v>
      </c>
      <c r="I1213" s="742">
        <f t="shared" si="376"/>
        <v>14400</v>
      </c>
      <c r="J1213" s="740">
        <f t="shared" si="381"/>
        <v>3200</v>
      </c>
      <c r="K1213" s="739">
        <f t="shared" si="378"/>
        <v>4800</v>
      </c>
      <c r="L1213" s="862">
        <f t="shared" si="379"/>
        <v>11200</v>
      </c>
      <c r="M1213" s="740">
        <f t="shared" si="375"/>
        <v>3200</v>
      </c>
      <c r="N1213" s="604">
        <f t="shared" si="364"/>
        <v>3200</v>
      </c>
      <c r="O1213" s="604">
        <f t="shared" si="365"/>
        <v>3200</v>
      </c>
      <c r="P1213" s="604">
        <f t="shared" si="384"/>
        <v>1600</v>
      </c>
      <c r="Q1213" s="604">
        <f t="shared" si="367"/>
        <v>0</v>
      </c>
      <c r="R1213" s="604">
        <f t="shared" si="368"/>
        <v>0</v>
      </c>
      <c r="S1213" s="604">
        <f t="shared" si="369"/>
        <v>0</v>
      </c>
      <c r="T1213" s="604">
        <f t="shared" si="370"/>
        <v>0</v>
      </c>
      <c r="U1213" s="604">
        <f t="shared" si="371"/>
        <v>0</v>
      </c>
      <c r="V1213" s="604">
        <f t="shared" si="372"/>
        <v>0</v>
      </c>
      <c r="W1213" s="604">
        <f t="shared" si="373"/>
        <v>0</v>
      </c>
      <c r="X1213" s="746">
        <v>1600</v>
      </c>
      <c r="Y1213" s="746">
        <f t="shared" si="374"/>
        <v>0</v>
      </c>
    </row>
    <row r="1214" spans="2:25">
      <c r="B1214" s="598" t="s">
        <v>2595</v>
      </c>
      <c r="C1214" s="604" t="s">
        <v>1102</v>
      </c>
      <c r="D1214" s="745">
        <v>2021</v>
      </c>
      <c r="E1214" s="604" t="s">
        <v>1727</v>
      </c>
      <c r="F1214" s="738">
        <v>0.2</v>
      </c>
      <c r="G1214" s="739">
        <v>32800</v>
      </c>
      <c r="H1214" s="741">
        <v>3280</v>
      </c>
      <c r="I1214" s="742">
        <f t="shared" si="376"/>
        <v>29520</v>
      </c>
      <c r="J1214" s="740">
        <f t="shared" si="381"/>
        <v>6560</v>
      </c>
      <c r="K1214" s="739">
        <f t="shared" si="378"/>
        <v>9840</v>
      </c>
      <c r="L1214" s="862">
        <f t="shared" si="379"/>
        <v>22960</v>
      </c>
      <c r="M1214" s="740">
        <f t="shared" si="375"/>
        <v>6560</v>
      </c>
      <c r="N1214" s="604">
        <f t="shared" si="364"/>
        <v>6560</v>
      </c>
      <c r="O1214" s="604">
        <f t="shared" si="365"/>
        <v>6560</v>
      </c>
      <c r="P1214" s="604">
        <f t="shared" si="384"/>
        <v>3280</v>
      </c>
      <c r="Q1214" s="604">
        <f t="shared" si="367"/>
        <v>0</v>
      </c>
      <c r="R1214" s="604">
        <f t="shared" si="368"/>
        <v>0</v>
      </c>
      <c r="S1214" s="604">
        <f t="shared" si="369"/>
        <v>0</v>
      </c>
      <c r="T1214" s="604">
        <f t="shared" si="370"/>
        <v>0</v>
      </c>
      <c r="U1214" s="604">
        <f t="shared" si="371"/>
        <v>0</v>
      </c>
      <c r="V1214" s="604">
        <f t="shared" si="372"/>
        <v>0</v>
      </c>
      <c r="W1214" s="604">
        <f t="shared" si="373"/>
        <v>0</v>
      </c>
      <c r="X1214" s="746">
        <v>3280</v>
      </c>
      <c r="Y1214" s="746">
        <f t="shared" si="374"/>
        <v>0</v>
      </c>
    </row>
    <row r="1215" spans="2:25">
      <c r="B1215" s="598" t="s">
        <v>2595</v>
      </c>
      <c r="C1215" s="604" t="s">
        <v>1102</v>
      </c>
      <c r="D1215" s="745">
        <v>2021</v>
      </c>
      <c r="E1215" s="604" t="s">
        <v>1728</v>
      </c>
      <c r="F1215" s="738">
        <v>0.2</v>
      </c>
      <c r="G1215" s="739">
        <v>24000</v>
      </c>
      <c r="H1215" s="741">
        <v>2400</v>
      </c>
      <c r="I1215" s="742">
        <f t="shared" si="376"/>
        <v>21600</v>
      </c>
      <c r="J1215" s="740">
        <f t="shared" si="381"/>
        <v>4800</v>
      </c>
      <c r="K1215" s="739">
        <f t="shared" si="378"/>
        <v>7200</v>
      </c>
      <c r="L1215" s="862">
        <f t="shared" si="379"/>
        <v>16800</v>
      </c>
      <c r="M1215" s="740">
        <f t="shared" si="375"/>
        <v>4800</v>
      </c>
      <c r="N1215" s="604">
        <f t="shared" si="364"/>
        <v>4800</v>
      </c>
      <c r="O1215" s="604">
        <f t="shared" si="365"/>
        <v>4800</v>
      </c>
      <c r="P1215" s="604">
        <f t="shared" si="384"/>
        <v>2400</v>
      </c>
      <c r="Q1215" s="604">
        <f t="shared" si="367"/>
        <v>0</v>
      </c>
      <c r="R1215" s="604">
        <f t="shared" si="368"/>
        <v>0</v>
      </c>
      <c r="S1215" s="604">
        <f t="shared" si="369"/>
        <v>0</v>
      </c>
      <c r="T1215" s="604">
        <f t="shared" si="370"/>
        <v>0</v>
      </c>
      <c r="U1215" s="604">
        <f t="shared" si="371"/>
        <v>0</v>
      </c>
      <c r="V1215" s="604">
        <f t="shared" si="372"/>
        <v>0</v>
      </c>
      <c r="W1215" s="604">
        <f t="shared" si="373"/>
        <v>0</v>
      </c>
      <c r="X1215" s="746">
        <v>2400</v>
      </c>
      <c r="Y1215" s="746">
        <f t="shared" si="374"/>
        <v>0</v>
      </c>
    </row>
    <row r="1216" spans="2:25">
      <c r="B1216" s="598" t="s">
        <v>2595</v>
      </c>
      <c r="C1216" s="604" t="s">
        <v>1102</v>
      </c>
      <c r="D1216" s="745">
        <v>2021</v>
      </c>
      <c r="E1216" s="604" t="s">
        <v>1729</v>
      </c>
      <c r="F1216" s="738">
        <v>0.2</v>
      </c>
      <c r="G1216" s="739">
        <v>12000</v>
      </c>
      <c r="H1216" s="741">
        <v>1200</v>
      </c>
      <c r="I1216" s="742">
        <f t="shared" si="376"/>
        <v>10800</v>
      </c>
      <c r="J1216" s="740">
        <f t="shared" si="381"/>
        <v>2400</v>
      </c>
      <c r="K1216" s="739">
        <f t="shared" si="378"/>
        <v>3600</v>
      </c>
      <c r="L1216" s="862">
        <f t="shared" si="379"/>
        <v>8400</v>
      </c>
      <c r="M1216" s="740">
        <f t="shared" si="375"/>
        <v>2400</v>
      </c>
      <c r="N1216" s="604">
        <f t="shared" si="364"/>
        <v>2400</v>
      </c>
      <c r="O1216" s="604">
        <f t="shared" si="365"/>
        <v>2400</v>
      </c>
      <c r="P1216" s="604">
        <f t="shared" si="384"/>
        <v>1200</v>
      </c>
      <c r="Q1216" s="604">
        <f t="shared" si="367"/>
        <v>0</v>
      </c>
      <c r="R1216" s="604">
        <f t="shared" si="368"/>
        <v>0</v>
      </c>
      <c r="S1216" s="604">
        <f t="shared" si="369"/>
        <v>0</v>
      </c>
      <c r="T1216" s="604">
        <f t="shared" si="370"/>
        <v>0</v>
      </c>
      <c r="U1216" s="604">
        <f t="shared" si="371"/>
        <v>0</v>
      </c>
      <c r="V1216" s="604">
        <f t="shared" si="372"/>
        <v>0</v>
      </c>
      <c r="W1216" s="604">
        <f t="shared" si="373"/>
        <v>0</v>
      </c>
      <c r="X1216" s="746">
        <v>1200</v>
      </c>
      <c r="Y1216" s="746">
        <f t="shared" si="374"/>
        <v>0</v>
      </c>
    </row>
    <row r="1217" spans="2:25">
      <c r="B1217" s="598" t="s">
        <v>2595</v>
      </c>
      <c r="C1217" s="604" t="s">
        <v>1102</v>
      </c>
      <c r="D1217" s="745">
        <v>2021</v>
      </c>
      <c r="E1217" s="604" t="s">
        <v>1730</v>
      </c>
      <c r="F1217" s="738">
        <v>0.2</v>
      </c>
      <c r="G1217" s="739">
        <v>12000</v>
      </c>
      <c r="H1217" s="741">
        <v>1200</v>
      </c>
      <c r="I1217" s="742">
        <f t="shared" si="376"/>
        <v>10800</v>
      </c>
      <c r="J1217" s="740">
        <f t="shared" si="381"/>
        <v>2400</v>
      </c>
      <c r="K1217" s="739">
        <f t="shared" si="378"/>
        <v>3600</v>
      </c>
      <c r="L1217" s="862">
        <f t="shared" si="379"/>
        <v>8400</v>
      </c>
      <c r="M1217" s="740">
        <f t="shared" si="375"/>
        <v>2400</v>
      </c>
      <c r="N1217" s="604">
        <f t="shared" si="364"/>
        <v>2400</v>
      </c>
      <c r="O1217" s="604">
        <f t="shared" si="365"/>
        <v>2400</v>
      </c>
      <c r="P1217" s="604">
        <f t="shared" si="384"/>
        <v>1200</v>
      </c>
      <c r="Q1217" s="604">
        <f t="shared" si="367"/>
        <v>0</v>
      </c>
      <c r="R1217" s="604">
        <f t="shared" si="368"/>
        <v>0</v>
      </c>
      <c r="S1217" s="604">
        <f t="shared" si="369"/>
        <v>0</v>
      </c>
      <c r="T1217" s="604">
        <f t="shared" si="370"/>
        <v>0</v>
      </c>
      <c r="U1217" s="604">
        <f t="shared" si="371"/>
        <v>0</v>
      </c>
      <c r="V1217" s="604">
        <f t="shared" si="372"/>
        <v>0</v>
      </c>
      <c r="W1217" s="604">
        <f t="shared" si="373"/>
        <v>0</v>
      </c>
      <c r="X1217" s="746">
        <v>1200</v>
      </c>
      <c r="Y1217" s="746">
        <f t="shared" si="374"/>
        <v>0</v>
      </c>
    </row>
    <row r="1218" spans="2:25">
      <c r="B1218" s="598" t="s">
        <v>2595</v>
      </c>
      <c r="C1218" s="604" t="s">
        <v>1102</v>
      </c>
      <c r="D1218" s="745">
        <v>2021</v>
      </c>
      <c r="E1218" s="604" t="s">
        <v>1731</v>
      </c>
      <c r="F1218" s="738">
        <v>0.2</v>
      </c>
      <c r="G1218" s="739">
        <v>19400</v>
      </c>
      <c r="H1218" s="741">
        <v>1940</v>
      </c>
      <c r="I1218" s="742">
        <f t="shared" si="376"/>
        <v>17460</v>
      </c>
      <c r="J1218" s="740">
        <f t="shared" si="381"/>
        <v>3880</v>
      </c>
      <c r="K1218" s="739">
        <f t="shared" si="378"/>
        <v>5820</v>
      </c>
      <c r="L1218" s="862">
        <v>17460</v>
      </c>
      <c r="M1218" s="740">
        <f t="shared" si="375"/>
        <v>3880</v>
      </c>
      <c r="N1218" s="604">
        <f t="shared" si="364"/>
        <v>3880</v>
      </c>
      <c r="O1218" s="604">
        <f>+IF(L1218-SUM(M1218:N1218)&gt;0,G1218*F1218,0)</f>
        <v>3880</v>
      </c>
      <c r="P1218" s="604">
        <f>+IF(L1218-SUM(M1218:O1218)&gt;0,G1218*F1218,0)</f>
        <v>3880</v>
      </c>
      <c r="Q1218" s="604">
        <f t="shared" ref="Q1218:Q1243" si="385">+IF(L1218-SUM(M1218:P1218)&gt;0,G1218*F1218,0)-X1218</f>
        <v>1940</v>
      </c>
      <c r="R1218" s="604">
        <f t="shared" si="368"/>
        <v>0</v>
      </c>
      <c r="S1218" s="604">
        <f t="shared" si="369"/>
        <v>0</v>
      </c>
      <c r="T1218" s="604">
        <f t="shared" si="370"/>
        <v>0</v>
      </c>
      <c r="U1218" s="604">
        <f t="shared" si="371"/>
        <v>0</v>
      </c>
      <c r="V1218" s="604">
        <f t="shared" si="372"/>
        <v>0</v>
      </c>
      <c r="W1218" s="604">
        <f t="shared" si="373"/>
        <v>0</v>
      </c>
      <c r="X1218" s="746">
        <v>1940</v>
      </c>
      <c r="Y1218" s="746">
        <f t="shared" si="374"/>
        <v>0</v>
      </c>
    </row>
    <row r="1219" spans="2:25">
      <c r="B1219" s="598" t="s">
        <v>2595</v>
      </c>
      <c r="C1219" s="604" t="s">
        <v>1102</v>
      </c>
      <c r="D1219" s="745">
        <v>2022</v>
      </c>
      <c r="E1219" s="604" t="s">
        <v>2559</v>
      </c>
      <c r="F1219" s="738">
        <v>0.2</v>
      </c>
      <c r="G1219" s="739">
        <v>320</v>
      </c>
      <c r="H1219" s="741">
        <v>0</v>
      </c>
      <c r="I1219" s="742">
        <f t="shared" si="376"/>
        <v>320</v>
      </c>
      <c r="J1219" s="740">
        <f>IF(I1219=0,0,G1219*F1219/2)</f>
        <v>32</v>
      </c>
      <c r="K1219" s="739">
        <f t="shared" si="378"/>
        <v>32</v>
      </c>
      <c r="L1219" s="862">
        <f t="shared" si="379"/>
        <v>288</v>
      </c>
      <c r="M1219" s="740">
        <f t="shared" si="375"/>
        <v>64</v>
      </c>
      <c r="N1219" s="604">
        <f t="shared" si="364"/>
        <v>64</v>
      </c>
      <c r="O1219" s="604">
        <f t="shared" si="365"/>
        <v>64</v>
      </c>
      <c r="P1219" s="604">
        <f t="shared" si="366"/>
        <v>64</v>
      </c>
      <c r="Q1219" s="604">
        <f t="shared" si="385"/>
        <v>32</v>
      </c>
      <c r="R1219" s="604">
        <f t="shared" si="368"/>
        <v>0</v>
      </c>
      <c r="S1219" s="604">
        <f t="shared" si="369"/>
        <v>0</v>
      </c>
      <c r="T1219" s="604">
        <f t="shared" si="370"/>
        <v>0</v>
      </c>
      <c r="U1219" s="604">
        <f t="shared" si="371"/>
        <v>0</v>
      </c>
      <c r="V1219" s="604">
        <f t="shared" si="372"/>
        <v>0</v>
      </c>
      <c r="W1219" s="604">
        <f t="shared" si="373"/>
        <v>0</v>
      </c>
      <c r="X1219" s="746">
        <v>32</v>
      </c>
      <c r="Y1219" s="746">
        <f t="shared" si="374"/>
        <v>0</v>
      </c>
    </row>
    <row r="1220" spans="2:25">
      <c r="B1220" s="598" t="s">
        <v>2595</v>
      </c>
      <c r="C1220" s="604" t="s">
        <v>1102</v>
      </c>
      <c r="D1220" s="745">
        <v>2022</v>
      </c>
      <c r="E1220" s="604" t="s">
        <v>2560</v>
      </c>
      <c r="F1220" s="738">
        <v>0.2</v>
      </c>
      <c r="G1220" s="739">
        <v>300</v>
      </c>
      <c r="H1220" s="741">
        <v>0</v>
      </c>
      <c r="I1220" s="742">
        <f t="shared" si="376"/>
        <v>300</v>
      </c>
      <c r="J1220" s="740">
        <f t="shared" ref="J1220:J1243" si="386">IF(I1220=0,0,G1220*F1220/2)</f>
        <v>30</v>
      </c>
      <c r="K1220" s="739">
        <f t="shared" si="378"/>
        <v>30</v>
      </c>
      <c r="L1220" s="862">
        <f t="shared" si="379"/>
        <v>270</v>
      </c>
      <c r="M1220" s="740">
        <f t="shared" si="375"/>
        <v>60</v>
      </c>
      <c r="N1220" s="604">
        <f t="shared" si="364"/>
        <v>60</v>
      </c>
      <c r="O1220" s="604">
        <f t="shared" si="365"/>
        <v>60</v>
      </c>
      <c r="P1220" s="604">
        <f t="shared" si="366"/>
        <v>60</v>
      </c>
      <c r="Q1220" s="604">
        <f t="shared" si="385"/>
        <v>30</v>
      </c>
      <c r="R1220" s="604">
        <f t="shared" si="368"/>
        <v>0</v>
      </c>
      <c r="S1220" s="604">
        <f t="shared" si="369"/>
        <v>0</v>
      </c>
      <c r="T1220" s="604">
        <f t="shared" si="370"/>
        <v>0</v>
      </c>
      <c r="U1220" s="604">
        <f t="shared" si="371"/>
        <v>0</v>
      </c>
      <c r="V1220" s="604">
        <f t="shared" si="372"/>
        <v>0</v>
      </c>
      <c r="W1220" s="604">
        <f t="shared" si="373"/>
        <v>0</v>
      </c>
      <c r="X1220" s="746">
        <v>30</v>
      </c>
      <c r="Y1220" s="746">
        <f t="shared" si="374"/>
        <v>0</v>
      </c>
    </row>
    <row r="1221" spans="2:25">
      <c r="B1221" s="598" t="s">
        <v>2595</v>
      </c>
      <c r="C1221" s="604" t="s">
        <v>1102</v>
      </c>
      <c r="D1221" s="745">
        <v>2022</v>
      </c>
      <c r="E1221" s="604" t="s">
        <v>2561</v>
      </c>
      <c r="F1221" s="738">
        <v>0.2</v>
      </c>
      <c r="G1221" s="739">
        <v>300</v>
      </c>
      <c r="H1221" s="741">
        <v>0</v>
      </c>
      <c r="I1221" s="742">
        <f t="shared" si="376"/>
        <v>300</v>
      </c>
      <c r="J1221" s="740">
        <f t="shared" si="386"/>
        <v>30</v>
      </c>
      <c r="K1221" s="739">
        <f t="shared" si="378"/>
        <v>30</v>
      </c>
      <c r="L1221" s="862">
        <f t="shared" si="379"/>
        <v>270</v>
      </c>
      <c r="M1221" s="740">
        <f t="shared" si="375"/>
        <v>60</v>
      </c>
      <c r="N1221" s="604">
        <f t="shared" si="364"/>
        <v>60</v>
      </c>
      <c r="O1221" s="604">
        <f t="shared" si="365"/>
        <v>60</v>
      </c>
      <c r="P1221" s="604">
        <f t="shared" si="366"/>
        <v>60</v>
      </c>
      <c r="Q1221" s="604">
        <f t="shared" si="385"/>
        <v>30</v>
      </c>
      <c r="R1221" s="604">
        <f t="shared" si="368"/>
        <v>0</v>
      </c>
      <c r="S1221" s="604">
        <f t="shared" si="369"/>
        <v>0</v>
      </c>
      <c r="T1221" s="604">
        <f t="shared" si="370"/>
        <v>0</v>
      </c>
      <c r="U1221" s="604">
        <f t="shared" si="371"/>
        <v>0</v>
      </c>
      <c r="V1221" s="604">
        <f t="shared" si="372"/>
        <v>0</v>
      </c>
      <c r="W1221" s="604">
        <f t="shared" si="373"/>
        <v>0</v>
      </c>
      <c r="X1221" s="746">
        <v>30</v>
      </c>
      <c r="Y1221" s="746">
        <f t="shared" si="374"/>
        <v>0</v>
      </c>
    </row>
    <row r="1222" spans="2:25">
      <c r="B1222" s="598" t="s">
        <v>2595</v>
      </c>
      <c r="C1222" s="604" t="s">
        <v>1102</v>
      </c>
      <c r="D1222" s="745">
        <v>2022</v>
      </c>
      <c r="E1222" s="604" t="s">
        <v>2562</v>
      </c>
      <c r="F1222" s="738">
        <v>0.2</v>
      </c>
      <c r="G1222" s="739">
        <v>35023.24</v>
      </c>
      <c r="H1222" s="741">
        <v>0</v>
      </c>
      <c r="I1222" s="742">
        <f t="shared" si="376"/>
        <v>35023.24</v>
      </c>
      <c r="J1222" s="740">
        <f t="shared" si="386"/>
        <v>3502.3240000000001</v>
      </c>
      <c r="K1222" s="739">
        <f t="shared" si="378"/>
        <v>3502.3240000000001</v>
      </c>
      <c r="L1222" s="862">
        <f t="shared" si="379"/>
        <v>31520.915999999997</v>
      </c>
      <c r="M1222" s="740">
        <f t="shared" si="375"/>
        <v>7004.6480000000001</v>
      </c>
      <c r="N1222" s="604">
        <f t="shared" si="364"/>
        <v>7004.6480000000001</v>
      </c>
      <c r="O1222" s="604">
        <f t="shared" si="365"/>
        <v>7004.6480000000001</v>
      </c>
      <c r="P1222" s="604">
        <f t="shared" si="366"/>
        <v>7004.6480000000001</v>
      </c>
      <c r="Q1222" s="604">
        <f t="shared" si="385"/>
        <v>3502.3239999999996</v>
      </c>
      <c r="R1222" s="604">
        <f t="shared" si="368"/>
        <v>0</v>
      </c>
      <c r="S1222" s="604">
        <f t="shared" si="369"/>
        <v>0</v>
      </c>
      <c r="T1222" s="604">
        <f t="shared" si="370"/>
        <v>0</v>
      </c>
      <c r="U1222" s="604">
        <f t="shared" si="371"/>
        <v>0</v>
      </c>
      <c r="V1222" s="604">
        <f t="shared" si="372"/>
        <v>0</v>
      </c>
      <c r="W1222" s="604">
        <f t="shared" si="373"/>
        <v>0</v>
      </c>
      <c r="X1222" s="746">
        <v>3502.3240000000005</v>
      </c>
      <c r="Y1222" s="746">
        <f t="shared" si="374"/>
        <v>0</v>
      </c>
    </row>
    <row r="1223" spans="2:25">
      <c r="B1223" s="598" t="s">
        <v>2595</v>
      </c>
      <c r="C1223" s="604" t="s">
        <v>1102</v>
      </c>
      <c r="D1223" s="745">
        <v>2022</v>
      </c>
      <c r="E1223" s="604" t="s">
        <v>2563</v>
      </c>
      <c r="F1223" s="738">
        <v>0.2</v>
      </c>
      <c r="G1223" s="739">
        <v>19700</v>
      </c>
      <c r="H1223" s="741">
        <v>0</v>
      </c>
      <c r="I1223" s="742">
        <f t="shared" si="376"/>
        <v>19700</v>
      </c>
      <c r="J1223" s="740">
        <f t="shared" si="386"/>
        <v>1970</v>
      </c>
      <c r="K1223" s="739">
        <f t="shared" si="378"/>
        <v>1970</v>
      </c>
      <c r="L1223" s="862">
        <f t="shared" si="379"/>
        <v>17730</v>
      </c>
      <c r="M1223" s="740">
        <f t="shared" si="375"/>
        <v>3940</v>
      </c>
      <c r="N1223" s="604">
        <f t="shared" si="364"/>
        <v>3940</v>
      </c>
      <c r="O1223" s="604">
        <f t="shared" si="365"/>
        <v>3940</v>
      </c>
      <c r="P1223" s="604">
        <f t="shared" si="366"/>
        <v>3940</v>
      </c>
      <c r="Q1223" s="604">
        <f t="shared" si="385"/>
        <v>1970</v>
      </c>
      <c r="R1223" s="604">
        <f t="shared" si="368"/>
        <v>0</v>
      </c>
      <c r="S1223" s="604">
        <f t="shared" si="369"/>
        <v>0</v>
      </c>
      <c r="T1223" s="604">
        <f t="shared" si="370"/>
        <v>0</v>
      </c>
      <c r="U1223" s="604">
        <f t="shared" si="371"/>
        <v>0</v>
      </c>
      <c r="V1223" s="604">
        <f t="shared" si="372"/>
        <v>0</v>
      </c>
      <c r="W1223" s="604">
        <f t="shared" si="373"/>
        <v>0</v>
      </c>
      <c r="X1223" s="746">
        <v>1970</v>
      </c>
      <c r="Y1223" s="746">
        <f t="shared" si="374"/>
        <v>0</v>
      </c>
    </row>
    <row r="1224" spans="2:25">
      <c r="B1224" s="598" t="s">
        <v>2595</v>
      </c>
      <c r="C1224" s="604" t="s">
        <v>1102</v>
      </c>
      <c r="D1224" s="745">
        <v>2022</v>
      </c>
      <c r="E1224" s="604" t="s">
        <v>2564</v>
      </c>
      <c r="F1224" s="738">
        <v>0.2</v>
      </c>
      <c r="G1224" s="739">
        <v>19350</v>
      </c>
      <c r="H1224" s="741">
        <v>0</v>
      </c>
      <c r="I1224" s="742">
        <f t="shared" si="376"/>
        <v>19350</v>
      </c>
      <c r="J1224" s="740">
        <f t="shared" si="386"/>
        <v>1935</v>
      </c>
      <c r="K1224" s="739">
        <f t="shared" si="378"/>
        <v>1935</v>
      </c>
      <c r="L1224" s="862">
        <f t="shared" si="379"/>
        <v>17415</v>
      </c>
      <c r="M1224" s="740">
        <f t="shared" si="375"/>
        <v>3870</v>
      </c>
      <c r="N1224" s="604">
        <f t="shared" si="364"/>
        <v>3870</v>
      </c>
      <c r="O1224" s="604">
        <f t="shared" si="365"/>
        <v>3870</v>
      </c>
      <c r="P1224" s="604">
        <f t="shared" si="366"/>
        <v>3870</v>
      </c>
      <c r="Q1224" s="604">
        <f t="shared" si="385"/>
        <v>1935</v>
      </c>
      <c r="R1224" s="604">
        <f t="shared" si="368"/>
        <v>0</v>
      </c>
      <c r="S1224" s="604">
        <f t="shared" si="369"/>
        <v>0</v>
      </c>
      <c r="T1224" s="604">
        <f t="shared" si="370"/>
        <v>0</v>
      </c>
      <c r="U1224" s="604">
        <f t="shared" si="371"/>
        <v>0</v>
      </c>
      <c r="V1224" s="604">
        <f t="shared" si="372"/>
        <v>0</v>
      </c>
      <c r="W1224" s="604">
        <f t="shared" si="373"/>
        <v>0</v>
      </c>
      <c r="X1224" s="746">
        <v>1935</v>
      </c>
      <c r="Y1224" s="746">
        <f t="shared" si="374"/>
        <v>0</v>
      </c>
    </row>
    <row r="1225" spans="2:25">
      <c r="B1225" s="598" t="s">
        <v>2595</v>
      </c>
      <c r="C1225" s="604" t="s">
        <v>1102</v>
      </c>
      <c r="D1225" s="745">
        <v>2022</v>
      </c>
      <c r="E1225" s="604" t="s">
        <v>2565</v>
      </c>
      <c r="F1225" s="738">
        <v>0.2</v>
      </c>
      <c r="G1225" s="739">
        <v>19350</v>
      </c>
      <c r="H1225" s="741">
        <v>0</v>
      </c>
      <c r="I1225" s="742">
        <f t="shared" si="376"/>
        <v>19350</v>
      </c>
      <c r="J1225" s="740">
        <f t="shared" si="386"/>
        <v>1935</v>
      </c>
      <c r="K1225" s="739">
        <f t="shared" si="378"/>
        <v>1935</v>
      </c>
      <c r="L1225" s="862">
        <f t="shared" si="379"/>
        <v>17415</v>
      </c>
      <c r="M1225" s="740">
        <f t="shared" si="375"/>
        <v>3870</v>
      </c>
      <c r="N1225" s="604">
        <f t="shared" ref="N1225:N1288" si="387">+IF(L1225-M1225&gt;0,G1225*F1225,0)</f>
        <v>3870</v>
      </c>
      <c r="O1225" s="604">
        <f t="shared" ref="O1225:O1288" si="388">+IF(L1225-SUM(M1225:N1225)&gt;0,G1225*F1225,0)</f>
        <v>3870</v>
      </c>
      <c r="P1225" s="604">
        <f t="shared" ref="P1225:P1288" si="389">+IF(L1225-SUM(M1225:O1225)&gt;0,G1225*F1225,0)</f>
        <v>3870</v>
      </c>
      <c r="Q1225" s="604">
        <f t="shared" si="385"/>
        <v>1935</v>
      </c>
      <c r="R1225" s="604">
        <f t="shared" ref="R1225:R1288" si="390">+IF(L1225-SUM(M1225:Q1225)&gt;0,G1225*F1225,0)</f>
        <v>0</v>
      </c>
      <c r="S1225" s="604">
        <f t="shared" ref="S1225:S1288" si="391">+IF(L1225-SUM(M1225:R1225)&gt;0,G1225*F1225,0)</f>
        <v>0</v>
      </c>
      <c r="T1225" s="604">
        <f t="shared" ref="T1225:T1288" si="392">+IF(L1225-SUM(M1225:S1225)&gt;0,G1225*F1225,0)</f>
        <v>0</v>
      </c>
      <c r="U1225" s="604">
        <f t="shared" ref="U1225:U1288" si="393">+IF(L1225-SUM(M1225:T1225)&gt;0,G1225*F1225,0)</f>
        <v>0</v>
      </c>
      <c r="V1225" s="604">
        <f t="shared" ref="V1225:V1288" si="394">+IF(L1225-SUM(M1225:U1225)&gt;0,G1225*F1225,0)</f>
        <v>0</v>
      </c>
      <c r="W1225" s="604">
        <f t="shared" ref="W1225:W1288" si="395">+IF(L1225-SUM(M1225:V1225)&gt;0,G1225*F1225,0)</f>
        <v>0</v>
      </c>
      <c r="X1225" s="746">
        <v>1935</v>
      </c>
      <c r="Y1225" s="746">
        <f t="shared" ref="Y1225:Y1288" si="396">+SUM(M1225:W1225)-L1225</f>
        <v>0</v>
      </c>
    </row>
    <row r="1226" spans="2:25">
      <c r="B1226" s="598" t="s">
        <v>2595</v>
      </c>
      <c r="C1226" s="604" t="s">
        <v>1102</v>
      </c>
      <c r="D1226" s="745">
        <v>2022</v>
      </c>
      <c r="E1226" s="604" t="s">
        <v>2566</v>
      </c>
      <c r="F1226" s="738">
        <v>0.2</v>
      </c>
      <c r="G1226" s="739">
        <v>18500</v>
      </c>
      <c r="H1226" s="741">
        <v>0</v>
      </c>
      <c r="I1226" s="742">
        <f t="shared" si="376"/>
        <v>18500</v>
      </c>
      <c r="J1226" s="740">
        <f t="shared" si="386"/>
        <v>1850</v>
      </c>
      <c r="K1226" s="739">
        <f t="shared" si="378"/>
        <v>1850</v>
      </c>
      <c r="L1226" s="862">
        <f t="shared" si="379"/>
        <v>16650</v>
      </c>
      <c r="M1226" s="740">
        <f t="shared" si="375"/>
        <v>3700</v>
      </c>
      <c r="N1226" s="604">
        <f t="shared" si="387"/>
        <v>3700</v>
      </c>
      <c r="O1226" s="604">
        <f t="shared" si="388"/>
        <v>3700</v>
      </c>
      <c r="P1226" s="604">
        <f t="shared" si="389"/>
        <v>3700</v>
      </c>
      <c r="Q1226" s="604">
        <f t="shared" si="385"/>
        <v>1850</v>
      </c>
      <c r="R1226" s="604">
        <f t="shared" si="390"/>
        <v>0</v>
      </c>
      <c r="S1226" s="604">
        <f t="shared" si="391"/>
        <v>0</v>
      </c>
      <c r="T1226" s="604">
        <f t="shared" si="392"/>
        <v>0</v>
      </c>
      <c r="U1226" s="604">
        <f t="shared" si="393"/>
        <v>0</v>
      </c>
      <c r="V1226" s="604">
        <f t="shared" si="394"/>
        <v>0</v>
      </c>
      <c r="W1226" s="604">
        <f t="shared" si="395"/>
        <v>0</v>
      </c>
      <c r="X1226" s="746">
        <v>1850</v>
      </c>
      <c r="Y1226" s="746">
        <f t="shared" si="396"/>
        <v>0</v>
      </c>
    </row>
    <row r="1227" spans="2:25">
      <c r="B1227" s="598" t="s">
        <v>2595</v>
      </c>
      <c r="C1227" s="604" t="s">
        <v>1102</v>
      </c>
      <c r="D1227" s="745">
        <v>2022</v>
      </c>
      <c r="E1227" s="604" t="s">
        <v>2567</v>
      </c>
      <c r="F1227" s="738">
        <v>0.2</v>
      </c>
      <c r="G1227" s="739">
        <v>435</v>
      </c>
      <c r="H1227" s="741">
        <v>0</v>
      </c>
      <c r="I1227" s="742">
        <f t="shared" si="376"/>
        <v>435</v>
      </c>
      <c r="J1227" s="740">
        <f t="shared" si="386"/>
        <v>43.5</v>
      </c>
      <c r="K1227" s="739">
        <f t="shared" si="378"/>
        <v>43.5</v>
      </c>
      <c r="L1227" s="862">
        <f t="shared" si="379"/>
        <v>391.5</v>
      </c>
      <c r="M1227" s="740">
        <f>+IF(L1227=0,0,G1227*F1227)</f>
        <v>87</v>
      </c>
      <c r="N1227" s="604">
        <f t="shared" si="387"/>
        <v>87</v>
      </c>
      <c r="O1227" s="604">
        <f t="shared" si="388"/>
        <v>87</v>
      </c>
      <c r="P1227" s="604">
        <f t="shared" si="389"/>
        <v>87</v>
      </c>
      <c r="Q1227" s="604">
        <f t="shared" si="385"/>
        <v>43.5</v>
      </c>
      <c r="R1227" s="604">
        <f t="shared" si="390"/>
        <v>0</v>
      </c>
      <c r="S1227" s="604">
        <f t="shared" si="391"/>
        <v>0</v>
      </c>
      <c r="T1227" s="604">
        <f t="shared" si="392"/>
        <v>0</v>
      </c>
      <c r="U1227" s="604">
        <f t="shared" si="393"/>
        <v>0</v>
      </c>
      <c r="V1227" s="604">
        <f t="shared" si="394"/>
        <v>0</v>
      </c>
      <c r="W1227" s="604">
        <f t="shared" si="395"/>
        <v>0</v>
      </c>
      <c r="X1227" s="746">
        <v>43.5</v>
      </c>
      <c r="Y1227" s="746">
        <f t="shared" si="396"/>
        <v>0</v>
      </c>
    </row>
    <row r="1228" spans="2:25">
      <c r="B1228" s="598" t="s">
        <v>2595</v>
      </c>
      <c r="C1228" s="604" t="s">
        <v>1102</v>
      </c>
      <c r="D1228" s="745">
        <v>2022</v>
      </c>
      <c r="E1228" s="604" t="s">
        <v>2568</v>
      </c>
      <c r="F1228" s="738">
        <v>0.2</v>
      </c>
      <c r="G1228" s="739">
        <v>706</v>
      </c>
      <c r="H1228" s="741">
        <v>0</v>
      </c>
      <c r="I1228" s="742">
        <f t="shared" si="376"/>
        <v>706</v>
      </c>
      <c r="J1228" s="740">
        <f t="shared" si="386"/>
        <v>70.600000000000009</v>
      </c>
      <c r="K1228" s="739">
        <f t="shared" si="378"/>
        <v>70.600000000000009</v>
      </c>
      <c r="L1228" s="862">
        <f t="shared" si="379"/>
        <v>635.4</v>
      </c>
      <c r="M1228" s="740">
        <f t="shared" ref="M1228:M1291" si="397">+IF(L1228=0,0,G1228*F1228)</f>
        <v>141.20000000000002</v>
      </c>
      <c r="N1228" s="604">
        <f t="shared" si="387"/>
        <v>141.20000000000002</v>
      </c>
      <c r="O1228" s="604">
        <f t="shared" si="388"/>
        <v>141.20000000000002</v>
      </c>
      <c r="P1228" s="604">
        <f t="shared" si="389"/>
        <v>141.20000000000002</v>
      </c>
      <c r="Q1228" s="604">
        <f t="shared" si="385"/>
        <v>70.599999999999881</v>
      </c>
      <c r="R1228" s="604">
        <f t="shared" si="390"/>
        <v>0</v>
      </c>
      <c r="S1228" s="604">
        <f t="shared" si="391"/>
        <v>0</v>
      </c>
      <c r="T1228" s="604">
        <f t="shared" si="392"/>
        <v>0</v>
      </c>
      <c r="U1228" s="604">
        <f t="shared" si="393"/>
        <v>0</v>
      </c>
      <c r="V1228" s="604">
        <f t="shared" si="394"/>
        <v>0</v>
      </c>
      <c r="W1228" s="604">
        <f t="shared" si="395"/>
        <v>0</v>
      </c>
      <c r="X1228" s="746">
        <v>70.600000000000136</v>
      </c>
      <c r="Y1228" s="746">
        <f t="shared" si="396"/>
        <v>0</v>
      </c>
    </row>
    <row r="1229" spans="2:25">
      <c r="B1229" s="598" t="s">
        <v>2595</v>
      </c>
      <c r="C1229" s="604" t="s">
        <v>1102</v>
      </c>
      <c r="D1229" s="745">
        <v>2022</v>
      </c>
      <c r="E1229" s="604" t="s">
        <v>2569</v>
      </c>
      <c r="F1229" s="738">
        <v>0.2</v>
      </c>
      <c r="G1229" s="739">
        <v>3500</v>
      </c>
      <c r="H1229" s="741">
        <v>0</v>
      </c>
      <c r="I1229" s="742">
        <f t="shared" si="376"/>
        <v>3500</v>
      </c>
      <c r="J1229" s="740">
        <f>IF(I1229=0,0,G1229*F1229/2)*0</f>
        <v>0</v>
      </c>
      <c r="K1229" s="739">
        <f>+H1229+J1229</f>
        <v>0</v>
      </c>
      <c r="L1229" s="862">
        <v>0</v>
      </c>
      <c r="M1229" s="740">
        <f t="shared" si="397"/>
        <v>0</v>
      </c>
      <c r="N1229" s="604">
        <f t="shared" si="387"/>
        <v>0</v>
      </c>
      <c r="O1229" s="604">
        <f t="shared" si="388"/>
        <v>0</v>
      </c>
      <c r="P1229" s="604">
        <f t="shared" si="389"/>
        <v>0</v>
      </c>
      <c r="Q1229" s="604">
        <f>+IF(L1229-SUM(M1229:P1229)&gt;0,G1229*F1229,0)</f>
        <v>0</v>
      </c>
      <c r="R1229" s="604">
        <f>+IF(L1229-SUM(M1229:Q1229)&gt;0,G1229*F1229,0)</f>
        <v>0</v>
      </c>
      <c r="S1229" s="604">
        <f t="shared" si="391"/>
        <v>0</v>
      </c>
      <c r="T1229" s="604">
        <f t="shared" si="392"/>
        <v>0</v>
      </c>
      <c r="U1229" s="604">
        <f t="shared" si="393"/>
        <v>0</v>
      </c>
      <c r="V1229" s="604">
        <f t="shared" si="394"/>
        <v>0</v>
      </c>
      <c r="W1229" s="604">
        <f t="shared" si="395"/>
        <v>0</v>
      </c>
      <c r="X1229" s="746">
        <v>350</v>
      </c>
      <c r="Y1229" s="746">
        <f t="shared" si="396"/>
        <v>0</v>
      </c>
    </row>
    <row r="1230" spans="2:25">
      <c r="B1230" s="598" t="s">
        <v>2595</v>
      </c>
      <c r="C1230" s="604" t="s">
        <v>1102</v>
      </c>
      <c r="D1230" s="745">
        <v>2022</v>
      </c>
      <c r="E1230" s="604" t="s">
        <v>2570</v>
      </c>
      <c r="F1230" s="738">
        <v>0.2</v>
      </c>
      <c r="G1230" s="739">
        <v>280</v>
      </c>
      <c r="H1230" s="741">
        <v>0</v>
      </c>
      <c r="I1230" s="742">
        <f t="shared" ref="I1230:I1243" si="398">+G1230-H1230</f>
        <v>280</v>
      </c>
      <c r="J1230" s="740">
        <f t="shared" si="386"/>
        <v>28</v>
      </c>
      <c r="K1230" s="739">
        <f t="shared" ref="K1230:K1243" si="399">+H1230+J1230</f>
        <v>28</v>
      </c>
      <c r="L1230" s="862">
        <f t="shared" ref="L1230:L1243" si="400">+G1230-K1230</f>
        <v>252</v>
      </c>
      <c r="M1230" s="740">
        <f t="shared" si="397"/>
        <v>56</v>
      </c>
      <c r="N1230" s="604">
        <f t="shared" si="387"/>
        <v>56</v>
      </c>
      <c r="O1230" s="604">
        <f t="shared" si="388"/>
        <v>56</v>
      </c>
      <c r="P1230" s="604">
        <f t="shared" si="389"/>
        <v>56</v>
      </c>
      <c r="Q1230" s="604">
        <f t="shared" si="385"/>
        <v>28</v>
      </c>
      <c r="R1230" s="604">
        <f t="shared" si="390"/>
        <v>0</v>
      </c>
      <c r="S1230" s="604">
        <f t="shared" si="391"/>
        <v>0</v>
      </c>
      <c r="T1230" s="604">
        <f t="shared" si="392"/>
        <v>0</v>
      </c>
      <c r="U1230" s="604">
        <f t="shared" si="393"/>
        <v>0</v>
      </c>
      <c r="V1230" s="604">
        <f t="shared" si="394"/>
        <v>0</v>
      </c>
      <c r="W1230" s="604">
        <f t="shared" si="395"/>
        <v>0</v>
      </c>
      <c r="X1230" s="746">
        <v>28</v>
      </c>
      <c r="Y1230" s="746">
        <f t="shared" si="396"/>
        <v>0</v>
      </c>
    </row>
    <row r="1231" spans="2:25">
      <c r="B1231" s="598" t="s">
        <v>2595</v>
      </c>
      <c r="C1231" s="604" t="s">
        <v>1102</v>
      </c>
      <c r="D1231" s="745">
        <v>2022</v>
      </c>
      <c r="E1231" s="604" t="s">
        <v>2571</v>
      </c>
      <c r="F1231" s="738">
        <v>0.2</v>
      </c>
      <c r="G1231" s="739">
        <v>255</v>
      </c>
      <c r="H1231" s="741">
        <v>0</v>
      </c>
      <c r="I1231" s="742">
        <f t="shared" si="398"/>
        <v>255</v>
      </c>
      <c r="J1231" s="740">
        <f t="shared" si="386"/>
        <v>25.5</v>
      </c>
      <c r="K1231" s="739">
        <f t="shared" si="399"/>
        <v>25.5</v>
      </c>
      <c r="L1231" s="862">
        <f t="shared" si="400"/>
        <v>229.5</v>
      </c>
      <c r="M1231" s="740">
        <f t="shared" si="397"/>
        <v>51</v>
      </c>
      <c r="N1231" s="604">
        <f t="shared" si="387"/>
        <v>51</v>
      </c>
      <c r="O1231" s="604">
        <f t="shared" si="388"/>
        <v>51</v>
      </c>
      <c r="P1231" s="604">
        <f t="shared" si="389"/>
        <v>51</v>
      </c>
      <c r="Q1231" s="604">
        <f t="shared" si="385"/>
        <v>25.5</v>
      </c>
      <c r="R1231" s="604">
        <f t="shared" si="390"/>
        <v>0</v>
      </c>
      <c r="S1231" s="604">
        <f t="shared" si="391"/>
        <v>0</v>
      </c>
      <c r="T1231" s="604">
        <f t="shared" si="392"/>
        <v>0</v>
      </c>
      <c r="U1231" s="604">
        <f t="shared" si="393"/>
        <v>0</v>
      </c>
      <c r="V1231" s="604">
        <f t="shared" si="394"/>
        <v>0</v>
      </c>
      <c r="W1231" s="604">
        <f t="shared" si="395"/>
        <v>0</v>
      </c>
      <c r="X1231" s="746">
        <v>25.5</v>
      </c>
      <c r="Y1231" s="746">
        <f t="shared" si="396"/>
        <v>0</v>
      </c>
    </row>
    <row r="1232" spans="2:25">
      <c r="B1232" s="598" t="s">
        <v>2595</v>
      </c>
      <c r="C1232" s="604" t="s">
        <v>1102</v>
      </c>
      <c r="D1232" s="745">
        <v>2022</v>
      </c>
      <c r="E1232" s="604" t="s">
        <v>2572</v>
      </c>
      <c r="F1232" s="738">
        <v>0.2</v>
      </c>
      <c r="G1232" s="739">
        <v>255</v>
      </c>
      <c r="H1232" s="741">
        <v>0</v>
      </c>
      <c r="I1232" s="742">
        <f t="shared" si="398"/>
        <v>255</v>
      </c>
      <c r="J1232" s="740">
        <f t="shared" si="386"/>
        <v>25.5</v>
      </c>
      <c r="K1232" s="739">
        <f t="shared" si="399"/>
        <v>25.5</v>
      </c>
      <c r="L1232" s="862">
        <f t="shared" si="400"/>
        <v>229.5</v>
      </c>
      <c r="M1232" s="740">
        <f t="shared" si="397"/>
        <v>51</v>
      </c>
      <c r="N1232" s="604">
        <f t="shared" si="387"/>
        <v>51</v>
      </c>
      <c r="O1232" s="604">
        <f t="shared" si="388"/>
        <v>51</v>
      </c>
      <c r="P1232" s="604">
        <f t="shared" si="389"/>
        <v>51</v>
      </c>
      <c r="Q1232" s="604">
        <f t="shared" si="385"/>
        <v>25.5</v>
      </c>
      <c r="R1232" s="604">
        <f t="shared" si="390"/>
        <v>0</v>
      </c>
      <c r="S1232" s="604">
        <f t="shared" si="391"/>
        <v>0</v>
      </c>
      <c r="T1232" s="604">
        <f t="shared" si="392"/>
        <v>0</v>
      </c>
      <c r="U1232" s="604">
        <f t="shared" si="393"/>
        <v>0</v>
      </c>
      <c r="V1232" s="604">
        <f t="shared" si="394"/>
        <v>0</v>
      </c>
      <c r="W1232" s="604">
        <f t="shared" si="395"/>
        <v>0</v>
      </c>
      <c r="X1232" s="746">
        <v>25.5</v>
      </c>
      <c r="Y1232" s="746">
        <f t="shared" si="396"/>
        <v>0</v>
      </c>
    </row>
    <row r="1233" spans="2:27">
      <c r="B1233" s="598" t="s">
        <v>2595</v>
      </c>
      <c r="C1233" s="604" t="s">
        <v>1102</v>
      </c>
      <c r="D1233" s="745">
        <v>2022</v>
      </c>
      <c r="E1233" s="604" t="s">
        <v>2573</v>
      </c>
      <c r="F1233" s="738">
        <v>0.2</v>
      </c>
      <c r="G1233" s="739">
        <v>10409.84</v>
      </c>
      <c r="H1233" s="741">
        <v>0</v>
      </c>
      <c r="I1233" s="742">
        <f t="shared" si="398"/>
        <v>10409.84</v>
      </c>
      <c r="J1233" s="740">
        <f t="shared" si="386"/>
        <v>1040.9840000000002</v>
      </c>
      <c r="K1233" s="739">
        <f t="shared" si="399"/>
        <v>1040.9840000000002</v>
      </c>
      <c r="L1233" s="862">
        <f t="shared" si="400"/>
        <v>9368.8559999999998</v>
      </c>
      <c r="M1233" s="740">
        <f t="shared" si="397"/>
        <v>2081.9680000000003</v>
      </c>
      <c r="N1233" s="604">
        <f t="shared" si="387"/>
        <v>2081.9680000000003</v>
      </c>
      <c r="O1233" s="604">
        <f t="shared" si="388"/>
        <v>2081.9680000000003</v>
      </c>
      <c r="P1233" s="604">
        <f t="shared" si="389"/>
        <v>2081.9680000000003</v>
      </c>
      <c r="Q1233" s="604">
        <f t="shared" si="385"/>
        <v>1040.9839999999981</v>
      </c>
      <c r="R1233" s="604">
        <f t="shared" si="390"/>
        <v>0</v>
      </c>
      <c r="S1233" s="604">
        <f t="shared" si="391"/>
        <v>0</v>
      </c>
      <c r="T1233" s="604">
        <f t="shared" si="392"/>
        <v>0</v>
      </c>
      <c r="U1233" s="604">
        <f t="shared" si="393"/>
        <v>0</v>
      </c>
      <c r="V1233" s="604">
        <f t="shared" si="394"/>
        <v>0</v>
      </c>
      <c r="W1233" s="604">
        <f t="shared" si="395"/>
        <v>0</v>
      </c>
      <c r="X1233" s="746">
        <v>1040.9840000000022</v>
      </c>
      <c r="Y1233" s="746">
        <f t="shared" si="396"/>
        <v>0</v>
      </c>
    </row>
    <row r="1234" spans="2:27">
      <c r="B1234" s="598" t="s">
        <v>2595</v>
      </c>
      <c r="C1234" s="604" t="s">
        <v>1102</v>
      </c>
      <c r="D1234" s="745">
        <v>2022</v>
      </c>
      <c r="E1234" s="604" t="s">
        <v>2574</v>
      </c>
      <c r="F1234" s="738">
        <v>0.2</v>
      </c>
      <c r="G1234" s="739">
        <v>10409.84</v>
      </c>
      <c r="H1234" s="741">
        <v>0</v>
      </c>
      <c r="I1234" s="742">
        <f t="shared" si="398"/>
        <v>10409.84</v>
      </c>
      <c r="J1234" s="740">
        <f t="shared" si="386"/>
        <v>1040.9840000000002</v>
      </c>
      <c r="K1234" s="739">
        <f t="shared" si="399"/>
        <v>1040.9840000000002</v>
      </c>
      <c r="L1234" s="862">
        <f t="shared" si="400"/>
        <v>9368.8559999999998</v>
      </c>
      <c r="M1234" s="740">
        <f t="shared" si="397"/>
        <v>2081.9680000000003</v>
      </c>
      <c r="N1234" s="604">
        <f t="shared" si="387"/>
        <v>2081.9680000000003</v>
      </c>
      <c r="O1234" s="604">
        <f t="shared" si="388"/>
        <v>2081.9680000000003</v>
      </c>
      <c r="P1234" s="604">
        <f t="shared" si="389"/>
        <v>2081.9680000000003</v>
      </c>
      <c r="Q1234" s="604">
        <f t="shared" si="385"/>
        <v>1040.9839999999981</v>
      </c>
      <c r="R1234" s="604">
        <f t="shared" si="390"/>
        <v>0</v>
      </c>
      <c r="S1234" s="604">
        <f t="shared" si="391"/>
        <v>0</v>
      </c>
      <c r="T1234" s="604">
        <f t="shared" si="392"/>
        <v>0</v>
      </c>
      <c r="U1234" s="604">
        <f t="shared" si="393"/>
        <v>0</v>
      </c>
      <c r="V1234" s="604">
        <f t="shared" si="394"/>
        <v>0</v>
      </c>
      <c r="W1234" s="604">
        <f t="shared" si="395"/>
        <v>0</v>
      </c>
      <c r="X1234" s="746">
        <v>1040.9840000000022</v>
      </c>
      <c r="Y1234" s="746">
        <f t="shared" si="396"/>
        <v>0</v>
      </c>
    </row>
    <row r="1235" spans="2:27">
      <c r="B1235" s="598" t="s">
        <v>2595</v>
      </c>
      <c r="C1235" s="604" t="s">
        <v>1102</v>
      </c>
      <c r="D1235" s="745">
        <v>2022</v>
      </c>
      <c r="E1235" s="604" t="s">
        <v>2575</v>
      </c>
      <c r="F1235" s="738">
        <v>0.2</v>
      </c>
      <c r="G1235" s="739">
        <v>300</v>
      </c>
      <c r="H1235" s="741">
        <v>0</v>
      </c>
      <c r="I1235" s="742">
        <f t="shared" si="398"/>
        <v>300</v>
      </c>
      <c r="J1235" s="740">
        <f t="shared" si="386"/>
        <v>30</v>
      </c>
      <c r="K1235" s="739">
        <f t="shared" si="399"/>
        <v>30</v>
      </c>
      <c r="L1235" s="862">
        <f t="shared" si="400"/>
        <v>270</v>
      </c>
      <c r="M1235" s="740">
        <f t="shared" si="397"/>
        <v>60</v>
      </c>
      <c r="N1235" s="604">
        <f t="shared" si="387"/>
        <v>60</v>
      </c>
      <c r="O1235" s="604">
        <f t="shared" si="388"/>
        <v>60</v>
      </c>
      <c r="P1235" s="604">
        <f t="shared" si="389"/>
        <v>60</v>
      </c>
      <c r="Q1235" s="604">
        <f t="shared" si="385"/>
        <v>30</v>
      </c>
      <c r="R1235" s="604">
        <f t="shared" si="390"/>
        <v>0</v>
      </c>
      <c r="S1235" s="604">
        <f t="shared" si="391"/>
        <v>0</v>
      </c>
      <c r="T1235" s="604">
        <f t="shared" si="392"/>
        <v>0</v>
      </c>
      <c r="U1235" s="604">
        <f t="shared" si="393"/>
        <v>0</v>
      </c>
      <c r="V1235" s="604">
        <f t="shared" si="394"/>
        <v>0</v>
      </c>
      <c r="W1235" s="604">
        <f t="shared" si="395"/>
        <v>0</v>
      </c>
      <c r="X1235" s="746">
        <v>30</v>
      </c>
      <c r="Y1235" s="746">
        <f t="shared" si="396"/>
        <v>0</v>
      </c>
    </row>
    <row r="1236" spans="2:27">
      <c r="B1236" s="598" t="s">
        <v>2595</v>
      </c>
      <c r="C1236" s="604" t="s">
        <v>1102</v>
      </c>
      <c r="D1236" s="745">
        <v>2022</v>
      </c>
      <c r="E1236" s="604" t="s">
        <v>2576</v>
      </c>
      <c r="F1236" s="738">
        <v>0.2</v>
      </c>
      <c r="G1236" s="739">
        <v>145</v>
      </c>
      <c r="H1236" s="741">
        <v>0</v>
      </c>
      <c r="I1236" s="742">
        <f t="shared" si="398"/>
        <v>145</v>
      </c>
      <c r="J1236" s="740">
        <f t="shared" si="386"/>
        <v>14.5</v>
      </c>
      <c r="K1236" s="739">
        <f t="shared" si="399"/>
        <v>14.5</v>
      </c>
      <c r="L1236" s="862">
        <f t="shared" si="400"/>
        <v>130.5</v>
      </c>
      <c r="M1236" s="740">
        <f t="shared" si="397"/>
        <v>29</v>
      </c>
      <c r="N1236" s="604">
        <f t="shared" si="387"/>
        <v>29</v>
      </c>
      <c r="O1236" s="604">
        <f t="shared" si="388"/>
        <v>29</v>
      </c>
      <c r="P1236" s="604">
        <f t="shared" si="389"/>
        <v>29</v>
      </c>
      <c r="Q1236" s="604">
        <f t="shared" si="385"/>
        <v>14.5</v>
      </c>
      <c r="R1236" s="604">
        <f t="shared" si="390"/>
        <v>0</v>
      </c>
      <c r="S1236" s="604">
        <f t="shared" si="391"/>
        <v>0</v>
      </c>
      <c r="T1236" s="604">
        <f t="shared" si="392"/>
        <v>0</v>
      </c>
      <c r="U1236" s="604">
        <f t="shared" si="393"/>
        <v>0</v>
      </c>
      <c r="V1236" s="604">
        <f t="shared" si="394"/>
        <v>0</v>
      </c>
      <c r="W1236" s="604">
        <f t="shared" si="395"/>
        <v>0</v>
      </c>
      <c r="X1236" s="746">
        <v>14.5</v>
      </c>
      <c r="Y1236" s="746">
        <f t="shared" si="396"/>
        <v>0</v>
      </c>
    </row>
    <row r="1237" spans="2:27">
      <c r="B1237" s="598" t="s">
        <v>2595</v>
      </c>
      <c r="C1237" s="604" t="s">
        <v>1102</v>
      </c>
      <c r="D1237" s="745">
        <v>2022</v>
      </c>
      <c r="E1237" s="604" t="s">
        <v>2577</v>
      </c>
      <c r="F1237" s="738">
        <v>0.2</v>
      </c>
      <c r="G1237" s="739">
        <v>145</v>
      </c>
      <c r="H1237" s="741">
        <v>0</v>
      </c>
      <c r="I1237" s="742">
        <f t="shared" si="398"/>
        <v>145</v>
      </c>
      <c r="J1237" s="740">
        <f t="shared" si="386"/>
        <v>14.5</v>
      </c>
      <c r="K1237" s="739">
        <f t="shared" si="399"/>
        <v>14.5</v>
      </c>
      <c r="L1237" s="862">
        <f t="shared" si="400"/>
        <v>130.5</v>
      </c>
      <c r="M1237" s="740">
        <f t="shared" si="397"/>
        <v>29</v>
      </c>
      <c r="N1237" s="604">
        <f t="shared" si="387"/>
        <v>29</v>
      </c>
      <c r="O1237" s="604">
        <f t="shared" si="388"/>
        <v>29</v>
      </c>
      <c r="P1237" s="604">
        <f t="shared" si="389"/>
        <v>29</v>
      </c>
      <c r="Q1237" s="604">
        <f t="shared" si="385"/>
        <v>14.5</v>
      </c>
      <c r="R1237" s="604">
        <f t="shared" si="390"/>
        <v>0</v>
      </c>
      <c r="S1237" s="604">
        <f t="shared" si="391"/>
        <v>0</v>
      </c>
      <c r="T1237" s="604">
        <f t="shared" si="392"/>
        <v>0</v>
      </c>
      <c r="U1237" s="604">
        <f t="shared" si="393"/>
        <v>0</v>
      </c>
      <c r="V1237" s="604">
        <f t="shared" si="394"/>
        <v>0</v>
      </c>
      <c r="W1237" s="604">
        <f t="shared" si="395"/>
        <v>0</v>
      </c>
      <c r="X1237" s="746">
        <v>14.5</v>
      </c>
      <c r="Y1237" s="746">
        <f t="shared" si="396"/>
        <v>0</v>
      </c>
    </row>
    <row r="1238" spans="2:27">
      <c r="B1238" s="598" t="s">
        <v>2595</v>
      </c>
      <c r="C1238" s="604" t="s">
        <v>1102</v>
      </c>
      <c r="D1238" s="745">
        <v>2022</v>
      </c>
      <c r="E1238" s="604" t="s">
        <v>2578</v>
      </c>
      <c r="F1238" s="738">
        <v>0.2</v>
      </c>
      <c r="G1238" s="739">
        <v>145</v>
      </c>
      <c r="H1238" s="741">
        <v>0</v>
      </c>
      <c r="I1238" s="742">
        <f t="shared" si="398"/>
        <v>145</v>
      </c>
      <c r="J1238" s="740">
        <f t="shared" si="386"/>
        <v>14.5</v>
      </c>
      <c r="K1238" s="739">
        <f t="shared" si="399"/>
        <v>14.5</v>
      </c>
      <c r="L1238" s="862">
        <f t="shared" si="400"/>
        <v>130.5</v>
      </c>
      <c r="M1238" s="740">
        <f t="shared" si="397"/>
        <v>29</v>
      </c>
      <c r="N1238" s="604">
        <f t="shared" si="387"/>
        <v>29</v>
      </c>
      <c r="O1238" s="604">
        <f t="shared" si="388"/>
        <v>29</v>
      </c>
      <c r="P1238" s="604">
        <f t="shared" si="389"/>
        <v>29</v>
      </c>
      <c r="Q1238" s="604">
        <f t="shared" si="385"/>
        <v>14.5</v>
      </c>
      <c r="R1238" s="604">
        <f t="shared" si="390"/>
        <v>0</v>
      </c>
      <c r="S1238" s="604">
        <f t="shared" si="391"/>
        <v>0</v>
      </c>
      <c r="T1238" s="604">
        <f t="shared" si="392"/>
        <v>0</v>
      </c>
      <c r="U1238" s="604">
        <f t="shared" si="393"/>
        <v>0</v>
      </c>
      <c r="V1238" s="604">
        <f t="shared" si="394"/>
        <v>0</v>
      </c>
      <c r="W1238" s="604">
        <f t="shared" si="395"/>
        <v>0</v>
      </c>
      <c r="X1238" s="746">
        <v>14.5</v>
      </c>
      <c r="Y1238" s="746">
        <f t="shared" si="396"/>
        <v>0</v>
      </c>
    </row>
    <row r="1239" spans="2:27">
      <c r="B1239" s="598" t="s">
        <v>2595</v>
      </c>
      <c r="C1239" s="604" t="s">
        <v>1102</v>
      </c>
      <c r="D1239" s="745">
        <v>2022</v>
      </c>
      <c r="E1239" s="604" t="s">
        <v>2579</v>
      </c>
      <c r="F1239" s="738">
        <v>0.2</v>
      </c>
      <c r="G1239" s="739">
        <v>145</v>
      </c>
      <c r="H1239" s="741">
        <v>0</v>
      </c>
      <c r="I1239" s="742">
        <f t="shared" si="398"/>
        <v>145</v>
      </c>
      <c r="J1239" s="740">
        <f t="shared" si="386"/>
        <v>14.5</v>
      </c>
      <c r="K1239" s="739">
        <f t="shared" si="399"/>
        <v>14.5</v>
      </c>
      <c r="L1239" s="862">
        <f t="shared" si="400"/>
        <v>130.5</v>
      </c>
      <c r="M1239" s="740">
        <f t="shared" si="397"/>
        <v>29</v>
      </c>
      <c r="N1239" s="604">
        <f t="shared" si="387"/>
        <v>29</v>
      </c>
      <c r="O1239" s="604">
        <f t="shared" si="388"/>
        <v>29</v>
      </c>
      <c r="P1239" s="604">
        <f t="shared" si="389"/>
        <v>29</v>
      </c>
      <c r="Q1239" s="604">
        <f t="shared" si="385"/>
        <v>14.5</v>
      </c>
      <c r="R1239" s="604">
        <f t="shared" si="390"/>
        <v>0</v>
      </c>
      <c r="S1239" s="604">
        <f t="shared" si="391"/>
        <v>0</v>
      </c>
      <c r="T1239" s="604">
        <f t="shared" si="392"/>
        <v>0</v>
      </c>
      <c r="U1239" s="604">
        <f t="shared" si="393"/>
        <v>0</v>
      </c>
      <c r="V1239" s="604">
        <f t="shared" si="394"/>
        <v>0</v>
      </c>
      <c r="W1239" s="604">
        <f t="shared" si="395"/>
        <v>0</v>
      </c>
      <c r="X1239" s="746">
        <v>14.5</v>
      </c>
      <c r="Y1239" s="746">
        <f t="shared" si="396"/>
        <v>0</v>
      </c>
    </row>
    <row r="1240" spans="2:27">
      <c r="B1240" s="598" t="s">
        <v>2595</v>
      </c>
      <c r="C1240" s="604" t="s">
        <v>1102</v>
      </c>
      <c r="D1240" s="745">
        <v>2022</v>
      </c>
      <c r="E1240" s="604" t="s">
        <v>2580</v>
      </c>
      <c r="F1240" s="738">
        <v>0.2</v>
      </c>
      <c r="G1240" s="739">
        <v>11000</v>
      </c>
      <c r="H1240" s="741">
        <v>0</v>
      </c>
      <c r="I1240" s="742">
        <f t="shared" si="398"/>
        <v>11000</v>
      </c>
      <c r="J1240" s="740">
        <f t="shared" si="386"/>
        <v>1100</v>
      </c>
      <c r="K1240" s="739">
        <f t="shared" si="399"/>
        <v>1100</v>
      </c>
      <c r="L1240" s="862">
        <f t="shared" si="400"/>
        <v>9900</v>
      </c>
      <c r="M1240" s="740">
        <f t="shared" si="397"/>
        <v>2200</v>
      </c>
      <c r="N1240" s="604">
        <f t="shared" si="387"/>
        <v>2200</v>
      </c>
      <c r="O1240" s="604">
        <f t="shared" si="388"/>
        <v>2200</v>
      </c>
      <c r="P1240" s="604">
        <f t="shared" si="389"/>
        <v>2200</v>
      </c>
      <c r="Q1240" s="604">
        <f t="shared" si="385"/>
        <v>1100</v>
      </c>
      <c r="R1240" s="604">
        <f t="shared" si="390"/>
        <v>0</v>
      </c>
      <c r="S1240" s="604">
        <f t="shared" si="391"/>
        <v>0</v>
      </c>
      <c r="T1240" s="604">
        <f t="shared" si="392"/>
        <v>0</v>
      </c>
      <c r="U1240" s="604">
        <f t="shared" si="393"/>
        <v>0</v>
      </c>
      <c r="V1240" s="604">
        <f t="shared" si="394"/>
        <v>0</v>
      </c>
      <c r="W1240" s="604">
        <f t="shared" si="395"/>
        <v>0</v>
      </c>
      <c r="X1240" s="746">
        <v>1100</v>
      </c>
      <c r="Y1240" s="746">
        <f t="shared" si="396"/>
        <v>0</v>
      </c>
    </row>
    <row r="1241" spans="2:27">
      <c r="B1241" s="598" t="s">
        <v>2595</v>
      </c>
      <c r="C1241" s="604" t="s">
        <v>1102</v>
      </c>
      <c r="D1241" s="745">
        <v>2022</v>
      </c>
      <c r="E1241" s="604" t="s">
        <v>2581</v>
      </c>
      <c r="F1241" s="738">
        <v>0.2</v>
      </c>
      <c r="G1241" s="739">
        <v>215</v>
      </c>
      <c r="H1241" s="741">
        <v>0</v>
      </c>
      <c r="I1241" s="742">
        <f t="shared" si="398"/>
        <v>215</v>
      </c>
      <c r="J1241" s="740">
        <f t="shared" si="386"/>
        <v>21.5</v>
      </c>
      <c r="K1241" s="739">
        <f t="shared" si="399"/>
        <v>21.5</v>
      </c>
      <c r="L1241" s="862">
        <f t="shared" si="400"/>
        <v>193.5</v>
      </c>
      <c r="M1241" s="740">
        <f t="shared" si="397"/>
        <v>43</v>
      </c>
      <c r="N1241" s="604">
        <f t="shared" si="387"/>
        <v>43</v>
      </c>
      <c r="O1241" s="604">
        <f t="shared" si="388"/>
        <v>43</v>
      </c>
      <c r="P1241" s="604">
        <f t="shared" si="389"/>
        <v>43</v>
      </c>
      <c r="Q1241" s="604">
        <f t="shared" si="385"/>
        <v>21.5</v>
      </c>
      <c r="R1241" s="604">
        <f t="shared" si="390"/>
        <v>0</v>
      </c>
      <c r="S1241" s="604">
        <f t="shared" si="391"/>
        <v>0</v>
      </c>
      <c r="T1241" s="604">
        <f t="shared" si="392"/>
        <v>0</v>
      </c>
      <c r="U1241" s="604">
        <f t="shared" si="393"/>
        <v>0</v>
      </c>
      <c r="V1241" s="604">
        <f t="shared" si="394"/>
        <v>0</v>
      </c>
      <c r="W1241" s="604">
        <f t="shared" si="395"/>
        <v>0</v>
      </c>
      <c r="X1241" s="746">
        <v>21.5</v>
      </c>
      <c r="Y1241" s="746">
        <f t="shared" si="396"/>
        <v>0</v>
      </c>
    </row>
    <row r="1242" spans="2:27">
      <c r="B1242" s="598" t="s">
        <v>2595</v>
      </c>
      <c r="C1242" s="604" t="s">
        <v>1102</v>
      </c>
      <c r="D1242" s="745">
        <v>2022</v>
      </c>
      <c r="E1242" s="604" t="s">
        <v>2582</v>
      </c>
      <c r="F1242" s="738">
        <v>0.2</v>
      </c>
      <c r="G1242" s="739">
        <v>215</v>
      </c>
      <c r="H1242" s="741">
        <v>0</v>
      </c>
      <c r="I1242" s="742">
        <f t="shared" si="398"/>
        <v>215</v>
      </c>
      <c r="J1242" s="740">
        <f t="shared" si="386"/>
        <v>21.5</v>
      </c>
      <c r="K1242" s="739">
        <f t="shared" si="399"/>
        <v>21.5</v>
      </c>
      <c r="L1242" s="862">
        <f t="shared" si="400"/>
        <v>193.5</v>
      </c>
      <c r="M1242" s="740">
        <f t="shared" si="397"/>
        <v>43</v>
      </c>
      <c r="N1242" s="604">
        <f t="shared" si="387"/>
        <v>43</v>
      </c>
      <c r="O1242" s="604">
        <f t="shared" si="388"/>
        <v>43</v>
      </c>
      <c r="P1242" s="604">
        <f t="shared" si="389"/>
        <v>43</v>
      </c>
      <c r="Q1242" s="604">
        <f t="shared" si="385"/>
        <v>21.5</v>
      </c>
      <c r="R1242" s="604">
        <f t="shared" si="390"/>
        <v>0</v>
      </c>
      <c r="S1242" s="604">
        <f t="shared" si="391"/>
        <v>0</v>
      </c>
      <c r="T1242" s="604">
        <f t="shared" si="392"/>
        <v>0</v>
      </c>
      <c r="U1242" s="604">
        <f t="shared" si="393"/>
        <v>0</v>
      </c>
      <c r="V1242" s="604">
        <f t="shared" si="394"/>
        <v>0</v>
      </c>
      <c r="W1242" s="604">
        <f t="shared" si="395"/>
        <v>0</v>
      </c>
      <c r="X1242" s="746">
        <v>21.5</v>
      </c>
      <c r="Y1242" s="746">
        <f t="shared" si="396"/>
        <v>0</v>
      </c>
    </row>
    <row r="1243" spans="2:27" ht="12.75" thickBot="1">
      <c r="B1243" s="598" t="s">
        <v>2595</v>
      </c>
      <c r="C1243" s="604" t="s">
        <v>1102</v>
      </c>
      <c r="D1243" s="745">
        <v>2022</v>
      </c>
      <c r="E1243" s="604" t="s">
        <v>2583</v>
      </c>
      <c r="F1243" s="738">
        <v>0.2</v>
      </c>
      <c r="G1243" s="739">
        <v>235</v>
      </c>
      <c r="H1243" s="741">
        <v>0</v>
      </c>
      <c r="I1243" s="742">
        <f t="shared" si="398"/>
        <v>235</v>
      </c>
      <c r="J1243" s="740">
        <f t="shared" si="386"/>
        <v>23.5</v>
      </c>
      <c r="K1243" s="739">
        <f t="shared" si="399"/>
        <v>23.5</v>
      </c>
      <c r="L1243" s="842">
        <f t="shared" si="400"/>
        <v>211.5</v>
      </c>
      <c r="M1243" s="740">
        <f t="shared" si="397"/>
        <v>47</v>
      </c>
      <c r="N1243" s="604">
        <f t="shared" si="387"/>
        <v>47</v>
      </c>
      <c r="O1243" s="604">
        <f t="shared" si="388"/>
        <v>47</v>
      </c>
      <c r="P1243" s="604">
        <f t="shared" si="389"/>
        <v>47</v>
      </c>
      <c r="Q1243" s="604">
        <f t="shared" si="385"/>
        <v>23.5</v>
      </c>
      <c r="R1243" s="604">
        <f t="shared" si="390"/>
        <v>0</v>
      </c>
      <c r="S1243" s="604">
        <f t="shared" si="391"/>
        <v>0</v>
      </c>
      <c r="T1243" s="604">
        <f t="shared" si="392"/>
        <v>0</v>
      </c>
      <c r="U1243" s="604">
        <f t="shared" si="393"/>
        <v>0</v>
      </c>
      <c r="V1243" s="604">
        <f t="shared" si="394"/>
        <v>0</v>
      </c>
      <c r="W1243" s="604">
        <f t="shared" si="395"/>
        <v>0</v>
      </c>
      <c r="X1243" s="746">
        <v>23.5</v>
      </c>
      <c r="Y1243" s="746">
        <f t="shared" si="396"/>
        <v>0</v>
      </c>
    </row>
    <row r="1244" spans="2:27">
      <c r="B1244" s="598" t="s">
        <v>2595</v>
      </c>
      <c r="C1244" s="604" t="s">
        <v>1103</v>
      </c>
      <c r="D1244" s="745">
        <v>2018</v>
      </c>
      <c r="E1244" s="604" t="s">
        <v>1732</v>
      </c>
      <c r="F1244" s="738">
        <v>0.25</v>
      </c>
      <c r="G1244" s="739">
        <v>9622</v>
      </c>
      <c r="H1244" s="741">
        <v>8419.25</v>
      </c>
      <c r="I1244" s="742">
        <f t="shared" ref="I1244:I1245" si="401">+G1244-H1244</f>
        <v>1202.75</v>
      </c>
      <c r="J1244" s="740">
        <f>IF(I1244=0,0,G1244*F1244/2)</f>
        <v>1202.75</v>
      </c>
      <c r="K1244" s="739">
        <f t="shared" ref="K1244:K1245" si="402">+H1244+J1244</f>
        <v>9622</v>
      </c>
      <c r="L1244" s="853">
        <f t="shared" ref="L1244:L1245" si="403">+G1244-K1244</f>
        <v>0</v>
      </c>
      <c r="M1244" s="740">
        <f t="shared" si="397"/>
        <v>0</v>
      </c>
      <c r="N1244" s="604">
        <f t="shared" si="387"/>
        <v>0</v>
      </c>
      <c r="O1244" s="604">
        <f t="shared" si="388"/>
        <v>0</v>
      </c>
      <c r="P1244" s="604">
        <f t="shared" si="389"/>
        <v>0</v>
      </c>
      <c r="Q1244" s="604">
        <f t="shared" ref="Q1244:Q1288" si="404">+IF(L1244-SUM(M1244:P1244)&gt;0,G1244*F1244,0)</f>
        <v>0</v>
      </c>
      <c r="R1244" s="604">
        <f t="shared" si="390"/>
        <v>0</v>
      </c>
      <c r="S1244" s="604">
        <f t="shared" si="391"/>
        <v>0</v>
      </c>
      <c r="T1244" s="604">
        <f t="shared" si="392"/>
        <v>0</v>
      </c>
      <c r="U1244" s="604">
        <f t="shared" si="393"/>
        <v>0</v>
      </c>
      <c r="V1244" s="604">
        <f t="shared" si="394"/>
        <v>0</v>
      </c>
      <c r="W1244" s="604">
        <f t="shared" si="395"/>
        <v>0</v>
      </c>
      <c r="X1244" s="746">
        <v>0</v>
      </c>
      <c r="Y1244" s="746">
        <f t="shared" si="396"/>
        <v>0</v>
      </c>
      <c r="Z1244" s="746">
        <f>+SUM(L1244:L1245)</f>
        <v>10282.035</v>
      </c>
    </row>
    <row r="1245" spans="2:27" ht="12.75" thickBot="1">
      <c r="B1245" s="598" t="s">
        <v>2595</v>
      </c>
      <c r="C1245" s="604" t="s">
        <v>1103</v>
      </c>
      <c r="D1245" s="745">
        <v>2021</v>
      </c>
      <c r="E1245" s="604" t="s">
        <v>1733</v>
      </c>
      <c r="F1245" s="738">
        <v>0.25</v>
      </c>
      <c r="G1245" s="739">
        <v>16451.259999999998</v>
      </c>
      <c r="H1245" s="741">
        <v>2056.41</v>
      </c>
      <c r="I1245" s="742">
        <f t="shared" si="401"/>
        <v>14394.849999999999</v>
      </c>
      <c r="J1245" s="740">
        <f>IF(I1245=0,0,G1245*F1245)</f>
        <v>4112.8149999999996</v>
      </c>
      <c r="K1245" s="739">
        <f t="shared" si="402"/>
        <v>6169.2249999999995</v>
      </c>
      <c r="L1245" s="855">
        <f t="shared" si="403"/>
        <v>10282.035</v>
      </c>
      <c r="M1245" s="740">
        <f t="shared" si="397"/>
        <v>4112.8149999999996</v>
      </c>
      <c r="N1245" s="604">
        <f t="shared" si="387"/>
        <v>4112.8149999999996</v>
      </c>
      <c r="O1245" s="604">
        <f>+IF(L1245-SUM(M1245:N1245)&gt;0,G1245*F1245,0)-X1245</f>
        <v>2056.4049999999997</v>
      </c>
      <c r="P1245" s="604">
        <f t="shared" si="389"/>
        <v>0</v>
      </c>
      <c r="Q1245" s="604">
        <f t="shared" si="404"/>
        <v>0</v>
      </c>
      <c r="R1245" s="604">
        <f t="shared" si="390"/>
        <v>0</v>
      </c>
      <c r="S1245" s="604">
        <f t="shared" si="391"/>
        <v>0</v>
      </c>
      <c r="T1245" s="604">
        <f t="shared" si="392"/>
        <v>0</v>
      </c>
      <c r="U1245" s="604">
        <f t="shared" si="393"/>
        <v>0</v>
      </c>
      <c r="V1245" s="604">
        <f t="shared" si="394"/>
        <v>0</v>
      </c>
      <c r="W1245" s="604">
        <f t="shared" si="395"/>
        <v>0</v>
      </c>
      <c r="X1245" s="746">
        <v>2056.41</v>
      </c>
      <c r="Y1245" s="746">
        <f t="shared" si="396"/>
        <v>0</v>
      </c>
      <c r="Z1245" s="746">
        <f>+Z1244-BdV!I43-BdV!I49</f>
        <v>5.0000000010186341E-3</v>
      </c>
      <c r="AA1245" s="598" t="s">
        <v>363</v>
      </c>
    </row>
    <row r="1246" spans="2:27">
      <c r="B1246" s="598" t="s">
        <v>2595</v>
      </c>
      <c r="C1246" s="604" t="s">
        <v>1108</v>
      </c>
      <c r="D1246" s="745">
        <v>2013</v>
      </c>
      <c r="E1246" s="604" t="s">
        <v>1734</v>
      </c>
      <c r="F1246" s="738">
        <v>0.2</v>
      </c>
      <c r="G1246" s="739">
        <v>33000</v>
      </c>
      <c r="H1246" s="741">
        <v>33000</v>
      </c>
      <c r="I1246" s="742">
        <f t="shared" ref="I1246:I1274" si="405">+G1246-H1246</f>
        <v>0</v>
      </c>
      <c r="J1246" s="740">
        <f t="shared" ref="J1246:J1259" si="406">IF(I1246=0,0,G1246*F1246)</f>
        <v>0</v>
      </c>
      <c r="K1246" s="739">
        <f t="shared" ref="K1246:K1274" si="407">+H1246+J1246</f>
        <v>33000</v>
      </c>
      <c r="L1246" s="849">
        <f t="shared" ref="L1246:L1274" si="408">+G1246-K1246</f>
        <v>0</v>
      </c>
      <c r="M1246" s="740">
        <f t="shared" si="397"/>
        <v>0</v>
      </c>
      <c r="N1246" s="604">
        <f t="shared" si="387"/>
        <v>0</v>
      </c>
      <c r="O1246" s="604">
        <f t="shared" si="388"/>
        <v>0</v>
      </c>
      <c r="P1246" s="604">
        <f t="shared" si="389"/>
        <v>0</v>
      </c>
      <c r="Q1246" s="604">
        <f t="shared" si="404"/>
        <v>0</v>
      </c>
      <c r="R1246" s="604">
        <f t="shared" si="390"/>
        <v>0</v>
      </c>
      <c r="S1246" s="604">
        <f t="shared" si="391"/>
        <v>0</v>
      </c>
      <c r="T1246" s="604">
        <f t="shared" si="392"/>
        <v>0</v>
      </c>
      <c r="U1246" s="604">
        <f t="shared" si="393"/>
        <v>0</v>
      </c>
      <c r="V1246" s="604">
        <f t="shared" si="394"/>
        <v>0</v>
      </c>
      <c r="W1246" s="604">
        <f t="shared" si="395"/>
        <v>0</v>
      </c>
      <c r="X1246" s="746">
        <v>0</v>
      </c>
      <c r="Y1246" s="746">
        <f t="shared" si="396"/>
        <v>0</v>
      </c>
      <c r="Z1246" s="746">
        <f>+SUM(L1246:L1274)</f>
        <v>133150</v>
      </c>
    </row>
    <row r="1247" spans="2:27">
      <c r="B1247" s="598" t="s">
        <v>2595</v>
      </c>
      <c r="C1247" s="604" t="s">
        <v>1108</v>
      </c>
      <c r="D1247" s="745">
        <v>2013</v>
      </c>
      <c r="E1247" s="604"/>
      <c r="F1247" s="738">
        <v>0.2</v>
      </c>
      <c r="G1247" s="739">
        <v>9621.5400000000009</v>
      </c>
      <c r="H1247" s="741">
        <v>9621.5400000000009</v>
      </c>
      <c r="I1247" s="742">
        <f t="shared" si="405"/>
        <v>0</v>
      </c>
      <c r="J1247" s="740">
        <f t="shared" si="406"/>
        <v>0</v>
      </c>
      <c r="K1247" s="739">
        <f t="shared" si="407"/>
        <v>9621.5400000000009</v>
      </c>
      <c r="L1247" s="850">
        <f t="shared" si="408"/>
        <v>0</v>
      </c>
      <c r="M1247" s="740">
        <f t="shared" si="397"/>
        <v>0</v>
      </c>
      <c r="N1247" s="604">
        <f t="shared" si="387"/>
        <v>0</v>
      </c>
      <c r="O1247" s="604">
        <f t="shared" si="388"/>
        <v>0</v>
      </c>
      <c r="P1247" s="604">
        <f t="shared" si="389"/>
        <v>0</v>
      </c>
      <c r="Q1247" s="604">
        <f t="shared" si="404"/>
        <v>0</v>
      </c>
      <c r="R1247" s="604">
        <f t="shared" si="390"/>
        <v>0</v>
      </c>
      <c r="S1247" s="604">
        <f t="shared" si="391"/>
        <v>0</v>
      </c>
      <c r="T1247" s="604">
        <f t="shared" si="392"/>
        <v>0</v>
      </c>
      <c r="U1247" s="604">
        <f t="shared" si="393"/>
        <v>0</v>
      </c>
      <c r="V1247" s="604">
        <f t="shared" si="394"/>
        <v>0</v>
      </c>
      <c r="W1247" s="604">
        <f t="shared" si="395"/>
        <v>0</v>
      </c>
      <c r="X1247" s="746">
        <v>0</v>
      </c>
      <c r="Y1247" s="746">
        <f t="shared" si="396"/>
        <v>0</v>
      </c>
      <c r="Z1247" s="746">
        <f>+Z1246-BdV!I29-BdV!I32</f>
        <v>0</v>
      </c>
      <c r="AA1247" s="598" t="s">
        <v>363</v>
      </c>
    </row>
    <row r="1248" spans="2:27">
      <c r="B1248" s="598" t="s">
        <v>2595</v>
      </c>
      <c r="C1248" s="604" t="s">
        <v>1108</v>
      </c>
      <c r="D1248" s="745">
        <v>2013</v>
      </c>
      <c r="E1248" s="604" t="s">
        <v>1735</v>
      </c>
      <c r="F1248" s="738">
        <v>0.2</v>
      </c>
      <c r="G1248" s="739">
        <v>12000</v>
      </c>
      <c r="H1248" s="741">
        <v>12000</v>
      </c>
      <c r="I1248" s="742">
        <f t="shared" si="405"/>
        <v>0</v>
      </c>
      <c r="J1248" s="740">
        <f t="shared" si="406"/>
        <v>0</v>
      </c>
      <c r="K1248" s="739">
        <f t="shared" si="407"/>
        <v>12000</v>
      </c>
      <c r="L1248" s="850">
        <f t="shared" si="408"/>
        <v>0</v>
      </c>
      <c r="M1248" s="740">
        <f t="shared" si="397"/>
        <v>0</v>
      </c>
      <c r="N1248" s="604">
        <f t="shared" si="387"/>
        <v>0</v>
      </c>
      <c r="O1248" s="604">
        <f t="shared" si="388"/>
        <v>0</v>
      </c>
      <c r="P1248" s="604">
        <f t="shared" si="389"/>
        <v>0</v>
      </c>
      <c r="Q1248" s="604">
        <f t="shared" si="404"/>
        <v>0</v>
      </c>
      <c r="R1248" s="604">
        <f t="shared" si="390"/>
        <v>0</v>
      </c>
      <c r="S1248" s="604">
        <f t="shared" si="391"/>
        <v>0</v>
      </c>
      <c r="T1248" s="604">
        <f t="shared" si="392"/>
        <v>0</v>
      </c>
      <c r="U1248" s="604">
        <f t="shared" si="393"/>
        <v>0</v>
      </c>
      <c r="V1248" s="604">
        <f t="shared" si="394"/>
        <v>0</v>
      </c>
      <c r="W1248" s="604">
        <f t="shared" si="395"/>
        <v>0</v>
      </c>
      <c r="X1248" s="746">
        <v>0</v>
      </c>
      <c r="Y1248" s="746">
        <f t="shared" si="396"/>
        <v>0</v>
      </c>
    </row>
    <row r="1249" spans="2:25">
      <c r="B1249" s="598" t="s">
        <v>2595</v>
      </c>
      <c r="C1249" s="604" t="s">
        <v>1108</v>
      </c>
      <c r="D1249" s="745">
        <v>2013</v>
      </c>
      <c r="E1249" s="604" t="s">
        <v>1736</v>
      </c>
      <c r="F1249" s="738">
        <v>0.2</v>
      </c>
      <c r="G1249" s="739">
        <v>25900</v>
      </c>
      <c r="H1249" s="741">
        <v>25900</v>
      </c>
      <c r="I1249" s="742">
        <f t="shared" si="405"/>
        <v>0</v>
      </c>
      <c r="J1249" s="740">
        <f t="shared" si="406"/>
        <v>0</v>
      </c>
      <c r="K1249" s="739">
        <f t="shared" si="407"/>
        <v>25900</v>
      </c>
      <c r="L1249" s="850">
        <f t="shared" si="408"/>
        <v>0</v>
      </c>
      <c r="M1249" s="740">
        <f t="shared" si="397"/>
        <v>0</v>
      </c>
      <c r="N1249" s="604">
        <f t="shared" si="387"/>
        <v>0</v>
      </c>
      <c r="O1249" s="604">
        <f t="shared" si="388"/>
        <v>0</v>
      </c>
      <c r="P1249" s="604">
        <f t="shared" si="389"/>
        <v>0</v>
      </c>
      <c r="Q1249" s="604">
        <f t="shared" si="404"/>
        <v>0</v>
      </c>
      <c r="R1249" s="604">
        <f t="shared" si="390"/>
        <v>0</v>
      </c>
      <c r="S1249" s="604">
        <f t="shared" si="391"/>
        <v>0</v>
      </c>
      <c r="T1249" s="604">
        <f t="shared" si="392"/>
        <v>0</v>
      </c>
      <c r="U1249" s="604">
        <f t="shared" si="393"/>
        <v>0</v>
      </c>
      <c r="V1249" s="604">
        <f t="shared" si="394"/>
        <v>0</v>
      </c>
      <c r="W1249" s="604">
        <f t="shared" si="395"/>
        <v>0</v>
      </c>
      <c r="X1249" s="746">
        <v>0</v>
      </c>
      <c r="Y1249" s="746">
        <f t="shared" si="396"/>
        <v>0</v>
      </c>
    </row>
    <row r="1250" spans="2:25">
      <c r="B1250" s="598" t="s">
        <v>2595</v>
      </c>
      <c r="C1250" s="604" t="s">
        <v>1108</v>
      </c>
      <c r="D1250" s="745">
        <v>2014</v>
      </c>
      <c r="E1250" s="604" t="s">
        <v>1737</v>
      </c>
      <c r="F1250" s="738">
        <v>0.2</v>
      </c>
      <c r="G1250" s="739">
        <v>24000</v>
      </c>
      <c r="H1250" s="741">
        <v>24000</v>
      </c>
      <c r="I1250" s="742">
        <f t="shared" si="405"/>
        <v>0</v>
      </c>
      <c r="J1250" s="740">
        <f t="shared" si="406"/>
        <v>0</v>
      </c>
      <c r="K1250" s="739">
        <f t="shared" si="407"/>
        <v>24000</v>
      </c>
      <c r="L1250" s="850">
        <f t="shared" si="408"/>
        <v>0</v>
      </c>
      <c r="M1250" s="740">
        <f t="shared" si="397"/>
        <v>0</v>
      </c>
      <c r="N1250" s="604">
        <f t="shared" si="387"/>
        <v>0</v>
      </c>
      <c r="O1250" s="604">
        <f t="shared" si="388"/>
        <v>0</v>
      </c>
      <c r="P1250" s="604">
        <f t="shared" si="389"/>
        <v>0</v>
      </c>
      <c r="Q1250" s="604">
        <f t="shared" si="404"/>
        <v>0</v>
      </c>
      <c r="R1250" s="604">
        <f t="shared" si="390"/>
        <v>0</v>
      </c>
      <c r="S1250" s="604">
        <f t="shared" si="391"/>
        <v>0</v>
      </c>
      <c r="T1250" s="604">
        <f t="shared" si="392"/>
        <v>0</v>
      </c>
      <c r="U1250" s="604">
        <f t="shared" si="393"/>
        <v>0</v>
      </c>
      <c r="V1250" s="604">
        <f t="shared" si="394"/>
        <v>0</v>
      </c>
      <c r="W1250" s="604">
        <f t="shared" si="395"/>
        <v>0</v>
      </c>
      <c r="X1250" s="746">
        <v>0</v>
      </c>
      <c r="Y1250" s="746">
        <f t="shared" si="396"/>
        <v>0</v>
      </c>
    </row>
    <row r="1251" spans="2:25">
      <c r="B1251" s="598" t="s">
        <v>2595</v>
      </c>
      <c r="C1251" s="604" t="s">
        <v>1108</v>
      </c>
      <c r="D1251" s="745">
        <v>2014</v>
      </c>
      <c r="E1251" s="604" t="s">
        <v>1738</v>
      </c>
      <c r="F1251" s="738">
        <v>0.2</v>
      </c>
      <c r="G1251" s="739">
        <v>14000</v>
      </c>
      <c r="H1251" s="741">
        <v>14000</v>
      </c>
      <c r="I1251" s="742">
        <f t="shared" si="405"/>
        <v>0</v>
      </c>
      <c r="J1251" s="740">
        <f t="shared" si="406"/>
        <v>0</v>
      </c>
      <c r="K1251" s="739">
        <f t="shared" si="407"/>
        <v>14000</v>
      </c>
      <c r="L1251" s="850">
        <f t="shared" si="408"/>
        <v>0</v>
      </c>
      <c r="M1251" s="740">
        <f t="shared" si="397"/>
        <v>0</v>
      </c>
      <c r="N1251" s="604">
        <f t="shared" si="387"/>
        <v>0</v>
      </c>
      <c r="O1251" s="604">
        <f t="shared" si="388"/>
        <v>0</v>
      </c>
      <c r="P1251" s="604">
        <f t="shared" si="389"/>
        <v>0</v>
      </c>
      <c r="Q1251" s="604">
        <f t="shared" si="404"/>
        <v>0</v>
      </c>
      <c r="R1251" s="604">
        <f t="shared" si="390"/>
        <v>0</v>
      </c>
      <c r="S1251" s="604">
        <f t="shared" si="391"/>
        <v>0</v>
      </c>
      <c r="T1251" s="604">
        <f t="shared" si="392"/>
        <v>0</v>
      </c>
      <c r="U1251" s="604">
        <f t="shared" si="393"/>
        <v>0</v>
      </c>
      <c r="V1251" s="604">
        <f t="shared" si="394"/>
        <v>0</v>
      </c>
      <c r="W1251" s="604">
        <f t="shared" si="395"/>
        <v>0</v>
      </c>
      <c r="X1251" s="746">
        <v>0</v>
      </c>
      <c r="Y1251" s="746">
        <f t="shared" si="396"/>
        <v>0</v>
      </c>
    </row>
    <row r="1252" spans="2:25">
      <c r="B1252" s="598" t="s">
        <v>2595</v>
      </c>
      <c r="C1252" s="604" t="s">
        <v>1108</v>
      </c>
      <c r="D1252" s="745">
        <v>2014</v>
      </c>
      <c r="E1252" s="604"/>
      <c r="F1252" s="738">
        <v>0.2</v>
      </c>
      <c r="G1252" s="739">
        <v>-14000</v>
      </c>
      <c r="H1252" s="741">
        <v>-14000</v>
      </c>
      <c r="I1252" s="742">
        <f t="shared" si="405"/>
        <v>0</v>
      </c>
      <c r="J1252" s="740">
        <f t="shared" si="406"/>
        <v>0</v>
      </c>
      <c r="K1252" s="739">
        <f t="shared" si="407"/>
        <v>-14000</v>
      </c>
      <c r="L1252" s="850">
        <f t="shared" si="408"/>
        <v>0</v>
      </c>
      <c r="M1252" s="740">
        <f t="shared" si="397"/>
        <v>0</v>
      </c>
      <c r="N1252" s="604">
        <f t="shared" si="387"/>
        <v>0</v>
      </c>
      <c r="O1252" s="604">
        <f t="shared" si="388"/>
        <v>0</v>
      </c>
      <c r="P1252" s="604">
        <f t="shared" si="389"/>
        <v>0</v>
      </c>
      <c r="Q1252" s="604">
        <f t="shared" si="404"/>
        <v>0</v>
      </c>
      <c r="R1252" s="604">
        <f t="shared" si="390"/>
        <v>0</v>
      </c>
      <c r="S1252" s="604">
        <f t="shared" si="391"/>
        <v>0</v>
      </c>
      <c r="T1252" s="604">
        <f t="shared" si="392"/>
        <v>0</v>
      </c>
      <c r="U1252" s="604">
        <f t="shared" si="393"/>
        <v>0</v>
      </c>
      <c r="V1252" s="604">
        <f t="shared" si="394"/>
        <v>0</v>
      </c>
      <c r="W1252" s="604">
        <f t="shared" si="395"/>
        <v>0</v>
      </c>
      <c r="X1252" s="746">
        <v>0</v>
      </c>
      <c r="Y1252" s="746">
        <f t="shared" si="396"/>
        <v>0</v>
      </c>
    </row>
    <row r="1253" spans="2:25">
      <c r="B1253" s="598" t="s">
        <v>2595</v>
      </c>
      <c r="C1253" s="604" t="s">
        <v>1108</v>
      </c>
      <c r="D1253" s="745">
        <v>2014</v>
      </c>
      <c r="E1253" s="604" t="s">
        <v>1739</v>
      </c>
      <c r="F1253" s="738">
        <v>0.2</v>
      </c>
      <c r="G1253" s="739">
        <v>3000</v>
      </c>
      <c r="H1253" s="741">
        <v>3000</v>
      </c>
      <c r="I1253" s="742">
        <f t="shared" si="405"/>
        <v>0</v>
      </c>
      <c r="J1253" s="740">
        <f t="shared" si="406"/>
        <v>0</v>
      </c>
      <c r="K1253" s="739">
        <f t="shared" si="407"/>
        <v>3000</v>
      </c>
      <c r="L1253" s="850">
        <f t="shared" si="408"/>
        <v>0</v>
      </c>
      <c r="M1253" s="740">
        <f t="shared" si="397"/>
        <v>0</v>
      </c>
      <c r="N1253" s="604">
        <f t="shared" si="387"/>
        <v>0</v>
      </c>
      <c r="O1253" s="604">
        <f t="shared" si="388"/>
        <v>0</v>
      </c>
      <c r="P1253" s="604">
        <f t="shared" si="389"/>
        <v>0</v>
      </c>
      <c r="Q1253" s="604">
        <f t="shared" si="404"/>
        <v>0</v>
      </c>
      <c r="R1253" s="604">
        <f t="shared" si="390"/>
        <v>0</v>
      </c>
      <c r="S1253" s="604">
        <f t="shared" si="391"/>
        <v>0</v>
      </c>
      <c r="T1253" s="604">
        <f t="shared" si="392"/>
        <v>0</v>
      </c>
      <c r="U1253" s="604">
        <f t="shared" si="393"/>
        <v>0</v>
      </c>
      <c r="V1253" s="604">
        <f t="shared" si="394"/>
        <v>0</v>
      </c>
      <c r="W1253" s="604">
        <f t="shared" si="395"/>
        <v>0</v>
      </c>
      <c r="X1253" s="746">
        <v>0</v>
      </c>
      <c r="Y1253" s="746">
        <f t="shared" si="396"/>
        <v>0</v>
      </c>
    </row>
    <row r="1254" spans="2:25">
      <c r="B1254" s="598" t="s">
        <v>2595</v>
      </c>
      <c r="C1254" s="604" t="s">
        <v>1108</v>
      </c>
      <c r="D1254" s="745">
        <v>2014</v>
      </c>
      <c r="E1254" s="604" t="s">
        <v>1740</v>
      </c>
      <c r="F1254" s="738">
        <v>0.2</v>
      </c>
      <c r="G1254" s="739">
        <v>13000</v>
      </c>
      <c r="H1254" s="741">
        <v>13000</v>
      </c>
      <c r="I1254" s="742">
        <f t="shared" si="405"/>
        <v>0</v>
      </c>
      <c r="J1254" s="740">
        <f t="shared" si="406"/>
        <v>0</v>
      </c>
      <c r="K1254" s="739">
        <f t="shared" si="407"/>
        <v>13000</v>
      </c>
      <c r="L1254" s="850">
        <f t="shared" si="408"/>
        <v>0</v>
      </c>
      <c r="M1254" s="740">
        <f t="shared" si="397"/>
        <v>0</v>
      </c>
      <c r="N1254" s="604">
        <f t="shared" si="387"/>
        <v>0</v>
      </c>
      <c r="O1254" s="604">
        <f t="shared" si="388"/>
        <v>0</v>
      </c>
      <c r="P1254" s="604">
        <f t="shared" si="389"/>
        <v>0</v>
      </c>
      <c r="Q1254" s="604">
        <f t="shared" si="404"/>
        <v>0</v>
      </c>
      <c r="R1254" s="604">
        <f t="shared" si="390"/>
        <v>0</v>
      </c>
      <c r="S1254" s="604">
        <f t="shared" si="391"/>
        <v>0</v>
      </c>
      <c r="T1254" s="604">
        <f t="shared" si="392"/>
        <v>0</v>
      </c>
      <c r="U1254" s="604">
        <f t="shared" si="393"/>
        <v>0</v>
      </c>
      <c r="V1254" s="604">
        <f t="shared" si="394"/>
        <v>0</v>
      </c>
      <c r="W1254" s="604">
        <f t="shared" si="395"/>
        <v>0</v>
      </c>
      <c r="X1254" s="746">
        <v>0</v>
      </c>
      <c r="Y1254" s="746">
        <f t="shared" si="396"/>
        <v>0</v>
      </c>
    </row>
    <row r="1255" spans="2:25">
      <c r="B1255" s="598" t="s">
        <v>2595</v>
      </c>
      <c r="C1255" s="604" t="s">
        <v>1108</v>
      </c>
      <c r="D1255" s="745">
        <v>2014</v>
      </c>
      <c r="E1255" s="604" t="s">
        <v>1741</v>
      </c>
      <c r="F1255" s="738">
        <v>0.2</v>
      </c>
      <c r="G1255" s="739">
        <v>2100</v>
      </c>
      <c r="H1255" s="741">
        <v>2100</v>
      </c>
      <c r="I1255" s="742">
        <f t="shared" si="405"/>
        <v>0</v>
      </c>
      <c r="J1255" s="740">
        <f t="shared" si="406"/>
        <v>0</v>
      </c>
      <c r="K1255" s="739">
        <f t="shared" si="407"/>
        <v>2100</v>
      </c>
      <c r="L1255" s="850">
        <f t="shared" si="408"/>
        <v>0</v>
      </c>
      <c r="M1255" s="740">
        <f t="shared" si="397"/>
        <v>0</v>
      </c>
      <c r="N1255" s="604">
        <f t="shared" si="387"/>
        <v>0</v>
      </c>
      <c r="O1255" s="604">
        <f t="shared" si="388"/>
        <v>0</v>
      </c>
      <c r="P1255" s="604">
        <f t="shared" si="389"/>
        <v>0</v>
      </c>
      <c r="Q1255" s="604">
        <f t="shared" si="404"/>
        <v>0</v>
      </c>
      <c r="R1255" s="604">
        <f t="shared" si="390"/>
        <v>0</v>
      </c>
      <c r="S1255" s="604">
        <f t="shared" si="391"/>
        <v>0</v>
      </c>
      <c r="T1255" s="604">
        <f t="shared" si="392"/>
        <v>0</v>
      </c>
      <c r="U1255" s="604">
        <f t="shared" si="393"/>
        <v>0</v>
      </c>
      <c r="V1255" s="604">
        <f t="shared" si="394"/>
        <v>0</v>
      </c>
      <c r="W1255" s="604">
        <f t="shared" si="395"/>
        <v>0</v>
      </c>
      <c r="X1255" s="746">
        <v>0</v>
      </c>
      <c r="Y1255" s="746">
        <f t="shared" si="396"/>
        <v>0</v>
      </c>
    </row>
    <row r="1256" spans="2:25">
      <c r="B1256" s="598" t="s">
        <v>2595</v>
      </c>
      <c r="C1256" s="604" t="s">
        <v>1108</v>
      </c>
      <c r="D1256" s="745">
        <v>2015</v>
      </c>
      <c r="E1256" s="604" t="s">
        <v>1742</v>
      </c>
      <c r="F1256" s="738">
        <v>0.2</v>
      </c>
      <c r="G1256" s="739">
        <v>40000</v>
      </c>
      <c r="H1256" s="741">
        <v>40000</v>
      </c>
      <c r="I1256" s="742">
        <f t="shared" si="405"/>
        <v>0</v>
      </c>
      <c r="J1256" s="740">
        <f t="shared" si="406"/>
        <v>0</v>
      </c>
      <c r="K1256" s="739">
        <f t="shared" si="407"/>
        <v>40000</v>
      </c>
      <c r="L1256" s="850">
        <f t="shared" si="408"/>
        <v>0</v>
      </c>
      <c r="M1256" s="740">
        <f t="shared" si="397"/>
        <v>0</v>
      </c>
      <c r="N1256" s="604">
        <f t="shared" si="387"/>
        <v>0</v>
      </c>
      <c r="O1256" s="604">
        <f t="shared" si="388"/>
        <v>0</v>
      </c>
      <c r="P1256" s="604">
        <f t="shared" si="389"/>
        <v>0</v>
      </c>
      <c r="Q1256" s="604">
        <f t="shared" si="404"/>
        <v>0</v>
      </c>
      <c r="R1256" s="604">
        <f t="shared" si="390"/>
        <v>0</v>
      </c>
      <c r="S1256" s="604">
        <f t="shared" si="391"/>
        <v>0</v>
      </c>
      <c r="T1256" s="604">
        <f t="shared" si="392"/>
        <v>0</v>
      </c>
      <c r="U1256" s="604">
        <f t="shared" si="393"/>
        <v>0</v>
      </c>
      <c r="V1256" s="604">
        <f t="shared" si="394"/>
        <v>0</v>
      </c>
      <c r="W1256" s="604">
        <f t="shared" si="395"/>
        <v>0</v>
      </c>
      <c r="X1256" s="746">
        <v>0</v>
      </c>
      <c r="Y1256" s="746">
        <f t="shared" si="396"/>
        <v>0</v>
      </c>
    </row>
    <row r="1257" spans="2:25">
      <c r="B1257" s="598" t="s">
        <v>2595</v>
      </c>
      <c r="C1257" s="604" t="s">
        <v>1108</v>
      </c>
      <c r="D1257" s="745">
        <v>2015</v>
      </c>
      <c r="E1257" s="604" t="s">
        <v>1743</v>
      </c>
      <c r="F1257" s="738">
        <v>0.2</v>
      </c>
      <c r="G1257" s="739">
        <v>40000</v>
      </c>
      <c r="H1257" s="741">
        <v>40000</v>
      </c>
      <c r="I1257" s="742">
        <f t="shared" si="405"/>
        <v>0</v>
      </c>
      <c r="J1257" s="740">
        <f t="shared" si="406"/>
        <v>0</v>
      </c>
      <c r="K1257" s="739">
        <f t="shared" si="407"/>
        <v>40000</v>
      </c>
      <c r="L1257" s="850">
        <f t="shared" si="408"/>
        <v>0</v>
      </c>
      <c r="M1257" s="740">
        <f t="shared" si="397"/>
        <v>0</v>
      </c>
      <c r="N1257" s="604">
        <f t="shared" si="387"/>
        <v>0</v>
      </c>
      <c r="O1257" s="604">
        <f t="shared" si="388"/>
        <v>0</v>
      </c>
      <c r="P1257" s="604">
        <f t="shared" si="389"/>
        <v>0</v>
      </c>
      <c r="Q1257" s="604">
        <f t="shared" si="404"/>
        <v>0</v>
      </c>
      <c r="R1257" s="604">
        <f t="shared" si="390"/>
        <v>0</v>
      </c>
      <c r="S1257" s="604">
        <f t="shared" si="391"/>
        <v>0</v>
      </c>
      <c r="T1257" s="604">
        <f t="shared" si="392"/>
        <v>0</v>
      </c>
      <c r="U1257" s="604">
        <f t="shared" si="393"/>
        <v>0</v>
      </c>
      <c r="V1257" s="604">
        <f t="shared" si="394"/>
        <v>0</v>
      </c>
      <c r="W1257" s="604">
        <f t="shared" si="395"/>
        <v>0</v>
      </c>
      <c r="X1257" s="746">
        <v>0</v>
      </c>
      <c r="Y1257" s="746">
        <f t="shared" si="396"/>
        <v>0</v>
      </c>
    </row>
    <row r="1258" spans="2:25">
      <c r="B1258" s="598" t="s">
        <v>2595</v>
      </c>
      <c r="C1258" s="604" t="s">
        <v>1108</v>
      </c>
      <c r="D1258" s="745">
        <v>2016</v>
      </c>
      <c r="E1258" s="604" t="s">
        <v>1744</v>
      </c>
      <c r="F1258" s="738">
        <v>0.2</v>
      </c>
      <c r="G1258" s="739">
        <v>21000</v>
      </c>
      <c r="H1258" s="741">
        <v>21000</v>
      </c>
      <c r="I1258" s="742">
        <f t="shared" si="405"/>
        <v>0</v>
      </c>
      <c r="J1258" s="740">
        <f t="shared" si="406"/>
        <v>0</v>
      </c>
      <c r="K1258" s="739">
        <f t="shared" si="407"/>
        <v>21000</v>
      </c>
      <c r="L1258" s="850">
        <f t="shared" si="408"/>
        <v>0</v>
      </c>
      <c r="M1258" s="740">
        <f t="shared" si="397"/>
        <v>0</v>
      </c>
      <c r="N1258" s="604">
        <f t="shared" si="387"/>
        <v>0</v>
      </c>
      <c r="O1258" s="604">
        <f t="shared" si="388"/>
        <v>0</v>
      </c>
      <c r="P1258" s="604">
        <f t="shared" si="389"/>
        <v>0</v>
      </c>
      <c r="Q1258" s="604">
        <f t="shared" si="404"/>
        <v>0</v>
      </c>
      <c r="R1258" s="604">
        <f t="shared" si="390"/>
        <v>0</v>
      </c>
      <c r="S1258" s="604">
        <f t="shared" si="391"/>
        <v>0</v>
      </c>
      <c r="T1258" s="604">
        <f t="shared" si="392"/>
        <v>0</v>
      </c>
      <c r="U1258" s="604">
        <f t="shared" si="393"/>
        <v>0</v>
      </c>
      <c r="V1258" s="604">
        <f t="shared" si="394"/>
        <v>0</v>
      </c>
      <c r="W1258" s="604">
        <f t="shared" si="395"/>
        <v>0</v>
      </c>
      <c r="X1258" s="746">
        <v>0</v>
      </c>
      <c r="Y1258" s="746">
        <f t="shared" si="396"/>
        <v>0</v>
      </c>
    </row>
    <row r="1259" spans="2:25">
      <c r="B1259" s="598" t="s">
        <v>2595</v>
      </c>
      <c r="C1259" s="604" t="s">
        <v>1108</v>
      </c>
      <c r="D1259" s="745">
        <v>2016</v>
      </c>
      <c r="E1259" s="604" t="s">
        <v>1745</v>
      </c>
      <c r="F1259" s="738">
        <v>0.2</v>
      </c>
      <c r="G1259" s="739">
        <v>21000</v>
      </c>
      <c r="H1259" s="741">
        <v>21000</v>
      </c>
      <c r="I1259" s="742">
        <f t="shared" si="405"/>
        <v>0</v>
      </c>
      <c r="J1259" s="740">
        <f t="shared" si="406"/>
        <v>0</v>
      </c>
      <c r="K1259" s="739">
        <f t="shared" si="407"/>
        <v>21000</v>
      </c>
      <c r="L1259" s="850">
        <f t="shared" si="408"/>
        <v>0</v>
      </c>
      <c r="M1259" s="740">
        <f t="shared" si="397"/>
        <v>0</v>
      </c>
      <c r="N1259" s="604">
        <f t="shared" si="387"/>
        <v>0</v>
      </c>
      <c r="O1259" s="604">
        <f t="shared" si="388"/>
        <v>0</v>
      </c>
      <c r="P1259" s="604">
        <f t="shared" si="389"/>
        <v>0</v>
      </c>
      <c r="Q1259" s="604">
        <f t="shared" si="404"/>
        <v>0</v>
      </c>
      <c r="R1259" s="604">
        <f t="shared" si="390"/>
        <v>0</v>
      </c>
      <c r="S1259" s="604">
        <f t="shared" si="391"/>
        <v>0</v>
      </c>
      <c r="T1259" s="604">
        <f t="shared" si="392"/>
        <v>0</v>
      </c>
      <c r="U1259" s="604">
        <f t="shared" si="393"/>
        <v>0</v>
      </c>
      <c r="V1259" s="604">
        <f t="shared" si="394"/>
        <v>0</v>
      </c>
      <c r="W1259" s="604">
        <f t="shared" si="395"/>
        <v>0</v>
      </c>
      <c r="X1259" s="746">
        <v>0</v>
      </c>
      <c r="Y1259" s="746">
        <f t="shared" si="396"/>
        <v>0</v>
      </c>
    </row>
    <row r="1260" spans="2:25">
      <c r="B1260" s="598" t="s">
        <v>2595</v>
      </c>
      <c r="C1260" s="604" t="s">
        <v>1108</v>
      </c>
      <c r="D1260" s="745">
        <v>2016</v>
      </c>
      <c r="E1260" s="604" t="s">
        <v>1746</v>
      </c>
      <c r="F1260" s="738">
        <v>0.2</v>
      </c>
      <c r="G1260" s="739">
        <v>10000</v>
      </c>
      <c r="H1260" s="741">
        <v>10000</v>
      </c>
      <c r="I1260" s="742">
        <f t="shared" si="405"/>
        <v>0</v>
      </c>
      <c r="J1260" s="740">
        <f>IF(I1260=0,0,G1260*F1260)</f>
        <v>0</v>
      </c>
      <c r="K1260" s="739">
        <f t="shared" si="407"/>
        <v>10000</v>
      </c>
      <c r="L1260" s="850">
        <f t="shared" si="408"/>
        <v>0</v>
      </c>
      <c r="M1260" s="740">
        <f t="shared" si="397"/>
        <v>0</v>
      </c>
      <c r="N1260" s="604">
        <f t="shared" si="387"/>
        <v>0</v>
      </c>
      <c r="O1260" s="604">
        <f t="shared" si="388"/>
        <v>0</v>
      </c>
      <c r="P1260" s="604">
        <f t="shared" si="389"/>
        <v>0</v>
      </c>
      <c r="Q1260" s="604">
        <f t="shared" si="404"/>
        <v>0</v>
      </c>
      <c r="R1260" s="604">
        <f t="shared" si="390"/>
        <v>0</v>
      </c>
      <c r="S1260" s="604">
        <f t="shared" si="391"/>
        <v>0</v>
      </c>
      <c r="T1260" s="604">
        <f t="shared" si="392"/>
        <v>0</v>
      </c>
      <c r="U1260" s="604">
        <f t="shared" si="393"/>
        <v>0</v>
      </c>
      <c r="V1260" s="604">
        <f t="shared" si="394"/>
        <v>0</v>
      </c>
      <c r="W1260" s="604">
        <f t="shared" si="395"/>
        <v>0</v>
      </c>
      <c r="X1260" s="746">
        <v>0</v>
      </c>
      <c r="Y1260" s="746">
        <f t="shared" si="396"/>
        <v>0</v>
      </c>
    </row>
    <row r="1261" spans="2:25">
      <c r="B1261" s="598" t="s">
        <v>2595</v>
      </c>
      <c r="C1261" s="604" t="s">
        <v>1108</v>
      </c>
      <c r="D1261" s="745">
        <v>2017</v>
      </c>
      <c r="E1261" s="604" t="s">
        <v>1747</v>
      </c>
      <c r="F1261" s="738">
        <v>0.2</v>
      </c>
      <c r="G1261" s="739">
        <v>30000</v>
      </c>
      <c r="H1261" s="741">
        <v>27000</v>
      </c>
      <c r="I1261" s="742">
        <f t="shared" si="405"/>
        <v>3000</v>
      </c>
      <c r="J1261" s="740">
        <f t="shared" ref="J1261:J1263" si="409">IF(I1261=0,0,G1261*F1261/2)</f>
        <v>3000</v>
      </c>
      <c r="K1261" s="739">
        <f t="shared" si="407"/>
        <v>30000</v>
      </c>
      <c r="L1261" s="850">
        <f t="shared" si="408"/>
        <v>0</v>
      </c>
      <c r="M1261" s="740">
        <f t="shared" si="397"/>
        <v>0</v>
      </c>
      <c r="N1261" s="604">
        <f t="shared" si="387"/>
        <v>0</v>
      </c>
      <c r="O1261" s="604">
        <f t="shared" si="388"/>
        <v>0</v>
      </c>
      <c r="P1261" s="604">
        <f t="shared" si="389"/>
        <v>0</v>
      </c>
      <c r="Q1261" s="604">
        <f t="shared" si="404"/>
        <v>0</v>
      </c>
      <c r="R1261" s="604">
        <f t="shared" si="390"/>
        <v>0</v>
      </c>
      <c r="S1261" s="604">
        <f t="shared" si="391"/>
        <v>0</v>
      </c>
      <c r="T1261" s="604">
        <f t="shared" si="392"/>
        <v>0</v>
      </c>
      <c r="U1261" s="604">
        <f t="shared" si="393"/>
        <v>0</v>
      </c>
      <c r="V1261" s="604">
        <f t="shared" si="394"/>
        <v>0</v>
      </c>
      <c r="W1261" s="604">
        <f t="shared" si="395"/>
        <v>0</v>
      </c>
      <c r="X1261" s="746">
        <v>0</v>
      </c>
      <c r="Y1261" s="746">
        <f t="shared" si="396"/>
        <v>0</v>
      </c>
    </row>
    <row r="1262" spans="2:25">
      <c r="B1262" s="598" t="s">
        <v>2595</v>
      </c>
      <c r="C1262" s="604" t="s">
        <v>1108</v>
      </c>
      <c r="D1262" s="745">
        <v>2017</v>
      </c>
      <c r="E1262" s="604" t="s">
        <v>1748</v>
      </c>
      <c r="F1262" s="738">
        <v>0.2</v>
      </c>
      <c r="G1262" s="739">
        <v>4500</v>
      </c>
      <c r="H1262" s="741">
        <v>4050</v>
      </c>
      <c r="I1262" s="742">
        <f t="shared" si="405"/>
        <v>450</v>
      </c>
      <c r="J1262" s="740">
        <f t="shared" si="409"/>
        <v>450</v>
      </c>
      <c r="K1262" s="739">
        <f t="shared" si="407"/>
        <v>4500</v>
      </c>
      <c r="L1262" s="850">
        <f t="shared" si="408"/>
        <v>0</v>
      </c>
      <c r="M1262" s="740">
        <f t="shared" si="397"/>
        <v>0</v>
      </c>
      <c r="N1262" s="604">
        <f t="shared" si="387"/>
        <v>0</v>
      </c>
      <c r="O1262" s="604">
        <f t="shared" si="388"/>
        <v>0</v>
      </c>
      <c r="P1262" s="604">
        <f t="shared" si="389"/>
        <v>0</v>
      </c>
      <c r="Q1262" s="604">
        <f t="shared" si="404"/>
        <v>0</v>
      </c>
      <c r="R1262" s="604">
        <f t="shared" si="390"/>
        <v>0</v>
      </c>
      <c r="S1262" s="604">
        <f t="shared" si="391"/>
        <v>0</v>
      </c>
      <c r="T1262" s="604">
        <f t="shared" si="392"/>
        <v>0</v>
      </c>
      <c r="U1262" s="604">
        <f t="shared" si="393"/>
        <v>0</v>
      </c>
      <c r="V1262" s="604">
        <f t="shared" si="394"/>
        <v>0</v>
      </c>
      <c r="W1262" s="604">
        <f t="shared" si="395"/>
        <v>0</v>
      </c>
      <c r="X1262" s="746">
        <v>0</v>
      </c>
      <c r="Y1262" s="746">
        <f t="shared" si="396"/>
        <v>0</v>
      </c>
    </row>
    <row r="1263" spans="2:25">
      <c r="B1263" s="598" t="s">
        <v>2595</v>
      </c>
      <c r="C1263" s="604" t="s">
        <v>1108</v>
      </c>
      <c r="D1263" s="745">
        <v>2017</v>
      </c>
      <c r="E1263" s="604" t="s">
        <v>1749</v>
      </c>
      <c r="F1263" s="738">
        <v>0.2</v>
      </c>
      <c r="G1263" s="739">
        <v>20500</v>
      </c>
      <c r="H1263" s="741">
        <v>18450</v>
      </c>
      <c r="I1263" s="742">
        <f t="shared" si="405"/>
        <v>2050</v>
      </c>
      <c r="J1263" s="740">
        <f t="shared" si="409"/>
        <v>2050</v>
      </c>
      <c r="K1263" s="739">
        <f t="shared" si="407"/>
        <v>20500</v>
      </c>
      <c r="L1263" s="850">
        <f t="shared" si="408"/>
        <v>0</v>
      </c>
      <c r="M1263" s="740">
        <f t="shared" si="397"/>
        <v>0</v>
      </c>
      <c r="N1263" s="604">
        <f t="shared" si="387"/>
        <v>0</v>
      </c>
      <c r="O1263" s="604">
        <f t="shared" si="388"/>
        <v>0</v>
      </c>
      <c r="P1263" s="604">
        <f t="shared" si="389"/>
        <v>0</v>
      </c>
      <c r="Q1263" s="604">
        <f t="shared" si="404"/>
        <v>0</v>
      </c>
      <c r="R1263" s="604">
        <f t="shared" si="390"/>
        <v>0</v>
      </c>
      <c r="S1263" s="604">
        <f t="shared" si="391"/>
        <v>0</v>
      </c>
      <c r="T1263" s="604">
        <f t="shared" si="392"/>
        <v>0</v>
      </c>
      <c r="U1263" s="604">
        <f t="shared" si="393"/>
        <v>0</v>
      </c>
      <c r="V1263" s="604">
        <f t="shared" si="394"/>
        <v>0</v>
      </c>
      <c r="W1263" s="604">
        <f t="shared" si="395"/>
        <v>0</v>
      </c>
      <c r="X1263" s="746">
        <v>0</v>
      </c>
      <c r="Y1263" s="746">
        <f t="shared" si="396"/>
        <v>0</v>
      </c>
    </row>
    <row r="1264" spans="2:25">
      <c r="B1264" s="598" t="s">
        <v>2595</v>
      </c>
      <c r="C1264" s="604" t="s">
        <v>1108</v>
      </c>
      <c r="D1264" s="745">
        <v>2018</v>
      </c>
      <c r="E1264" s="604" t="s">
        <v>1750</v>
      </c>
      <c r="F1264" s="738">
        <v>0.2</v>
      </c>
      <c r="G1264" s="739">
        <v>25000</v>
      </c>
      <c r="H1264" s="741">
        <v>17500</v>
      </c>
      <c r="I1264" s="742">
        <f t="shared" si="405"/>
        <v>7500</v>
      </c>
      <c r="J1264" s="740">
        <f t="shared" ref="J1264:J1269" si="410">IF(I1264=0,0,G1264*F1264)</f>
        <v>5000</v>
      </c>
      <c r="K1264" s="739">
        <f t="shared" si="407"/>
        <v>22500</v>
      </c>
      <c r="L1264" s="850">
        <f t="shared" si="408"/>
        <v>2500</v>
      </c>
      <c r="M1264" s="740">
        <f>+IF(L1264=0,0,G1264*F1264)-X1264</f>
        <v>2500</v>
      </c>
      <c r="N1264" s="604">
        <f t="shared" si="387"/>
        <v>0</v>
      </c>
      <c r="O1264" s="604">
        <f t="shared" si="388"/>
        <v>0</v>
      </c>
      <c r="P1264" s="604">
        <f t="shared" si="389"/>
        <v>0</v>
      </c>
      <c r="Q1264" s="604">
        <f t="shared" si="404"/>
        <v>0</v>
      </c>
      <c r="R1264" s="604">
        <f t="shared" si="390"/>
        <v>0</v>
      </c>
      <c r="S1264" s="604">
        <f t="shared" si="391"/>
        <v>0</v>
      </c>
      <c r="T1264" s="604">
        <f t="shared" si="392"/>
        <v>0</v>
      </c>
      <c r="U1264" s="604">
        <f t="shared" si="393"/>
        <v>0</v>
      </c>
      <c r="V1264" s="604">
        <f t="shared" si="394"/>
        <v>0</v>
      </c>
      <c r="W1264" s="604">
        <f t="shared" si="395"/>
        <v>0</v>
      </c>
      <c r="X1264" s="746">
        <v>2500</v>
      </c>
      <c r="Y1264" s="746">
        <f t="shared" si="396"/>
        <v>0</v>
      </c>
    </row>
    <row r="1265" spans="2:27">
      <c r="B1265" s="598" t="s">
        <v>2595</v>
      </c>
      <c r="C1265" s="604" t="s">
        <v>1108</v>
      </c>
      <c r="D1265" s="745">
        <v>2018</v>
      </c>
      <c r="E1265" s="604" t="s">
        <v>1751</v>
      </c>
      <c r="F1265" s="738">
        <v>0.2</v>
      </c>
      <c r="G1265" s="739">
        <v>24000</v>
      </c>
      <c r="H1265" s="741">
        <v>16800</v>
      </c>
      <c r="I1265" s="742">
        <f t="shared" si="405"/>
        <v>7200</v>
      </c>
      <c r="J1265" s="740">
        <f t="shared" si="410"/>
        <v>4800</v>
      </c>
      <c r="K1265" s="739">
        <f t="shared" si="407"/>
        <v>21600</v>
      </c>
      <c r="L1265" s="850">
        <f t="shared" si="408"/>
        <v>2400</v>
      </c>
      <c r="M1265" s="740">
        <f>+IF(L1265=0,0,G1265*F1265)-X1265</f>
        <v>2400</v>
      </c>
      <c r="N1265" s="604">
        <f t="shared" si="387"/>
        <v>0</v>
      </c>
      <c r="O1265" s="604">
        <f t="shared" si="388"/>
        <v>0</v>
      </c>
      <c r="P1265" s="604">
        <f t="shared" si="389"/>
        <v>0</v>
      </c>
      <c r="Q1265" s="604">
        <f t="shared" si="404"/>
        <v>0</v>
      </c>
      <c r="R1265" s="604">
        <f t="shared" si="390"/>
        <v>0</v>
      </c>
      <c r="S1265" s="604">
        <f t="shared" si="391"/>
        <v>0</v>
      </c>
      <c r="T1265" s="604">
        <f t="shared" si="392"/>
        <v>0</v>
      </c>
      <c r="U1265" s="604">
        <f t="shared" si="393"/>
        <v>0</v>
      </c>
      <c r="V1265" s="604">
        <f t="shared" si="394"/>
        <v>0</v>
      </c>
      <c r="W1265" s="604">
        <f t="shared" si="395"/>
        <v>0</v>
      </c>
      <c r="X1265" s="746">
        <v>2400</v>
      </c>
      <c r="Y1265" s="746">
        <f t="shared" si="396"/>
        <v>0</v>
      </c>
    </row>
    <row r="1266" spans="2:27">
      <c r="B1266" s="598" t="s">
        <v>2595</v>
      </c>
      <c r="C1266" s="604" t="s">
        <v>1108</v>
      </c>
      <c r="D1266" s="745">
        <v>2018</v>
      </c>
      <c r="E1266" s="604" t="s">
        <v>1752</v>
      </c>
      <c r="F1266" s="738">
        <v>0.2</v>
      </c>
      <c r="G1266" s="739">
        <v>17000</v>
      </c>
      <c r="H1266" s="741">
        <v>11900</v>
      </c>
      <c r="I1266" s="742">
        <f t="shared" si="405"/>
        <v>5100</v>
      </c>
      <c r="J1266" s="740">
        <f t="shared" si="410"/>
        <v>3400</v>
      </c>
      <c r="K1266" s="739">
        <f t="shared" si="407"/>
        <v>15300</v>
      </c>
      <c r="L1266" s="850">
        <f t="shared" si="408"/>
        <v>1700</v>
      </c>
      <c r="M1266" s="740">
        <f>+IF(L1266=0,0,G1266*F1266)-X1266</f>
        <v>1700</v>
      </c>
      <c r="N1266" s="604">
        <f t="shared" si="387"/>
        <v>0</v>
      </c>
      <c r="O1266" s="604">
        <f t="shared" si="388"/>
        <v>0</v>
      </c>
      <c r="P1266" s="604">
        <f t="shared" si="389"/>
        <v>0</v>
      </c>
      <c r="Q1266" s="604">
        <f t="shared" si="404"/>
        <v>0</v>
      </c>
      <c r="R1266" s="604">
        <f t="shared" si="390"/>
        <v>0</v>
      </c>
      <c r="S1266" s="604">
        <f t="shared" si="391"/>
        <v>0</v>
      </c>
      <c r="T1266" s="604">
        <f t="shared" si="392"/>
        <v>0</v>
      </c>
      <c r="U1266" s="604">
        <f t="shared" si="393"/>
        <v>0</v>
      </c>
      <c r="V1266" s="604">
        <f t="shared" si="394"/>
        <v>0</v>
      </c>
      <c r="W1266" s="604">
        <f t="shared" si="395"/>
        <v>0</v>
      </c>
      <c r="X1266" s="746">
        <v>1700</v>
      </c>
      <c r="Y1266" s="746">
        <f t="shared" si="396"/>
        <v>0</v>
      </c>
    </row>
    <row r="1267" spans="2:27">
      <c r="B1267" s="598" t="s">
        <v>2595</v>
      </c>
      <c r="C1267" s="604" t="s">
        <v>1108</v>
      </c>
      <c r="D1267" s="745">
        <v>2018</v>
      </c>
      <c r="E1267" s="604" t="s">
        <v>1753</v>
      </c>
      <c r="F1267" s="738">
        <v>0.2</v>
      </c>
      <c r="G1267" s="739">
        <v>19000</v>
      </c>
      <c r="H1267" s="741">
        <v>13300</v>
      </c>
      <c r="I1267" s="742">
        <f t="shared" si="405"/>
        <v>5700</v>
      </c>
      <c r="J1267" s="740">
        <f t="shared" si="410"/>
        <v>3800</v>
      </c>
      <c r="K1267" s="739">
        <f t="shared" si="407"/>
        <v>17100</v>
      </c>
      <c r="L1267" s="850">
        <f t="shared" si="408"/>
        <v>1900</v>
      </c>
      <c r="M1267" s="740">
        <f>+IF(L1267=0,0,G1267*F1267)-X1267</f>
        <v>1900</v>
      </c>
      <c r="N1267" s="604">
        <f t="shared" si="387"/>
        <v>0</v>
      </c>
      <c r="O1267" s="604">
        <f t="shared" si="388"/>
        <v>0</v>
      </c>
      <c r="P1267" s="604">
        <f t="shared" si="389"/>
        <v>0</v>
      </c>
      <c r="Q1267" s="604">
        <f t="shared" si="404"/>
        <v>0</v>
      </c>
      <c r="R1267" s="604">
        <f t="shared" si="390"/>
        <v>0</v>
      </c>
      <c r="S1267" s="604">
        <f t="shared" si="391"/>
        <v>0</v>
      </c>
      <c r="T1267" s="604">
        <f t="shared" si="392"/>
        <v>0</v>
      </c>
      <c r="U1267" s="604">
        <f t="shared" si="393"/>
        <v>0</v>
      </c>
      <c r="V1267" s="604">
        <f t="shared" si="394"/>
        <v>0</v>
      </c>
      <c r="W1267" s="604">
        <f t="shared" si="395"/>
        <v>0</v>
      </c>
      <c r="X1267" s="746">
        <v>1900</v>
      </c>
      <c r="Y1267" s="746">
        <f t="shared" si="396"/>
        <v>0</v>
      </c>
    </row>
    <row r="1268" spans="2:27">
      <c r="B1268" s="598" t="s">
        <v>2595</v>
      </c>
      <c r="C1268" s="604" t="s">
        <v>1108</v>
      </c>
      <c r="D1268" s="745">
        <v>2019</v>
      </c>
      <c r="E1268" s="604" t="s">
        <v>1754</v>
      </c>
      <c r="F1268" s="738">
        <v>0.2</v>
      </c>
      <c r="G1268" s="739">
        <v>21500</v>
      </c>
      <c r="H1268" s="741">
        <v>10750</v>
      </c>
      <c r="I1268" s="742">
        <f t="shared" si="405"/>
        <v>10750</v>
      </c>
      <c r="J1268" s="740">
        <f t="shared" si="410"/>
        <v>4300</v>
      </c>
      <c r="K1268" s="739">
        <f t="shared" si="407"/>
        <v>15050</v>
      </c>
      <c r="L1268" s="850">
        <f t="shared" si="408"/>
        <v>6450</v>
      </c>
      <c r="M1268" s="740">
        <f t="shared" si="397"/>
        <v>4300</v>
      </c>
      <c r="N1268" s="604">
        <f>+IF(L1268-M1268&gt;0,G1268*F1268,0)-X1268</f>
        <v>2150</v>
      </c>
      <c r="O1268" s="604">
        <f t="shared" si="388"/>
        <v>0</v>
      </c>
      <c r="P1268" s="604">
        <f t="shared" si="389"/>
        <v>0</v>
      </c>
      <c r="Q1268" s="604">
        <f t="shared" si="404"/>
        <v>0</v>
      </c>
      <c r="R1268" s="604">
        <f t="shared" si="390"/>
        <v>0</v>
      </c>
      <c r="S1268" s="604">
        <f t="shared" si="391"/>
        <v>0</v>
      </c>
      <c r="T1268" s="604">
        <f t="shared" si="392"/>
        <v>0</v>
      </c>
      <c r="U1268" s="604">
        <f t="shared" si="393"/>
        <v>0</v>
      </c>
      <c r="V1268" s="604">
        <f t="shared" si="394"/>
        <v>0</v>
      </c>
      <c r="W1268" s="604">
        <f t="shared" si="395"/>
        <v>0</v>
      </c>
      <c r="X1268" s="746">
        <v>2150</v>
      </c>
      <c r="Y1268" s="746">
        <f t="shared" si="396"/>
        <v>0</v>
      </c>
    </row>
    <row r="1269" spans="2:27">
      <c r="B1269" s="598" t="s">
        <v>2595</v>
      </c>
      <c r="C1269" s="604" t="s">
        <v>1108</v>
      </c>
      <c r="D1269" s="745">
        <v>2019</v>
      </c>
      <c r="E1269" s="604" t="s">
        <v>1755</v>
      </c>
      <c r="F1269" s="738">
        <v>0.2</v>
      </c>
      <c r="G1269" s="739">
        <v>65500</v>
      </c>
      <c r="H1269" s="741">
        <v>32750</v>
      </c>
      <c r="I1269" s="742">
        <f t="shared" si="405"/>
        <v>32750</v>
      </c>
      <c r="J1269" s="740">
        <f t="shared" si="410"/>
        <v>13100</v>
      </c>
      <c r="K1269" s="739">
        <f t="shared" si="407"/>
        <v>45850</v>
      </c>
      <c r="L1269" s="850">
        <f t="shared" si="408"/>
        <v>19650</v>
      </c>
      <c r="M1269" s="740">
        <f t="shared" si="397"/>
        <v>13100</v>
      </c>
      <c r="N1269" s="604">
        <f>+IF(L1269-M1269&gt;0,G1269*F1269,0)-X1269</f>
        <v>6550</v>
      </c>
      <c r="O1269" s="604">
        <f t="shared" si="388"/>
        <v>0</v>
      </c>
      <c r="P1269" s="604">
        <f t="shared" si="389"/>
        <v>0</v>
      </c>
      <c r="Q1269" s="604">
        <f t="shared" si="404"/>
        <v>0</v>
      </c>
      <c r="R1269" s="604">
        <f t="shared" si="390"/>
        <v>0</v>
      </c>
      <c r="S1269" s="604">
        <f t="shared" si="391"/>
        <v>0</v>
      </c>
      <c r="T1269" s="604">
        <f t="shared" si="392"/>
        <v>0</v>
      </c>
      <c r="U1269" s="604">
        <f t="shared" si="393"/>
        <v>0</v>
      </c>
      <c r="V1269" s="604">
        <f t="shared" si="394"/>
        <v>0</v>
      </c>
      <c r="W1269" s="604">
        <f t="shared" si="395"/>
        <v>0</v>
      </c>
      <c r="X1269" s="746">
        <v>6550</v>
      </c>
      <c r="Y1269" s="746">
        <f t="shared" si="396"/>
        <v>0</v>
      </c>
    </row>
    <row r="1270" spans="2:27">
      <c r="B1270" s="598" t="s">
        <v>2595</v>
      </c>
      <c r="C1270" s="604" t="s">
        <v>1108</v>
      </c>
      <c r="D1270" s="745">
        <v>2022</v>
      </c>
      <c r="E1270" s="604"/>
      <c r="F1270" s="738">
        <v>0.2</v>
      </c>
      <c r="G1270" s="739">
        <v>35000</v>
      </c>
      <c r="H1270" s="741">
        <v>0</v>
      </c>
      <c r="I1270" s="742">
        <f t="shared" si="405"/>
        <v>35000</v>
      </c>
      <c r="J1270" s="740">
        <f>IF(I1270=0,0,G1270*F1270/2)</f>
        <v>3500</v>
      </c>
      <c r="K1270" s="739">
        <f t="shared" si="407"/>
        <v>3500</v>
      </c>
      <c r="L1270" s="850">
        <f>+(G1270-K1270)*0</f>
        <v>0</v>
      </c>
      <c r="M1270" s="740">
        <f t="shared" si="397"/>
        <v>0</v>
      </c>
      <c r="N1270" s="604">
        <f t="shared" si="387"/>
        <v>0</v>
      </c>
      <c r="O1270" s="604">
        <f t="shared" si="388"/>
        <v>0</v>
      </c>
      <c r="P1270" s="604">
        <f t="shared" si="389"/>
        <v>0</v>
      </c>
      <c r="Q1270" s="604">
        <f>+IF(L1270-SUM(M1270:P1270)&gt;0,G1270*F1270,0)</f>
        <v>0</v>
      </c>
      <c r="R1270" s="604">
        <f t="shared" si="390"/>
        <v>0</v>
      </c>
      <c r="S1270" s="604">
        <f t="shared" si="391"/>
        <v>0</v>
      </c>
      <c r="T1270" s="604">
        <f t="shared" si="392"/>
        <v>0</v>
      </c>
      <c r="U1270" s="604">
        <f t="shared" si="393"/>
        <v>0</v>
      </c>
      <c r="V1270" s="604">
        <f t="shared" si="394"/>
        <v>0</v>
      </c>
      <c r="W1270" s="604">
        <f t="shared" si="395"/>
        <v>0</v>
      </c>
      <c r="X1270" s="746">
        <v>3500</v>
      </c>
      <c r="Y1270" s="746">
        <f t="shared" si="396"/>
        <v>0</v>
      </c>
    </row>
    <row r="1271" spans="2:27">
      <c r="B1271" s="598" t="s">
        <v>2595</v>
      </c>
      <c r="C1271" s="604" t="s">
        <v>1108</v>
      </c>
      <c r="D1271" s="745">
        <v>2022</v>
      </c>
      <c r="E1271" s="604" t="s">
        <v>2584</v>
      </c>
      <c r="F1271" s="738">
        <v>0.2</v>
      </c>
      <c r="G1271" s="739">
        <v>40000</v>
      </c>
      <c r="H1271" s="741">
        <v>0</v>
      </c>
      <c r="I1271" s="742">
        <f t="shared" si="405"/>
        <v>40000</v>
      </c>
      <c r="J1271" s="740">
        <f t="shared" ref="J1271:J1274" si="411">IF(I1271=0,0,G1271*F1271/2)</f>
        <v>4000</v>
      </c>
      <c r="K1271" s="739">
        <f t="shared" si="407"/>
        <v>4000</v>
      </c>
      <c r="L1271" s="850">
        <f t="shared" si="408"/>
        <v>36000</v>
      </c>
      <c r="M1271" s="740">
        <f t="shared" si="397"/>
        <v>8000</v>
      </c>
      <c r="N1271" s="604">
        <f t="shared" si="387"/>
        <v>8000</v>
      </c>
      <c r="O1271" s="604">
        <f t="shared" si="388"/>
        <v>8000</v>
      </c>
      <c r="P1271" s="604">
        <f t="shared" si="389"/>
        <v>8000</v>
      </c>
      <c r="Q1271" s="604">
        <f>+IF(L1271-SUM(M1271:P1271)&gt;0,G1271*F1271,0)-X1271</f>
        <v>4000</v>
      </c>
      <c r="R1271" s="604">
        <f t="shared" si="390"/>
        <v>0</v>
      </c>
      <c r="S1271" s="604">
        <f t="shared" si="391"/>
        <v>0</v>
      </c>
      <c r="T1271" s="604">
        <f t="shared" si="392"/>
        <v>0</v>
      </c>
      <c r="U1271" s="604">
        <f t="shared" si="393"/>
        <v>0</v>
      </c>
      <c r="V1271" s="604">
        <f t="shared" si="394"/>
        <v>0</v>
      </c>
      <c r="W1271" s="604">
        <f t="shared" si="395"/>
        <v>0</v>
      </c>
      <c r="X1271" s="746">
        <v>4000</v>
      </c>
      <c r="Y1271" s="746">
        <f t="shared" si="396"/>
        <v>0</v>
      </c>
    </row>
    <row r="1272" spans="2:27">
      <c r="B1272" s="598" t="s">
        <v>2595</v>
      </c>
      <c r="C1272" s="604" t="s">
        <v>1108</v>
      </c>
      <c r="D1272" s="745">
        <v>2022</v>
      </c>
      <c r="E1272" s="604" t="s">
        <v>2585</v>
      </c>
      <c r="F1272" s="738">
        <v>0.2</v>
      </c>
      <c r="G1272" s="739">
        <v>68500</v>
      </c>
      <c r="H1272" s="741">
        <v>0</v>
      </c>
      <c r="I1272" s="742">
        <f t="shared" si="405"/>
        <v>68500</v>
      </c>
      <c r="J1272" s="740">
        <f t="shared" si="411"/>
        <v>6850</v>
      </c>
      <c r="K1272" s="739">
        <f t="shared" si="407"/>
        <v>6850</v>
      </c>
      <c r="L1272" s="850">
        <f t="shared" si="408"/>
        <v>61650</v>
      </c>
      <c r="M1272" s="740">
        <f t="shared" si="397"/>
        <v>13700</v>
      </c>
      <c r="N1272" s="604">
        <f t="shared" si="387"/>
        <v>13700</v>
      </c>
      <c r="O1272" s="604">
        <f t="shared" si="388"/>
        <v>13700</v>
      </c>
      <c r="P1272" s="604">
        <f t="shared" si="389"/>
        <v>13700</v>
      </c>
      <c r="Q1272" s="604">
        <f>+IF(L1272-SUM(M1272:P1272)&gt;0,G1272*F1272,0)-X1272</f>
        <v>6850</v>
      </c>
      <c r="R1272" s="604">
        <f t="shared" si="390"/>
        <v>0</v>
      </c>
      <c r="S1272" s="604">
        <f t="shared" si="391"/>
        <v>0</v>
      </c>
      <c r="T1272" s="604">
        <f t="shared" si="392"/>
        <v>0</v>
      </c>
      <c r="U1272" s="604">
        <f t="shared" si="393"/>
        <v>0</v>
      </c>
      <c r="V1272" s="604">
        <f t="shared" si="394"/>
        <v>0</v>
      </c>
      <c r="W1272" s="604">
        <f t="shared" si="395"/>
        <v>0</v>
      </c>
      <c r="X1272" s="746">
        <v>6850</v>
      </c>
      <c r="Y1272" s="746">
        <f t="shared" si="396"/>
        <v>0</v>
      </c>
    </row>
    <row r="1273" spans="2:27">
      <c r="B1273" s="598" t="s">
        <v>2595</v>
      </c>
      <c r="C1273" s="604" t="s">
        <v>1108</v>
      </c>
      <c r="D1273" s="745">
        <v>2022</v>
      </c>
      <c r="E1273" s="604"/>
      <c r="F1273" s="738">
        <v>0.2</v>
      </c>
      <c r="G1273" s="739">
        <v>-8500</v>
      </c>
      <c r="H1273" s="741">
        <v>0</v>
      </c>
      <c r="I1273" s="742">
        <f t="shared" si="405"/>
        <v>-8500</v>
      </c>
      <c r="J1273" s="740">
        <f t="shared" si="411"/>
        <v>-850</v>
      </c>
      <c r="K1273" s="739">
        <f t="shared" si="407"/>
        <v>-850</v>
      </c>
      <c r="L1273" s="850">
        <f t="shared" si="408"/>
        <v>-7650</v>
      </c>
      <c r="M1273" s="866">
        <f>+K1273</f>
        <v>-850</v>
      </c>
      <c r="N1273" s="650">
        <f>+M1273</f>
        <v>-850</v>
      </c>
      <c r="O1273" s="650">
        <f t="shared" ref="O1273:U1273" si="412">+M1273</f>
        <v>-850</v>
      </c>
      <c r="P1273" s="650">
        <f t="shared" si="412"/>
        <v>-850</v>
      </c>
      <c r="Q1273" s="650">
        <f t="shared" si="412"/>
        <v>-850</v>
      </c>
      <c r="R1273" s="650">
        <f t="shared" si="412"/>
        <v>-850</v>
      </c>
      <c r="S1273" s="650">
        <f t="shared" si="412"/>
        <v>-850</v>
      </c>
      <c r="T1273" s="650">
        <f t="shared" si="412"/>
        <v>-850</v>
      </c>
      <c r="U1273" s="650">
        <f t="shared" si="412"/>
        <v>-850</v>
      </c>
      <c r="V1273" s="650">
        <v>0</v>
      </c>
      <c r="W1273" s="650">
        <v>0</v>
      </c>
      <c r="X1273" s="746">
        <v>7650</v>
      </c>
      <c r="Y1273" s="746">
        <f t="shared" si="396"/>
        <v>0</v>
      </c>
    </row>
    <row r="1274" spans="2:27" ht="12.75" thickBot="1">
      <c r="B1274" s="598" t="s">
        <v>2595</v>
      </c>
      <c r="C1274" s="604" t="s">
        <v>1108</v>
      </c>
      <c r="D1274" s="745">
        <v>2022</v>
      </c>
      <c r="E1274" s="604" t="s">
        <v>2586</v>
      </c>
      <c r="F1274" s="738">
        <v>0.2</v>
      </c>
      <c r="G1274" s="739">
        <v>9500</v>
      </c>
      <c r="H1274" s="741">
        <v>0</v>
      </c>
      <c r="I1274" s="742">
        <f t="shared" si="405"/>
        <v>9500</v>
      </c>
      <c r="J1274" s="740">
        <f t="shared" si="411"/>
        <v>950</v>
      </c>
      <c r="K1274" s="739">
        <f t="shared" si="407"/>
        <v>950</v>
      </c>
      <c r="L1274" s="851">
        <f t="shared" si="408"/>
        <v>8550</v>
      </c>
      <c r="M1274" s="740">
        <f t="shared" si="397"/>
        <v>1900</v>
      </c>
      <c r="N1274" s="604">
        <f t="shared" si="387"/>
        <v>1900</v>
      </c>
      <c r="O1274" s="604">
        <f t="shared" si="388"/>
        <v>1900</v>
      </c>
      <c r="P1274" s="604">
        <f t="shared" si="389"/>
        <v>1900</v>
      </c>
      <c r="Q1274" s="604">
        <f>+IF(L1274-SUM(M1274:P1274)&gt;0,G1274*F1274,0)-X1274</f>
        <v>950</v>
      </c>
      <c r="R1274" s="604">
        <f t="shared" si="390"/>
        <v>0</v>
      </c>
      <c r="S1274" s="604">
        <f t="shared" si="391"/>
        <v>0</v>
      </c>
      <c r="T1274" s="604">
        <f t="shared" si="392"/>
        <v>0</v>
      </c>
      <c r="U1274" s="604">
        <f t="shared" si="393"/>
        <v>0</v>
      </c>
      <c r="V1274" s="604">
        <f t="shared" si="394"/>
        <v>0</v>
      </c>
      <c r="W1274" s="604">
        <f t="shared" si="395"/>
        <v>0</v>
      </c>
      <c r="X1274" s="746">
        <v>950</v>
      </c>
      <c r="Y1274" s="746">
        <f t="shared" si="396"/>
        <v>0</v>
      </c>
    </row>
    <row r="1275" spans="2:27">
      <c r="B1275" s="598" t="s">
        <v>2595</v>
      </c>
      <c r="C1275" s="604" t="s">
        <v>1106</v>
      </c>
      <c r="D1275" s="745">
        <v>2001</v>
      </c>
      <c r="E1275" s="604" t="s">
        <v>1756</v>
      </c>
      <c r="F1275" s="738">
        <v>0.125</v>
      </c>
      <c r="G1275" s="739">
        <v>1947.04</v>
      </c>
      <c r="H1275" s="741">
        <v>1947.04</v>
      </c>
      <c r="I1275" s="742">
        <f t="shared" ref="I1275:I1338" si="413">+G1275-H1275</f>
        <v>0</v>
      </c>
      <c r="J1275" s="740">
        <f t="shared" ref="J1275:J1285" si="414">IF(I1275=0,0,G1275*F1275)</f>
        <v>0</v>
      </c>
      <c r="K1275" s="739">
        <f t="shared" ref="K1275:K1338" si="415">+H1275+J1275</f>
        <v>1947.04</v>
      </c>
      <c r="L1275" s="843">
        <f t="shared" ref="L1275:L1338" si="416">+G1275-K1275</f>
        <v>0</v>
      </c>
      <c r="M1275" s="740">
        <f t="shared" si="397"/>
        <v>0</v>
      </c>
      <c r="N1275" s="604">
        <f t="shared" si="387"/>
        <v>0</v>
      </c>
      <c r="O1275" s="604">
        <f t="shared" si="388"/>
        <v>0</v>
      </c>
      <c r="P1275" s="604">
        <f t="shared" si="389"/>
        <v>0</v>
      </c>
      <c r="Q1275" s="604">
        <f t="shared" si="404"/>
        <v>0</v>
      </c>
      <c r="R1275" s="604">
        <f t="shared" si="390"/>
        <v>0</v>
      </c>
      <c r="S1275" s="604">
        <f t="shared" si="391"/>
        <v>0</v>
      </c>
      <c r="T1275" s="604">
        <f t="shared" si="392"/>
        <v>0</v>
      </c>
      <c r="U1275" s="604">
        <f t="shared" si="393"/>
        <v>0</v>
      </c>
      <c r="V1275" s="604">
        <f t="shared" si="394"/>
        <v>0</v>
      </c>
      <c r="W1275" s="604">
        <f t="shared" si="395"/>
        <v>0</v>
      </c>
      <c r="X1275" s="746">
        <v>0</v>
      </c>
      <c r="Y1275" s="746">
        <f t="shared" si="396"/>
        <v>0</v>
      </c>
      <c r="Z1275" s="746">
        <f>+SUM(L1275:L1344)</f>
        <v>64568.72</v>
      </c>
      <c r="AA1275" s="598" t="s">
        <v>3474</v>
      </c>
    </row>
    <row r="1276" spans="2:27">
      <c r="B1276" s="598" t="s">
        <v>2595</v>
      </c>
      <c r="C1276" s="604" t="s">
        <v>1106</v>
      </c>
      <c r="D1276" s="745">
        <v>2001</v>
      </c>
      <c r="E1276" s="604" t="s">
        <v>1757</v>
      </c>
      <c r="F1276" s="738">
        <v>0.125</v>
      </c>
      <c r="G1276" s="739">
        <v>1962.54</v>
      </c>
      <c r="H1276" s="741">
        <v>1962.54</v>
      </c>
      <c r="I1276" s="742">
        <f t="shared" si="413"/>
        <v>0</v>
      </c>
      <c r="J1276" s="740">
        <f t="shared" si="414"/>
        <v>0</v>
      </c>
      <c r="K1276" s="739">
        <f t="shared" si="415"/>
        <v>1962.54</v>
      </c>
      <c r="L1276" s="844">
        <f t="shared" si="416"/>
        <v>0</v>
      </c>
      <c r="M1276" s="740">
        <f t="shared" si="397"/>
        <v>0</v>
      </c>
      <c r="N1276" s="604">
        <f t="shared" si="387"/>
        <v>0</v>
      </c>
      <c r="O1276" s="604">
        <f t="shared" si="388"/>
        <v>0</v>
      </c>
      <c r="P1276" s="604">
        <f t="shared" si="389"/>
        <v>0</v>
      </c>
      <c r="Q1276" s="604">
        <f t="shared" si="404"/>
        <v>0</v>
      </c>
      <c r="R1276" s="604">
        <f t="shared" si="390"/>
        <v>0</v>
      </c>
      <c r="S1276" s="604">
        <f t="shared" si="391"/>
        <v>0</v>
      </c>
      <c r="T1276" s="604">
        <f t="shared" si="392"/>
        <v>0</v>
      </c>
      <c r="U1276" s="604">
        <f t="shared" si="393"/>
        <v>0</v>
      </c>
      <c r="V1276" s="604">
        <f t="shared" si="394"/>
        <v>0</v>
      </c>
      <c r="W1276" s="604">
        <f t="shared" si="395"/>
        <v>0</v>
      </c>
      <c r="X1276" s="746">
        <v>0</v>
      </c>
      <c r="Y1276" s="746">
        <f t="shared" si="396"/>
        <v>0</v>
      </c>
      <c r="Z1276" s="746">
        <f>+Z1275-BdV!I21-BdV!I23</f>
        <v>1.0000000009313226E-2</v>
      </c>
      <c r="AA1276" s="598" t="s">
        <v>363</v>
      </c>
    </row>
    <row r="1277" spans="2:27">
      <c r="B1277" s="598" t="s">
        <v>2595</v>
      </c>
      <c r="C1277" s="604" t="s">
        <v>1106</v>
      </c>
      <c r="D1277" s="745">
        <v>2001</v>
      </c>
      <c r="E1277" s="604" t="s">
        <v>1758</v>
      </c>
      <c r="F1277" s="738">
        <v>0.125</v>
      </c>
      <c r="G1277" s="739">
        <v>516.46</v>
      </c>
      <c r="H1277" s="741">
        <v>516.46</v>
      </c>
      <c r="I1277" s="742">
        <f t="shared" si="413"/>
        <v>0</v>
      </c>
      <c r="J1277" s="740">
        <f t="shared" si="414"/>
        <v>0</v>
      </c>
      <c r="K1277" s="739">
        <f t="shared" si="415"/>
        <v>516.46</v>
      </c>
      <c r="L1277" s="844">
        <f t="shared" si="416"/>
        <v>0</v>
      </c>
      <c r="M1277" s="740">
        <f t="shared" si="397"/>
        <v>0</v>
      </c>
      <c r="N1277" s="604">
        <f t="shared" si="387"/>
        <v>0</v>
      </c>
      <c r="O1277" s="604">
        <f t="shared" si="388"/>
        <v>0</v>
      </c>
      <c r="P1277" s="604">
        <f t="shared" si="389"/>
        <v>0</v>
      </c>
      <c r="Q1277" s="604">
        <f t="shared" si="404"/>
        <v>0</v>
      </c>
      <c r="R1277" s="604">
        <f t="shared" si="390"/>
        <v>0</v>
      </c>
      <c r="S1277" s="604">
        <f t="shared" si="391"/>
        <v>0</v>
      </c>
      <c r="T1277" s="604">
        <f t="shared" si="392"/>
        <v>0</v>
      </c>
      <c r="U1277" s="604">
        <f t="shared" si="393"/>
        <v>0</v>
      </c>
      <c r="V1277" s="604">
        <f t="shared" si="394"/>
        <v>0</v>
      </c>
      <c r="W1277" s="604">
        <f t="shared" si="395"/>
        <v>0</v>
      </c>
      <c r="X1277" s="746">
        <v>0</v>
      </c>
      <c r="Y1277" s="746">
        <f t="shared" si="396"/>
        <v>0</v>
      </c>
    </row>
    <row r="1278" spans="2:27">
      <c r="B1278" s="598" t="s">
        <v>2595</v>
      </c>
      <c r="C1278" s="604" t="s">
        <v>1106</v>
      </c>
      <c r="D1278" s="745">
        <v>2002</v>
      </c>
      <c r="E1278" s="604" t="s">
        <v>1759</v>
      </c>
      <c r="F1278" s="738">
        <v>0.125</v>
      </c>
      <c r="G1278" s="739">
        <v>2050</v>
      </c>
      <c r="H1278" s="741">
        <v>2050</v>
      </c>
      <c r="I1278" s="742">
        <f t="shared" si="413"/>
        <v>0</v>
      </c>
      <c r="J1278" s="740">
        <f t="shared" si="414"/>
        <v>0</v>
      </c>
      <c r="K1278" s="739">
        <f t="shared" si="415"/>
        <v>2050</v>
      </c>
      <c r="L1278" s="844">
        <f t="shared" si="416"/>
        <v>0</v>
      </c>
      <c r="M1278" s="740">
        <f t="shared" si="397"/>
        <v>0</v>
      </c>
      <c r="N1278" s="604">
        <f t="shared" si="387"/>
        <v>0</v>
      </c>
      <c r="O1278" s="604">
        <f t="shared" si="388"/>
        <v>0</v>
      </c>
      <c r="P1278" s="604">
        <f t="shared" si="389"/>
        <v>0</v>
      </c>
      <c r="Q1278" s="604">
        <f t="shared" si="404"/>
        <v>0</v>
      </c>
      <c r="R1278" s="604">
        <f t="shared" si="390"/>
        <v>0</v>
      </c>
      <c r="S1278" s="604">
        <f t="shared" si="391"/>
        <v>0</v>
      </c>
      <c r="T1278" s="604">
        <f t="shared" si="392"/>
        <v>0</v>
      </c>
      <c r="U1278" s="604">
        <f t="shared" si="393"/>
        <v>0</v>
      </c>
      <c r="V1278" s="604">
        <f t="shared" si="394"/>
        <v>0</v>
      </c>
      <c r="W1278" s="604">
        <f t="shared" si="395"/>
        <v>0</v>
      </c>
      <c r="X1278" s="746">
        <v>0</v>
      </c>
      <c r="Y1278" s="746">
        <f t="shared" si="396"/>
        <v>0</v>
      </c>
    </row>
    <row r="1279" spans="2:27">
      <c r="B1279" s="598" t="s">
        <v>2595</v>
      </c>
      <c r="C1279" s="604" t="s">
        <v>1106</v>
      </c>
      <c r="D1279" s="745">
        <v>2006</v>
      </c>
      <c r="E1279" s="604" t="s">
        <v>1760</v>
      </c>
      <c r="F1279" s="738">
        <v>0.125</v>
      </c>
      <c r="G1279" s="739">
        <v>488.05</v>
      </c>
      <c r="H1279" s="741">
        <v>488.05</v>
      </c>
      <c r="I1279" s="742">
        <f t="shared" si="413"/>
        <v>0</v>
      </c>
      <c r="J1279" s="740">
        <f t="shared" si="414"/>
        <v>0</v>
      </c>
      <c r="K1279" s="739">
        <f t="shared" si="415"/>
        <v>488.05</v>
      </c>
      <c r="L1279" s="844">
        <f t="shared" si="416"/>
        <v>0</v>
      </c>
      <c r="M1279" s="740">
        <f t="shared" si="397"/>
        <v>0</v>
      </c>
      <c r="N1279" s="604">
        <f t="shared" si="387"/>
        <v>0</v>
      </c>
      <c r="O1279" s="604">
        <f t="shared" si="388"/>
        <v>0</v>
      </c>
      <c r="P1279" s="604">
        <f t="shared" si="389"/>
        <v>0</v>
      </c>
      <c r="Q1279" s="604">
        <f t="shared" si="404"/>
        <v>0</v>
      </c>
      <c r="R1279" s="604">
        <f t="shared" si="390"/>
        <v>0</v>
      </c>
      <c r="S1279" s="604">
        <f t="shared" si="391"/>
        <v>0</v>
      </c>
      <c r="T1279" s="604">
        <f t="shared" si="392"/>
        <v>0</v>
      </c>
      <c r="U1279" s="604">
        <f t="shared" si="393"/>
        <v>0</v>
      </c>
      <c r="V1279" s="604">
        <f t="shared" si="394"/>
        <v>0</v>
      </c>
      <c r="W1279" s="604">
        <f t="shared" si="395"/>
        <v>0</v>
      </c>
      <c r="X1279" s="746">
        <v>0</v>
      </c>
      <c r="Y1279" s="746">
        <f t="shared" si="396"/>
        <v>0</v>
      </c>
    </row>
    <row r="1280" spans="2:27">
      <c r="B1280" s="598" t="s">
        <v>2595</v>
      </c>
      <c r="C1280" s="604" t="s">
        <v>1106</v>
      </c>
      <c r="D1280" s="745">
        <v>2011</v>
      </c>
      <c r="E1280" s="604" t="s">
        <v>1761</v>
      </c>
      <c r="F1280" s="738">
        <v>0.125</v>
      </c>
      <c r="G1280" s="739">
        <v>7885</v>
      </c>
      <c r="H1280" s="741">
        <v>7885</v>
      </c>
      <c r="I1280" s="742">
        <f t="shared" si="413"/>
        <v>0</v>
      </c>
      <c r="J1280" s="740">
        <f t="shared" si="414"/>
        <v>0</v>
      </c>
      <c r="K1280" s="739">
        <f t="shared" si="415"/>
        <v>7885</v>
      </c>
      <c r="L1280" s="844">
        <f t="shared" si="416"/>
        <v>0</v>
      </c>
      <c r="M1280" s="740">
        <f t="shared" si="397"/>
        <v>0</v>
      </c>
      <c r="N1280" s="604">
        <f t="shared" si="387"/>
        <v>0</v>
      </c>
      <c r="O1280" s="604">
        <f t="shared" si="388"/>
        <v>0</v>
      </c>
      <c r="P1280" s="604">
        <f t="shared" si="389"/>
        <v>0</v>
      </c>
      <c r="Q1280" s="604">
        <f t="shared" si="404"/>
        <v>0</v>
      </c>
      <c r="R1280" s="604">
        <f t="shared" si="390"/>
        <v>0</v>
      </c>
      <c r="S1280" s="604">
        <f t="shared" si="391"/>
        <v>0</v>
      </c>
      <c r="T1280" s="604">
        <f t="shared" si="392"/>
        <v>0</v>
      </c>
      <c r="U1280" s="604">
        <f t="shared" si="393"/>
        <v>0</v>
      </c>
      <c r="V1280" s="604">
        <f t="shared" si="394"/>
        <v>0</v>
      </c>
      <c r="W1280" s="604">
        <f t="shared" si="395"/>
        <v>0</v>
      </c>
      <c r="X1280" s="746">
        <v>0</v>
      </c>
      <c r="Y1280" s="746">
        <f t="shared" si="396"/>
        <v>0</v>
      </c>
    </row>
    <row r="1281" spans="2:25">
      <c r="B1281" s="598" t="s">
        <v>2595</v>
      </c>
      <c r="C1281" s="604" t="s">
        <v>1106</v>
      </c>
      <c r="D1281" s="745">
        <v>2011</v>
      </c>
      <c r="E1281" s="604" t="s">
        <v>1762</v>
      </c>
      <c r="F1281" s="738">
        <v>0.125</v>
      </c>
      <c r="G1281" s="739">
        <v>4490</v>
      </c>
      <c r="H1281" s="741">
        <v>4490</v>
      </c>
      <c r="I1281" s="742">
        <f t="shared" si="413"/>
        <v>0</v>
      </c>
      <c r="J1281" s="740">
        <f t="shared" si="414"/>
        <v>0</v>
      </c>
      <c r="K1281" s="739">
        <f t="shared" si="415"/>
        <v>4490</v>
      </c>
      <c r="L1281" s="844">
        <f t="shared" si="416"/>
        <v>0</v>
      </c>
      <c r="M1281" s="740">
        <f t="shared" si="397"/>
        <v>0</v>
      </c>
      <c r="N1281" s="604">
        <f t="shared" si="387"/>
        <v>0</v>
      </c>
      <c r="O1281" s="604">
        <f t="shared" si="388"/>
        <v>0</v>
      </c>
      <c r="P1281" s="604">
        <f t="shared" si="389"/>
        <v>0</v>
      </c>
      <c r="Q1281" s="604">
        <f t="shared" si="404"/>
        <v>0</v>
      </c>
      <c r="R1281" s="604">
        <f t="shared" si="390"/>
        <v>0</v>
      </c>
      <c r="S1281" s="604">
        <f t="shared" si="391"/>
        <v>0</v>
      </c>
      <c r="T1281" s="604">
        <f t="shared" si="392"/>
        <v>0</v>
      </c>
      <c r="U1281" s="604">
        <f t="shared" si="393"/>
        <v>0</v>
      </c>
      <c r="V1281" s="604">
        <f t="shared" si="394"/>
        <v>0</v>
      </c>
      <c r="W1281" s="604">
        <f t="shared" si="395"/>
        <v>0</v>
      </c>
      <c r="X1281" s="746">
        <v>0</v>
      </c>
      <c r="Y1281" s="746">
        <f t="shared" si="396"/>
        <v>0</v>
      </c>
    </row>
    <row r="1282" spans="2:25">
      <c r="B1282" s="598" t="s">
        <v>2595</v>
      </c>
      <c r="C1282" s="604" t="s">
        <v>1106</v>
      </c>
      <c r="D1282" s="745">
        <v>2011</v>
      </c>
      <c r="E1282" s="604"/>
      <c r="F1282" s="738">
        <v>0.125</v>
      </c>
      <c r="G1282" s="739">
        <v>1615</v>
      </c>
      <c r="H1282" s="741">
        <v>1615</v>
      </c>
      <c r="I1282" s="742">
        <f t="shared" si="413"/>
        <v>0</v>
      </c>
      <c r="J1282" s="740">
        <f t="shared" si="414"/>
        <v>0</v>
      </c>
      <c r="K1282" s="739">
        <f t="shared" si="415"/>
        <v>1615</v>
      </c>
      <c r="L1282" s="844">
        <f t="shared" si="416"/>
        <v>0</v>
      </c>
      <c r="M1282" s="740">
        <f t="shared" si="397"/>
        <v>0</v>
      </c>
      <c r="N1282" s="604">
        <f t="shared" si="387"/>
        <v>0</v>
      </c>
      <c r="O1282" s="604">
        <f t="shared" si="388"/>
        <v>0</v>
      </c>
      <c r="P1282" s="604">
        <f t="shared" si="389"/>
        <v>0</v>
      </c>
      <c r="Q1282" s="604">
        <f t="shared" si="404"/>
        <v>0</v>
      </c>
      <c r="R1282" s="604">
        <f t="shared" si="390"/>
        <v>0</v>
      </c>
      <c r="S1282" s="604">
        <f t="shared" si="391"/>
        <v>0</v>
      </c>
      <c r="T1282" s="604">
        <f t="shared" si="392"/>
        <v>0</v>
      </c>
      <c r="U1282" s="604">
        <f t="shared" si="393"/>
        <v>0</v>
      </c>
      <c r="V1282" s="604">
        <f t="shared" si="394"/>
        <v>0</v>
      </c>
      <c r="W1282" s="604">
        <f t="shared" si="395"/>
        <v>0</v>
      </c>
      <c r="X1282" s="746">
        <v>0</v>
      </c>
      <c r="Y1282" s="746">
        <f t="shared" si="396"/>
        <v>0</v>
      </c>
    </row>
    <row r="1283" spans="2:25">
      <c r="B1283" s="598" t="s">
        <v>2595</v>
      </c>
      <c r="C1283" s="604" t="s">
        <v>1106</v>
      </c>
      <c r="D1283" s="745">
        <v>2011</v>
      </c>
      <c r="E1283" s="604" t="s">
        <v>1763</v>
      </c>
      <c r="F1283" s="738">
        <v>0.125</v>
      </c>
      <c r="G1283" s="739">
        <v>4500</v>
      </c>
      <c r="H1283" s="741">
        <v>4500</v>
      </c>
      <c r="I1283" s="742">
        <f t="shared" si="413"/>
        <v>0</v>
      </c>
      <c r="J1283" s="740">
        <f t="shared" si="414"/>
        <v>0</v>
      </c>
      <c r="K1283" s="739">
        <f t="shared" si="415"/>
        <v>4500</v>
      </c>
      <c r="L1283" s="844">
        <f t="shared" si="416"/>
        <v>0</v>
      </c>
      <c r="M1283" s="740">
        <f t="shared" si="397"/>
        <v>0</v>
      </c>
      <c r="N1283" s="604">
        <f t="shared" si="387"/>
        <v>0</v>
      </c>
      <c r="O1283" s="604">
        <f t="shared" si="388"/>
        <v>0</v>
      </c>
      <c r="P1283" s="604">
        <f t="shared" si="389"/>
        <v>0</v>
      </c>
      <c r="Q1283" s="604">
        <f t="shared" si="404"/>
        <v>0</v>
      </c>
      <c r="R1283" s="604">
        <f t="shared" si="390"/>
        <v>0</v>
      </c>
      <c r="S1283" s="604">
        <f t="shared" si="391"/>
        <v>0</v>
      </c>
      <c r="T1283" s="604">
        <f t="shared" si="392"/>
        <v>0</v>
      </c>
      <c r="U1283" s="604">
        <f t="shared" si="393"/>
        <v>0</v>
      </c>
      <c r="V1283" s="604">
        <f t="shared" si="394"/>
        <v>0</v>
      </c>
      <c r="W1283" s="604">
        <f t="shared" si="395"/>
        <v>0</v>
      </c>
      <c r="X1283" s="746">
        <v>0</v>
      </c>
      <c r="Y1283" s="746">
        <f t="shared" si="396"/>
        <v>0</v>
      </c>
    </row>
    <row r="1284" spans="2:25">
      <c r="B1284" s="598" t="s">
        <v>2595</v>
      </c>
      <c r="C1284" s="604" t="s">
        <v>1106</v>
      </c>
      <c r="D1284" s="745">
        <v>2011</v>
      </c>
      <c r="E1284" s="604" t="s">
        <v>1764</v>
      </c>
      <c r="F1284" s="738">
        <v>0.125</v>
      </c>
      <c r="G1284" s="739">
        <v>3500</v>
      </c>
      <c r="H1284" s="741">
        <v>3500</v>
      </c>
      <c r="I1284" s="742">
        <f t="shared" si="413"/>
        <v>0</v>
      </c>
      <c r="J1284" s="740">
        <f t="shared" si="414"/>
        <v>0</v>
      </c>
      <c r="K1284" s="739">
        <f t="shared" si="415"/>
        <v>3500</v>
      </c>
      <c r="L1284" s="844">
        <f t="shared" si="416"/>
        <v>0</v>
      </c>
      <c r="M1284" s="740">
        <f t="shared" si="397"/>
        <v>0</v>
      </c>
      <c r="N1284" s="604">
        <f t="shared" si="387"/>
        <v>0</v>
      </c>
      <c r="O1284" s="604">
        <f t="shared" si="388"/>
        <v>0</v>
      </c>
      <c r="P1284" s="604">
        <f t="shared" si="389"/>
        <v>0</v>
      </c>
      <c r="Q1284" s="604">
        <f t="shared" si="404"/>
        <v>0</v>
      </c>
      <c r="R1284" s="604">
        <f t="shared" si="390"/>
        <v>0</v>
      </c>
      <c r="S1284" s="604">
        <f t="shared" si="391"/>
        <v>0</v>
      </c>
      <c r="T1284" s="604">
        <f t="shared" si="392"/>
        <v>0</v>
      </c>
      <c r="U1284" s="604">
        <f t="shared" si="393"/>
        <v>0</v>
      </c>
      <c r="V1284" s="604">
        <f t="shared" si="394"/>
        <v>0</v>
      </c>
      <c r="W1284" s="604">
        <f t="shared" si="395"/>
        <v>0</v>
      </c>
      <c r="X1284" s="746">
        <v>0</v>
      </c>
      <c r="Y1284" s="746">
        <f t="shared" si="396"/>
        <v>0</v>
      </c>
    </row>
    <row r="1285" spans="2:25">
      <c r="B1285" s="598" t="s">
        <v>2595</v>
      </c>
      <c r="C1285" s="604" t="s">
        <v>1106</v>
      </c>
      <c r="D1285" s="745">
        <v>2011</v>
      </c>
      <c r="E1285" s="604"/>
      <c r="F1285" s="738">
        <v>0.125</v>
      </c>
      <c r="G1285" s="739">
        <v>540</v>
      </c>
      <c r="H1285" s="741">
        <v>540</v>
      </c>
      <c r="I1285" s="742">
        <f t="shared" si="413"/>
        <v>0</v>
      </c>
      <c r="J1285" s="740">
        <f t="shared" si="414"/>
        <v>0</v>
      </c>
      <c r="K1285" s="739">
        <f t="shared" si="415"/>
        <v>540</v>
      </c>
      <c r="L1285" s="844">
        <f t="shared" si="416"/>
        <v>0</v>
      </c>
      <c r="M1285" s="740">
        <f t="shared" si="397"/>
        <v>0</v>
      </c>
      <c r="N1285" s="604">
        <f t="shared" si="387"/>
        <v>0</v>
      </c>
      <c r="O1285" s="604">
        <f t="shared" si="388"/>
        <v>0</v>
      </c>
      <c r="P1285" s="604">
        <f t="shared" si="389"/>
        <v>0</v>
      </c>
      <c r="Q1285" s="604">
        <f t="shared" si="404"/>
        <v>0</v>
      </c>
      <c r="R1285" s="604">
        <f t="shared" si="390"/>
        <v>0</v>
      </c>
      <c r="S1285" s="604">
        <f t="shared" si="391"/>
        <v>0</v>
      </c>
      <c r="T1285" s="604">
        <f t="shared" si="392"/>
        <v>0</v>
      </c>
      <c r="U1285" s="604">
        <f t="shared" si="393"/>
        <v>0</v>
      </c>
      <c r="V1285" s="604">
        <f t="shared" si="394"/>
        <v>0</v>
      </c>
      <c r="W1285" s="604">
        <f t="shared" si="395"/>
        <v>0</v>
      </c>
      <c r="X1285" s="746">
        <v>0</v>
      </c>
      <c r="Y1285" s="746">
        <f t="shared" si="396"/>
        <v>0</v>
      </c>
    </row>
    <row r="1286" spans="2:25">
      <c r="B1286" s="598" t="s">
        <v>2595</v>
      </c>
      <c r="C1286" s="604" t="s">
        <v>1106</v>
      </c>
      <c r="D1286" s="745">
        <v>2014</v>
      </c>
      <c r="E1286" s="604" t="s">
        <v>1765</v>
      </c>
      <c r="F1286" s="738">
        <v>0.125</v>
      </c>
      <c r="G1286" s="739">
        <v>3900</v>
      </c>
      <c r="H1286" s="741">
        <v>3656.25</v>
      </c>
      <c r="I1286" s="742">
        <f t="shared" si="413"/>
        <v>243.75</v>
      </c>
      <c r="J1286" s="740">
        <f t="shared" ref="J1286:J1295" si="417">IF(I1286=0,0,G1286*F1286/2)</f>
        <v>243.75</v>
      </c>
      <c r="K1286" s="739">
        <f t="shared" si="415"/>
        <v>3900</v>
      </c>
      <c r="L1286" s="844">
        <f t="shared" si="416"/>
        <v>0</v>
      </c>
      <c r="M1286" s="740">
        <f t="shared" si="397"/>
        <v>0</v>
      </c>
      <c r="N1286" s="604">
        <f t="shared" si="387"/>
        <v>0</v>
      </c>
      <c r="O1286" s="604">
        <f t="shared" si="388"/>
        <v>0</v>
      </c>
      <c r="P1286" s="604">
        <f t="shared" si="389"/>
        <v>0</v>
      </c>
      <c r="Q1286" s="604">
        <f t="shared" si="404"/>
        <v>0</v>
      </c>
      <c r="R1286" s="604">
        <f t="shared" si="390"/>
        <v>0</v>
      </c>
      <c r="S1286" s="604">
        <f t="shared" si="391"/>
        <v>0</v>
      </c>
      <c r="T1286" s="604">
        <f t="shared" si="392"/>
        <v>0</v>
      </c>
      <c r="U1286" s="604">
        <f t="shared" si="393"/>
        <v>0</v>
      </c>
      <c r="V1286" s="604">
        <f t="shared" si="394"/>
        <v>0</v>
      </c>
      <c r="W1286" s="604">
        <f t="shared" si="395"/>
        <v>0</v>
      </c>
      <c r="X1286" s="746">
        <v>0</v>
      </c>
      <c r="Y1286" s="746">
        <f t="shared" si="396"/>
        <v>0</v>
      </c>
    </row>
    <row r="1287" spans="2:25">
      <c r="B1287" s="598" t="s">
        <v>2595</v>
      </c>
      <c r="C1287" s="604" t="s">
        <v>1106</v>
      </c>
      <c r="D1287" s="745">
        <v>2014</v>
      </c>
      <c r="E1287" s="604" t="s">
        <v>1766</v>
      </c>
      <c r="F1287" s="738">
        <v>0.125</v>
      </c>
      <c r="G1287" s="739">
        <v>600</v>
      </c>
      <c r="H1287" s="741">
        <v>562.5</v>
      </c>
      <c r="I1287" s="742">
        <f t="shared" si="413"/>
        <v>37.5</v>
      </c>
      <c r="J1287" s="740">
        <f t="shared" si="417"/>
        <v>37.5</v>
      </c>
      <c r="K1287" s="739">
        <f t="shared" si="415"/>
        <v>600</v>
      </c>
      <c r="L1287" s="844">
        <f t="shared" si="416"/>
        <v>0</v>
      </c>
      <c r="M1287" s="740">
        <f t="shared" si="397"/>
        <v>0</v>
      </c>
      <c r="N1287" s="604">
        <f t="shared" si="387"/>
        <v>0</v>
      </c>
      <c r="O1287" s="604">
        <f t="shared" si="388"/>
        <v>0</v>
      </c>
      <c r="P1287" s="604">
        <f t="shared" si="389"/>
        <v>0</v>
      </c>
      <c r="Q1287" s="604">
        <f t="shared" si="404"/>
        <v>0</v>
      </c>
      <c r="R1287" s="604">
        <f t="shared" si="390"/>
        <v>0</v>
      </c>
      <c r="S1287" s="604">
        <f t="shared" si="391"/>
        <v>0</v>
      </c>
      <c r="T1287" s="604">
        <f t="shared" si="392"/>
        <v>0</v>
      </c>
      <c r="U1287" s="604">
        <f t="shared" si="393"/>
        <v>0</v>
      </c>
      <c r="V1287" s="604">
        <f t="shared" si="394"/>
        <v>0</v>
      </c>
      <c r="W1287" s="604">
        <f t="shared" si="395"/>
        <v>0</v>
      </c>
      <c r="X1287" s="746">
        <v>0</v>
      </c>
      <c r="Y1287" s="746">
        <f t="shared" si="396"/>
        <v>0</v>
      </c>
    </row>
    <row r="1288" spans="2:25">
      <c r="B1288" s="598" t="s">
        <v>2595</v>
      </c>
      <c r="C1288" s="604" t="s">
        <v>1106</v>
      </c>
      <c r="D1288" s="745">
        <v>2014</v>
      </c>
      <c r="E1288" s="604" t="s">
        <v>1767</v>
      </c>
      <c r="F1288" s="738">
        <v>0.125</v>
      </c>
      <c r="G1288" s="739">
        <v>1100</v>
      </c>
      <c r="H1288" s="741">
        <v>1031.25</v>
      </c>
      <c r="I1288" s="742">
        <f t="shared" si="413"/>
        <v>68.75</v>
      </c>
      <c r="J1288" s="740">
        <f t="shared" si="417"/>
        <v>68.75</v>
      </c>
      <c r="K1288" s="739">
        <f t="shared" si="415"/>
        <v>1100</v>
      </c>
      <c r="L1288" s="844">
        <f t="shared" si="416"/>
        <v>0</v>
      </c>
      <c r="M1288" s="740">
        <f t="shared" si="397"/>
        <v>0</v>
      </c>
      <c r="N1288" s="604">
        <f t="shared" si="387"/>
        <v>0</v>
      </c>
      <c r="O1288" s="604">
        <f t="shared" si="388"/>
        <v>0</v>
      </c>
      <c r="P1288" s="604">
        <f t="shared" si="389"/>
        <v>0</v>
      </c>
      <c r="Q1288" s="604">
        <f t="shared" si="404"/>
        <v>0</v>
      </c>
      <c r="R1288" s="604">
        <f t="shared" si="390"/>
        <v>0</v>
      </c>
      <c r="S1288" s="604">
        <f t="shared" si="391"/>
        <v>0</v>
      </c>
      <c r="T1288" s="604">
        <f t="shared" si="392"/>
        <v>0</v>
      </c>
      <c r="U1288" s="604">
        <f t="shared" si="393"/>
        <v>0</v>
      </c>
      <c r="V1288" s="604">
        <f t="shared" si="394"/>
        <v>0</v>
      </c>
      <c r="W1288" s="604">
        <f t="shared" si="395"/>
        <v>0</v>
      </c>
      <c r="X1288" s="746">
        <v>0</v>
      </c>
      <c r="Y1288" s="746">
        <f t="shared" si="396"/>
        <v>0</v>
      </c>
    </row>
    <row r="1289" spans="2:25">
      <c r="B1289" s="598" t="s">
        <v>2595</v>
      </c>
      <c r="C1289" s="604" t="s">
        <v>1106</v>
      </c>
      <c r="D1289" s="745">
        <v>2014</v>
      </c>
      <c r="E1289" s="604" t="s">
        <v>1768</v>
      </c>
      <c r="F1289" s="738">
        <v>0.125</v>
      </c>
      <c r="G1289" s="739">
        <v>750</v>
      </c>
      <c r="H1289" s="741">
        <v>703.13</v>
      </c>
      <c r="I1289" s="742">
        <f t="shared" si="413"/>
        <v>46.870000000000005</v>
      </c>
      <c r="J1289" s="740">
        <f t="shared" si="417"/>
        <v>46.875</v>
      </c>
      <c r="K1289" s="739">
        <f t="shared" si="415"/>
        <v>750.005</v>
      </c>
      <c r="L1289" s="844">
        <f t="shared" si="416"/>
        <v>-4.9999999999954525E-3</v>
      </c>
      <c r="M1289" s="740">
        <f>+IF(L1289=0,0,G1289*F1289)-X1289</f>
        <v>-4.9999999999954525E-3</v>
      </c>
      <c r="N1289" s="604">
        <f t="shared" ref="N1289:N1343" si="418">+IF(L1289-M1289&gt;0,G1289*F1289,0)</f>
        <v>0</v>
      </c>
      <c r="O1289" s="604">
        <f t="shared" ref="O1289:O1343" si="419">+IF(L1289-SUM(M1289:N1289)&gt;0,G1289*F1289,0)</f>
        <v>0</v>
      </c>
      <c r="P1289" s="604">
        <f t="shared" ref="P1289:P1343" si="420">+IF(L1289-SUM(M1289:O1289)&gt;0,G1289*F1289,0)</f>
        <v>0</v>
      </c>
      <c r="Q1289" s="604">
        <f t="shared" ref="Q1289:Q1343" si="421">+IF(L1289-SUM(M1289:P1289)&gt;0,G1289*F1289,0)</f>
        <v>0</v>
      </c>
      <c r="R1289" s="604">
        <f t="shared" ref="R1289:R1343" si="422">+IF(L1289-SUM(M1289:Q1289)&gt;0,G1289*F1289,0)</f>
        <v>0</v>
      </c>
      <c r="S1289" s="604">
        <f t="shared" ref="S1289:S1343" si="423">+IF(L1289-SUM(M1289:R1289)&gt;0,G1289*F1289,0)</f>
        <v>0</v>
      </c>
      <c r="T1289" s="604">
        <f t="shared" ref="T1289:T1341" si="424">+IF(L1289-SUM(M1289:S1289)&gt;0,G1289*F1289,0)</f>
        <v>0</v>
      </c>
      <c r="U1289" s="604">
        <f t="shared" ref="U1289:U1343" si="425">+IF(L1289-SUM(M1289:T1289)&gt;0,G1289*F1289,0)</f>
        <v>0</v>
      </c>
      <c r="V1289" s="604">
        <f t="shared" ref="V1289:V1343" si="426">+IF(L1289-SUM(M1289:U1289)&gt;0,G1289*F1289,0)</f>
        <v>0</v>
      </c>
      <c r="W1289" s="604">
        <f t="shared" ref="W1289:W1343" si="427">+IF(L1289-SUM(M1289:V1289)&gt;0,G1289*F1289,0)</f>
        <v>0</v>
      </c>
      <c r="X1289" s="746">
        <v>93.754999999999995</v>
      </c>
      <c r="Y1289" s="746">
        <f t="shared" ref="Y1289:Y1343" si="428">+SUM(M1289:W1289)-L1289</f>
        <v>0</v>
      </c>
    </row>
    <row r="1290" spans="2:25">
      <c r="B1290" s="598" t="s">
        <v>2595</v>
      </c>
      <c r="C1290" s="604" t="s">
        <v>1106</v>
      </c>
      <c r="D1290" s="745">
        <v>2014</v>
      </c>
      <c r="E1290" s="604" t="s">
        <v>1769</v>
      </c>
      <c r="F1290" s="738">
        <v>0.125</v>
      </c>
      <c r="G1290" s="739">
        <v>2500</v>
      </c>
      <c r="H1290" s="741">
        <v>2343.75</v>
      </c>
      <c r="I1290" s="742">
        <f t="shared" si="413"/>
        <v>156.25</v>
      </c>
      <c r="J1290" s="740">
        <f t="shared" si="417"/>
        <v>156.25</v>
      </c>
      <c r="K1290" s="739">
        <f t="shared" si="415"/>
        <v>2500</v>
      </c>
      <c r="L1290" s="844">
        <f t="shared" si="416"/>
        <v>0</v>
      </c>
      <c r="M1290" s="740">
        <f t="shared" si="397"/>
        <v>0</v>
      </c>
      <c r="N1290" s="604">
        <f t="shared" si="418"/>
        <v>0</v>
      </c>
      <c r="O1290" s="604">
        <f t="shared" si="419"/>
        <v>0</v>
      </c>
      <c r="P1290" s="604">
        <f t="shared" si="420"/>
        <v>0</v>
      </c>
      <c r="Q1290" s="604">
        <f t="shared" si="421"/>
        <v>0</v>
      </c>
      <c r="R1290" s="604">
        <f t="shared" si="422"/>
        <v>0</v>
      </c>
      <c r="S1290" s="604">
        <f t="shared" si="423"/>
        <v>0</v>
      </c>
      <c r="T1290" s="604">
        <f t="shared" si="424"/>
        <v>0</v>
      </c>
      <c r="U1290" s="604">
        <f t="shared" si="425"/>
        <v>0</v>
      </c>
      <c r="V1290" s="604">
        <f t="shared" si="426"/>
        <v>0</v>
      </c>
      <c r="W1290" s="604">
        <f t="shared" si="427"/>
        <v>0</v>
      </c>
      <c r="X1290" s="746">
        <v>0</v>
      </c>
      <c r="Y1290" s="746">
        <f t="shared" si="428"/>
        <v>0</v>
      </c>
    </row>
    <row r="1291" spans="2:25">
      <c r="B1291" s="598" t="s">
        <v>2595</v>
      </c>
      <c r="C1291" s="604" t="s">
        <v>1106</v>
      </c>
      <c r="D1291" s="745">
        <v>2014</v>
      </c>
      <c r="E1291" s="604" t="s">
        <v>1770</v>
      </c>
      <c r="F1291" s="738">
        <v>0.125</v>
      </c>
      <c r="G1291" s="739">
        <v>1600</v>
      </c>
      <c r="H1291" s="741">
        <v>1500</v>
      </c>
      <c r="I1291" s="742">
        <f t="shared" si="413"/>
        <v>100</v>
      </c>
      <c r="J1291" s="740">
        <f t="shared" si="417"/>
        <v>100</v>
      </c>
      <c r="K1291" s="739">
        <f t="shared" si="415"/>
        <v>1600</v>
      </c>
      <c r="L1291" s="844">
        <f t="shared" si="416"/>
        <v>0</v>
      </c>
      <c r="M1291" s="740">
        <f t="shared" si="397"/>
        <v>0</v>
      </c>
      <c r="N1291" s="604">
        <f t="shared" si="418"/>
        <v>0</v>
      </c>
      <c r="O1291" s="604">
        <f t="shared" si="419"/>
        <v>0</v>
      </c>
      <c r="P1291" s="604">
        <f t="shared" si="420"/>
        <v>0</v>
      </c>
      <c r="Q1291" s="604">
        <f t="shared" si="421"/>
        <v>0</v>
      </c>
      <c r="R1291" s="604">
        <f t="shared" si="422"/>
        <v>0</v>
      </c>
      <c r="S1291" s="604">
        <f t="shared" si="423"/>
        <v>0</v>
      </c>
      <c r="T1291" s="604">
        <f t="shared" si="424"/>
        <v>0</v>
      </c>
      <c r="U1291" s="604">
        <f t="shared" si="425"/>
        <v>0</v>
      </c>
      <c r="V1291" s="604">
        <f t="shared" si="426"/>
        <v>0</v>
      </c>
      <c r="W1291" s="604">
        <f t="shared" si="427"/>
        <v>0</v>
      </c>
      <c r="X1291" s="746">
        <v>0</v>
      </c>
      <c r="Y1291" s="746">
        <f t="shared" si="428"/>
        <v>0</v>
      </c>
    </row>
    <row r="1292" spans="2:25">
      <c r="B1292" s="598" t="s">
        <v>2595</v>
      </c>
      <c r="C1292" s="604" t="s">
        <v>1106</v>
      </c>
      <c r="D1292" s="745">
        <v>2014</v>
      </c>
      <c r="E1292" s="604" t="s">
        <v>1771</v>
      </c>
      <c r="F1292" s="738">
        <v>0.125</v>
      </c>
      <c r="G1292" s="739">
        <v>1000</v>
      </c>
      <c r="H1292" s="741">
        <v>937.5</v>
      </c>
      <c r="I1292" s="742">
        <f t="shared" si="413"/>
        <v>62.5</v>
      </c>
      <c r="J1292" s="740">
        <f t="shared" si="417"/>
        <v>62.5</v>
      </c>
      <c r="K1292" s="739">
        <f t="shared" si="415"/>
        <v>1000</v>
      </c>
      <c r="L1292" s="844">
        <f t="shared" si="416"/>
        <v>0</v>
      </c>
      <c r="M1292" s="740">
        <f t="shared" ref="M1292:M1344" si="429">+IF(L1292=0,0,G1292*F1292)</f>
        <v>0</v>
      </c>
      <c r="N1292" s="604">
        <f t="shared" si="418"/>
        <v>0</v>
      </c>
      <c r="O1292" s="604">
        <f t="shared" si="419"/>
        <v>0</v>
      </c>
      <c r="P1292" s="604">
        <f t="shared" si="420"/>
        <v>0</v>
      </c>
      <c r="Q1292" s="604">
        <f t="shared" si="421"/>
        <v>0</v>
      </c>
      <c r="R1292" s="604">
        <f t="shared" si="422"/>
        <v>0</v>
      </c>
      <c r="S1292" s="604">
        <f t="shared" si="423"/>
        <v>0</v>
      </c>
      <c r="T1292" s="604">
        <f t="shared" si="424"/>
        <v>0</v>
      </c>
      <c r="U1292" s="604">
        <f t="shared" si="425"/>
        <v>0</v>
      </c>
      <c r="V1292" s="604">
        <f t="shared" si="426"/>
        <v>0</v>
      </c>
      <c r="W1292" s="604">
        <f t="shared" si="427"/>
        <v>0</v>
      </c>
      <c r="X1292" s="746">
        <v>0</v>
      </c>
      <c r="Y1292" s="746">
        <f t="shared" si="428"/>
        <v>0</v>
      </c>
    </row>
    <row r="1293" spans="2:25">
      <c r="B1293" s="598" t="s">
        <v>2595</v>
      </c>
      <c r="C1293" s="604" t="s">
        <v>1106</v>
      </c>
      <c r="D1293" s="745">
        <v>2014</v>
      </c>
      <c r="E1293" s="604" t="s">
        <v>1772</v>
      </c>
      <c r="F1293" s="738">
        <v>0.125</v>
      </c>
      <c r="G1293" s="739">
        <v>1700</v>
      </c>
      <c r="H1293" s="741">
        <v>1593.75</v>
      </c>
      <c r="I1293" s="742">
        <f t="shared" si="413"/>
        <v>106.25</v>
      </c>
      <c r="J1293" s="740">
        <f t="shared" si="417"/>
        <v>106.25</v>
      </c>
      <c r="K1293" s="739">
        <f t="shared" si="415"/>
        <v>1700</v>
      </c>
      <c r="L1293" s="844">
        <f t="shared" si="416"/>
        <v>0</v>
      </c>
      <c r="M1293" s="740">
        <f t="shared" si="429"/>
        <v>0</v>
      </c>
      <c r="N1293" s="604">
        <f t="shared" si="418"/>
        <v>0</v>
      </c>
      <c r="O1293" s="604">
        <f t="shared" si="419"/>
        <v>0</v>
      </c>
      <c r="P1293" s="604">
        <f t="shared" si="420"/>
        <v>0</v>
      </c>
      <c r="Q1293" s="604">
        <f t="shared" si="421"/>
        <v>0</v>
      </c>
      <c r="R1293" s="604">
        <f t="shared" si="422"/>
        <v>0</v>
      </c>
      <c r="S1293" s="604">
        <f t="shared" si="423"/>
        <v>0</v>
      </c>
      <c r="T1293" s="604">
        <f t="shared" si="424"/>
        <v>0</v>
      </c>
      <c r="U1293" s="604">
        <f t="shared" si="425"/>
        <v>0</v>
      </c>
      <c r="V1293" s="604">
        <f t="shared" si="426"/>
        <v>0</v>
      </c>
      <c r="W1293" s="604">
        <f t="shared" si="427"/>
        <v>0</v>
      </c>
      <c r="X1293" s="746">
        <v>0</v>
      </c>
      <c r="Y1293" s="746">
        <f t="shared" si="428"/>
        <v>0</v>
      </c>
    </row>
    <row r="1294" spans="2:25">
      <c r="B1294" s="598" t="s">
        <v>2595</v>
      </c>
      <c r="C1294" s="604" t="s">
        <v>1106</v>
      </c>
      <c r="D1294" s="745">
        <v>2014</v>
      </c>
      <c r="E1294" s="604" t="s">
        <v>1773</v>
      </c>
      <c r="F1294" s="738">
        <v>0.125</v>
      </c>
      <c r="G1294" s="739">
        <v>2500</v>
      </c>
      <c r="H1294" s="741">
        <v>2343.75</v>
      </c>
      <c r="I1294" s="742">
        <f t="shared" si="413"/>
        <v>156.25</v>
      </c>
      <c r="J1294" s="740">
        <f t="shared" si="417"/>
        <v>156.25</v>
      </c>
      <c r="K1294" s="739">
        <f t="shared" si="415"/>
        <v>2500</v>
      </c>
      <c r="L1294" s="844">
        <f t="shared" si="416"/>
        <v>0</v>
      </c>
      <c r="M1294" s="740">
        <f t="shared" si="429"/>
        <v>0</v>
      </c>
      <c r="N1294" s="604">
        <f t="shared" si="418"/>
        <v>0</v>
      </c>
      <c r="O1294" s="604">
        <f t="shared" si="419"/>
        <v>0</v>
      </c>
      <c r="P1294" s="604">
        <f t="shared" si="420"/>
        <v>0</v>
      </c>
      <c r="Q1294" s="604">
        <f t="shared" si="421"/>
        <v>0</v>
      </c>
      <c r="R1294" s="604">
        <f t="shared" si="422"/>
        <v>0</v>
      </c>
      <c r="S1294" s="604">
        <f t="shared" si="423"/>
        <v>0</v>
      </c>
      <c r="T1294" s="604">
        <f t="shared" si="424"/>
        <v>0</v>
      </c>
      <c r="U1294" s="604">
        <f t="shared" si="425"/>
        <v>0</v>
      </c>
      <c r="V1294" s="604">
        <f t="shared" si="426"/>
        <v>0</v>
      </c>
      <c r="W1294" s="604">
        <f t="shared" si="427"/>
        <v>0</v>
      </c>
      <c r="X1294" s="746">
        <v>0</v>
      </c>
      <c r="Y1294" s="746">
        <f t="shared" si="428"/>
        <v>0</v>
      </c>
    </row>
    <row r="1295" spans="2:25">
      <c r="B1295" s="598" t="s">
        <v>2595</v>
      </c>
      <c r="C1295" s="604" t="s">
        <v>1106</v>
      </c>
      <c r="D1295" s="745">
        <v>2014</v>
      </c>
      <c r="E1295" s="604" t="s">
        <v>1774</v>
      </c>
      <c r="F1295" s="738">
        <v>0.125</v>
      </c>
      <c r="G1295" s="739">
        <v>5400</v>
      </c>
      <c r="H1295" s="741">
        <v>5062.5</v>
      </c>
      <c r="I1295" s="742">
        <f t="shared" si="413"/>
        <v>337.5</v>
      </c>
      <c r="J1295" s="740">
        <f t="shared" si="417"/>
        <v>337.5</v>
      </c>
      <c r="K1295" s="739">
        <f t="shared" si="415"/>
        <v>5400</v>
      </c>
      <c r="L1295" s="844">
        <f t="shared" si="416"/>
        <v>0</v>
      </c>
      <c r="M1295" s="740">
        <f t="shared" si="429"/>
        <v>0</v>
      </c>
      <c r="N1295" s="604">
        <f t="shared" si="418"/>
        <v>0</v>
      </c>
      <c r="O1295" s="604">
        <f t="shared" si="419"/>
        <v>0</v>
      </c>
      <c r="P1295" s="604">
        <f t="shared" si="420"/>
        <v>0</v>
      </c>
      <c r="Q1295" s="604">
        <f t="shared" si="421"/>
        <v>0</v>
      </c>
      <c r="R1295" s="604">
        <f t="shared" si="422"/>
        <v>0</v>
      </c>
      <c r="S1295" s="604">
        <f t="shared" si="423"/>
        <v>0</v>
      </c>
      <c r="T1295" s="604">
        <f t="shared" si="424"/>
        <v>0</v>
      </c>
      <c r="U1295" s="604">
        <f t="shared" si="425"/>
        <v>0</v>
      </c>
      <c r="V1295" s="604">
        <f t="shared" si="426"/>
        <v>0</v>
      </c>
      <c r="W1295" s="604">
        <f t="shared" si="427"/>
        <v>0</v>
      </c>
      <c r="X1295" s="746">
        <v>0</v>
      </c>
      <c r="Y1295" s="746">
        <f t="shared" si="428"/>
        <v>0</v>
      </c>
    </row>
    <row r="1296" spans="2:25">
      <c r="B1296" s="598" t="s">
        <v>2595</v>
      </c>
      <c r="C1296" s="604" t="s">
        <v>1106</v>
      </c>
      <c r="D1296" s="745">
        <v>2015</v>
      </c>
      <c r="E1296" s="604" t="s">
        <v>1775</v>
      </c>
      <c r="F1296" s="738">
        <v>0.125</v>
      </c>
      <c r="G1296" s="739">
        <v>10000</v>
      </c>
      <c r="H1296" s="741">
        <f>+G1296*81.25%</f>
        <v>8125</v>
      </c>
      <c r="I1296" s="742">
        <f t="shared" si="413"/>
        <v>1875</v>
      </c>
      <c r="J1296" s="740">
        <f>IF(I1296=0,0,G1296*F1296)</f>
        <v>1250</v>
      </c>
      <c r="K1296" s="739">
        <f t="shared" si="415"/>
        <v>9375</v>
      </c>
      <c r="L1296" s="844">
        <f>+G1296-K1296</f>
        <v>625</v>
      </c>
      <c r="M1296" s="740">
        <f>+IF(L1296=0,0,G1296*F1296)-X1296</f>
        <v>625</v>
      </c>
      <c r="N1296" s="604">
        <f t="shared" si="418"/>
        <v>0</v>
      </c>
      <c r="O1296" s="604">
        <f t="shared" si="419"/>
        <v>0</v>
      </c>
      <c r="P1296" s="604">
        <f t="shared" si="420"/>
        <v>0</v>
      </c>
      <c r="Q1296" s="604">
        <f t="shared" si="421"/>
        <v>0</v>
      </c>
      <c r="R1296" s="604">
        <f t="shared" si="422"/>
        <v>0</v>
      </c>
      <c r="S1296" s="604">
        <f t="shared" si="423"/>
        <v>0</v>
      </c>
      <c r="T1296" s="604">
        <f t="shared" si="424"/>
        <v>0</v>
      </c>
      <c r="U1296" s="604">
        <f t="shared" si="425"/>
        <v>0</v>
      </c>
      <c r="V1296" s="604">
        <f t="shared" si="426"/>
        <v>0</v>
      </c>
      <c r="W1296" s="604">
        <f t="shared" si="427"/>
        <v>0</v>
      </c>
      <c r="X1296" s="746">
        <v>625</v>
      </c>
      <c r="Y1296" s="746">
        <f t="shared" si="428"/>
        <v>0</v>
      </c>
    </row>
    <row r="1297" spans="2:25">
      <c r="B1297" s="598" t="s">
        <v>2595</v>
      </c>
      <c r="C1297" s="604" t="s">
        <v>1106</v>
      </c>
      <c r="D1297" s="745">
        <v>2015</v>
      </c>
      <c r="E1297" s="604"/>
      <c r="F1297" s="738">
        <v>0.125</v>
      </c>
      <c r="G1297" s="739">
        <v>15550</v>
      </c>
      <c r="H1297" s="741">
        <f>+G1297*81.25%</f>
        <v>12634.375</v>
      </c>
      <c r="I1297" s="742">
        <f t="shared" si="413"/>
        <v>2915.625</v>
      </c>
      <c r="J1297" s="740">
        <f t="shared" ref="J1297:J1341" si="430">IF(I1297=0,0,G1297*F1297)</f>
        <v>1943.75</v>
      </c>
      <c r="K1297" s="739">
        <f t="shared" si="415"/>
        <v>14578.125</v>
      </c>
      <c r="L1297" s="844">
        <f t="shared" si="416"/>
        <v>971.875</v>
      </c>
      <c r="M1297" s="740">
        <f>+IF(L1297=0,0,G1297*F1297)-X1297</f>
        <v>971.875</v>
      </c>
      <c r="N1297" s="604">
        <f t="shared" si="418"/>
        <v>0</v>
      </c>
      <c r="O1297" s="604">
        <f t="shared" si="419"/>
        <v>0</v>
      </c>
      <c r="P1297" s="604">
        <f t="shared" si="420"/>
        <v>0</v>
      </c>
      <c r="Q1297" s="604">
        <f t="shared" si="421"/>
        <v>0</v>
      </c>
      <c r="R1297" s="604">
        <f t="shared" si="422"/>
        <v>0</v>
      </c>
      <c r="S1297" s="604">
        <f t="shared" si="423"/>
        <v>0</v>
      </c>
      <c r="T1297" s="604">
        <f t="shared" si="424"/>
        <v>0</v>
      </c>
      <c r="U1297" s="604">
        <f t="shared" si="425"/>
        <v>0</v>
      </c>
      <c r="V1297" s="604">
        <f t="shared" si="426"/>
        <v>0</v>
      </c>
      <c r="W1297" s="604">
        <f t="shared" si="427"/>
        <v>0</v>
      </c>
      <c r="X1297" s="746">
        <v>971.875</v>
      </c>
      <c r="Y1297" s="746">
        <f>+SUM(M1297:W1297)-L1297</f>
        <v>0</v>
      </c>
    </row>
    <row r="1298" spans="2:25">
      <c r="B1298" s="598" t="s">
        <v>2595</v>
      </c>
      <c r="C1298" s="604" t="s">
        <v>1106</v>
      </c>
      <c r="D1298" s="745">
        <v>2015</v>
      </c>
      <c r="E1298" s="604" t="s">
        <v>1776</v>
      </c>
      <c r="F1298" s="738">
        <v>0.125</v>
      </c>
      <c r="G1298" s="739">
        <v>3000</v>
      </c>
      <c r="H1298" s="741">
        <v>2437.5</v>
      </c>
      <c r="I1298" s="742">
        <f t="shared" si="413"/>
        <v>562.5</v>
      </c>
      <c r="J1298" s="740">
        <f t="shared" si="430"/>
        <v>375</v>
      </c>
      <c r="K1298" s="739">
        <f t="shared" si="415"/>
        <v>2812.5</v>
      </c>
      <c r="L1298" s="844">
        <f t="shared" si="416"/>
        <v>187.5</v>
      </c>
      <c r="M1298" s="740">
        <f>+IF(L1298=0,0,G1298*F1298)-X1298</f>
        <v>187.5</v>
      </c>
      <c r="N1298" s="604">
        <f t="shared" si="418"/>
        <v>0</v>
      </c>
      <c r="O1298" s="604">
        <f t="shared" si="419"/>
        <v>0</v>
      </c>
      <c r="P1298" s="604">
        <f t="shared" si="420"/>
        <v>0</v>
      </c>
      <c r="Q1298" s="604">
        <f t="shared" si="421"/>
        <v>0</v>
      </c>
      <c r="R1298" s="604">
        <f t="shared" si="422"/>
        <v>0</v>
      </c>
      <c r="S1298" s="604">
        <f t="shared" si="423"/>
        <v>0</v>
      </c>
      <c r="T1298" s="604">
        <f t="shared" si="424"/>
        <v>0</v>
      </c>
      <c r="U1298" s="604">
        <f t="shared" si="425"/>
        <v>0</v>
      </c>
      <c r="V1298" s="604">
        <f t="shared" si="426"/>
        <v>0</v>
      </c>
      <c r="W1298" s="604">
        <f t="shared" si="427"/>
        <v>0</v>
      </c>
      <c r="X1298" s="746">
        <v>187.5</v>
      </c>
      <c r="Y1298" s="746">
        <f t="shared" si="428"/>
        <v>0</v>
      </c>
    </row>
    <row r="1299" spans="2:25">
      <c r="B1299" s="598" t="s">
        <v>2595</v>
      </c>
      <c r="C1299" s="604" t="s">
        <v>1106</v>
      </c>
      <c r="D1299" s="745">
        <v>2015</v>
      </c>
      <c r="E1299" s="604" t="s">
        <v>1777</v>
      </c>
      <c r="F1299" s="738">
        <v>0.125</v>
      </c>
      <c r="G1299" s="739">
        <v>1600</v>
      </c>
      <c r="H1299" s="741">
        <v>1300</v>
      </c>
      <c r="I1299" s="742">
        <f t="shared" si="413"/>
        <v>300</v>
      </c>
      <c r="J1299" s="740">
        <f t="shared" si="430"/>
        <v>200</v>
      </c>
      <c r="K1299" s="739">
        <f t="shared" si="415"/>
        <v>1500</v>
      </c>
      <c r="L1299" s="844">
        <f t="shared" si="416"/>
        <v>100</v>
      </c>
      <c r="M1299" s="740">
        <f>+IF(L1299=0,0,G1299*F1299)-X1299</f>
        <v>100</v>
      </c>
      <c r="N1299" s="604">
        <f t="shared" si="418"/>
        <v>0</v>
      </c>
      <c r="O1299" s="604">
        <f t="shared" si="419"/>
        <v>0</v>
      </c>
      <c r="P1299" s="604">
        <f t="shared" si="420"/>
        <v>0</v>
      </c>
      <c r="Q1299" s="604">
        <f t="shared" si="421"/>
        <v>0</v>
      </c>
      <c r="R1299" s="604">
        <f t="shared" si="422"/>
        <v>0</v>
      </c>
      <c r="S1299" s="604">
        <f t="shared" si="423"/>
        <v>0</v>
      </c>
      <c r="T1299" s="604">
        <f t="shared" si="424"/>
        <v>0</v>
      </c>
      <c r="U1299" s="604">
        <f t="shared" si="425"/>
        <v>0</v>
      </c>
      <c r="V1299" s="604">
        <f t="shared" si="426"/>
        <v>0</v>
      </c>
      <c r="W1299" s="604">
        <f t="shared" si="427"/>
        <v>0</v>
      </c>
      <c r="X1299" s="746">
        <v>100</v>
      </c>
      <c r="Y1299" s="746">
        <f t="shared" si="428"/>
        <v>0</v>
      </c>
    </row>
    <row r="1300" spans="2:25">
      <c r="B1300" s="598" t="s">
        <v>2595</v>
      </c>
      <c r="C1300" s="604" t="s">
        <v>1106</v>
      </c>
      <c r="D1300" s="745">
        <v>2015</v>
      </c>
      <c r="E1300" s="604" t="s">
        <v>1778</v>
      </c>
      <c r="F1300" s="738">
        <v>0.125</v>
      </c>
      <c r="G1300" s="739">
        <v>3500</v>
      </c>
      <c r="H1300" s="741">
        <v>2843.75</v>
      </c>
      <c r="I1300" s="742">
        <f t="shared" si="413"/>
        <v>656.25</v>
      </c>
      <c r="J1300" s="740">
        <f t="shared" si="430"/>
        <v>437.5</v>
      </c>
      <c r="K1300" s="739">
        <f t="shared" si="415"/>
        <v>3281.25</v>
      </c>
      <c r="L1300" s="844">
        <f t="shared" si="416"/>
        <v>218.75</v>
      </c>
      <c r="M1300" s="740">
        <f>+IF(L1300=0,0,G1300*F1300)-X1300</f>
        <v>218.75</v>
      </c>
      <c r="N1300" s="604">
        <f t="shared" si="418"/>
        <v>0</v>
      </c>
      <c r="O1300" s="604">
        <f t="shared" si="419"/>
        <v>0</v>
      </c>
      <c r="P1300" s="604">
        <f t="shared" si="420"/>
        <v>0</v>
      </c>
      <c r="Q1300" s="604">
        <f t="shared" si="421"/>
        <v>0</v>
      </c>
      <c r="R1300" s="604">
        <f t="shared" si="422"/>
        <v>0</v>
      </c>
      <c r="S1300" s="604">
        <f t="shared" si="423"/>
        <v>0</v>
      </c>
      <c r="T1300" s="604">
        <f t="shared" si="424"/>
        <v>0</v>
      </c>
      <c r="U1300" s="604">
        <f t="shared" si="425"/>
        <v>0</v>
      </c>
      <c r="V1300" s="604">
        <f t="shared" si="426"/>
        <v>0</v>
      </c>
      <c r="W1300" s="604">
        <f t="shared" si="427"/>
        <v>0</v>
      </c>
      <c r="X1300" s="746">
        <v>218.75</v>
      </c>
      <c r="Y1300" s="746">
        <f t="shared" si="428"/>
        <v>0</v>
      </c>
    </row>
    <row r="1301" spans="2:25">
      <c r="B1301" s="598" t="s">
        <v>2595</v>
      </c>
      <c r="C1301" s="604" t="s">
        <v>1106</v>
      </c>
      <c r="D1301" s="745">
        <v>2016</v>
      </c>
      <c r="E1301" s="604" t="s">
        <v>1779</v>
      </c>
      <c r="F1301" s="738">
        <v>0.125</v>
      </c>
      <c r="G1301" s="739">
        <v>2100</v>
      </c>
      <c r="H1301" s="741">
        <v>1443.75</v>
      </c>
      <c r="I1301" s="742">
        <f t="shared" si="413"/>
        <v>656.25</v>
      </c>
      <c r="J1301" s="740">
        <f t="shared" si="430"/>
        <v>262.5</v>
      </c>
      <c r="K1301" s="739">
        <f t="shared" si="415"/>
        <v>1706.25</v>
      </c>
      <c r="L1301" s="844">
        <f t="shared" si="416"/>
        <v>393.75</v>
      </c>
      <c r="M1301" s="740">
        <f t="shared" si="429"/>
        <v>262.5</v>
      </c>
      <c r="N1301" s="604">
        <f t="shared" ref="N1301:N1308" si="431">+IF(L1301-M1301&gt;0,G1301*F1301,0)-X1301</f>
        <v>131.25</v>
      </c>
      <c r="O1301" s="604">
        <f t="shared" si="419"/>
        <v>0</v>
      </c>
      <c r="P1301" s="604">
        <f t="shared" si="420"/>
        <v>0</v>
      </c>
      <c r="Q1301" s="604">
        <f t="shared" si="421"/>
        <v>0</v>
      </c>
      <c r="R1301" s="604">
        <f t="shared" si="422"/>
        <v>0</v>
      </c>
      <c r="S1301" s="604">
        <f t="shared" si="423"/>
        <v>0</v>
      </c>
      <c r="T1301" s="604">
        <f t="shared" si="424"/>
        <v>0</v>
      </c>
      <c r="U1301" s="604">
        <f t="shared" si="425"/>
        <v>0</v>
      </c>
      <c r="V1301" s="604">
        <f t="shared" si="426"/>
        <v>0</v>
      </c>
      <c r="W1301" s="604">
        <f t="shared" si="427"/>
        <v>0</v>
      </c>
      <c r="X1301" s="746">
        <v>131.25</v>
      </c>
      <c r="Y1301" s="746">
        <f t="shared" si="428"/>
        <v>0</v>
      </c>
    </row>
    <row r="1302" spans="2:25">
      <c r="B1302" s="598" t="s">
        <v>2595</v>
      </c>
      <c r="C1302" s="604" t="s">
        <v>1106</v>
      </c>
      <c r="D1302" s="745">
        <v>2016</v>
      </c>
      <c r="E1302" s="604" t="s">
        <v>1780</v>
      </c>
      <c r="F1302" s="738">
        <v>0.125</v>
      </c>
      <c r="G1302" s="739">
        <v>2100</v>
      </c>
      <c r="H1302" s="741">
        <v>1443.75</v>
      </c>
      <c r="I1302" s="742">
        <f t="shared" si="413"/>
        <v>656.25</v>
      </c>
      <c r="J1302" s="740">
        <f t="shared" si="430"/>
        <v>262.5</v>
      </c>
      <c r="K1302" s="739">
        <f t="shared" si="415"/>
        <v>1706.25</v>
      </c>
      <c r="L1302" s="844">
        <f t="shared" si="416"/>
        <v>393.75</v>
      </c>
      <c r="M1302" s="740">
        <f t="shared" si="429"/>
        <v>262.5</v>
      </c>
      <c r="N1302" s="604">
        <f t="shared" si="431"/>
        <v>131.25</v>
      </c>
      <c r="O1302" s="604">
        <f t="shared" si="419"/>
        <v>0</v>
      </c>
      <c r="P1302" s="604">
        <f t="shared" si="420"/>
        <v>0</v>
      </c>
      <c r="Q1302" s="604">
        <f t="shared" si="421"/>
        <v>0</v>
      </c>
      <c r="R1302" s="604">
        <f t="shared" si="422"/>
        <v>0</v>
      </c>
      <c r="S1302" s="604">
        <f t="shared" si="423"/>
        <v>0</v>
      </c>
      <c r="T1302" s="604">
        <f t="shared" si="424"/>
        <v>0</v>
      </c>
      <c r="U1302" s="604">
        <f t="shared" si="425"/>
        <v>0</v>
      </c>
      <c r="V1302" s="604">
        <f t="shared" si="426"/>
        <v>0</v>
      </c>
      <c r="W1302" s="604">
        <f t="shared" si="427"/>
        <v>0</v>
      </c>
      <c r="X1302" s="746">
        <v>131.25</v>
      </c>
      <c r="Y1302" s="746">
        <f t="shared" si="428"/>
        <v>0</v>
      </c>
    </row>
    <row r="1303" spans="2:25">
      <c r="B1303" s="598" t="s">
        <v>2595</v>
      </c>
      <c r="C1303" s="604" t="s">
        <v>1106</v>
      </c>
      <c r="D1303" s="745">
        <v>2016</v>
      </c>
      <c r="E1303" s="604" t="s">
        <v>1781</v>
      </c>
      <c r="F1303" s="738">
        <v>0.125</v>
      </c>
      <c r="G1303" s="739">
        <v>4300</v>
      </c>
      <c r="H1303" s="741">
        <v>2956.25</v>
      </c>
      <c r="I1303" s="742">
        <f t="shared" si="413"/>
        <v>1343.75</v>
      </c>
      <c r="J1303" s="740">
        <f t="shared" si="430"/>
        <v>537.5</v>
      </c>
      <c r="K1303" s="739">
        <f t="shared" si="415"/>
        <v>3493.75</v>
      </c>
      <c r="L1303" s="844">
        <f t="shared" si="416"/>
        <v>806.25</v>
      </c>
      <c r="M1303" s="740">
        <f t="shared" si="429"/>
        <v>537.5</v>
      </c>
      <c r="N1303" s="604">
        <f t="shared" si="431"/>
        <v>268.75</v>
      </c>
      <c r="O1303" s="604">
        <f t="shared" si="419"/>
        <v>0</v>
      </c>
      <c r="P1303" s="604">
        <f t="shared" si="420"/>
        <v>0</v>
      </c>
      <c r="Q1303" s="604">
        <f t="shared" si="421"/>
        <v>0</v>
      </c>
      <c r="R1303" s="604">
        <f t="shared" si="422"/>
        <v>0</v>
      </c>
      <c r="S1303" s="604">
        <f t="shared" si="423"/>
        <v>0</v>
      </c>
      <c r="T1303" s="604">
        <f t="shared" si="424"/>
        <v>0</v>
      </c>
      <c r="U1303" s="604">
        <f t="shared" si="425"/>
        <v>0</v>
      </c>
      <c r="V1303" s="604">
        <f t="shared" si="426"/>
        <v>0</v>
      </c>
      <c r="W1303" s="604">
        <f t="shared" si="427"/>
        <v>0</v>
      </c>
      <c r="X1303" s="746">
        <v>268.75</v>
      </c>
      <c r="Y1303" s="746">
        <f t="shared" si="428"/>
        <v>0</v>
      </c>
    </row>
    <row r="1304" spans="2:25">
      <c r="B1304" s="598" t="s">
        <v>2595</v>
      </c>
      <c r="C1304" s="604" t="s">
        <v>1106</v>
      </c>
      <c r="D1304" s="745">
        <v>2016</v>
      </c>
      <c r="E1304" s="604" t="s">
        <v>1782</v>
      </c>
      <c r="F1304" s="738">
        <v>0.125</v>
      </c>
      <c r="G1304" s="739">
        <v>2600</v>
      </c>
      <c r="H1304" s="741">
        <v>1787.5</v>
      </c>
      <c r="I1304" s="742">
        <f t="shared" si="413"/>
        <v>812.5</v>
      </c>
      <c r="J1304" s="740">
        <f t="shared" si="430"/>
        <v>325</v>
      </c>
      <c r="K1304" s="739">
        <f t="shared" si="415"/>
        <v>2112.5</v>
      </c>
      <c r="L1304" s="844">
        <f t="shared" si="416"/>
        <v>487.5</v>
      </c>
      <c r="M1304" s="740">
        <f t="shared" si="429"/>
        <v>325</v>
      </c>
      <c r="N1304" s="604">
        <f t="shared" si="431"/>
        <v>162.5</v>
      </c>
      <c r="O1304" s="604">
        <f t="shared" si="419"/>
        <v>0</v>
      </c>
      <c r="P1304" s="604">
        <f t="shared" si="420"/>
        <v>0</v>
      </c>
      <c r="Q1304" s="604">
        <f t="shared" si="421"/>
        <v>0</v>
      </c>
      <c r="R1304" s="604">
        <f t="shared" si="422"/>
        <v>0</v>
      </c>
      <c r="S1304" s="604">
        <f t="shared" si="423"/>
        <v>0</v>
      </c>
      <c r="T1304" s="604">
        <f t="shared" si="424"/>
        <v>0</v>
      </c>
      <c r="U1304" s="604">
        <f t="shared" si="425"/>
        <v>0</v>
      </c>
      <c r="V1304" s="604">
        <f t="shared" si="426"/>
        <v>0</v>
      </c>
      <c r="W1304" s="604">
        <f t="shared" si="427"/>
        <v>0</v>
      </c>
      <c r="X1304" s="746">
        <v>162.5</v>
      </c>
      <c r="Y1304" s="746">
        <f t="shared" si="428"/>
        <v>0</v>
      </c>
    </row>
    <row r="1305" spans="2:25">
      <c r="B1305" s="598" t="s">
        <v>2595</v>
      </c>
      <c r="C1305" s="604" t="s">
        <v>1106</v>
      </c>
      <c r="D1305" s="745">
        <v>2016</v>
      </c>
      <c r="E1305" s="604" t="s">
        <v>1783</v>
      </c>
      <c r="F1305" s="738">
        <v>0.125</v>
      </c>
      <c r="G1305" s="739">
        <v>2310</v>
      </c>
      <c r="H1305" s="741">
        <f>+G1305*68.75%</f>
        <v>1588.125</v>
      </c>
      <c r="I1305" s="742">
        <f t="shared" si="413"/>
        <v>721.875</v>
      </c>
      <c r="J1305" s="740">
        <f t="shared" si="430"/>
        <v>288.75</v>
      </c>
      <c r="K1305" s="739">
        <f t="shared" si="415"/>
        <v>1876.875</v>
      </c>
      <c r="L1305" s="844">
        <f t="shared" si="416"/>
        <v>433.125</v>
      </c>
      <c r="M1305" s="740">
        <f t="shared" si="429"/>
        <v>288.75</v>
      </c>
      <c r="N1305" s="604">
        <f t="shared" si="431"/>
        <v>144.375</v>
      </c>
      <c r="O1305" s="604">
        <f t="shared" si="419"/>
        <v>0</v>
      </c>
      <c r="P1305" s="604">
        <f t="shared" si="420"/>
        <v>0</v>
      </c>
      <c r="Q1305" s="604">
        <f t="shared" si="421"/>
        <v>0</v>
      </c>
      <c r="R1305" s="604">
        <f t="shared" si="422"/>
        <v>0</v>
      </c>
      <c r="S1305" s="604">
        <f t="shared" si="423"/>
        <v>0</v>
      </c>
      <c r="T1305" s="604">
        <f t="shared" si="424"/>
        <v>0</v>
      </c>
      <c r="U1305" s="604">
        <f t="shared" si="425"/>
        <v>0</v>
      </c>
      <c r="V1305" s="604">
        <f t="shared" si="426"/>
        <v>0</v>
      </c>
      <c r="W1305" s="604">
        <f t="shared" si="427"/>
        <v>0</v>
      </c>
      <c r="X1305" s="746">
        <v>144.375</v>
      </c>
      <c r="Y1305" s="746">
        <f t="shared" si="428"/>
        <v>0</v>
      </c>
    </row>
    <row r="1306" spans="2:25">
      <c r="B1306" s="598" t="s">
        <v>2595</v>
      </c>
      <c r="C1306" s="604" t="s">
        <v>1106</v>
      </c>
      <c r="D1306" s="745">
        <v>2016</v>
      </c>
      <c r="E1306" s="604"/>
      <c r="F1306" s="738">
        <v>0.125</v>
      </c>
      <c r="G1306" s="739">
        <v>7500</v>
      </c>
      <c r="H1306" s="741">
        <f>+G1306*68.75%</f>
        <v>5156.25</v>
      </c>
      <c r="I1306" s="742">
        <f t="shared" si="413"/>
        <v>2343.75</v>
      </c>
      <c r="J1306" s="740">
        <f t="shared" si="430"/>
        <v>937.5</v>
      </c>
      <c r="K1306" s="739">
        <f t="shared" si="415"/>
        <v>6093.75</v>
      </c>
      <c r="L1306" s="844">
        <f t="shared" si="416"/>
        <v>1406.25</v>
      </c>
      <c r="M1306" s="740">
        <f t="shared" si="429"/>
        <v>937.5</v>
      </c>
      <c r="N1306" s="604">
        <f t="shared" si="431"/>
        <v>468.75</v>
      </c>
      <c r="O1306" s="604">
        <f t="shared" si="419"/>
        <v>0</v>
      </c>
      <c r="P1306" s="604">
        <f t="shared" si="420"/>
        <v>0</v>
      </c>
      <c r="Q1306" s="604">
        <f t="shared" si="421"/>
        <v>0</v>
      </c>
      <c r="R1306" s="604">
        <f t="shared" si="422"/>
        <v>0</v>
      </c>
      <c r="S1306" s="604">
        <f t="shared" si="423"/>
        <v>0</v>
      </c>
      <c r="T1306" s="604">
        <f t="shared" si="424"/>
        <v>0</v>
      </c>
      <c r="U1306" s="604">
        <f t="shared" si="425"/>
        <v>0</v>
      </c>
      <c r="V1306" s="604">
        <f t="shared" si="426"/>
        <v>0</v>
      </c>
      <c r="W1306" s="604">
        <f t="shared" si="427"/>
        <v>0</v>
      </c>
      <c r="X1306" s="746">
        <v>468.75</v>
      </c>
      <c r="Y1306" s="746">
        <f t="shared" si="428"/>
        <v>0</v>
      </c>
    </row>
    <row r="1307" spans="2:25">
      <c r="B1307" s="598" t="s">
        <v>2595</v>
      </c>
      <c r="C1307" s="604" t="s">
        <v>1106</v>
      </c>
      <c r="D1307" s="745">
        <v>2016</v>
      </c>
      <c r="E1307" s="604" t="s">
        <v>1784</v>
      </c>
      <c r="F1307" s="738">
        <v>0.125</v>
      </c>
      <c r="G1307" s="739">
        <v>4300</v>
      </c>
      <c r="H1307" s="741">
        <v>2956.25</v>
      </c>
      <c r="I1307" s="742">
        <f t="shared" si="413"/>
        <v>1343.75</v>
      </c>
      <c r="J1307" s="740">
        <f t="shared" si="430"/>
        <v>537.5</v>
      </c>
      <c r="K1307" s="739">
        <f t="shared" si="415"/>
        <v>3493.75</v>
      </c>
      <c r="L1307" s="844">
        <f t="shared" si="416"/>
        <v>806.25</v>
      </c>
      <c r="M1307" s="740">
        <f t="shared" si="429"/>
        <v>537.5</v>
      </c>
      <c r="N1307" s="604">
        <f t="shared" si="431"/>
        <v>268.75</v>
      </c>
      <c r="O1307" s="604">
        <f t="shared" si="419"/>
        <v>0</v>
      </c>
      <c r="P1307" s="604">
        <f t="shared" si="420"/>
        <v>0</v>
      </c>
      <c r="Q1307" s="604">
        <f t="shared" si="421"/>
        <v>0</v>
      </c>
      <c r="R1307" s="604">
        <f t="shared" si="422"/>
        <v>0</v>
      </c>
      <c r="S1307" s="604">
        <f t="shared" si="423"/>
        <v>0</v>
      </c>
      <c r="T1307" s="604">
        <f t="shared" si="424"/>
        <v>0</v>
      </c>
      <c r="U1307" s="604">
        <f t="shared" si="425"/>
        <v>0</v>
      </c>
      <c r="V1307" s="604">
        <f t="shared" si="426"/>
        <v>0</v>
      </c>
      <c r="W1307" s="604">
        <f t="shared" si="427"/>
        <v>0</v>
      </c>
      <c r="X1307" s="746">
        <v>268.75</v>
      </c>
      <c r="Y1307" s="746">
        <f t="shared" si="428"/>
        <v>0</v>
      </c>
    </row>
    <row r="1308" spans="2:25">
      <c r="B1308" s="598" t="s">
        <v>2595</v>
      </c>
      <c r="C1308" s="604" t="s">
        <v>1106</v>
      </c>
      <c r="D1308" s="745">
        <v>2016</v>
      </c>
      <c r="E1308" s="604" t="s">
        <v>1785</v>
      </c>
      <c r="F1308" s="738">
        <v>0.125</v>
      </c>
      <c r="G1308" s="739">
        <v>4300</v>
      </c>
      <c r="H1308" s="741">
        <v>2956.25</v>
      </c>
      <c r="I1308" s="742">
        <f t="shared" si="413"/>
        <v>1343.75</v>
      </c>
      <c r="J1308" s="740">
        <f t="shared" si="430"/>
        <v>537.5</v>
      </c>
      <c r="K1308" s="739">
        <f t="shared" si="415"/>
        <v>3493.75</v>
      </c>
      <c r="L1308" s="844">
        <f t="shared" si="416"/>
        <v>806.25</v>
      </c>
      <c r="M1308" s="740">
        <f t="shared" si="429"/>
        <v>537.5</v>
      </c>
      <c r="N1308" s="604">
        <f t="shared" si="431"/>
        <v>268.75</v>
      </c>
      <c r="O1308" s="604">
        <f t="shared" si="419"/>
        <v>0</v>
      </c>
      <c r="P1308" s="604">
        <f t="shared" si="420"/>
        <v>0</v>
      </c>
      <c r="Q1308" s="604">
        <f t="shared" si="421"/>
        <v>0</v>
      </c>
      <c r="R1308" s="604">
        <f t="shared" si="422"/>
        <v>0</v>
      </c>
      <c r="S1308" s="604">
        <f t="shared" si="423"/>
        <v>0</v>
      </c>
      <c r="T1308" s="604">
        <f t="shared" si="424"/>
        <v>0</v>
      </c>
      <c r="U1308" s="604">
        <f t="shared" si="425"/>
        <v>0</v>
      </c>
      <c r="V1308" s="604">
        <f t="shared" si="426"/>
        <v>0</v>
      </c>
      <c r="W1308" s="604">
        <f t="shared" si="427"/>
        <v>0</v>
      </c>
      <c r="X1308" s="746">
        <v>268.75</v>
      </c>
      <c r="Y1308" s="746">
        <f t="shared" si="428"/>
        <v>0</v>
      </c>
    </row>
    <row r="1309" spans="2:25">
      <c r="B1309" s="598" t="s">
        <v>2595</v>
      </c>
      <c r="C1309" s="604" t="s">
        <v>1106</v>
      </c>
      <c r="D1309" s="745">
        <v>2017</v>
      </c>
      <c r="E1309" s="604" t="s">
        <v>1786</v>
      </c>
      <c r="F1309" s="738">
        <v>0.125</v>
      </c>
      <c r="G1309" s="739">
        <v>1634</v>
      </c>
      <c r="H1309" s="741">
        <v>919.13</v>
      </c>
      <c r="I1309" s="742">
        <f t="shared" si="413"/>
        <v>714.87</v>
      </c>
      <c r="J1309" s="740">
        <f t="shared" si="430"/>
        <v>204.25</v>
      </c>
      <c r="K1309" s="739">
        <f t="shared" si="415"/>
        <v>1123.3800000000001</v>
      </c>
      <c r="L1309" s="844">
        <f t="shared" si="416"/>
        <v>510.61999999999989</v>
      </c>
      <c r="M1309" s="740">
        <f t="shared" si="429"/>
        <v>204.25</v>
      </c>
      <c r="N1309" s="604">
        <f t="shared" si="418"/>
        <v>204.25</v>
      </c>
      <c r="O1309" s="604">
        <f>+IF(L1309-SUM(M1309:N1309)&gt;0,G1309*F1309,0)-X1309</f>
        <v>102.11999999999989</v>
      </c>
      <c r="P1309" s="604">
        <f t="shared" si="420"/>
        <v>0</v>
      </c>
      <c r="Q1309" s="604">
        <f t="shared" si="421"/>
        <v>0</v>
      </c>
      <c r="R1309" s="604">
        <f t="shared" si="422"/>
        <v>0</v>
      </c>
      <c r="S1309" s="604">
        <f t="shared" si="423"/>
        <v>0</v>
      </c>
      <c r="T1309" s="604">
        <f t="shared" si="424"/>
        <v>0</v>
      </c>
      <c r="U1309" s="604">
        <f t="shared" si="425"/>
        <v>0</v>
      </c>
      <c r="V1309" s="604">
        <f t="shared" si="426"/>
        <v>0</v>
      </c>
      <c r="W1309" s="604">
        <f t="shared" si="427"/>
        <v>0</v>
      </c>
      <c r="X1309" s="746">
        <v>102.13000000000011</v>
      </c>
      <c r="Y1309" s="746">
        <f t="shared" si="428"/>
        <v>0</v>
      </c>
    </row>
    <row r="1310" spans="2:25">
      <c r="B1310" s="598" t="s">
        <v>2595</v>
      </c>
      <c r="C1310" s="604" t="s">
        <v>1106</v>
      </c>
      <c r="D1310" s="745">
        <v>2017</v>
      </c>
      <c r="E1310" s="604" t="s">
        <v>1787</v>
      </c>
      <c r="F1310" s="738">
        <v>0.125</v>
      </c>
      <c r="G1310" s="739">
        <v>2000</v>
      </c>
      <c r="H1310" s="741">
        <v>1125</v>
      </c>
      <c r="I1310" s="742">
        <f t="shared" si="413"/>
        <v>875</v>
      </c>
      <c r="J1310" s="740">
        <f t="shared" si="430"/>
        <v>250</v>
      </c>
      <c r="K1310" s="739">
        <f t="shared" si="415"/>
        <v>1375</v>
      </c>
      <c r="L1310" s="844">
        <f t="shared" si="416"/>
        <v>625</v>
      </c>
      <c r="M1310" s="740">
        <f t="shared" si="429"/>
        <v>250</v>
      </c>
      <c r="N1310" s="604">
        <f t="shared" si="418"/>
        <v>250</v>
      </c>
      <c r="O1310" s="604">
        <f>+IF(L1310-SUM(M1310:N1310)&gt;0,G1310*F1310,0)-X1310</f>
        <v>125</v>
      </c>
      <c r="P1310" s="604">
        <f t="shared" si="420"/>
        <v>0</v>
      </c>
      <c r="Q1310" s="604">
        <f t="shared" si="421"/>
        <v>0</v>
      </c>
      <c r="R1310" s="604">
        <f t="shared" si="422"/>
        <v>0</v>
      </c>
      <c r="S1310" s="604">
        <f t="shared" si="423"/>
        <v>0</v>
      </c>
      <c r="T1310" s="604">
        <f t="shared" si="424"/>
        <v>0</v>
      </c>
      <c r="U1310" s="604">
        <f t="shared" si="425"/>
        <v>0</v>
      </c>
      <c r="V1310" s="604">
        <f t="shared" si="426"/>
        <v>0</v>
      </c>
      <c r="W1310" s="604">
        <f t="shared" si="427"/>
        <v>0</v>
      </c>
      <c r="X1310" s="746">
        <v>125</v>
      </c>
      <c r="Y1310" s="746">
        <f t="shared" si="428"/>
        <v>0</v>
      </c>
    </row>
    <row r="1311" spans="2:25">
      <c r="B1311" s="598" t="s">
        <v>2595</v>
      </c>
      <c r="C1311" s="604" t="s">
        <v>1106</v>
      </c>
      <c r="D1311" s="745">
        <v>2017</v>
      </c>
      <c r="E1311" s="604" t="s">
        <v>1788</v>
      </c>
      <c r="F1311" s="738">
        <v>0.125</v>
      </c>
      <c r="G1311" s="739">
        <v>750</v>
      </c>
      <c r="H1311" s="741">
        <f>+G1311*56.25%</f>
        <v>421.875</v>
      </c>
      <c r="I1311" s="742">
        <f t="shared" si="413"/>
        <v>328.125</v>
      </c>
      <c r="J1311" s="740">
        <f t="shared" si="430"/>
        <v>93.75</v>
      </c>
      <c r="K1311" s="739">
        <f t="shared" si="415"/>
        <v>515.625</v>
      </c>
      <c r="L1311" s="844">
        <f t="shared" si="416"/>
        <v>234.375</v>
      </c>
      <c r="M1311" s="740">
        <f t="shared" si="429"/>
        <v>93.75</v>
      </c>
      <c r="N1311" s="604">
        <f t="shared" si="418"/>
        <v>93.75</v>
      </c>
      <c r="O1311" s="604">
        <f>+IF(L1311-SUM(M1311:N1311)&gt;0,G1311*F1311,0)-X1311</f>
        <v>46.875</v>
      </c>
      <c r="P1311" s="604">
        <f t="shared" si="420"/>
        <v>0</v>
      </c>
      <c r="Q1311" s="604">
        <f t="shared" si="421"/>
        <v>0</v>
      </c>
      <c r="R1311" s="604">
        <f t="shared" si="422"/>
        <v>0</v>
      </c>
      <c r="S1311" s="604">
        <f t="shared" si="423"/>
        <v>0</v>
      </c>
      <c r="T1311" s="604">
        <f t="shared" si="424"/>
        <v>0</v>
      </c>
      <c r="U1311" s="604">
        <f t="shared" si="425"/>
        <v>0</v>
      </c>
      <c r="V1311" s="604">
        <f t="shared" si="426"/>
        <v>0</v>
      </c>
      <c r="W1311" s="604">
        <f t="shared" si="427"/>
        <v>0</v>
      </c>
      <c r="X1311" s="746">
        <v>46.875</v>
      </c>
      <c r="Y1311" s="746">
        <f t="shared" si="428"/>
        <v>0</v>
      </c>
    </row>
    <row r="1312" spans="2:25">
      <c r="B1312" s="598" t="s">
        <v>2595</v>
      </c>
      <c r="C1312" s="604" t="s">
        <v>1106</v>
      </c>
      <c r="D1312" s="745">
        <v>2017</v>
      </c>
      <c r="E1312" s="604"/>
      <c r="F1312" s="738">
        <v>0.125</v>
      </c>
      <c r="G1312" s="739">
        <v>1750</v>
      </c>
      <c r="H1312" s="741">
        <f>+G1312*56.25%</f>
        <v>984.375</v>
      </c>
      <c r="I1312" s="742">
        <f t="shared" si="413"/>
        <v>765.625</v>
      </c>
      <c r="J1312" s="740">
        <f t="shared" si="430"/>
        <v>218.75</v>
      </c>
      <c r="K1312" s="739">
        <f t="shared" si="415"/>
        <v>1203.125</v>
      </c>
      <c r="L1312" s="844">
        <f t="shared" si="416"/>
        <v>546.875</v>
      </c>
      <c r="M1312" s="740">
        <f t="shared" si="429"/>
        <v>218.75</v>
      </c>
      <c r="N1312" s="604">
        <f t="shared" si="418"/>
        <v>218.75</v>
      </c>
      <c r="O1312" s="604">
        <f>+IF(L1312-SUM(M1312:N1312)&gt;0,G1312*F1312,0)-X1312</f>
        <v>109.375</v>
      </c>
      <c r="P1312" s="604">
        <f t="shared" si="420"/>
        <v>0</v>
      </c>
      <c r="Q1312" s="604">
        <f t="shared" si="421"/>
        <v>0</v>
      </c>
      <c r="R1312" s="604">
        <f t="shared" si="422"/>
        <v>0</v>
      </c>
      <c r="S1312" s="604">
        <f t="shared" si="423"/>
        <v>0</v>
      </c>
      <c r="T1312" s="604">
        <f t="shared" si="424"/>
        <v>0</v>
      </c>
      <c r="U1312" s="604">
        <f t="shared" si="425"/>
        <v>0</v>
      </c>
      <c r="V1312" s="604">
        <f t="shared" si="426"/>
        <v>0</v>
      </c>
      <c r="W1312" s="604">
        <f t="shared" si="427"/>
        <v>0</v>
      </c>
      <c r="X1312" s="746">
        <v>109.375</v>
      </c>
      <c r="Y1312" s="746">
        <f t="shared" si="428"/>
        <v>0</v>
      </c>
    </row>
    <row r="1313" spans="2:25">
      <c r="B1313" s="598" t="s">
        <v>2595</v>
      </c>
      <c r="C1313" s="604" t="s">
        <v>1106</v>
      </c>
      <c r="D1313" s="745">
        <v>2017</v>
      </c>
      <c r="E1313" s="604" t="s">
        <v>1789</v>
      </c>
      <c r="F1313" s="738">
        <v>0.125</v>
      </c>
      <c r="G1313" s="739">
        <v>2730</v>
      </c>
      <c r="H1313" s="741">
        <f>+G1313*56.25%</f>
        <v>1535.625</v>
      </c>
      <c r="I1313" s="742">
        <f t="shared" si="413"/>
        <v>1194.375</v>
      </c>
      <c r="J1313" s="740">
        <f t="shared" si="430"/>
        <v>341.25</v>
      </c>
      <c r="K1313" s="739">
        <f t="shared" si="415"/>
        <v>1876.875</v>
      </c>
      <c r="L1313" s="844">
        <f t="shared" si="416"/>
        <v>853.125</v>
      </c>
      <c r="M1313" s="740">
        <f t="shared" si="429"/>
        <v>341.25</v>
      </c>
      <c r="N1313" s="604">
        <f t="shared" si="418"/>
        <v>341.25</v>
      </c>
      <c r="O1313" s="604">
        <f>+IF(L1313-SUM(M1313:N1313)&gt;0,G1313*F1313,0)-X1313</f>
        <v>170.625</v>
      </c>
      <c r="P1313" s="604">
        <f t="shared" si="420"/>
        <v>0</v>
      </c>
      <c r="Q1313" s="604">
        <f t="shared" si="421"/>
        <v>0</v>
      </c>
      <c r="R1313" s="604">
        <f t="shared" si="422"/>
        <v>0</v>
      </c>
      <c r="S1313" s="604">
        <f t="shared" si="423"/>
        <v>0</v>
      </c>
      <c r="T1313" s="604">
        <f t="shared" si="424"/>
        <v>0</v>
      </c>
      <c r="U1313" s="604">
        <f t="shared" si="425"/>
        <v>0</v>
      </c>
      <c r="V1313" s="604">
        <f t="shared" si="426"/>
        <v>0</v>
      </c>
      <c r="W1313" s="604">
        <f t="shared" si="427"/>
        <v>0</v>
      </c>
      <c r="X1313" s="746">
        <v>170.625</v>
      </c>
      <c r="Y1313" s="746">
        <f t="shared" si="428"/>
        <v>0</v>
      </c>
    </row>
    <row r="1314" spans="2:25">
      <c r="B1314" s="598" t="s">
        <v>2595</v>
      </c>
      <c r="C1314" s="604" t="s">
        <v>1106</v>
      </c>
      <c r="D1314" s="745">
        <v>2018</v>
      </c>
      <c r="E1314" s="604"/>
      <c r="F1314" s="738">
        <v>0.125</v>
      </c>
      <c r="G1314" s="739">
        <v>2730</v>
      </c>
      <c r="H1314" s="741">
        <f>+G1314*50%</f>
        <v>1365</v>
      </c>
      <c r="I1314" s="742">
        <f t="shared" si="413"/>
        <v>1365</v>
      </c>
      <c r="J1314" s="740">
        <f t="shared" si="430"/>
        <v>341.25</v>
      </c>
      <c r="K1314" s="739">
        <f t="shared" si="415"/>
        <v>1706.25</v>
      </c>
      <c r="L1314" s="844">
        <f t="shared" si="416"/>
        <v>1023.75</v>
      </c>
      <c r="M1314" s="740">
        <f t="shared" si="429"/>
        <v>341.25</v>
      </c>
      <c r="N1314" s="604">
        <f t="shared" si="418"/>
        <v>341.25</v>
      </c>
      <c r="O1314" s="604">
        <f t="shared" si="419"/>
        <v>341.25</v>
      </c>
      <c r="P1314" s="604">
        <f t="shared" si="420"/>
        <v>0</v>
      </c>
      <c r="Q1314" s="604">
        <f t="shared" si="421"/>
        <v>0</v>
      </c>
      <c r="R1314" s="604">
        <f t="shared" si="422"/>
        <v>0</v>
      </c>
      <c r="S1314" s="604">
        <f t="shared" si="423"/>
        <v>0</v>
      </c>
      <c r="T1314" s="604">
        <f t="shared" si="424"/>
        <v>0</v>
      </c>
      <c r="U1314" s="604">
        <f t="shared" si="425"/>
        <v>0</v>
      </c>
      <c r="V1314" s="604">
        <f t="shared" si="426"/>
        <v>0</v>
      </c>
      <c r="W1314" s="604">
        <f t="shared" si="427"/>
        <v>0</v>
      </c>
      <c r="X1314" s="746">
        <v>0</v>
      </c>
      <c r="Y1314" s="746">
        <f t="shared" si="428"/>
        <v>0</v>
      </c>
    </row>
    <row r="1315" spans="2:25">
      <c r="B1315" s="598" t="s">
        <v>2595</v>
      </c>
      <c r="C1315" s="604" t="s">
        <v>1106</v>
      </c>
      <c r="D1315" s="745">
        <v>2018</v>
      </c>
      <c r="E1315" s="604"/>
      <c r="F1315" s="738">
        <v>0.125</v>
      </c>
      <c r="G1315" s="739">
        <v>3640</v>
      </c>
      <c r="H1315" s="741">
        <f>+G1315*50%</f>
        <v>1820</v>
      </c>
      <c r="I1315" s="742">
        <f t="shared" si="413"/>
        <v>1820</v>
      </c>
      <c r="J1315" s="740">
        <f t="shared" si="430"/>
        <v>455</v>
      </c>
      <c r="K1315" s="739">
        <f t="shared" si="415"/>
        <v>2275</v>
      </c>
      <c r="L1315" s="844">
        <f t="shared" si="416"/>
        <v>1365</v>
      </c>
      <c r="M1315" s="740">
        <f t="shared" si="429"/>
        <v>455</v>
      </c>
      <c r="N1315" s="604">
        <f t="shared" si="418"/>
        <v>455</v>
      </c>
      <c r="O1315" s="604">
        <f t="shared" si="419"/>
        <v>455</v>
      </c>
      <c r="P1315" s="604">
        <f t="shared" si="420"/>
        <v>0</v>
      </c>
      <c r="Q1315" s="604">
        <f t="shared" si="421"/>
        <v>0</v>
      </c>
      <c r="R1315" s="604">
        <f t="shared" si="422"/>
        <v>0</v>
      </c>
      <c r="S1315" s="604">
        <f t="shared" si="423"/>
        <v>0</v>
      </c>
      <c r="T1315" s="604">
        <f t="shared" si="424"/>
        <v>0</v>
      </c>
      <c r="U1315" s="604">
        <f t="shared" si="425"/>
        <v>0</v>
      </c>
      <c r="V1315" s="604">
        <f t="shared" si="426"/>
        <v>0</v>
      </c>
      <c r="W1315" s="604">
        <f t="shared" si="427"/>
        <v>0</v>
      </c>
      <c r="X1315" s="746">
        <v>0</v>
      </c>
      <c r="Y1315" s="746">
        <f t="shared" si="428"/>
        <v>0</v>
      </c>
    </row>
    <row r="1316" spans="2:25">
      <c r="B1316" s="598" t="s">
        <v>2595</v>
      </c>
      <c r="C1316" s="604" t="s">
        <v>1106</v>
      </c>
      <c r="D1316" s="745">
        <v>2017</v>
      </c>
      <c r="E1316" s="604" t="s">
        <v>1790</v>
      </c>
      <c r="F1316" s="738">
        <v>0.125</v>
      </c>
      <c r="G1316" s="739">
        <v>2200</v>
      </c>
      <c r="H1316" s="741">
        <v>1237.5</v>
      </c>
      <c r="I1316" s="742">
        <f t="shared" si="413"/>
        <v>962.5</v>
      </c>
      <c r="J1316" s="740">
        <f t="shared" si="430"/>
        <v>275</v>
      </c>
      <c r="K1316" s="739">
        <f t="shared" si="415"/>
        <v>1512.5</v>
      </c>
      <c r="L1316" s="844">
        <f t="shared" si="416"/>
        <v>687.5</v>
      </c>
      <c r="M1316" s="740">
        <f t="shared" si="429"/>
        <v>275</v>
      </c>
      <c r="N1316" s="604">
        <f t="shared" si="418"/>
        <v>275</v>
      </c>
      <c r="O1316" s="604">
        <f>+IF(L1316-SUM(M1316:N1316)&gt;0,G1316*F1316,0)-X1316</f>
        <v>137.5</v>
      </c>
      <c r="P1316" s="604">
        <f t="shared" si="420"/>
        <v>0</v>
      </c>
      <c r="Q1316" s="604">
        <f t="shared" si="421"/>
        <v>0</v>
      </c>
      <c r="R1316" s="604">
        <f t="shared" si="422"/>
        <v>0</v>
      </c>
      <c r="S1316" s="604">
        <f t="shared" si="423"/>
        <v>0</v>
      </c>
      <c r="T1316" s="604">
        <f t="shared" si="424"/>
        <v>0</v>
      </c>
      <c r="U1316" s="604">
        <f t="shared" si="425"/>
        <v>0</v>
      </c>
      <c r="V1316" s="604">
        <f t="shared" si="426"/>
        <v>0</v>
      </c>
      <c r="W1316" s="604">
        <f t="shared" si="427"/>
        <v>0</v>
      </c>
      <c r="X1316" s="746">
        <v>137.5</v>
      </c>
      <c r="Y1316" s="746">
        <f t="shared" si="428"/>
        <v>0</v>
      </c>
    </row>
    <row r="1317" spans="2:25">
      <c r="B1317" s="598" t="s">
        <v>2595</v>
      </c>
      <c r="C1317" s="604" t="s">
        <v>1106</v>
      </c>
      <c r="D1317" s="745">
        <v>2018</v>
      </c>
      <c r="E1317" s="604" t="s">
        <v>1791</v>
      </c>
      <c r="F1317" s="738">
        <v>0.125</v>
      </c>
      <c r="G1317" s="739">
        <v>2200</v>
      </c>
      <c r="H1317" s="741">
        <v>962.5</v>
      </c>
      <c r="I1317" s="742">
        <f t="shared" si="413"/>
        <v>1237.5</v>
      </c>
      <c r="J1317" s="740">
        <f t="shared" si="430"/>
        <v>275</v>
      </c>
      <c r="K1317" s="739">
        <f t="shared" si="415"/>
        <v>1237.5</v>
      </c>
      <c r="L1317" s="844">
        <f t="shared" si="416"/>
        <v>962.5</v>
      </c>
      <c r="M1317" s="740">
        <f>+IF(L1317=0,0,G1317*F1317)</f>
        <v>275</v>
      </c>
      <c r="N1317" s="604">
        <f t="shared" si="418"/>
        <v>275</v>
      </c>
      <c r="O1317" s="604">
        <f t="shared" si="419"/>
        <v>275</v>
      </c>
      <c r="P1317" s="604">
        <f>+IF(L1317-SUM(M1317:O1317)&gt;0,G1317*F1317,0)-X1317</f>
        <v>137.5</v>
      </c>
      <c r="Q1317" s="604">
        <f t="shared" si="421"/>
        <v>0</v>
      </c>
      <c r="R1317" s="604">
        <f t="shared" si="422"/>
        <v>0</v>
      </c>
      <c r="S1317" s="604">
        <f t="shared" si="423"/>
        <v>0</v>
      </c>
      <c r="T1317" s="604">
        <f t="shared" si="424"/>
        <v>0</v>
      </c>
      <c r="U1317" s="604">
        <f t="shared" si="425"/>
        <v>0</v>
      </c>
      <c r="V1317" s="604">
        <f t="shared" si="426"/>
        <v>0</v>
      </c>
      <c r="W1317" s="604">
        <f t="shared" si="427"/>
        <v>0</v>
      </c>
      <c r="X1317" s="746">
        <v>137.5</v>
      </c>
      <c r="Y1317" s="746">
        <f t="shared" si="428"/>
        <v>0</v>
      </c>
    </row>
    <row r="1318" spans="2:25">
      <c r="B1318" s="598" t="s">
        <v>2595</v>
      </c>
      <c r="C1318" s="604" t="s">
        <v>1106</v>
      </c>
      <c r="D1318" s="745">
        <v>2018</v>
      </c>
      <c r="E1318" s="604" t="s">
        <v>1792</v>
      </c>
      <c r="F1318" s="738">
        <v>0.125</v>
      </c>
      <c r="G1318" s="739">
        <v>1900</v>
      </c>
      <c r="H1318" s="741">
        <v>831.25</v>
      </c>
      <c r="I1318" s="742">
        <f t="shared" si="413"/>
        <v>1068.75</v>
      </c>
      <c r="J1318" s="740">
        <f t="shared" si="430"/>
        <v>237.5</v>
      </c>
      <c r="K1318" s="739">
        <f t="shared" si="415"/>
        <v>1068.75</v>
      </c>
      <c r="L1318" s="844">
        <f t="shared" si="416"/>
        <v>831.25</v>
      </c>
      <c r="M1318" s="740">
        <f t="shared" si="429"/>
        <v>237.5</v>
      </c>
      <c r="N1318" s="604">
        <f t="shared" si="418"/>
        <v>237.5</v>
      </c>
      <c r="O1318" s="604">
        <f t="shared" si="419"/>
        <v>237.5</v>
      </c>
      <c r="P1318" s="604">
        <f>+IF(L1318-SUM(M1318:O1318)&gt;0,G1318*F1318,0)-X1318</f>
        <v>118.75</v>
      </c>
      <c r="Q1318" s="604">
        <f t="shared" si="421"/>
        <v>0</v>
      </c>
      <c r="R1318" s="604">
        <f t="shared" si="422"/>
        <v>0</v>
      </c>
      <c r="S1318" s="604">
        <f t="shared" si="423"/>
        <v>0</v>
      </c>
      <c r="T1318" s="604">
        <f t="shared" si="424"/>
        <v>0</v>
      </c>
      <c r="U1318" s="604">
        <f t="shared" si="425"/>
        <v>0</v>
      </c>
      <c r="V1318" s="604">
        <f t="shared" si="426"/>
        <v>0</v>
      </c>
      <c r="W1318" s="604">
        <f t="shared" si="427"/>
        <v>0</v>
      </c>
      <c r="X1318" s="746">
        <v>118.75</v>
      </c>
      <c r="Y1318" s="746">
        <f t="shared" si="428"/>
        <v>0</v>
      </c>
    </row>
    <row r="1319" spans="2:25">
      <c r="B1319" s="598" t="s">
        <v>2595</v>
      </c>
      <c r="C1319" s="604" t="s">
        <v>1106</v>
      </c>
      <c r="D1319" s="745">
        <v>2018</v>
      </c>
      <c r="E1319" s="604" t="s">
        <v>1792</v>
      </c>
      <c r="F1319" s="738">
        <v>0.125</v>
      </c>
      <c r="G1319" s="739">
        <v>1900</v>
      </c>
      <c r="H1319" s="741">
        <v>831.25</v>
      </c>
      <c r="I1319" s="742">
        <f t="shared" si="413"/>
        <v>1068.75</v>
      </c>
      <c r="J1319" s="740">
        <f t="shared" si="430"/>
        <v>237.5</v>
      </c>
      <c r="K1319" s="739">
        <f t="shared" si="415"/>
        <v>1068.75</v>
      </c>
      <c r="L1319" s="844">
        <f t="shared" si="416"/>
        <v>831.25</v>
      </c>
      <c r="M1319" s="740">
        <f t="shared" si="429"/>
        <v>237.5</v>
      </c>
      <c r="N1319" s="604">
        <f t="shared" si="418"/>
        <v>237.5</v>
      </c>
      <c r="O1319" s="604">
        <f t="shared" si="419"/>
        <v>237.5</v>
      </c>
      <c r="P1319" s="604">
        <f>+IF(L1319-SUM(M1319:O1319)&gt;0,G1319*F1319,0)-X1319</f>
        <v>118.75</v>
      </c>
      <c r="Q1319" s="604">
        <f t="shared" si="421"/>
        <v>0</v>
      </c>
      <c r="R1319" s="604">
        <f t="shared" si="422"/>
        <v>0</v>
      </c>
      <c r="S1319" s="604">
        <f t="shared" si="423"/>
        <v>0</v>
      </c>
      <c r="T1319" s="604">
        <f t="shared" si="424"/>
        <v>0</v>
      </c>
      <c r="U1319" s="604">
        <f t="shared" si="425"/>
        <v>0</v>
      </c>
      <c r="V1319" s="604">
        <f t="shared" si="426"/>
        <v>0</v>
      </c>
      <c r="W1319" s="604">
        <f t="shared" si="427"/>
        <v>0</v>
      </c>
      <c r="X1319" s="746">
        <v>118.75</v>
      </c>
      <c r="Y1319" s="746">
        <f t="shared" si="428"/>
        <v>0</v>
      </c>
    </row>
    <row r="1320" spans="2:25">
      <c r="B1320" s="598" t="s">
        <v>2595</v>
      </c>
      <c r="C1320" s="604" t="s">
        <v>1106</v>
      </c>
      <c r="D1320" s="745">
        <v>2018</v>
      </c>
      <c r="E1320" s="604" t="s">
        <v>1792</v>
      </c>
      <c r="F1320" s="738">
        <v>0.125</v>
      </c>
      <c r="G1320" s="739">
        <v>1900</v>
      </c>
      <c r="H1320" s="741">
        <v>831.25</v>
      </c>
      <c r="I1320" s="742">
        <f t="shared" si="413"/>
        <v>1068.75</v>
      </c>
      <c r="J1320" s="740">
        <f t="shared" si="430"/>
        <v>237.5</v>
      </c>
      <c r="K1320" s="739">
        <f t="shared" si="415"/>
        <v>1068.75</v>
      </c>
      <c r="L1320" s="844">
        <f t="shared" si="416"/>
        <v>831.25</v>
      </c>
      <c r="M1320" s="740">
        <f>+IF(L1320=0,0,G1320*F1320)</f>
        <v>237.5</v>
      </c>
      <c r="N1320" s="604">
        <f t="shared" si="418"/>
        <v>237.5</v>
      </c>
      <c r="O1320" s="604">
        <f t="shared" si="419"/>
        <v>237.5</v>
      </c>
      <c r="P1320" s="604">
        <f>+IF(L1320-SUM(M1320:O1320)&gt;0,G1320*F1320,0)-X1320</f>
        <v>118.75</v>
      </c>
      <c r="Q1320" s="604">
        <f t="shared" si="421"/>
        <v>0</v>
      </c>
      <c r="R1320" s="604">
        <f t="shared" si="422"/>
        <v>0</v>
      </c>
      <c r="S1320" s="604">
        <f t="shared" si="423"/>
        <v>0</v>
      </c>
      <c r="T1320" s="604">
        <f t="shared" si="424"/>
        <v>0</v>
      </c>
      <c r="U1320" s="604">
        <f t="shared" si="425"/>
        <v>0</v>
      </c>
      <c r="V1320" s="604">
        <f t="shared" si="426"/>
        <v>0</v>
      </c>
      <c r="W1320" s="604">
        <f t="shared" si="427"/>
        <v>0</v>
      </c>
      <c r="X1320" s="746">
        <v>118.75</v>
      </c>
      <c r="Y1320" s="746">
        <f t="shared" si="428"/>
        <v>0</v>
      </c>
    </row>
    <row r="1321" spans="2:25">
      <c r="B1321" s="598" t="s">
        <v>2595</v>
      </c>
      <c r="C1321" s="604" t="s">
        <v>1106</v>
      </c>
      <c r="D1321" s="745">
        <v>2018</v>
      </c>
      <c r="E1321" s="604" t="s">
        <v>1793</v>
      </c>
      <c r="F1321" s="738">
        <v>0.125</v>
      </c>
      <c r="G1321" s="739">
        <v>500</v>
      </c>
      <c r="H1321" s="741">
        <v>218.75</v>
      </c>
      <c r="I1321" s="742">
        <f t="shared" si="413"/>
        <v>281.25</v>
      </c>
      <c r="J1321" s="740">
        <f t="shared" si="430"/>
        <v>62.5</v>
      </c>
      <c r="K1321" s="739">
        <f t="shared" si="415"/>
        <v>281.25</v>
      </c>
      <c r="L1321" s="844">
        <f t="shared" si="416"/>
        <v>218.75</v>
      </c>
      <c r="M1321" s="740">
        <f t="shared" si="429"/>
        <v>62.5</v>
      </c>
      <c r="N1321" s="604">
        <f t="shared" si="418"/>
        <v>62.5</v>
      </c>
      <c r="O1321" s="604">
        <f t="shared" si="419"/>
        <v>62.5</v>
      </c>
      <c r="P1321" s="604">
        <f>+IF(L1321-SUM(M1321:O1321)&gt;0,G1321*F1321,0)-X1321</f>
        <v>31.25</v>
      </c>
      <c r="Q1321" s="604">
        <f t="shared" si="421"/>
        <v>0</v>
      </c>
      <c r="R1321" s="604">
        <f t="shared" si="422"/>
        <v>0</v>
      </c>
      <c r="S1321" s="604">
        <f t="shared" si="423"/>
        <v>0</v>
      </c>
      <c r="T1321" s="604">
        <f t="shared" si="424"/>
        <v>0</v>
      </c>
      <c r="U1321" s="604">
        <f t="shared" si="425"/>
        <v>0</v>
      </c>
      <c r="V1321" s="604">
        <f t="shared" si="426"/>
        <v>0</v>
      </c>
      <c r="W1321" s="604">
        <f t="shared" si="427"/>
        <v>0</v>
      </c>
      <c r="X1321" s="746">
        <v>31.25</v>
      </c>
      <c r="Y1321" s="746">
        <f t="shared" si="428"/>
        <v>0</v>
      </c>
    </row>
    <row r="1322" spans="2:25">
      <c r="B1322" s="598" t="s">
        <v>2595</v>
      </c>
      <c r="C1322" s="604" t="s">
        <v>1106</v>
      </c>
      <c r="D1322" s="745">
        <v>2019</v>
      </c>
      <c r="E1322" s="604" t="s">
        <v>1794</v>
      </c>
      <c r="F1322" s="738">
        <v>0.125</v>
      </c>
      <c r="G1322" s="739">
        <v>4000</v>
      </c>
      <c r="H1322" s="741">
        <v>1250</v>
      </c>
      <c r="I1322" s="742">
        <f t="shared" si="413"/>
        <v>2750</v>
      </c>
      <c r="J1322" s="740">
        <f t="shared" si="430"/>
        <v>500</v>
      </c>
      <c r="K1322" s="739">
        <f t="shared" si="415"/>
        <v>1750</v>
      </c>
      <c r="L1322" s="844">
        <f t="shared" si="416"/>
        <v>2250</v>
      </c>
      <c r="M1322" s="740">
        <f t="shared" si="429"/>
        <v>500</v>
      </c>
      <c r="N1322" s="604">
        <f t="shared" si="418"/>
        <v>500</v>
      </c>
      <c r="O1322" s="604">
        <f t="shared" si="419"/>
        <v>500</v>
      </c>
      <c r="P1322" s="604">
        <f t="shared" si="420"/>
        <v>500</v>
      </c>
      <c r="Q1322" s="604">
        <f t="shared" ref="Q1322:Q1331" si="432">+IF(L1322-SUM(M1322:P1322)&gt;0,G1322*F1322,0)-X1322</f>
        <v>250</v>
      </c>
      <c r="R1322" s="604">
        <f t="shared" si="422"/>
        <v>0</v>
      </c>
      <c r="S1322" s="604">
        <f t="shared" si="423"/>
        <v>0</v>
      </c>
      <c r="T1322" s="604">
        <f t="shared" si="424"/>
        <v>0</v>
      </c>
      <c r="U1322" s="604">
        <f t="shared" si="425"/>
        <v>0</v>
      </c>
      <c r="V1322" s="604">
        <f t="shared" si="426"/>
        <v>0</v>
      </c>
      <c r="W1322" s="604">
        <f t="shared" si="427"/>
        <v>0</v>
      </c>
      <c r="X1322" s="746">
        <v>250</v>
      </c>
      <c r="Y1322" s="746">
        <f t="shared" si="428"/>
        <v>0</v>
      </c>
    </row>
    <row r="1323" spans="2:25">
      <c r="B1323" s="598" t="s">
        <v>2595</v>
      </c>
      <c r="C1323" s="604" t="s">
        <v>1106</v>
      </c>
      <c r="D1323" s="745">
        <v>2019</v>
      </c>
      <c r="E1323" s="604" t="s">
        <v>1795</v>
      </c>
      <c r="F1323" s="738">
        <v>0.125</v>
      </c>
      <c r="G1323" s="739">
        <v>500</v>
      </c>
      <c r="H1323" s="741">
        <v>156.25</v>
      </c>
      <c r="I1323" s="742">
        <f t="shared" si="413"/>
        <v>343.75</v>
      </c>
      <c r="J1323" s="740">
        <f t="shared" si="430"/>
        <v>62.5</v>
      </c>
      <c r="K1323" s="739">
        <f t="shared" si="415"/>
        <v>218.75</v>
      </c>
      <c r="L1323" s="844">
        <f t="shared" si="416"/>
        <v>281.25</v>
      </c>
      <c r="M1323" s="740">
        <f t="shared" si="429"/>
        <v>62.5</v>
      </c>
      <c r="N1323" s="604">
        <f t="shared" si="418"/>
        <v>62.5</v>
      </c>
      <c r="O1323" s="604">
        <f t="shared" si="419"/>
        <v>62.5</v>
      </c>
      <c r="P1323" s="604">
        <f t="shared" si="420"/>
        <v>62.5</v>
      </c>
      <c r="Q1323" s="604">
        <f t="shared" si="432"/>
        <v>31.25</v>
      </c>
      <c r="R1323" s="604">
        <f t="shared" si="422"/>
        <v>0</v>
      </c>
      <c r="S1323" s="604">
        <f t="shared" si="423"/>
        <v>0</v>
      </c>
      <c r="T1323" s="604">
        <f t="shared" si="424"/>
        <v>0</v>
      </c>
      <c r="U1323" s="604">
        <f t="shared" si="425"/>
        <v>0</v>
      </c>
      <c r="V1323" s="604">
        <f t="shared" si="426"/>
        <v>0</v>
      </c>
      <c r="W1323" s="604">
        <f t="shared" si="427"/>
        <v>0</v>
      </c>
      <c r="X1323" s="746">
        <v>31.25</v>
      </c>
      <c r="Y1323" s="746">
        <f t="shared" si="428"/>
        <v>0</v>
      </c>
    </row>
    <row r="1324" spans="2:25">
      <c r="B1324" s="598" t="s">
        <v>2595</v>
      </c>
      <c r="C1324" s="604" t="s">
        <v>1106</v>
      </c>
      <c r="D1324" s="745">
        <v>2019</v>
      </c>
      <c r="E1324" s="604" t="s">
        <v>1796</v>
      </c>
      <c r="F1324" s="738">
        <v>0.125</v>
      </c>
      <c r="G1324" s="739">
        <v>2200</v>
      </c>
      <c r="H1324" s="741">
        <v>687.5</v>
      </c>
      <c r="I1324" s="742">
        <f t="shared" si="413"/>
        <v>1512.5</v>
      </c>
      <c r="J1324" s="740">
        <f t="shared" si="430"/>
        <v>275</v>
      </c>
      <c r="K1324" s="739">
        <f t="shared" si="415"/>
        <v>962.5</v>
      </c>
      <c r="L1324" s="844">
        <f t="shared" si="416"/>
        <v>1237.5</v>
      </c>
      <c r="M1324" s="740">
        <f t="shared" si="429"/>
        <v>275</v>
      </c>
      <c r="N1324" s="604">
        <f t="shared" si="418"/>
        <v>275</v>
      </c>
      <c r="O1324" s="604">
        <f t="shared" si="419"/>
        <v>275</v>
      </c>
      <c r="P1324" s="604">
        <f t="shared" si="420"/>
        <v>275</v>
      </c>
      <c r="Q1324" s="604">
        <f t="shared" si="432"/>
        <v>137.5</v>
      </c>
      <c r="R1324" s="604">
        <f t="shared" si="422"/>
        <v>0</v>
      </c>
      <c r="S1324" s="604">
        <f t="shared" si="423"/>
        <v>0</v>
      </c>
      <c r="T1324" s="604">
        <f t="shared" si="424"/>
        <v>0</v>
      </c>
      <c r="U1324" s="604">
        <f t="shared" si="425"/>
        <v>0</v>
      </c>
      <c r="V1324" s="604">
        <f t="shared" si="426"/>
        <v>0</v>
      </c>
      <c r="W1324" s="604">
        <f t="shared" si="427"/>
        <v>0</v>
      </c>
      <c r="X1324" s="746">
        <v>137.5</v>
      </c>
      <c r="Y1324" s="746">
        <f t="shared" si="428"/>
        <v>0</v>
      </c>
    </row>
    <row r="1325" spans="2:25">
      <c r="B1325" s="598" t="s">
        <v>2595</v>
      </c>
      <c r="C1325" s="604" t="s">
        <v>1106</v>
      </c>
      <c r="D1325" s="745">
        <v>2019</v>
      </c>
      <c r="E1325" s="604" t="s">
        <v>1797</v>
      </c>
      <c r="F1325" s="738">
        <v>0.125</v>
      </c>
      <c r="G1325" s="739">
        <v>2200</v>
      </c>
      <c r="H1325" s="741">
        <v>687.5</v>
      </c>
      <c r="I1325" s="742">
        <f t="shared" si="413"/>
        <v>1512.5</v>
      </c>
      <c r="J1325" s="740">
        <f t="shared" si="430"/>
        <v>275</v>
      </c>
      <c r="K1325" s="739">
        <f t="shared" si="415"/>
        <v>962.5</v>
      </c>
      <c r="L1325" s="844">
        <f t="shared" si="416"/>
        <v>1237.5</v>
      </c>
      <c r="M1325" s="740">
        <f t="shared" si="429"/>
        <v>275</v>
      </c>
      <c r="N1325" s="604">
        <f t="shared" si="418"/>
        <v>275</v>
      </c>
      <c r="O1325" s="604">
        <f t="shared" si="419"/>
        <v>275</v>
      </c>
      <c r="P1325" s="604">
        <f t="shared" si="420"/>
        <v>275</v>
      </c>
      <c r="Q1325" s="604">
        <f t="shared" si="432"/>
        <v>137.5</v>
      </c>
      <c r="R1325" s="604">
        <f t="shared" si="422"/>
        <v>0</v>
      </c>
      <c r="S1325" s="604">
        <f t="shared" si="423"/>
        <v>0</v>
      </c>
      <c r="T1325" s="604">
        <f t="shared" si="424"/>
        <v>0</v>
      </c>
      <c r="U1325" s="604">
        <f t="shared" si="425"/>
        <v>0</v>
      </c>
      <c r="V1325" s="604">
        <f t="shared" si="426"/>
        <v>0</v>
      </c>
      <c r="W1325" s="604">
        <f t="shared" si="427"/>
        <v>0</v>
      </c>
      <c r="X1325" s="746">
        <v>137.5</v>
      </c>
      <c r="Y1325" s="746">
        <f t="shared" si="428"/>
        <v>0</v>
      </c>
    </row>
    <row r="1326" spans="2:25">
      <c r="B1326" s="598" t="s">
        <v>2595</v>
      </c>
      <c r="C1326" s="604" t="s">
        <v>1106</v>
      </c>
      <c r="D1326" s="745">
        <v>2019</v>
      </c>
      <c r="E1326" s="604" t="s">
        <v>1798</v>
      </c>
      <c r="F1326" s="738">
        <v>0.125</v>
      </c>
      <c r="G1326" s="739">
        <v>2200</v>
      </c>
      <c r="H1326" s="741">
        <v>687.5</v>
      </c>
      <c r="I1326" s="742">
        <f t="shared" si="413"/>
        <v>1512.5</v>
      </c>
      <c r="J1326" s="740">
        <f t="shared" si="430"/>
        <v>275</v>
      </c>
      <c r="K1326" s="739">
        <f t="shared" si="415"/>
        <v>962.5</v>
      </c>
      <c r="L1326" s="844">
        <f t="shared" si="416"/>
        <v>1237.5</v>
      </c>
      <c r="M1326" s="740">
        <f t="shared" si="429"/>
        <v>275</v>
      </c>
      <c r="N1326" s="604">
        <f t="shared" si="418"/>
        <v>275</v>
      </c>
      <c r="O1326" s="604">
        <f t="shared" si="419"/>
        <v>275</v>
      </c>
      <c r="P1326" s="604">
        <f t="shared" si="420"/>
        <v>275</v>
      </c>
      <c r="Q1326" s="604">
        <f t="shared" si="432"/>
        <v>137.5</v>
      </c>
      <c r="R1326" s="604">
        <f t="shared" si="422"/>
        <v>0</v>
      </c>
      <c r="S1326" s="604">
        <f t="shared" si="423"/>
        <v>0</v>
      </c>
      <c r="T1326" s="604">
        <f t="shared" si="424"/>
        <v>0</v>
      </c>
      <c r="U1326" s="604">
        <f t="shared" si="425"/>
        <v>0</v>
      </c>
      <c r="V1326" s="604">
        <f t="shared" si="426"/>
        <v>0</v>
      </c>
      <c r="W1326" s="604">
        <f t="shared" si="427"/>
        <v>0</v>
      </c>
      <c r="X1326" s="746">
        <v>137.5</v>
      </c>
      <c r="Y1326" s="746">
        <f t="shared" si="428"/>
        <v>0</v>
      </c>
    </row>
    <row r="1327" spans="2:25">
      <c r="B1327" s="598" t="s">
        <v>2595</v>
      </c>
      <c r="C1327" s="604" t="s">
        <v>1106</v>
      </c>
      <c r="D1327" s="745">
        <v>2019</v>
      </c>
      <c r="E1327" s="604" t="s">
        <v>1799</v>
      </c>
      <c r="F1327" s="738">
        <v>0.125</v>
      </c>
      <c r="G1327" s="739">
        <v>3650</v>
      </c>
      <c r="H1327" s="741">
        <v>1140.6300000000001</v>
      </c>
      <c r="I1327" s="742">
        <f t="shared" si="413"/>
        <v>2509.37</v>
      </c>
      <c r="J1327" s="740">
        <f t="shared" si="430"/>
        <v>456.25</v>
      </c>
      <c r="K1327" s="739">
        <f t="shared" si="415"/>
        <v>1596.88</v>
      </c>
      <c r="L1327" s="844">
        <f t="shared" si="416"/>
        <v>2053.12</v>
      </c>
      <c r="M1327" s="740">
        <f t="shared" si="429"/>
        <v>456.25</v>
      </c>
      <c r="N1327" s="604">
        <f t="shared" si="418"/>
        <v>456.25</v>
      </c>
      <c r="O1327" s="604">
        <f t="shared" si="419"/>
        <v>456.25</v>
      </c>
      <c r="P1327" s="604">
        <f t="shared" si="420"/>
        <v>456.25</v>
      </c>
      <c r="Q1327" s="604">
        <f t="shared" si="432"/>
        <v>228.11999999999989</v>
      </c>
      <c r="R1327" s="604">
        <f t="shared" si="422"/>
        <v>0</v>
      </c>
      <c r="S1327" s="604">
        <f t="shared" si="423"/>
        <v>0</v>
      </c>
      <c r="T1327" s="604">
        <f t="shared" si="424"/>
        <v>0</v>
      </c>
      <c r="U1327" s="604">
        <f t="shared" si="425"/>
        <v>0</v>
      </c>
      <c r="V1327" s="604">
        <f t="shared" si="426"/>
        <v>0</v>
      </c>
      <c r="W1327" s="604">
        <f t="shared" si="427"/>
        <v>0</v>
      </c>
      <c r="X1327" s="746">
        <v>228.13000000000011</v>
      </c>
      <c r="Y1327" s="746">
        <f t="shared" si="428"/>
        <v>0</v>
      </c>
    </row>
    <row r="1328" spans="2:25">
      <c r="B1328" s="598" t="s">
        <v>2595</v>
      </c>
      <c r="C1328" s="604" t="s">
        <v>1106</v>
      </c>
      <c r="D1328" s="745">
        <v>2019</v>
      </c>
      <c r="E1328" s="604" t="s">
        <v>1800</v>
      </c>
      <c r="F1328" s="738">
        <v>0.125</v>
      </c>
      <c r="G1328" s="739">
        <v>3650</v>
      </c>
      <c r="H1328" s="741">
        <v>1140.6300000000001</v>
      </c>
      <c r="I1328" s="742">
        <f t="shared" si="413"/>
        <v>2509.37</v>
      </c>
      <c r="J1328" s="740">
        <f t="shared" si="430"/>
        <v>456.25</v>
      </c>
      <c r="K1328" s="739">
        <f t="shared" si="415"/>
        <v>1596.88</v>
      </c>
      <c r="L1328" s="844">
        <f t="shared" si="416"/>
        <v>2053.12</v>
      </c>
      <c r="M1328" s="740">
        <f t="shared" si="429"/>
        <v>456.25</v>
      </c>
      <c r="N1328" s="604">
        <f t="shared" si="418"/>
        <v>456.25</v>
      </c>
      <c r="O1328" s="604">
        <f t="shared" si="419"/>
        <v>456.25</v>
      </c>
      <c r="P1328" s="604">
        <f t="shared" si="420"/>
        <v>456.25</v>
      </c>
      <c r="Q1328" s="604">
        <f t="shared" si="432"/>
        <v>228.11999999999989</v>
      </c>
      <c r="R1328" s="604">
        <f t="shared" si="422"/>
        <v>0</v>
      </c>
      <c r="S1328" s="604">
        <f t="shared" si="423"/>
        <v>0</v>
      </c>
      <c r="T1328" s="604">
        <f t="shared" si="424"/>
        <v>0</v>
      </c>
      <c r="U1328" s="604">
        <f t="shared" si="425"/>
        <v>0</v>
      </c>
      <c r="V1328" s="604">
        <f t="shared" si="426"/>
        <v>0</v>
      </c>
      <c r="W1328" s="604">
        <f t="shared" si="427"/>
        <v>0</v>
      </c>
      <c r="X1328" s="746">
        <v>228.13000000000011</v>
      </c>
      <c r="Y1328" s="746">
        <f t="shared" si="428"/>
        <v>0</v>
      </c>
    </row>
    <row r="1329" spans="2:25">
      <c r="B1329" s="598" t="s">
        <v>2595</v>
      </c>
      <c r="C1329" s="604" t="s">
        <v>1106</v>
      </c>
      <c r="D1329" s="745">
        <v>2019</v>
      </c>
      <c r="E1329" s="604" t="s">
        <v>1801</v>
      </c>
      <c r="F1329" s="738">
        <v>0.125</v>
      </c>
      <c r="G1329" s="739">
        <v>2800</v>
      </c>
      <c r="H1329" s="741">
        <v>875</v>
      </c>
      <c r="I1329" s="742">
        <f t="shared" si="413"/>
        <v>1925</v>
      </c>
      <c r="J1329" s="740">
        <f t="shared" si="430"/>
        <v>350</v>
      </c>
      <c r="K1329" s="739">
        <f t="shared" si="415"/>
        <v>1225</v>
      </c>
      <c r="L1329" s="844">
        <f t="shared" si="416"/>
        <v>1575</v>
      </c>
      <c r="M1329" s="740">
        <f t="shared" si="429"/>
        <v>350</v>
      </c>
      <c r="N1329" s="604">
        <f t="shared" si="418"/>
        <v>350</v>
      </c>
      <c r="O1329" s="604">
        <f t="shared" si="419"/>
        <v>350</v>
      </c>
      <c r="P1329" s="604">
        <f t="shared" si="420"/>
        <v>350</v>
      </c>
      <c r="Q1329" s="604">
        <f t="shared" si="432"/>
        <v>175</v>
      </c>
      <c r="R1329" s="604">
        <f t="shared" si="422"/>
        <v>0</v>
      </c>
      <c r="S1329" s="604">
        <f t="shared" si="423"/>
        <v>0</v>
      </c>
      <c r="T1329" s="604">
        <f t="shared" si="424"/>
        <v>0</v>
      </c>
      <c r="U1329" s="604">
        <f t="shared" si="425"/>
        <v>0</v>
      </c>
      <c r="V1329" s="604">
        <f t="shared" si="426"/>
        <v>0</v>
      </c>
      <c r="W1329" s="604">
        <f t="shared" si="427"/>
        <v>0</v>
      </c>
      <c r="X1329" s="746">
        <v>175</v>
      </c>
      <c r="Y1329" s="746">
        <f t="shared" si="428"/>
        <v>0</v>
      </c>
    </row>
    <row r="1330" spans="2:25">
      <c r="B1330" s="598" t="s">
        <v>2595</v>
      </c>
      <c r="C1330" s="604" t="s">
        <v>1106</v>
      </c>
      <c r="D1330" s="745">
        <v>2019</v>
      </c>
      <c r="E1330" s="604" t="s">
        <v>1802</v>
      </c>
      <c r="F1330" s="738">
        <v>0.125</v>
      </c>
      <c r="G1330" s="739">
        <v>100</v>
      </c>
      <c r="H1330" s="741">
        <v>31.25</v>
      </c>
      <c r="I1330" s="742">
        <f t="shared" si="413"/>
        <v>68.75</v>
      </c>
      <c r="J1330" s="740">
        <f t="shared" si="430"/>
        <v>12.5</v>
      </c>
      <c r="K1330" s="739">
        <f t="shared" si="415"/>
        <v>43.75</v>
      </c>
      <c r="L1330" s="844">
        <f t="shared" si="416"/>
        <v>56.25</v>
      </c>
      <c r="M1330" s="740">
        <f t="shared" si="429"/>
        <v>12.5</v>
      </c>
      <c r="N1330" s="604">
        <f t="shared" si="418"/>
        <v>12.5</v>
      </c>
      <c r="O1330" s="604">
        <f t="shared" si="419"/>
        <v>12.5</v>
      </c>
      <c r="P1330" s="604">
        <f t="shared" si="420"/>
        <v>12.5</v>
      </c>
      <c r="Q1330" s="604">
        <f t="shared" si="432"/>
        <v>6.25</v>
      </c>
      <c r="R1330" s="604">
        <f t="shared" si="422"/>
        <v>0</v>
      </c>
      <c r="S1330" s="604">
        <f t="shared" si="423"/>
        <v>0</v>
      </c>
      <c r="T1330" s="604">
        <f t="shared" si="424"/>
        <v>0</v>
      </c>
      <c r="U1330" s="604">
        <f t="shared" si="425"/>
        <v>0</v>
      </c>
      <c r="V1330" s="604">
        <f t="shared" si="426"/>
        <v>0</v>
      </c>
      <c r="W1330" s="604">
        <f t="shared" si="427"/>
        <v>0</v>
      </c>
      <c r="X1330" s="746">
        <v>6.25</v>
      </c>
      <c r="Y1330" s="746">
        <f t="shared" si="428"/>
        <v>0</v>
      </c>
    </row>
    <row r="1331" spans="2:25">
      <c r="B1331" s="598" t="s">
        <v>2595</v>
      </c>
      <c r="C1331" s="604" t="s">
        <v>1106</v>
      </c>
      <c r="D1331" s="745">
        <v>2019</v>
      </c>
      <c r="E1331" s="604" t="s">
        <v>1803</v>
      </c>
      <c r="F1331" s="738">
        <v>0.125</v>
      </c>
      <c r="G1331" s="739">
        <v>100</v>
      </c>
      <c r="H1331" s="741">
        <v>31.25</v>
      </c>
      <c r="I1331" s="742">
        <f t="shared" si="413"/>
        <v>68.75</v>
      </c>
      <c r="J1331" s="740">
        <f t="shared" si="430"/>
        <v>12.5</v>
      </c>
      <c r="K1331" s="739">
        <f t="shared" si="415"/>
        <v>43.75</v>
      </c>
      <c r="L1331" s="844">
        <f t="shared" si="416"/>
        <v>56.25</v>
      </c>
      <c r="M1331" s="740">
        <f t="shared" si="429"/>
        <v>12.5</v>
      </c>
      <c r="N1331" s="604">
        <f t="shared" si="418"/>
        <v>12.5</v>
      </c>
      <c r="O1331" s="604">
        <f t="shared" si="419"/>
        <v>12.5</v>
      </c>
      <c r="P1331" s="604">
        <f t="shared" si="420"/>
        <v>12.5</v>
      </c>
      <c r="Q1331" s="604">
        <f t="shared" si="432"/>
        <v>6.25</v>
      </c>
      <c r="R1331" s="604">
        <f t="shared" si="422"/>
        <v>0</v>
      </c>
      <c r="S1331" s="604">
        <f t="shared" si="423"/>
        <v>0</v>
      </c>
      <c r="T1331" s="604">
        <f t="shared" si="424"/>
        <v>0</v>
      </c>
      <c r="U1331" s="604">
        <f t="shared" si="425"/>
        <v>0</v>
      </c>
      <c r="V1331" s="604">
        <f t="shared" si="426"/>
        <v>0</v>
      </c>
      <c r="W1331" s="604">
        <f t="shared" si="427"/>
        <v>0</v>
      </c>
      <c r="X1331" s="746">
        <v>6.25</v>
      </c>
      <c r="Y1331" s="746">
        <f t="shared" si="428"/>
        <v>0</v>
      </c>
    </row>
    <row r="1332" spans="2:25">
      <c r="B1332" s="598" t="s">
        <v>2595</v>
      </c>
      <c r="C1332" s="604" t="s">
        <v>1106</v>
      </c>
      <c r="D1332" s="745">
        <v>2020</v>
      </c>
      <c r="E1332" s="604" t="s">
        <v>1804</v>
      </c>
      <c r="F1332" s="738">
        <v>0.125</v>
      </c>
      <c r="G1332" s="739">
        <v>3200</v>
      </c>
      <c r="H1332" s="741">
        <v>600</v>
      </c>
      <c r="I1332" s="742">
        <f t="shared" si="413"/>
        <v>2600</v>
      </c>
      <c r="J1332" s="740">
        <f t="shared" si="430"/>
        <v>400</v>
      </c>
      <c r="K1332" s="739">
        <f t="shared" si="415"/>
        <v>1000</v>
      </c>
      <c r="L1332" s="844">
        <f t="shared" si="416"/>
        <v>2200</v>
      </c>
      <c r="M1332" s="740">
        <f t="shared" si="429"/>
        <v>400</v>
      </c>
      <c r="N1332" s="604">
        <f t="shared" si="418"/>
        <v>400</v>
      </c>
      <c r="O1332" s="604">
        <f t="shared" si="419"/>
        <v>400</v>
      </c>
      <c r="P1332" s="604">
        <f t="shared" si="420"/>
        <v>400</v>
      </c>
      <c r="Q1332" s="604">
        <f t="shared" si="421"/>
        <v>400</v>
      </c>
      <c r="R1332" s="604">
        <f t="shared" ref="R1332:R1338" si="433">+IF(L1332-SUM(M1332:Q1332)&gt;0,G1332*F1332,0)-X1332</f>
        <v>200</v>
      </c>
      <c r="S1332" s="604">
        <f t="shared" si="423"/>
        <v>0</v>
      </c>
      <c r="T1332" s="604">
        <f t="shared" si="424"/>
        <v>0</v>
      </c>
      <c r="U1332" s="604">
        <f t="shared" si="425"/>
        <v>0</v>
      </c>
      <c r="V1332" s="604">
        <f t="shared" si="426"/>
        <v>0</v>
      </c>
      <c r="W1332" s="604">
        <f t="shared" si="427"/>
        <v>0</v>
      </c>
      <c r="X1332" s="746">
        <v>200</v>
      </c>
      <c r="Y1332" s="746">
        <f t="shared" si="428"/>
        <v>0</v>
      </c>
    </row>
    <row r="1333" spans="2:25">
      <c r="B1333" s="598" t="s">
        <v>2595</v>
      </c>
      <c r="C1333" s="604" t="s">
        <v>1106</v>
      </c>
      <c r="D1333" s="745">
        <v>2020</v>
      </c>
      <c r="E1333" s="604" t="s">
        <v>1805</v>
      </c>
      <c r="F1333" s="738">
        <v>0.125</v>
      </c>
      <c r="G1333" s="739">
        <v>3200</v>
      </c>
      <c r="H1333" s="741">
        <v>600</v>
      </c>
      <c r="I1333" s="742">
        <f t="shared" si="413"/>
        <v>2600</v>
      </c>
      <c r="J1333" s="740">
        <f t="shared" si="430"/>
        <v>400</v>
      </c>
      <c r="K1333" s="739">
        <f t="shared" si="415"/>
        <v>1000</v>
      </c>
      <c r="L1333" s="844">
        <f t="shared" si="416"/>
        <v>2200</v>
      </c>
      <c r="M1333" s="740">
        <f t="shared" si="429"/>
        <v>400</v>
      </c>
      <c r="N1333" s="604">
        <f t="shared" si="418"/>
        <v>400</v>
      </c>
      <c r="O1333" s="604">
        <f t="shared" si="419"/>
        <v>400</v>
      </c>
      <c r="P1333" s="604">
        <f t="shared" si="420"/>
        <v>400</v>
      </c>
      <c r="Q1333" s="604">
        <f t="shared" si="421"/>
        <v>400</v>
      </c>
      <c r="R1333" s="604">
        <f t="shared" si="433"/>
        <v>200</v>
      </c>
      <c r="S1333" s="604">
        <f t="shared" si="423"/>
        <v>0</v>
      </c>
      <c r="T1333" s="604">
        <f t="shared" si="424"/>
        <v>0</v>
      </c>
      <c r="U1333" s="604">
        <f t="shared" si="425"/>
        <v>0</v>
      </c>
      <c r="V1333" s="604">
        <f t="shared" si="426"/>
        <v>0</v>
      </c>
      <c r="W1333" s="604">
        <f t="shared" si="427"/>
        <v>0</v>
      </c>
      <c r="X1333" s="746">
        <v>200</v>
      </c>
      <c r="Y1333" s="746">
        <f t="shared" si="428"/>
        <v>0</v>
      </c>
    </row>
    <row r="1334" spans="2:25">
      <c r="B1334" s="598" t="s">
        <v>2595</v>
      </c>
      <c r="C1334" s="604" t="s">
        <v>1106</v>
      </c>
      <c r="D1334" s="745">
        <v>2020</v>
      </c>
      <c r="E1334" s="604" t="s">
        <v>1806</v>
      </c>
      <c r="F1334" s="738">
        <v>0.125</v>
      </c>
      <c r="G1334" s="739">
        <v>2800</v>
      </c>
      <c r="H1334" s="741">
        <v>525</v>
      </c>
      <c r="I1334" s="742">
        <f t="shared" si="413"/>
        <v>2275</v>
      </c>
      <c r="J1334" s="740">
        <f t="shared" si="430"/>
        <v>350</v>
      </c>
      <c r="K1334" s="739">
        <f t="shared" si="415"/>
        <v>875</v>
      </c>
      <c r="L1334" s="844">
        <f t="shared" si="416"/>
        <v>1925</v>
      </c>
      <c r="M1334" s="740">
        <f t="shared" si="429"/>
        <v>350</v>
      </c>
      <c r="N1334" s="604">
        <f t="shared" si="418"/>
        <v>350</v>
      </c>
      <c r="O1334" s="604">
        <f t="shared" si="419"/>
        <v>350</v>
      </c>
      <c r="P1334" s="604">
        <f t="shared" si="420"/>
        <v>350</v>
      </c>
      <c r="Q1334" s="604">
        <f t="shared" si="421"/>
        <v>350</v>
      </c>
      <c r="R1334" s="604">
        <f t="shared" si="433"/>
        <v>175</v>
      </c>
      <c r="S1334" s="604">
        <f t="shared" si="423"/>
        <v>0</v>
      </c>
      <c r="T1334" s="604">
        <f t="shared" si="424"/>
        <v>0</v>
      </c>
      <c r="U1334" s="604">
        <f t="shared" si="425"/>
        <v>0</v>
      </c>
      <c r="V1334" s="604">
        <f t="shared" si="426"/>
        <v>0</v>
      </c>
      <c r="W1334" s="604">
        <f t="shared" si="427"/>
        <v>0</v>
      </c>
      <c r="X1334" s="746">
        <v>175</v>
      </c>
      <c r="Y1334" s="746">
        <f t="shared" si="428"/>
        <v>0</v>
      </c>
    </row>
    <row r="1335" spans="2:25">
      <c r="B1335" s="598" t="s">
        <v>2595</v>
      </c>
      <c r="C1335" s="604" t="s">
        <v>1106</v>
      </c>
      <c r="D1335" s="745">
        <v>2020</v>
      </c>
      <c r="E1335" s="604" t="s">
        <v>1807</v>
      </c>
      <c r="F1335" s="738">
        <v>0.125</v>
      </c>
      <c r="G1335" s="739">
        <v>7950</v>
      </c>
      <c r="H1335" s="741">
        <v>1490.63</v>
      </c>
      <c r="I1335" s="742">
        <f t="shared" si="413"/>
        <v>6459.37</v>
      </c>
      <c r="J1335" s="740">
        <f t="shared" si="430"/>
        <v>993.75</v>
      </c>
      <c r="K1335" s="739">
        <f t="shared" si="415"/>
        <v>2484.38</v>
      </c>
      <c r="L1335" s="844">
        <f t="shared" si="416"/>
        <v>5465.62</v>
      </c>
      <c r="M1335" s="740">
        <f t="shared" si="429"/>
        <v>993.75</v>
      </c>
      <c r="N1335" s="604">
        <f t="shared" si="418"/>
        <v>993.75</v>
      </c>
      <c r="O1335" s="604">
        <f t="shared" si="419"/>
        <v>993.75</v>
      </c>
      <c r="P1335" s="604">
        <f t="shared" si="420"/>
        <v>993.75</v>
      </c>
      <c r="Q1335" s="604">
        <f t="shared" si="421"/>
        <v>993.75</v>
      </c>
      <c r="R1335" s="604">
        <f t="shared" si="433"/>
        <v>496.86999999999989</v>
      </c>
      <c r="S1335" s="604">
        <f t="shared" si="423"/>
        <v>0</v>
      </c>
      <c r="T1335" s="604">
        <f t="shared" si="424"/>
        <v>0</v>
      </c>
      <c r="U1335" s="604">
        <f t="shared" si="425"/>
        <v>0</v>
      </c>
      <c r="V1335" s="604">
        <f t="shared" si="426"/>
        <v>0</v>
      </c>
      <c r="W1335" s="604">
        <f t="shared" si="427"/>
        <v>0</v>
      </c>
      <c r="X1335" s="746">
        <v>496.88000000000011</v>
      </c>
      <c r="Y1335" s="746">
        <f t="shared" si="428"/>
        <v>0</v>
      </c>
    </row>
    <row r="1336" spans="2:25">
      <c r="B1336" s="598" t="s">
        <v>2595</v>
      </c>
      <c r="C1336" s="604" t="s">
        <v>1106</v>
      </c>
      <c r="D1336" s="745">
        <v>2020</v>
      </c>
      <c r="E1336" s="604" t="s">
        <v>1808</v>
      </c>
      <c r="F1336" s="738">
        <v>0.125</v>
      </c>
      <c r="G1336" s="739">
        <v>2380</v>
      </c>
      <c r="H1336" s="741">
        <v>446.25</v>
      </c>
      <c r="I1336" s="742">
        <f t="shared" si="413"/>
        <v>1933.75</v>
      </c>
      <c r="J1336" s="740">
        <f t="shared" si="430"/>
        <v>297.5</v>
      </c>
      <c r="K1336" s="739">
        <f t="shared" si="415"/>
        <v>743.75</v>
      </c>
      <c r="L1336" s="844">
        <f t="shared" si="416"/>
        <v>1636.25</v>
      </c>
      <c r="M1336" s="740">
        <f t="shared" si="429"/>
        <v>297.5</v>
      </c>
      <c r="N1336" s="604">
        <f t="shared" si="418"/>
        <v>297.5</v>
      </c>
      <c r="O1336" s="604">
        <f t="shared" si="419"/>
        <v>297.5</v>
      </c>
      <c r="P1336" s="604">
        <f t="shared" si="420"/>
        <v>297.5</v>
      </c>
      <c r="Q1336" s="604">
        <f t="shared" si="421"/>
        <v>297.5</v>
      </c>
      <c r="R1336" s="604">
        <f t="shared" si="433"/>
        <v>148.75</v>
      </c>
      <c r="S1336" s="604">
        <f t="shared" si="423"/>
        <v>0</v>
      </c>
      <c r="T1336" s="604">
        <f t="shared" si="424"/>
        <v>0</v>
      </c>
      <c r="U1336" s="604">
        <f t="shared" si="425"/>
        <v>0</v>
      </c>
      <c r="V1336" s="604">
        <f t="shared" si="426"/>
        <v>0</v>
      </c>
      <c r="W1336" s="604">
        <f t="shared" si="427"/>
        <v>0</v>
      </c>
      <c r="X1336" s="746">
        <v>148.75</v>
      </c>
      <c r="Y1336" s="746">
        <f t="shared" si="428"/>
        <v>0</v>
      </c>
    </row>
    <row r="1337" spans="2:25">
      <c r="B1337" s="598" t="s">
        <v>2595</v>
      </c>
      <c r="C1337" s="604" t="s">
        <v>1106</v>
      </c>
      <c r="D1337" s="745">
        <v>2020</v>
      </c>
      <c r="E1337" s="604" t="s">
        <v>1809</v>
      </c>
      <c r="F1337" s="738">
        <v>0.125</v>
      </c>
      <c r="G1337" s="739">
        <v>5490</v>
      </c>
      <c r="H1337" s="741">
        <v>1029.3800000000001</v>
      </c>
      <c r="I1337" s="742">
        <f t="shared" si="413"/>
        <v>4460.62</v>
      </c>
      <c r="J1337" s="740">
        <f t="shared" si="430"/>
        <v>686.25</v>
      </c>
      <c r="K1337" s="739">
        <f t="shared" si="415"/>
        <v>1715.63</v>
      </c>
      <c r="L1337" s="844">
        <f t="shared" si="416"/>
        <v>3774.37</v>
      </c>
      <c r="M1337" s="740">
        <f t="shared" si="429"/>
        <v>686.25</v>
      </c>
      <c r="N1337" s="604">
        <f t="shared" si="418"/>
        <v>686.25</v>
      </c>
      <c r="O1337" s="604">
        <f t="shared" si="419"/>
        <v>686.25</v>
      </c>
      <c r="P1337" s="604">
        <f t="shared" si="420"/>
        <v>686.25</v>
      </c>
      <c r="Q1337" s="604">
        <f t="shared" si="421"/>
        <v>686.25</v>
      </c>
      <c r="R1337" s="604">
        <f t="shared" si="433"/>
        <v>343.11999999999989</v>
      </c>
      <c r="S1337" s="604">
        <f t="shared" si="423"/>
        <v>0</v>
      </c>
      <c r="T1337" s="604">
        <f t="shared" si="424"/>
        <v>0</v>
      </c>
      <c r="U1337" s="604">
        <f t="shared" si="425"/>
        <v>0</v>
      </c>
      <c r="V1337" s="604">
        <f t="shared" si="426"/>
        <v>0</v>
      </c>
      <c r="W1337" s="604">
        <f t="shared" si="427"/>
        <v>0</v>
      </c>
      <c r="X1337" s="746">
        <v>343.13000000000011</v>
      </c>
      <c r="Y1337" s="746">
        <f t="shared" si="428"/>
        <v>0</v>
      </c>
    </row>
    <row r="1338" spans="2:25">
      <c r="B1338" s="598" t="s">
        <v>2595</v>
      </c>
      <c r="C1338" s="604" t="s">
        <v>1106</v>
      </c>
      <c r="D1338" s="745">
        <v>2020</v>
      </c>
      <c r="E1338" s="604" t="s">
        <v>1810</v>
      </c>
      <c r="F1338" s="738">
        <v>0.125</v>
      </c>
      <c r="G1338" s="739">
        <v>5160</v>
      </c>
      <c r="H1338" s="741">
        <v>967.5</v>
      </c>
      <c r="I1338" s="742">
        <f t="shared" si="413"/>
        <v>4192.5</v>
      </c>
      <c r="J1338" s="740">
        <f t="shared" si="430"/>
        <v>645</v>
      </c>
      <c r="K1338" s="739">
        <f t="shared" si="415"/>
        <v>1612.5</v>
      </c>
      <c r="L1338" s="844">
        <f t="shared" si="416"/>
        <v>3547.5</v>
      </c>
      <c r="M1338" s="740">
        <f t="shared" si="429"/>
        <v>645</v>
      </c>
      <c r="N1338" s="604">
        <f t="shared" si="418"/>
        <v>645</v>
      </c>
      <c r="O1338" s="604">
        <f t="shared" si="419"/>
        <v>645</v>
      </c>
      <c r="P1338" s="604">
        <f t="shared" si="420"/>
        <v>645</v>
      </c>
      <c r="Q1338" s="604">
        <f t="shared" si="421"/>
        <v>645</v>
      </c>
      <c r="R1338" s="604">
        <f t="shared" si="433"/>
        <v>322.5</v>
      </c>
      <c r="S1338" s="604">
        <f t="shared" si="423"/>
        <v>0</v>
      </c>
      <c r="T1338" s="604">
        <f t="shared" si="424"/>
        <v>0</v>
      </c>
      <c r="U1338" s="604">
        <f t="shared" si="425"/>
        <v>0</v>
      </c>
      <c r="V1338" s="604">
        <f t="shared" si="426"/>
        <v>0</v>
      </c>
      <c r="W1338" s="604">
        <f t="shared" si="427"/>
        <v>0</v>
      </c>
      <c r="X1338" s="746">
        <v>322.5</v>
      </c>
      <c r="Y1338" s="746">
        <f t="shared" si="428"/>
        <v>0</v>
      </c>
    </row>
    <row r="1339" spans="2:25">
      <c r="B1339" s="598" t="s">
        <v>2595</v>
      </c>
      <c r="C1339" s="604" t="s">
        <v>1106</v>
      </c>
      <c r="D1339" s="745">
        <v>2020</v>
      </c>
      <c r="E1339" s="604" t="s">
        <v>1811</v>
      </c>
      <c r="F1339" s="738">
        <v>0.125</v>
      </c>
      <c r="G1339" s="739">
        <v>5400</v>
      </c>
      <c r="H1339" s="741">
        <f>+G1339*6.25%</f>
        <v>337.5</v>
      </c>
      <c r="I1339" s="742">
        <f t="shared" ref="I1339:I1344" si="434">+G1339-H1339</f>
        <v>5062.5</v>
      </c>
      <c r="J1339" s="740">
        <f t="shared" si="430"/>
        <v>675</v>
      </c>
      <c r="K1339" s="739">
        <f t="shared" ref="K1339:K1344" si="435">+H1339+J1339</f>
        <v>1012.5</v>
      </c>
      <c r="L1339" s="844">
        <f t="shared" ref="L1339:L1341" si="436">+G1339-K1339</f>
        <v>4387.5</v>
      </c>
      <c r="M1339" s="740">
        <f t="shared" si="429"/>
        <v>675</v>
      </c>
      <c r="N1339" s="604">
        <f t="shared" si="418"/>
        <v>675</v>
      </c>
      <c r="O1339" s="604">
        <f t="shared" si="419"/>
        <v>675</v>
      </c>
      <c r="P1339" s="604">
        <f t="shared" si="420"/>
        <v>675</v>
      </c>
      <c r="Q1339" s="604">
        <f t="shared" si="421"/>
        <v>675</v>
      </c>
      <c r="R1339" s="604">
        <f t="shared" si="422"/>
        <v>675</v>
      </c>
      <c r="S1339" s="604">
        <f>+IF(L1339-SUM(M1339:R1339)&gt;0,G1339*F1339,0)-X1339</f>
        <v>337.5</v>
      </c>
      <c r="T1339" s="604">
        <f t="shared" si="424"/>
        <v>0</v>
      </c>
      <c r="U1339" s="604">
        <f t="shared" si="425"/>
        <v>0</v>
      </c>
      <c r="V1339" s="604">
        <f t="shared" si="426"/>
        <v>0</v>
      </c>
      <c r="W1339" s="604">
        <f t="shared" si="427"/>
        <v>0</v>
      </c>
      <c r="X1339" s="746">
        <v>337.5</v>
      </c>
      <c r="Y1339" s="746">
        <f t="shared" si="428"/>
        <v>0</v>
      </c>
    </row>
    <row r="1340" spans="2:25">
      <c r="B1340" s="598" t="s">
        <v>2595</v>
      </c>
      <c r="C1340" s="604" t="s">
        <v>1106</v>
      </c>
      <c r="D1340" s="745">
        <v>2021</v>
      </c>
      <c r="E1340" s="604"/>
      <c r="F1340" s="738">
        <v>0.125</v>
      </c>
      <c r="G1340" s="739">
        <v>12600</v>
      </c>
      <c r="H1340" s="741">
        <f>+G1340*6.25%</f>
        <v>787.5</v>
      </c>
      <c r="I1340" s="742">
        <f t="shared" si="434"/>
        <v>11812.5</v>
      </c>
      <c r="J1340" s="740">
        <f t="shared" si="430"/>
        <v>1575</v>
      </c>
      <c r="K1340" s="739">
        <f t="shared" si="435"/>
        <v>2362.5</v>
      </c>
      <c r="L1340" s="844">
        <f t="shared" si="436"/>
        <v>10237.5</v>
      </c>
      <c r="M1340" s="740">
        <f t="shared" si="429"/>
        <v>1575</v>
      </c>
      <c r="N1340" s="604">
        <f t="shared" si="418"/>
        <v>1575</v>
      </c>
      <c r="O1340" s="604">
        <f t="shared" si="419"/>
        <v>1575</v>
      </c>
      <c r="P1340" s="604">
        <f t="shared" si="420"/>
        <v>1575</v>
      </c>
      <c r="Q1340" s="604">
        <f t="shared" si="421"/>
        <v>1575</v>
      </c>
      <c r="R1340" s="604">
        <f t="shared" si="422"/>
        <v>1575</v>
      </c>
      <c r="S1340" s="604">
        <f>+IF(L1340-SUM(M1340:R1340)&gt;0,G1340*F1340,0)-X1340</f>
        <v>787.5</v>
      </c>
      <c r="T1340" s="604">
        <f t="shared" si="424"/>
        <v>0</v>
      </c>
      <c r="U1340" s="604">
        <f t="shared" si="425"/>
        <v>0</v>
      </c>
      <c r="V1340" s="604">
        <f t="shared" si="426"/>
        <v>0</v>
      </c>
      <c r="W1340" s="604">
        <f t="shared" si="427"/>
        <v>0</v>
      </c>
      <c r="X1340" s="746">
        <v>787.5</v>
      </c>
      <c r="Y1340" s="746">
        <f t="shared" si="428"/>
        <v>0</v>
      </c>
    </row>
    <row r="1341" spans="2:25">
      <c r="B1341" s="598" t="s">
        <v>2595</v>
      </c>
      <c r="C1341" s="604" t="s">
        <v>1106</v>
      </c>
      <c r="D1341" s="745">
        <v>2021</v>
      </c>
      <c r="E1341" s="604" t="s">
        <v>1812</v>
      </c>
      <c r="F1341" s="738">
        <v>1</v>
      </c>
      <c r="G1341" s="739">
        <v>2700</v>
      </c>
      <c r="H1341" s="741">
        <v>2700</v>
      </c>
      <c r="I1341" s="742">
        <f t="shared" si="434"/>
        <v>0</v>
      </c>
      <c r="J1341" s="740">
        <f t="shared" si="430"/>
        <v>0</v>
      </c>
      <c r="K1341" s="739">
        <f t="shared" si="435"/>
        <v>2700</v>
      </c>
      <c r="L1341" s="844">
        <f t="shared" si="436"/>
        <v>0</v>
      </c>
      <c r="M1341" s="740">
        <f t="shared" si="429"/>
        <v>0</v>
      </c>
      <c r="N1341" s="604">
        <f t="shared" si="418"/>
        <v>0</v>
      </c>
      <c r="O1341" s="604">
        <f t="shared" si="419"/>
        <v>0</v>
      </c>
      <c r="P1341" s="604">
        <f t="shared" si="420"/>
        <v>0</v>
      </c>
      <c r="Q1341" s="604">
        <f t="shared" si="421"/>
        <v>0</v>
      </c>
      <c r="R1341" s="604">
        <f t="shared" si="422"/>
        <v>0</v>
      </c>
      <c r="S1341" s="604">
        <f t="shared" si="423"/>
        <v>0</v>
      </c>
      <c r="T1341" s="604">
        <f t="shared" si="424"/>
        <v>0</v>
      </c>
      <c r="U1341" s="604">
        <f t="shared" si="425"/>
        <v>0</v>
      </c>
      <c r="V1341" s="604">
        <f t="shared" si="426"/>
        <v>0</v>
      </c>
      <c r="W1341" s="604">
        <f t="shared" si="427"/>
        <v>0</v>
      </c>
      <c r="X1341" s="746">
        <v>0</v>
      </c>
      <c r="Y1341" s="746">
        <f t="shared" si="428"/>
        <v>0</v>
      </c>
    </row>
    <row r="1342" spans="2:25">
      <c r="B1342" s="598" t="s">
        <v>2595</v>
      </c>
      <c r="C1342" s="604" t="s">
        <v>1106</v>
      </c>
      <c r="D1342" s="745">
        <v>2022</v>
      </c>
      <c r="E1342" s="604" t="s">
        <v>2587</v>
      </c>
      <c r="F1342" s="738">
        <v>0.125</v>
      </c>
      <c r="G1342" s="739">
        <v>4600</v>
      </c>
      <c r="H1342" s="741">
        <v>0</v>
      </c>
      <c r="I1342" s="742">
        <f t="shared" si="434"/>
        <v>4600</v>
      </c>
      <c r="J1342" s="740">
        <f>IF(I1342=0,0,G1342*F1342/2)</f>
        <v>287.5</v>
      </c>
      <c r="K1342" s="739">
        <f t="shared" si="435"/>
        <v>287.5</v>
      </c>
      <c r="L1342" s="844">
        <v>0</v>
      </c>
      <c r="M1342" s="740">
        <f t="shared" si="429"/>
        <v>0</v>
      </c>
      <c r="N1342" s="604">
        <f t="shared" si="418"/>
        <v>0</v>
      </c>
      <c r="O1342" s="604">
        <f t="shared" si="419"/>
        <v>0</v>
      </c>
      <c r="P1342" s="604">
        <f t="shared" si="420"/>
        <v>0</v>
      </c>
      <c r="Q1342" s="604">
        <f t="shared" si="421"/>
        <v>0</v>
      </c>
      <c r="R1342" s="604">
        <f t="shared" si="422"/>
        <v>0</v>
      </c>
      <c r="S1342" s="604">
        <f t="shared" si="423"/>
        <v>0</v>
      </c>
      <c r="T1342" s="604">
        <v>0</v>
      </c>
      <c r="U1342" s="604">
        <f t="shared" si="425"/>
        <v>0</v>
      </c>
      <c r="V1342" s="604">
        <f t="shared" si="426"/>
        <v>0</v>
      </c>
      <c r="W1342" s="604">
        <f t="shared" si="427"/>
        <v>0</v>
      </c>
      <c r="X1342" s="746">
        <v>287.5</v>
      </c>
      <c r="Y1342" s="746">
        <f t="shared" si="428"/>
        <v>0</v>
      </c>
    </row>
    <row r="1343" spans="2:25">
      <c r="B1343" s="598" t="s">
        <v>2595</v>
      </c>
      <c r="C1343" s="604" t="s">
        <v>1106</v>
      </c>
      <c r="D1343" s="745">
        <v>2022</v>
      </c>
      <c r="E1343" s="604" t="s">
        <v>2588</v>
      </c>
      <c r="F1343" s="738">
        <v>0.125</v>
      </c>
      <c r="G1343" s="739">
        <v>1000</v>
      </c>
      <c r="H1343" s="741">
        <v>0</v>
      </c>
      <c r="I1343" s="742">
        <f t="shared" si="434"/>
        <v>1000</v>
      </c>
      <c r="J1343" s="740">
        <f>IF(I1343=0,0,G1343*F1343/2)</f>
        <v>62.5</v>
      </c>
      <c r="K1343" s="739">
        <f t="shared" si="435"/>
        <v>62.5</v>
      </c>
      <c r="L1343" s="844">
        <v>0</v>
      </c>
      <c r="M1343" s="740">
        <f t="shared" si="429"/>
        <v>0</v>
      </c>
      <c r="N1343" s="604">
        <f t="shared" si="418"/>
        <v>0</v>
      </c>
      <c r="O1343" s="604">
        <f t="shared" si="419"/>
        <v>0</v>
      </c>
      <c r="P1343" s="604">
        <f t="shared" si="420"/>
        <v>0</v>
      </c>
      <c r="Q1343" s="604">
        <f t="shared" si="421"/>
        <v>0</v>
      </c>
      <c r="R1343" s="604">
        <f t="shared" si="422"/>
        <v>0</v>
      </c>
      <c r="S1343" s="604">
        <f t="shared" si="423"/>
        <v>0</v>
      </c>
      <c r="T1343" s="604">
        <v>0</v>
      </c>
      <c r="U1343" s="604">
        <f t="shared" si="425"/>
        <v>0</v>
      </c>
      <c r="V1343" s="604">
        <f t="shared" si="426"/>
        <v>0</v>
      </c>
      <c r="W1343" s="604">
        <f t="shared" si="427"/>
        <v>0</v>
      </c>
      <c r="X1343" s="746">
        <v>62.5</v>
      </c>
      <c r="Y1343" s="746">
        <f t="shared" si="428"/>
        <v>0</v>
      </c>
    </row>
    <row r="1344" spans="2:25" ht="12.75" thickBot="1">
      <c r="B1344" s="598" t="s">
        <v>2595</v>
      </c>
      <c r="C1344" s="604" t="s">
        <v>1106</v>
      </c>
      <c r="D1344" s="745">
        <v>2022</v>
      </c>
      <c r="E1344" s="604" t="s">
        <v>2589</v>
      </c>
      <c r="F1344" s="738">
        <v>0.125</v>
      </c>
      <c r="G1344" s="739">
        <v>3090</v>
      </c>
      <c r="H1344" s="743">
        <v>0</v>
      </c>
      <c r="I1344" s="744">
        <f t="shared" si="434"/>
        <v>3090</v>
      </c>
      <c r="J1344" s="740">
        <f>IF(I1344=0,0,G1344*F1344/2)</f>
        <v>193.125</v>
      </c>
      <c r="K1344" s="739">
        <f t="shared" si="435"/>
        <v>193.125</v>
      </c>
      <c r="L1344" s="845">
        <v>0</v>
      </c>
      <c r="M1344" s="740">
        <f t="shared" si="429"/>
        <v>0</v>
      </c>
      <c r="N1344" s="604">
        <f>+IF(L1344-M1344&gt;0,G1344*F1344,0)</f>
        <v>0</v>
      </c>
      <c r="O1344" s="604">
        <f>+IF(L1344-SUM(M1344:N1344)&gt;0,G1344*F1344,0)</f>
        <v>0</v>
      </c>
      <c r="P1344" s="604">
        <f>+IF(L1344-SUM(M1344:O1344)&gt;0,G1344*F1344,0)</f>
        <v>0</v>
      </c>
      <c r="Q1344" s="604">
        <f>+IF(L1344-SUM(M1344:P1344)&gt;0,G1344*F1344,0)</f>
        <v>0</v>
      </c>
      <c r="R1344" s="604">
        <f>+IF(L1344-SUM(M1344:Q1344)&gt;0,G1344*F1344,0)</f>
        <v>0</v>
      </c>
      <c r="S1344" s="604">
        <f>+IF(L1344-SUM(M1344:R1344)&gt;0,G1344*F1344,0)</f>
        <v>0</v>
      </c>
      <c r="T1344" s="604">
        <v>0</v>
      </c>
      <c r="U1344" s="604">
        <f>+IF(L1344-SUM(M1344:T1344)&gt;0,G1344*F1344,0)</f>
        <v>0</v>
      </c>
      <c r="V1344" s="604">
        <f>+IF(L1344-SUM(M1344:U1344)&gt;0,G1344*F1344,0)</f>
        <v>0</v>
      </c>
      <c r="W1344" s="604">
        <f>+IF(L1344-SUM(M1344:V1344)&gt;0,G1344*F1344,0)</f>
        <v>0</v>
      </c>
      <c r="X1344" s="746">
        <v>193.125</v>
      </c>
      <c r="Y1344" s="746">
        <f>+SUM(M1344:W1344)-L1344</f>
        <v>0</v>
      </c>
    </row>
    <row r="1345" spans="2:23">
      <c r="I1345" s="747">
        <f t="shared" ref="I1345:N1345" si="437">+SUM(I5:I1344)</f>
        <v>2308209.0624000011</v>
      </c>
      <c r="J1345" s="747">
        <f t="shared" si="437"/>
        <v>343248.41919999995</v>
      </c>
      <c r="K1345" s="747">
        <f t="shared" si="437"/>
        <v>10707757.546800002</v>
      </c>
      <c r="L1345" s="747">
        <f>+SUM(L5:L1344)</f>
        <v>6936995.310200002</v>
      </c>
      <c r="M1345" s="747">
        <f t="shared" si="437"/>
        <v>1582763.6577000001</v>
      </c>
      <c r="N1345" s="747">
        <f t="shared" si="437"/>
        <v>1300471.8907000001</v>
      </c>
      <c r="O1345" s="747">
        <f t="shared" ref="O1345:W1345" si="438">+SUM(O5:O1344)</f>
        <v>1072724.9757000003</v>
      </c>
      <c r="P1345" s="747">
        <f t="shared" si="438"/>
        <v>964081.43869999982</v>
      </c>
      <c r="Q1345" s="747">
        <f t="shared" si="438"/>
        <v>681610.5867000001</v>
      </c>
      <c r="R1345" s="747">
        <f t="shared" si="438"/>
        <v>375067.86069999996</v>
      </c>
      <c r="S1345" s="747">
        <f t="shared" si="438"/>
        <v>75732.274000000005</v>
      </c>
      <c r="T1345" s="747">
        <f t="shared" si="438"/>
        <v>13408.553</v>
      </c>
      <c r="U1345" s="747">
        <f t="shared" si="438"/>
        <v>11297.523000000001</v>
      </c>
      <c r="V1345" s="747">
        <f t="shared" si="438"/>
        <v>5087.25</v>
      </c>
      <c r="W1345" s="747">
        <f t="shared" si="438"/>
        <v>138</v>
      </c>
    </row>
    <row r="1346" spans="2:23">
      <c r="J1346" s="746">
        <f>+I1345-J1345</f>
        <v>1964960.6432000012</v>
      </c>
      <c r="L1346" s="746">
        <f>+L1345-(+BdV!I10+BdV!I11+BdV!I15+BdV!I16+BdV!I20+BdV!I21+BdV!I22+BdV!I23+BdV!I25+BdV!I27+BdV!I29+BdV!I30+BdV!I32+BdV!I33+BdV!I36+BdV!I37+BdV!I38+BdV!I40+BdV!I42+BdV!I43+BdV!I44+BdV!I45+BdV!I46+BdV!I47+BdV!I48+BdV!I49+BdV!I50+BdV!I51+BdV!I52)</f>
        <v>-1.979999803006649E-2</v>
      </c>
      <c r="M1346" s="746">
        <f>+L1345-M1345</f>
        <v>5354231.6525000017</v>
      </c>
      <c r="N1346" s="746">
        <f>+M1346-N1345</f>
        <v>4053759.7618000014</v>
      </c>
      <c r="O1346" s="746">
        <f t="shared" ref="O1346:W1346" si="439">+N1346-O1345</f>
        <v>2981034.7861000011</v>
      </c>
      <c r="P1346" s="746">
        <f t="shared" si="439"/>
        <v>2016953.3474000013</v>
      </c>
      <c r="Q1346" s="746">
        <f t="shared" si="439"/>
        <v>1335342.7607000011</v>
      </c>
      <c r="R1346" s="746">
        <f t="shared" si="439"/>
        <v>960274.90000000119</v>
      </c>
      <c r="S1346" s="746">
        <f t="shared" si="439"/>
        <v>884542.62600000121</v>
      </c>
      <c r="T1346" s="746">
        <f t="shared" si="439"/>
        <v>871134.07300000126</v>
      </c>
      <c r="U1346" s="746">
        <f t="shared" si="439"/>
        <v>859836.55000000121</v>
      </c>
      <c r="V1346" s="746">
        <f t="shared" si="439"/>
        <v>854749.30000000121</v>
      </c>
      <c r="W1346" s="746">
        <f t="shared" si="439"/>
        <v>854611.30000000121</v>
      </c>
    </row>
    <row r="1347" spans="2:23">
      <c r="L1347" s="865">
        <f>+L1346-Z1276-Z1103-Z692-Z304-Z233-Z128-Z118-Z116</f>
        <v>-1.3799997861497104E-2</v>
      </c>
      <c r="M1347" s="840" t="s">
        <v>363</v>
      </c>
    </row>
    <row r="1349" spans="2:23">
      <c r="L1349" s="748"/>
    </row>
    <row r="1352" spans="2:23">
      <c r="L1352" s="735" t="s">
        <v>2597</v>
      </c>
      <c r="M1352" s="735" t="s">
        <v>2611</v>
      </c>
      <c r="N1352" s="735" t="s">
        <v>2612</v>
      </c>
      <c r="O1352" s="735" t="s">
        <v>2613</v>
      </c>
      <c r="P1352" s="735" t="s">
        <v>2614</v>
      </c>
      <c r="Q1352" s="735" t="s">
        <v>2615</v>
      </c>
      <c r="R1352" s="735" t="s">
        <v>2616</v>
      </c>
      <c r="S1352" s="735" t="s">
        <v>2617</v>
      </c>
      <c r="T1352" s="735" t="s">
        <v>2618</v>
      </c>
      <c r="U1352" s="735" t="s">
        <v>2619</v>
      </c>
      <c r="V1352" s="735" t="s">
        <v>2620</v>
      </c>
      <c r="W1352" s="735" t="s">
        <v>2621</v>
      </c>
    </row>
    <row r="1353" spans="2:23">
      <c r="B1353" s="598" t="s">
        <v>2595</v>
      </c>
      <c r="L1353" s="603">
        <f>+SUMIF($B$5:$B$1344,B1353,$L$5:$L$1344)</f>
        <v>6140037.2102000024</v>
      </c>
      <c r="M1353" s="603">
        <f>+L1353-M1358</f>
        <v>4570143.5525000021</v>
      </c>
      <c r="N1353" s="603">
        <f t="shared" ref="N1353:V1353" si="440">+M1353-N1358</f>
        <v>3282541.6618000017</v>
      </c>
      <c r="O1353" s="603">
        <f t="shared" si="440"/>
        <v>2220754.6861000014</v>
      </c>
      <c r="P1353" s="603">
        <f>+O1353-P1358</f>
        <v>1261411.2474000016</v>
      </c>
      <c r="Q1353" s="603">
        <f t="shared" si="440"/>
        <v>579938.66070000152</v>
      </c>
      <c r="R1353" s="603">
        <f>+Q1353-R1358</f>
        <v>205008.80000000156</v>
      </c>
      <c r="S1353" s="603">
        <f>+R1353-S1358</f>
        <v>129414.52600000156</v>
      </c>
      <c r="T1353" s="603">
        <f t="shared" si="440"/>
        <v>116143.97300000156</v>
      </c>
      <c r="U1353" s="603">
        <f t="shared" si="440"/>
        <v>104984.45000000155</v>
      </c>
      <c r="V1353" s="603">
        <f t="shared" si="440"/>
        <v>100035.20000000155</v>
      </c>
      <c r="W1353" s="603">
        <f>+V1353-W1358</f>
        <v>100035.20000000155</v>
      </c>
    </row>
    <row r="1354" spans="2:23">
      <c r="B1354" s="598" t="s">
        <v>2596</v>
      </c>
      <c r="L1354" s="603">
        <f>+SUMIF($B$5:$B$1344,B1354,$L$5:$L$1344)</f>
        <v>796958.1</v>
      </c>
      <c r="M1354" s="603">
        <f>+L1354-M1359</f>
        <v>784088.1</v>
      </c>
      <c r="N1354" s="603">
        <f t="shared" ref="N1354:W1354" si="441">+M1354-N1359</f>
        <v>771218.1</v>
      </c>
      <c r="O1354" s="603">
        <f t="shared" si="441"/>
        <v>760280.1</v>
      </c>
      <c r="P1354" s="603">
        <f t="shared" si="441"/>
        <v>755542.1</v>
      </c>
      <c r="Q1354" s="603">
        <f t="shared" si="441"/>
        <v>755404.1</v>
      </c>
      <c r="R1354" s="603">
        <f t="shared" si="441"/>
        <v>755266.1</v>
      </c>
      <c r="S1354" s="603">
        <f t="shared" si="441"/>
        <v>755128.1</v>
      </c>
      <c r="T1354" s="603">
        <f t="shared" si="441"/>
        <v>754990.1</v>
      </c>
      <c r="U1354" s="603">
        <f t="shared" si="441"/>
        <v>754852.1</v>
      </c>
      <c r="V1354" s="603">
        <f t="shared" si="441"/>
        <v>754714.1</v>
      </c>
      <c r="W1354" s="603">
        <f t="shared" si="441"/>
        <v>754576.1</v>
      </c>
    </row>
    <row r="1355" spans="2:23" ht="12.75" thickBot="1">
      <c r="B1355" s="756" t="s">
        <v>2598</v>
      </c>
      <c r="C1355" s="756"/>
      <c r="D1355" s="756"/>
      <c r="E1355" s="756"/>
      <c r="F1355" s="757"/>
      <c r="G1355" s="756"/>
      <c r="H1355" s="756"/>
      <c r="I1355" s="756"/>
      <c r="J1355" s="756"/>
      <c r="K1355" s="756"/>
      <c r="L1355" s="758">
        <f>+L1353+L1354</f>
        <v>6936995.310200002</v>
      </c>
      <c r="M1355" s="758">
        <f t="shared" ref="M1355:W1355" si="442">+M1353+M1354</f>
        <v>5354231.6525000017</v>
      </c>
      <c r="N1355" s="758">
        <f t="shared" si="442"/>
        <v>4053759.7618000018</v>
      </c>
      <c r="O1355" s="758">
        <f t="shared" si="442"/>
        <v>2981034.7861000015</v>
      </c>
      <c r="P1355" s="758">
        <f t="shared" si="442"/>
        <v>2016953.3474000017</v>
      </c>
      <c r="Q1355" s="758">
        <f t="shared" si="442"/>
        <v>1335342.7607000014</v>
      </c>
      <c r="R1355" s="758">
        <f t="shared" si="442"/>
        <v>960274.90000000154</v>
      </c>
      <c r="S1355" s="758">
        <f t="shared" si="442"/>
        <v>884542.62600000156</v>
      </c>
      <c r="T1355" s="758">
        <f t="shared" si="442"/>
        <v>871134.07300000149</v>
      </c>
      <c r="U1355" s="758">
        <f t="shared" si="442"/>
        <v>859836.55000000156</v>
      </c>
      <c r="V1355" s="758">
        <f t="shared" si="442"/>
        <v>854749.30000000156</v>
      </c>
      <c r="W1355" s="758">
        <f t="shared" si="442"/>
        <v>854611.30000000156</v>
      </c>
    </row>
    <row r="1356" spans="2:23" ht="12.75" thickTop="1">
      <c r="L1356" s="746">
        <f>+L1355-L1345</f>
        <v>0</v>
      </c>
      <c r="M1356" s="746">
        <f>+M1355-M1346</f>
        <v>0</v>
      </c>
      <c r="N1356" s="746">
        <f t="shared" ref="N1356:W1356" si="443">+N1355-N1346</f>
        <v>0</v>
      </c>
      <c r="O1356" s="746">
        <f t="shared" si="443"/>
        <v>0</v>
      </c>
      <c r="P1356" s="746">
        <f t="shared" si="443"/>
        <v>0</v>
      </c>
      <c r="Q1356" s="746">
        <f t="shared" si="443"/>
        <v>0</v>
      </c>
      <c r="R1356" s="746">
        <f t="shared" si="443"/>
        <v>0</v>
      </c>
      <c r="S1356" s="746">
        <f t="shared" si="443"/>
        <v>0</v>
      </c>
      <c r="T1356" s="746">
        <f t="shared" si="443"/>
        <v>0</v>
      </c>
      <c r="U1356" s="746">
        <f t="shared" si="443"/>
        <v>0</v>
      </c>
      <c r="V1356" s="746">
        <f t="shared" si="443"/>
        <v>0</v>
      </c>
      <c r="W1356" s="746">
        <f t="shared" si="443"/>
        <v>0</v>
      </c>
    </row>
    <row r="1357" spans="2:23">
      <c r="L1357" s="735" t="s">
        <v>2599</v>
      </c>
      <c r="M1357" s="735" t="s">
        <v>2600</v>
      </c>
      <c r="N1357" s="735" t="s">
        <v>2601</v>
      </c>
      <c r="O1357" s="735" t="s">
        <v>2602</v>
      </c>
      <c r="P1357" s="735" t="s">
        <v>2603</v>
      </c>
      <c r="Q1357" s="735" t="s">
        <v>2604</v>
      </c>
      <c r="R1357" s="735" t="s">
        <v>2605</v>
      </c>
      <c r="S1357" s="735" t="s">
        <v>2606</v>
      </c>
      <c r="T1357" s="735" t="s">
        <v>2607</v>
      </c>
      <c r="U1357" s="735" t="s">
        <v>2608</v>
      </c>
      <c r="V1357" s="735" t="s">
        <v>2609</v>
      </c>
      <c r="W1357" s="735" t="s">
        <v>2610</v>
      </c>
    </row>
    <row r="1358" spans="2:23">
      <c r="B1358" s="598" t="s">
        <v>2595</v>
      </c>
      <c r="L1358" s="759"/>
      <c r="M1358" s="603">
        <f>+SUMIF($B$5:$B$1344,B1358,$M$5:$M$1344)</f>
        <v>1569893.6577000001</v>
      </c>
      <c r="N1358" s="603">
        <f>+SUMIF($B$5:$B$1344,B1358,$N$5:$N$1344)</f>
        <v>1287601.8907000001</v>
      </c>
      <c r="O1358" s="603">
        <f>+SUMIF($B$5:$B$1344,B1358,$O$5:$O$1344)</f>
        <v>1061786.9757000003</v>
      </c>
      <c r="P1358" s="603">
        <f>+SUMIF($B$5:$B$1344,B1358,$P$5:$P$1344)</f>
        <v>959343.43869999982</v>
      </c>
      <c r="Q1358" s="603">
        <f>+SUMIF($B$5:$B$1344,B1358,$Q$5:$Q$1344)</f>
        <v>681472.5867000001</v>
      </c>
      <c r="R1358" s="603">
        <f>+SUMIF($B$5:$B$1344,B1358,$R$5:$R$1344)</f>
        <v>374929.86069999996</v>
      </c>
      <c r="S1358" s="603">
        <f>+SUMIF($B$5:$B$1344,B1358,$S$5:$S$1344)</f>
        <v>75594.274000000005</v>
      </c>
      <c r="T1358" s="603">
        <f>+SUMIF($B$5:$B$1344,B1358,$T$5:$T$1344)</f>
        <v>13270.553</v>
      </c>
      <c r="U1358" s="603">
        <f>+SUMIF($B$5:$B$1344,B1358,$U$5:$U$1344)</f>
        <v>11159.523000000001</v>
      </c>
      <c r="V1358" s="603">
        <f>+SUMIF($B$5:$B$1344,B1358,$V$5:$V$1344)</f>
        <v>4949.25</v>
      </c>
      <c r="W1358" s="603">
        <f>+SUMIF($B$5:$B$1344,B1358,$W$5:$W$1344)</f>
        <v>0</v>
      </c>
    </row>
    <row r="1359" spans="2:23">
      <c r="B1359" s="598" t="s">
        <v>2596</v>
      </c>
      <c r="L1359" s="759"/>
      <c r="M1359" s="603">
        <f>+SUMIF($B$5:$B$1344,B1359,$M$5:$M$1344)</f>
        <v>12870</v>
      </c>
      <c r="N1359" s="603">
        <f>+SUMIF($B$5:$B$1344,B1359,$N$5:$N$1344)</f>
        <v>12870</v>
      </c>
      <c r="O1359" s="603">
        <f>+SUMIF($B$5:$B$1344,B1359,$O$5:$O$1344)</f>
        <v>10938</v>
      </c>
      <c r="P1359" s="603">
        <f>+SUMIF($B$5:$B$1344,B1359,$P$5:$P$1344)</f>
        <v>4738</v>
      </c>
      <c r="Q1359" s="603">
        <f>+SUMIF($B$5:$B$1344,B1359,$Q$5:$Q$1344)</f>
        <v>138</v>
      </c>
      <c r="R1359" s="603">
        <f>+SUMIF($B$5:$B$1344,B1359,$R$5:$R$1344)</f>
        <v>138</v>
      </c>
      <c r="S1359" s="603">
        <f>+SUMIF($B$5:$B$1344,B1359,$S$5:$S$1344)</f>
        <v>138</v>
      </c>
      <c r="T1359" s="603">
        <f>+SUMIF($B$5:$B$1344,B1359,$T$5:$T$1344)</f>
        <v>138</v>
      </c>
      <c r="U1359" s="603">
        <f>+SUMIF($B$5:$B$1344,B1359,$U$5:$U$1344)</f>
        <v>138</v>
      </c>
      <c r="V1359" s="603">
        <f>+SUMIF($B$5:$B$1344,B1359,$V$5:$V$1344)</f>
        <v>138</v>
      </c>
      <c r="W1359" s="603">
        <f>+SUMIF($B$5:$B$1344,B1359,$W$5:$W$1344)</f>
        <v>138</v>
      </c>
    </row>
    <row r="1360" spans="2:23" ht="12.75" thickBot="1">
      <c r="B1360" s="756" t="s">
        <v>2598</v>
      </c>
      <c r="C1360" s="756"/>
      <c r="D1360" s="756"/>
      <c r="E1360" s="756"/>
      <c r="F1360" s="757"/>
      <c r="G1360" s="756"/>
      <c r="H1360" s="756"/>
      <c r="I1360" s="756"/>
      <c r="J1360" s="756"/>
      <c r="K1360" s="756"/>
      <c r="L1360" s="758">
        <f>+L1358+L1359</f>
        <v>0</v>
      </c>
      <c r="M1360" s="758">
        <f t="shared" ref="M1360:W1360" si="444">+M1358+M1359</f>
        <v>1582763.6577000001</v>
      </c>
      <c r="N1360" s="758">
        <f t="shared" si="444"/>
        <v>1300471.8907000001</v>
      </c>
      <c r="O1360" s="758">
        <f t="shared" si="444"/>
        <v>1072724.9757000003</v>
      </c>
      <c r="P1360" s="758">
        <f t="shared" si="444"/>
        <v>964081.43869999982</v>
      </c>
      <c r="Q1360" s="758">
        <f t="shared" si="444"/>
        <v>681610.5867000001</v>
      </c>
      <c r="R1360" s="758">
        <f t="shared" si="444"/>
        <v>375067.86069999996</v>
      </c>
      <c r="S1360" s="758">
        <f t="shared" si="444"/>
        <v>75732.274000000005</v>
      </c>
      <c r="T1360" s="758">
        <f t="shared" si="444"/>
        <v>13408.553</v>
      </c>
      <c r="U1360" s="758">
        <f t="shared" si="444"/>
        <v>11297.523000000001</v>
      </c>
      <c r="V1360" s="758">
        <f t="shared" si="444"/>
        <v>5087.25</v>
      </c>
      <c r="W1360" s="758">
        <f t="shared" si="444"/>
        <v>138</v>
      </c>
    </row>
    <row r="1361" spans="2:23" ht="12.75" thickTop="1">
      <c r="M1361" s="746">
        <f>+M1360-M1345</f>
        <v>0</v>
      </c>
      <c r="N1361" s="746">
        <f t="shared" ref="N1361:W1361" si="445">+N1360-N1345</f>
        <v>0</v>
      </c>
      <c r="O1361" s="746">
        <f t="shared" si="445"/>
        <v>0</v>
      </c>
      <c r="P1361" s="746">
        <f t="shared" si="445"/>
        <v>0</v>
      </c>
      <c r="Q1361" s="746">
        <f t="shared" si="445"/>
        <v>0</v>
      </c>
      <c r="R1361" s="746">
        <f t="shared" si="445"/>
        <v>0</v>
      </c>
      <c r="S1361" s="746">
        <f t="shared" si="445"/>
        <v>0</v>
      </c>
      <c r="T1361" s="746">
        <f t="shared" si="445"/>
        <v>0</v>
      </c>
      <c r="U1361" s="746">
        <f t="shared" si="445"/>
        <v>0</v>
      </c>
      <c r="V1361" s="746">
        <f t="shared" si="445"/>
        <v>0</v>
      </c>
      <c r="W1361" s="746">
        <f t="shared" si="445"/>
        <v>0</v>
      </c>
    </row>
    <row r="1362" spans="2:23">
      <c r="B1362" s="760" t="s">
        <v>2536</v>
      </c>
      <c r="C1362" s="732"/>
      <c r="D1362" s="732"/>
      <c r="E1362" s="732"/>
      <c r="F1362" s="761"/>
      <c r="G1362" s="732"/>
      <c r="H1362" s="732"/>
      <c r="I1362" s="732"/>
      <c r="J1362" s="732"/>
      <c r="K1362" s="732"/>
      <c r="L1362" s="762">
        <f>+BdV!I14</f>
        <v>7200000</v>
      </c>
      <c r="M1362" s="762">
        <f>+L1362-M1363</f>
        <v>6800000</v>
      </c>
      <c r="N1362" s="762">
        <f t="shared" ref="N1362:W1362" si="446">+M1362-N1363</f>
        <v>6400000</v>
      </c>
      <c r="O1362" s="762">
        <f t="shared" si="446"/>
        <v>6000000</v>
      </c>
      <c r="P1362" s="762">
        <f t="shared" si="446"/>
        <v>5600000</v>
      </c>
      <c r="Q1362" s="762">
        <f t="shared" si="446"/>
        <v>5200000</v>
      </c>
      <c r="R1362" s="762">
        <f t="shared" si="446"/>
        <v>4800000</v>
      </c>
      <c r="S1362" s="762">
        <f t="shared" si="446"/>
        <v>4400000</v>
      </c>
      <c r="T1362" s="762">
        <f t="shared" si="446"/>
        <v>4000000</v>
      </c>
      <c r="U1362" s="762">
        <f t="shared" si="446"/>
        <v>3600000</v>
      </c>
      <c r="V1362" s="762">
        <f t="shared" si="446"/>
        <v>3200000</v>
      </c>
      <c r="W1362" s="762">
        <f t="shared" si="446"/>
        <v>2800000</v>
      </c>
    </row>
    <row r="1363" spans="2:23">
      <c r="B1363" s="733"/>
      <c r="C1363" s="731"/>
      <c r="D1363" s="731"/>
      <c r="E1363" s="731"/>
      <c r="F1363" s="763"/>
      <c r="G1363" s="764"/>
      <c r="H1363" s="731"/>
      <c r="I1363" s="731"/>
      <c r="J1363" s="731"/>
      <c r="K1363" s="731"/>
      <c r="L1363" s="605"/>
      <c r="M1363" s="605">
        <v>400000</v>
      </c>
      <c r="N1363" s="605">
        <f>+M1363</f>
        <v>400000</v>
      </c>
      <c r="O1363" s="605">
        <f t="shared" ref="O1363:W1363" si="447">+N1363</f>
        <v>400000</v>
      </c>
      <c r="P1363" s="605">
        <f t="shared" si="447"/>
        <v>400000</v>
      </c>
      <c r="Q1363" s="605">
        <f t="shared" si="447"/>
        <v>400000</v>
      </c>
      <c r="R1363" s="605">
        <f t="shared" si="447"/>
        <v>400000</v>
      </c>
      <c r="S1363" s="605">
        <f t="shared" si="447"/>
        <v>400000</v>
      </c>
      <c r="T1363" s="605">
        <f t="shared" si="447"/>
        <v>400000</v>
      </c>
      <c r="U1363" s="605">
        <f t="shared" si="447"/>
        <v>400000</v>
      </c>
      <c r="V1363" s="605">
        <f t="shared" si="447"/>
        <v>400000</v>
      </c>
      <c r="W1363" s="605">
        <f t="shared" si="447"/>
        <v>400000</v>
      </c>
    </row>
    <row r="1364" spans="2:23">
      <c r="M1364" s="867"/>
    </row>
    <row r="1365" spans="2:23">
      <c r="L1365" s="735" t="s">
        <v>2599</v>
      </c>
      <c r="M1365" s="735" t="s">
        <v>2600</v>
      </c>
      <c r="N1365" s="735" t="s">
        <v>2601</v>
      </c>
      <c r="O1365" s="735" t="s">
        <v>2602</v>
      </c>
      <c r="P1365" s="735" t="s">
        <v>2603</v>
      </c>
      <c r="Q1365" s="735" t="s">
        <v>2604</v>
      </c>
      <c r="R1365" s="735" t="s">
        <v>2605</v>
      </c>
      <c r="S1365" s="735" t="s">
        <v>2606</v>
      </c>
      <c r="T1365" s="735" t="s">
        <v>2607</v>
      </c>
      <c r="U1365" s="735" t="s">
        <v>2608</v>
      </c>
      <c r="V1365" s="735" t="s">
        <v>2609</v>
      </c>
      <c r="W1365" s="735" t="s">
        <v>2610</v>
      </c>
    </row>
    <row r="1366" spans="2:23">
      <c r="B1366" s="598" t="s">
        <v>4458</v>
      </c>
      <c r="L1366" s="867">
        <v>0</v>
      </c>
      <c r="M1366" s="603">
        <f>+'Immobilizzazioni acquisti23'!L69</f>
        <v>124823.85671428574</v>
      </c>
      <c r="N1366" s="603">
        <f>+'Immobilizzazioni acquisti23'!M69</f>
        <v>249647.71342857147</v>
      </c>
      <c r="O1366" s="603">
        <f>+'Immobilizzazioni acquisti23'!N69</f>
        <v>249647.71342857147</v>
      </c>
      <c r="P1366" s="603">
        <f>+'Immobilizzazioni acquisti23'!O69</f>
        <v>249647.71342857147</v>
      </c>
      <c r="Q1366" s="603">
        <f>+'Immobilizzazioni acquisti23'!P69</f>
        <v>249647.71342857147</v>
      </c>
      <c r="R1366" s="603">
        <f>+'Immobilizzazioni acquisti23'!Q69</f>
        <v>216130.49242857148</v>
      </c>
      <c r="S1366" s="603">
        <f>+'Immobilizzazioni acquisti23'!R69</f>
        <v>182613.27142857146</v>
      </c>
      <c r="T1366" s="603">
        <f>+'Immobilizzazioni acquisti23'!S69</f>
        <v>97158.985714285736</v>
      </c>
      <c r="U1366" s="603">
        <f>+'Immobilizzazioni acquisti23'!T69</f>
        <v>9904.7000000000007</v>
      </c>
      <c r="V1366" s="603">
        <f>+'Immobilizzazioni acquisti23'!U69</f>
        <v>8104.7</v>
      </c>
      <c r="W1366" s="603">
        <f>+'Immobilizzazioni acquisti23'!V69</f>
        <v>4052.35</v>
      </c>
    </row>
    <row r="1367" spans="2:23">
      <c r="L1367" s="867"/>
      <c r="M1367" s="603"/>
      <c r="N1367" s="603"/>
      <c r="O1367" s="603"/>
      <c r="P1367" s="603"/>
      <c r="Q1367" s="603"/>
      <c r="R1367" s="603"/>
      <c r="S1367" s="603"/>
      <c r="T1367" s="603"/>
      <c r="U1367" s="603"/>
      <c r="V1367" s="603"/>
      <c r="W1367" s="603"/>
    </row>
    <row r="1368" spans="2:23">
      <c r="L1368" s="735" t="s">
        <v>2597</v>
      </c>
      <c r="M1368" s="735" t="s">
        <v>2611</v>
      </c>
      <c r="N1368" s="735" t="s">
        <v>2612</v>
      </c>
      <c r="O1368" s="735" t="s">
        <v>2613</v>
      </c>
      <c r="P1368" s="735" t="s">
        <v>2614</v>
      </c>
      <c r="Q1368" s="735" t="s">
        <v>2615</v>
      </c>
      <c r="R1368" s="735" t="s">
        <v>2616</v>
      </c>
      <c r="S1368" s="735" t="s">
        <v>2617</v>
      </c>
      <c r="T1368" s="735" t="s">
        <v>2618</v>
      </c>
      <c r="U1368" s="735" t="s">
        <v>2619</v>
      </c>
      <c r="V1368" s="735" t="s">
        <v>2620</v>
      </c>
      <c r="W1368" s="735" t="s">
        <v>2621</v>
      </c>
    </row>
    <row r="1369" spans="2:23">
      <c r="B1369" s="598" t="s">
        <v>4459</v>
      </c>
      <c r="L1369" s="867">
        <v>0</v>
      </c>
      <c r="M1369" s="603">
        <f>+'Immobilizzazioni acquisti23'!AH69</f>
        <v>1516555.3532857141</v>
      </c>
      <c r="N1369" s="603">
        <f>+'Immobilizzazioni acquisti23'!AI69</f>
        <v>1266907.6398571427</v>
      </c>
      <c r="O1369" s="603">
        <f>+'Immobilizzazioni acquisti23'!AJ69</f>
        <v>1017259.9264285712</v>
      </c>
      <c r="P1369" s="603">
        <f>+'Immobilizzazioni acquisti23'!AK69</f>
        <v>767612.21299999987</v>
      </c>
      <c r="Q1369" s="603">
        <f>+'Immobilizzazioni acquisti23'!AL69</f>
        <v>517964.49957142846</v>
      </c>
      <c r="R1369" s="603">
        <f>+'Immobilizzazioni acquisti23'!AM69</f>
        <v>301834.00714285695</v>
      </c>
      <c r="S1369" s="603">
        <f>+'Immobilizzazioni acquisti23'!AN69</f>
        <v>119220.73571428555</v>
      </c>
      <c r="T1369" s="603">
        <f>+'Immobilizzazioni acquisti23'!AO69</f>
        <v>22061.749999999822</v>
      </c>
      <c r="U1369" s="603">
        <f>+'Immobilizzazioni acquisti23'!AP69</f>
        <v>12157.049999999819</v>
      </c>
      <c r="V1369" s="603">
        <f>+'Immobilizzazioni acquisti23'!AQ69</f>
        <v>4052.3499999998189</v>
      </c>
      <c r="W1369" s="603">
        <f>+'Immobilizzazioni acquisti23'!AR69</f>
        <v>-1.8109780342001613E-10</v>
      </c>
    </row>
    <row r="1375" spans="2:23">
      <c r="B1375" s="1444" t="s">
        <v>4460</v>
      </c>
      <c r="C1375" s="1444"/>
      <c r="D1375" s="1444"/>
      <c r="E1375" s="1444"/>
      <c r="F1375" s="1445"/>
      <c r="G1375" s="1444"/>
      <c r="H1375" s="1444"/>
      <c r="I1375" s="1444"/>
      <c r="J1375" s="1444"/>
      <c r="K1375" s="1444"/>
      <c r="L1375" s="1443" t="s">
        <v>2597</v>
      </c>
      <c r="M1375" s="1443" t="s">
        <v>2611</v>
      </c>
      <c r="N1375" s="1443" t="s">
        <v>2612</v>
      </c>
      <c r="O1375" s="1443" t="s">
        <v>2613</v>
      </c>
      <c r="P1375" s="1443" t="s">
        <v>2614</v>
      </c>
      <c r="Q1375" s="1443" t="s">
        <v>2615</v>
      </c>
      <c r="R1375" s="1443" t="s">
        <v>2616</v>
      </c>
      <c r="S1375" s="1443" t="s">
        <v>2617</v>
      </c>
      <c r="T1375" s="1443" t="s">
        <v>2618</v>
      </c>
      <c r="U1375" s="1443" t="s">
        <v>2619</v>
      </c>
      <c r="V1375" s="1443" t="s">
        <v>2620</v>
      </c>
      <c r="W1375" s="1443" t="s">
        <v>2621</v>
      </c>
    </row>
    <row r="1376" spans="2:23">
      <c r="B1376" s="598" t="s">
        <v>2595</v>
      </c>
      <c r="L1376" s="603">
        <f>+L1353+L1369</f>
        <v>6140037.2102000024</v>
      </c>
      <c r="M1376" s="603">
        <f t="shared" ref="M1376:W1376" si="448">+M1353+M1369</f>
        <v>6086698.9057857161</v>
      </c>
      <c r="N1376" s="603">
        <f t="shared" si="448"/>
        <v>4549449.301657144</v>
      </c>
      <c r="O1376" s="603">
        <f t="shared" si="448"/>
        <v>3238014.6125285728</v>
      </c>
      <c r="P1376" s="603">
        <f t="shared" si="448"/>
        <v>2029023.4604000016</v>
      </c>
      <c r="Q1376" s="603">
        <f t="shared" si="448"/>
        <v>1097903.1602714299</v>
      </c>
      <c r="R1376" s="603">
        <f t="shared" si="448"/>
        <v>506842.80714285851</v>
      </c>
      <c r="S1376" s="603">
        <f t="shared" si="448"/>
        <v>248635.2617142871</v>
      </c>
      <c r="T1376" s="603">
        <f t="shared" si="448"/>
        <v>138205.72300000137</v>
      </c>
      <c r="U1376" s="603">
        <f t="shared" si="448"/>
        <v>117141.50000000137</v>
      </c>
      <c r="V1376" s="603">
        <f t="shared" si="448"/>
        <v>104087.55000000137</v>
      </c>
      <c r="W1376" s="603">
        <f t="shared" si="448"/>
        <v>100035.20000000138</v>
      </c>
    </row>
    <row r="1377" spans="2:23">
      <c r="B1377" s="598" t="s">
        <v>2596</v>
      </c>
      <c r="L1377" s="603">
        <f>+L1354+L1362</f>
        <v>7996958.0999999996</v>
      </c>
      <c r="M1377" s="603">
        <f t="shared" ref="M1377:W1377" si="449">+M1354+M1362</f>
        <v>7584088.0999999996</v>
      </c>
      <c r="N1377" s="603">
        <f t="shared" si="449"/>
        <v>7171218.0999999996</v>
      </c>
      <c r="O1377" s="603">
        <f t="shared" si="449"/>
        <v>6760280.0999999996</v>
      </c>
      <c r="P1377" s="603">
        <f t="shared" si="449"/>
        <v>6355542.0999999996</v>
      </c>
      <c r="Q1377" s="603">
        <f t="shared" si="449"/>
        <v>5955404.0999999996</v>
      </c>
      <c r="R1377" s="603">
        <f t="shared" si="449"/>
        <v>5555266.0999999996</v>
      </c>
      <c r="S1377" s="603">
        <f t="shared" si="449"/>
        <v>5155128.0999999996</v>
      </c>
      <c r="T1377" s="603">
        <f t="shared" si="449"/>
        <v>4754990.0999999996</v>
      </c>
      <c r="U1377" s="603">
        <f t="shared" si="449"/>
        <v>4354852.0999999996</v>
      </c>
      <c r="V1377" s="603">
        <f t="shared" si="449"/>
        <v>3954714.1</v>
      </c>
      <c r="W1377" s="603">
        <f t="shared" si="449"/>
        <v>3554576.1</v>
      </c>
    </row>
    <row r="1378" spans="2:23" ht="12.75" thickBot="1">
      <c r="B1378" s="756" t="s">
        <v>2598</v>
      </c>
      <c r="C1378" s="756"/>
      <c r="D1378" s="756"/>
      <c r="E1378" s="756"/>
      <c r="F1378" s="757"/>
      <c r="G1378" s="756"/>
      <c r="H1378" s="756"/>
      <c r="I1378" s="756"/>
      <c r="J1378" s="756"/>
      <c r="K1378" s="756"/>
      <c r="L1378" s="758">
        <f>+L1376+L1377</f>
        <v>14136995.310200002</v>
      </c>
      <c r="M1378" s="758">
        <f t="shared" ref="M1378:W1378" si="450">+M1376+M1377</f>
        <v>13670787.005785715</v>
      </c>
      <c r="N1378" s="758">
        <f t="shared" si="450"/>
        <v>11720667.401657144</v>
      </c>
      <c r="O1378" s="758">
        <f t="shared" si="450"/>
        <v>9998294.7125285715</v>
      </c>
      <c r="P1378" s="758">
        <f t="shared" si="450"/>
        <v>8384565.5604000017</v>
      </c>
      <c r="Q1378" s="758">
        <f t="shared" si="450"/>
        <v>7053307.26027143</v>
      </c>
      <c r="R1378" s="758">
        <f t="shared" si="450"/>
        <v>6062108.907142858</v>
      </c>
      <c r="S1378" s="758">
        <f t="shared" si="450"/>
        <v>5403763.3617142867</v>
      </c>
      <c r="T1378" s="758">
        <f t="shared" si="450"/>
        <v>4893195.8230000008</v>
      </c>
      <c r="U1378" s="758">
        <f t="shared" si="450"/>
        <v>4471993.6000000006</v>
      </c>
      <c r="V1378" s="758">
        <f t="shared" si="450"/>
        <v>4058801.6500000013</v>
      </c>
      <c r="W1378" s="758">
        <f t="shared" si="450"/>
        <v>3654611.3000000017</v>
      </c>
    </row>
    <row r="1379" spans="2:23" ht="12.75" thickTop="1"/>
    <row r="1380" spans="2:23">
      <c r="B1380" s="1444" t="s">
        <v>4460</v>
      </c>
      <c r="C1380" s="1444"/>
      <c r="D1380" s="1444"/>
      <c r="E1380" s="1444"/>
      <c r="F1380" s="1445"/>
      <c r="G1380" s="1444"/>
      <c r="H1380" s="1444"/>
      <c r="I1380" s="1444"/>
      <c r="J1380" s="1444"/>
      <c r="K1380" s="1444"/>
      <c r="L1380" s="1443" t="s">
        <v>2599</v>
      </c>
      <c r="M1380" s="1443" t="s">
        <v>2600</v>
      </c>
      <c r="N1380" s="1443" t="s">
        <v>2601</v>
      </c>
      <c r="O1380" s="1443" t="s">
        <v>2602</v>
      </c>
      <c r="P1380" s="1443" t="s">
        <v>2603</v>
      </c>
      <c r="Q1380" s="1443" t="s">
        <v>2604</v>
      </c>
      <c r="R1380" s="1443" t="s">
        <v>2605</v>
      </c>
      <c r="S1380" s="1443" t="s">
        <v>2606</v>
      </c>
      <c r="T1380" s="1443" t="s">
        <v>2607</v>
      </c>
      <c r="U1380" s="1443" t="s">
        <v>2608</v>
      </c>
      <c r="V1380" s="1443" t="s">
        <v>2609</v>
      </c>
      <c r="W1380" s="1443" t="s">
        <v>2610</v>
      </c>
    </row>
    <row r="1381" spans="2:23">
      <c r="B1381" s="598" t="s">
        <v>2595</v>
      </c>
      <c r="L1381" s="603">
        <f>+L1358+L1366</f>
        <v>0</v>
      </c>
      <c r="M1381" s="603">
        <f t="shared" ref="M1381:W1381" si="451">+M1358+M1366</f>
        <v>1694717.5144142858</v>
      </c>
      <c r="N1381" s="603">
        <f t="shared" si="451"/>
        <v>1537249.6041285717</v>
      </c>
      <c r="O1381" s="603">
        <f t="shared" si="451"/>
        <v>1311434.6891285717</v>
      </c>
      <c r="P1381" s="603">
        <f t="shared" si="451"/>
        <v>1208991.1521285712</v>
      </c>
      <c r="Q1381" s="603">
        <f t="shared" si="451"/>
        <v>931120.30012857157</v>
      </c>
      <c r="R1381" s="603">
        <f t="shared" si="451"/>
        <v>591060.35312857141</v>
      </c>
      <c r="S1381" s="603">
        <f t="shared" si="451"/>
        <v>258207.54542857147</v>
      </c>
      <c r="T1381" s="603">
        <f t="shared" si="451"/>
        <v>110429.53871428574</v>
      </c>
      <c r="U1381" s="603">
        <f t="shared" si="451"/>
        <v>21064.223000000002</v>
      </c>
      <c r="V1381" s="603">
        <f t="shared" si="451"/>
        <v>13053.95</v>
      </c>
      <c r="W1381" s="603">
        <f t="shared" si="451"/>
        <v>4052.35</v>
      </c>
    </row>
    <row r="1382" spans="2:23">
      <c r="B1382" s="598" t="s">
        <v>2596</v>
      </c>
      <c r="L1382" s="603">
        <f>+L1359+L1363</f>
        <v>0</v>
      </c>
      <c r="M1382" s="603">
        <f>+M1359+M1363</f>
        <v>412870</v>
      </c>
      <c r="N1382" s="603">
        <f t="shared" ref="N1382:W1382" si="452">+N1359+N1363</f>
        <v>412870</v>
      </c>
      <c r="O1382" s="603">
        <f t="shared" si="452"/>
        <v>410938</v>
      </c>
      <c r="P1382" s="603">
        <f t="shared" si="452"/>
        <v>404738</v>
      </c>
      <c r="Q1382" s="603">
        <f t="shared" si="452"/>
        <v>400138</v>
      </c>
      <c r="R1382" s="603">
        <f t="shared" si="452"/>
        <v>400138</v>
      </c>
      <c r="S1382" s="603">
        <f t="shared" si="452"/>
        <v>400138</v>
      </c>
      <c r="T1382" s="603">
        <f t="shared" si="452"/>
        <v>400138</v>
      </c>
      <c r="U1382" s="603">
        <f t="shared" si="452"/>
        <v>400138</v>
      </c>
      <c r="V1382" s="603">
        <f t="shared" si="452"/>
        <v>400138</v>
      </c>
      <c r="W1382" s="603">
        <f t="shared" si="452"/>
        <v>400138</v>
      </c>
    </row>
    <row r="1383" spans="2:23" ht="12.75" thickBot="1">
      <c r="B1383" s="756" t="s">
        <v>2598</v>
      </c>
      <c r="C1383" s="756"/>
      <c r="D1383" s="756"/>
      <c r="E1383" s="756"/>
      <c r="F1383" s="757"/>
      <c r="G1383" s="756"/>
      <c r="H1383" s="756"/>
      <c r="I1383" s="756"/>
      <c r="J1383" s="756"/>
      <c r="K1383" s="756"/>
      <c r="L1383" s="758">
        <f>+L1381+L1382</f>
        <v>0</v>
      </c>
      <c r="M1383" s="758">
        <f t="shared" ref="M1383:W1383" si="453">+M1381+M1382</f>
        <v>2107587.5144142858</v>
      </c>
      <c r="N1383" s="758">
        <f t="shared" si="453"/>
        <v>1950119.6041285717</v>
      </c>
      <c r="O1383" s="758">
        <f t="shared" si="453"/>
        <v>1722372.6891285717</v>
      </c>
      <c r="P1383" s="758">
        <f t="shared" si="453"/>
        <v>1613729.1521285712</v>
      </c>
      <c r="Q1383" s="758">
        <f t="shared" si="453"/>
        <v>1331258.3001285717</v>
      </c>
      <c r="R1383" s="758">
        <f t="shared" si="453"/>
        <v>991198.35312857141</v>
      </c>
      <c r="S1383" s="758">
        <f t="shared" si="453"/>
        <v>658345.54542857152</v>
      </c>
      <c r="T1383" s="758">
        <f t="shared" si="453"/>
        <v>510567.53871428571</v>
      </c>
      <c r="U1383" s="758">
        <f t="shared" si="453"/>
        <v>421202.223</v>
      </c>
      <c r="V1383" s="758">
        <f t="shared" si="453"/>
        <v>413191.95</v>
      </c>
      <c r="W1383" s="758">
        <f t="shared" si="453"/>
        <v>404190.35</v>
      </c>
    </row>
    <row r="1384" spans="2:23" ht="12.75" thickTop="1"/>
  </sheetData>
  <autoFilter ref="B1:Y1362"/>
  <mergeCells count="2">
    <mergeCell ref="H3:I3"/>
    <mergeCell ref="J3:L3"/>
  </mergeCells>
  <pageMargins left="0.7" right="0.7" top="0.75" bottom="0.75" header="0.3" footer="0.3"/>
  <pageSetup orientation="portrait" r:id="rId1"/>
  <ignoredErrors>
    <ignoredError sqref="P24 M103:M205 P992:Q1024 M1273 N1273:U1273 P1029:Q1184 M1028 N1028:R1028 M268 M863:M891 M991 P1026:Q1027 M1025:P1025 M207:M244 O1316 L101 P1271:Q1272 P1270 L1270 P1230:Q1269 P1229 J1229 O1245 M915:M935 M896 M908:M914 M905:N907 N908:N911 P1187:Q1217 P1219:Q1228 M1289" formula="1"/>
  </ignoredError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BA72"/>
  <sheetViews>
    <sheetView showGridLines="0" topLeftCell="B1" zoomScale="68" workbookViewId="0">
      <selection activeCell="L51" sqref="L51"/>
    </sheetView>
  </sheetViews>
  <sheetFormatPr defaultRowHeight="15"/>
  <cols>
    <col min="1" max="1" width="2.5703125" style="890" bestFit="1" customWidth="1"/>
    <col min="2" max="2" width="20.7109375" style="890" bestFit="1" customWidth="1"/>
    <col min="3" max="3" width="129.85546875" style="890" bestFit="1" customWidth="1"/>
    <col min="4" max="4" width="12.140625" style="1456" bestFit="1" customWidth="1"/>
    <col min="5" max="5" width="13.85546875" style="1456" bestFit="1" customWidth="1"/>
    <col min="6" max="6" width="9.85546875" style="1456" bestFit="1" customWidth="1"/>
    <col min="7" max="7" width="12" style="1456" bestFit="1" customWidth="1"/>
    <col min="8" max="8" width="11.140625" style="1456" bestFit="1" customWidth="1"/>
    <col min="9" max="10" width="11.140625" style="1456" customWidth="1"/>
    <col min="11" max="11" width="1.140625" style="890" customWidth="1"/>
    <col min="12" max="31" width="8.85546875" style="1456" customWidth="1"/>
    <col min="32" max="33" width="6.7109375" style="890" customWidth="1"/>
    <col min="34" max="34" width="21.7109375" style="890" bestFit="1" customWidth="1"/>
    <col min="35" max="53" width="10.28515625" style="890" customWidth="1"/>
    <col min="54" max="254" width="6.7109375" style="890" customWidth="1"/>
    <col min="255" max="255" width="2.5703125" style="890" bestFit="1" customWidth="1"/>
    <col min="256" max="256" width="20.7109375" style="890" bestFit="1" customWidth="1"/>
    <col min="257" max="257" width="132.7109375" style="890" bestFit="1" customWidth="1"/>
    <col min="258" max="259" width="10.85546875" style="890" bestFit="1" customWidth="1"/>
    <col min="260" max="260" width="10.7109375" style="890" customWidth="1"/>
    <col min="261" max="261" width="11.5703125" style="890" customWidth="1"/>
    <col min="262" max="262" width="8.42578125" style="890" bestFit="1" customWidth="1"/>
    <col min="263" max="263" width="10.7109375" style="890" customWidth="1"/>
    <col min="264" max="264" width="10.28515625" style="890" bestFit="1" customWidth="1"/>
    <col min="265" max="265" width="1.140625" style="890" customWidth="1"/>
    <col min="266" max="267" width="6.7109375" style="890" customWidth="1"/>
    <col min="268" max="287" width="8.85546875" style="890" customWidth="1"/>
    <col min="288" max="289" width="6.7109375" style="890" customWidth="1"/>
    <col min="290" max="290" width="21.7109375" style="890" bestFit="1" customWidth="1"/>
    <col min="291" max="309" width="10.28515625" style="890" customWidth="1"/>
    <col min="310" max="510" width="6.7109375" style="890" customWidth="1"/>
    <col min="511" max="511" width="2.5703125" style="890" bestFit="1" customWidth="1"/>
    <col min="512" max="512" width="20.7109375" style="890" bestFit="1" customWidth="1"/>
    <col min="513" max="513" width="132.7109375" style="890" bestFit="1" customWidth="1"/>
    <col min="514" max="515" width="10.85546875" style="890" bestFit="1" customWidth="1"/>
    <col min="516" max="516" width="10.7109375" style="890" customWidth="1"/>
    <col min="517" max="517" width="11.5703125" style="890" customWidth="1"/>
    <col min="518" max="518" width="8.42578125" style="890" bestFit="1" customWidth="1"/>
    <col min="519" max="519" width="10.7109375" style="890" customWidth="1"/>
    <col min="520" max="520" width="10.28515625" style="890" bestFit="1" customWidth="1"/>
    <col min="521" max="521" width="1.140625" style="890" customWidth="1"/>
    <col min="522" max="523" width="6.7109375" style="890" customWidth="1"/>
    <col min="524" max="543" width="8.85546875" style="890" customWidth="1"/>
    <col min="544" max="545" width="6.7109375" style="890" customWidth="1"/>
    <col min="546" max="546" width="21.7109375" style="890" bestFit="1" customWidth="1"/>
    <col min="547" max="565" width="10.28515625" style="890" customWidth="1"/>
    <col min="566" max="766" width="6.7109375" style="890" customWidth="1"/>
    <col min="767" max="767" width="2.5703125" style="890" bestFit="1" customWidth="1"/>
    <col min="768" max="768" width="20.7109375" style="890" bestFit="1" customWidth="1"/>
    <col min="769" max="769" width="132.7109375" style="890" bestFit="1" customWidth="1"/>
    <col min="770" max="771" width="10.85546875" style="890" bestFit="1" customWidth="1"/>
    <col min="772" max="772" width="10.7109375" style="890" customWidth="1"/>
    <col min="773" max="773" width="11.5703125" style="890" customWidth="1"/>
    <col min="774" max="774" width="8.42578125" style="890" bestFit="1" customWidth="1"/>
    <col min="775" max="775" width="10.7109375" style="890" customWidth="1"/>
    <col min="776" max="776" width="10.28515625" style="890" bestFit="1" customWidth="1"/>
    <col min="777" max="777" width="1.140625" style="890" customWidth="1"/>
    <col min="778" max="779" width="6.7109375" style="890" customWidth="1"/>
    <col min="780" max="799" width="8.85546875" style="890" customWidth="1"/>
    <col min="800" max="801" width="6.7109375" style="890" customWidth="1"/>
    <col min="802" max="802" width="21.7109375" style="890" bestFit="1" customWidth="1"/>
    <col min="803" max="821" width="10.28515625" style="890" customWidth="1"/>
    <col min="822" max="1022" width="6.7109375" style="890" customWidth="1"/>
    <col min="1023" max="1023" width="2.5703125" style="890" bestFit="1" customWidth="1"/>
    <col min="1024" max="1024" width="20.7109375" style="890" bestFit="1" customWidth="1"/>
    <col min="1025" max="1025" width="132.7109375" style="890" bestFit="1" customWidth="1"/>
    <col min="1026" max="1027" width="10.85546875" style="890" bestFit="1" customWidth="1"/>
    <col min="1028" max="1028" width="10.7109375" style="890" customWidth="1"/>
    <col min="1029" max="1029" width="11.5703125" style="890" customWidth="1"/>
    <col min="1030" max="1030" width="8.42578125" style="890" bestFit="1" customWidth="1"/>
    <col min="1031" max="1031" width="10.7109375" style="890" customWidth="1"/>
    <col min="1032" max="1032" width="10.28515625" style="890" bestFit="1" customWidth="1"/>
    <col min="1033" max="1033" width="1.140625" style="890" customWidth="1"/>
    <col min="1034" max="1035" width="6.7109375" style="890" customWidth="1"/>
    <col min="1036" max="1055" width="8.85546875" style="890" customWidth="1"/>
    <col min="1056" max="1057" width="6.7109375" style="890" customWidth="1"/>
    <col min="1058" max="1058" width="21.7109375" style="890" bestFit="1" customWidth="1"/>
    <col min="1059" max="1077" width="10.28515625" style="890" customWidth="1"/>
    <col min="1078" max="1278" width="6.7109375" style="890" customWidth="1"/>
    <col min="1279" max="1279" width="2.5703125" style="890" bestFit="1" customWidth="1"/>
    <col min="1280" max="1280" width="20.7109375" style="890" bestFit="1" customWidth="1"/>
    <col min="1281" max="1281" width="132.7109375" style="890" bestFit="1" customWidth="1"/>
    <col min="1282" max="1283" width="10.85546875" style="890" bestFit="1" customWidth="1"/>
    <col min="1284" max="1284" width="10.7109375" style="890" customWidth="1"/>
    <col min="1285" max="1285" width="11.5703125" style="890" customWidth="1"/>
    <col min="1286" max="1286" width="8.42578125" style="890" bestFit="1" customWidth="1"/>
    <col min="1287" max="1287" width="10.7109375" style="890" customWidth="1"/>
    <col min="1288" max="1288" width="10.28515625" style="890" bestFit="1" customWidth="1"/>
    <col min="1289" max="1289" width="1.140625" style="890" customWidth="1"/>
    <col min="1290" max="1291" width="6.7109375" style="890" customWidth="1"/>
    <col min="1292" max="1311" width="8.85546875" style="890" customWidth="1"/>
    <col min="1312" max="1313" width="6.7109375" style="890" customWidth="1"/>
    <col min="1314" max="1314" width="21.7109375" style="890" bestFit="1" customWidth="1"/>
    <col min="1315" max="1333" width="10.28515625" style="890" customWidth="1"/>
    <col min="1334" max="1534" width="6.7109375" style="890" customWidth="1"/>
    <col min="1535" max="1535" width="2.5703125" style="890" bestFit="1" customWidth="1"/>
    <col min="1536" max="1536" width="20.7109375" style="890" bestFit="1" customWidth="1"/>
    <col min="1537" max="1537" width="132.7109375" style="890" bestFit="1" customWidth="1"/>
    <col min="1538" max="1539" width="10.85546875" style="890" bestFit="1" customWidth="1"/>
    <col min="1540" max="1540" width="10.7109375" style="890" customWidth="1"/>
    <col min="1541" max="1541" width="11.5703125" style="890" customWidth="1"/>
    <col min="1542" max="1542" width="8.42578125" style="890" bestFit="1" customWidth="1"/>
    <col min="1543" max="1543" width="10.7109375" style="890" customWidth="1"/>
    <col min="1544" max="1544" width="10.28515625" style="890" bestFit="1" customWidth="1"/>
    <col min="1545" max="1545" width="1.140625" style="890" customWidth="1"/>
    <col min="1546" max="1547" width="6.7109375" style="890" customWidth="1"/>
    <col min="1548" max="1567" width="8.85546875" style="890" customWidth="1"/>
    <col min="1568" max="1569" width="6.7109375" style="890" customWidth="1"/>
    <col min="1570" max="1570" width="21.7109375" style="890" bestFit="1" customWidth="1"/>
    <col min="1571" max="1589" width="10.28515625" style="890" customWidth="1"/>
    <col min="1590" max="1790" width="6.7109375" style="890" customWidth="1"/>
    <col min="1791" max="1791" width="2.5703125" style="890" bestFit="1" customWidth="1"/>
    <col min="1792" max="1792" width="20.7109375" style="890" bestFit="1" customWidth="1"/>
    <col min="1793" max="1793" width="132.7109375" style="890" bestFit="1" customWidth="1"/>
    <col min="1794" max="1795" width="10.85546875" style="890" bestFit="1" customWidth="1"/>
    <col min="1796" max="1796" width="10.7109375" style="890" customWidth="1"/>
    <col min="1797" max="1797" width="11.5703125" style="890" customWidth="1"/>
    <col min="1798" max="1798" width="8.42578125" style="890" bestFit="1" customWidth="1"/>
    <col min="1799" max="1799" width="10.7109375" style="890" customWidth="1"/>
    <col min="1800" max="1800" width="10.28515625" style="890" bestFit="1" customWidth="1"/>
    <col min="1801" max="1801" width="1.140625" style="890" customWidth="1"/>
    <col min="1802" max="1803" width="6.7109375" style="890" customWidth="1"/>
    <col min="1804" max="1823" width="8.85546875" style="890" customWidth="1"/>
    <col min="1824" max="1825" width="6.7109375" style="890" customWidth="1"/>
    <col min="1826" max="1826" width="21.7109375" style="890" bestFit="1" customWidth="1"/>
    <col min="1827" max="1845" width="10.28515625" style="890" customWidth="1"/>
    <col min="1846" max="2046" width="6.7109375" style="890" customWidth="1"/>
    <col min="2047" max="2047" width="2.5703125" style="890" bestFit="1" customWidth="1"/>
    <col min="2048" max="2048" width="20.7109375" style="890" bestFit="1" customWidth="1"/>
    <col min="2049" max="2049" width="132.7109375" style="890" bestFit="1" customWidth="1"/>
    <col min="2050" max="2051" width="10.85546875" style="890" bestFit="1" customWidth="1"/>
    <col min="2052" max="2052" width="10.7109375" style="890" customWidth="1"/>
    <col min="2053" max="2053" width="11.5703125" style="890" customWidth="1"/>
    <col min="2054" max="2054" width="8.42578125" style="890" bestFit="1" customWidth="1"/>
    <col min="2055" max="2055" width="10.7109375" style="890" customWidth="1"/>
    <col min="2056" max="2056" width="10.28515625" style="890" bestFit="1" customWidth="1"/>
    <col min="2057" max="2057" width="1.140625" style="890" customWidth="1"/>
    <col min="2058" max="2059" width="6.7109375" style="890" customWidth="1"/>
    <col min="2060" max="2079" width="8.85546875" style="890" customWidth="1"/>
    <col min="2080" max="2081" width="6.7109375" style="890" customWidth="1"/>
    <col min="2082" max="2082" width="21.7109375" style="890" bestFit="1" customWidth="1"/>
    <col min="2083" max="2101" width="10.28515625" style="890" customWidth="1"/>
    <col min="2102" max="2302" width="6.7109375" style="890" customWidth="1"/>
    <col min="2303" max="2303" width="2.5703125" style="890" bestFit="1" customWidth="1"/>
    <col min="2304" max="2304" width="20.7109375" style="890" bestFit="1" customWidth="1"/>
    <col min="2305" max="2305" width="132.7109375" style="890" bestFit="1" customWidth="1"/>
    <col min="2306" max="2307" width="10.85546875" style="890" bestFit="1" customWidth="1"/>
    <col min="2308" max="2308" width="10.7109375" style="890" customWidth="1"/>
    <col min="2309" max="2309" width="11.5703125" style="890" customWidth="1"/>
    <col min="2310" max="2310" width="8.42578125" style="890" bestFit="1" customWidth="1"/>
    <col min="2311" max="2311" width="10.7109375" style="890" customWidth="1"/>
    <col min="2312" max="2312" width="10.28515625" style="890" bestFit="1" customWidth="1"/>
    <col min="2313" max="2313" width="1.140625" style="890" customWidth="1"/>
    <col min="2314" max="2315" width="6.7109375" style="890" customWidth="1"/>
    <col min="2316" max="2335" width="8.85546875" style="890" customWidth="1"/>
    <col min="2336" max="2337" width="6.7109375" style="890" customWidth="1"/>
    <col min="2338" max="2338" width="21.7109375" style="890" bestFit="1" customWidth="1"/>
    <col min="2339" max="2357" width="10.28515625" style="890" customWidth="1"/>
    <col min="2358" max="2558" width="6.7109375" style="890" customWidth="1"/>
    <col min="2559" max="2559" width="2.5703125" style="890" bestFit="1" customWidth="1"/>
    <col min="2560" max="2560" width="20.7109375" style="890" bestFit="1" customWidth="1"/>
    <col min="2561" max="2561" width="132.7109375" style="890" bestFit="1" customWidth="1"/>
    <col min="2562" max="2563" width="10.85546875" style="890" bestFit="1" customWidth="1"/>
    <col min="2564" max="2564" width="10.7109375" style="890" customWidth="1"/>
    <col min="2565" max="2565" width="11.5703125" style="890" customWidth="1"/>
    <col min="2566" max="2566" width="8.42578125" style="890" bestFit="1" customWidth="1"/>
    <col min="2567" max="2567" width="10.7109375" style="890" customWidth="1"/>
    <col min="2568" max="2568" width="10.28515625" style="890" bestFit="1" customWidth="1"/>
    <col min="2569" max="2569" width="1.140625" style="890" customWidth="1"/>
    <col min="2570" max="2571" width="6.7109375" style="890" customWidth="1"/>
    <col min="2572" max="2591" width="8.85546875" style="890" customWidth="1"/>
    <col min="2592" max="2593" width="6.7109375" style="890" customWidth="1"/>
    <col min="2594" max="2594" width="21.7109375" style="890" bestFit="1" customWidth="1"/>
    <col min="2595" max="2613" width="10.28515625" style="890" customWidth="1"/>
    <col min="2614" max="2814" width="6.7109375" style="890" customWidth="1"/>
    <col min="2815" max="2815" width="2.5703125" style="890" bestFit="1" customWidth="1"/>
    <col min="2816" max="2816" width="20.7109375" style="890" bestFit="1" customWidth="1"/>
    <col min="2817" max="2817" width="132.7109375" style="890" bestFit="1" customWidth="1"/>
    <col min="2818" max="2819" width="10.85546875" style="890" bestFit="1" customWidth="1"/>
    <col min="2820" max="2820" width="10.7109375" style="890" customWidth="1"/>
    <col min="2821" max="2821" width="11.5703125" style="890" customWidth="1"/>
    <col min="2822" max="2822" width="8.42578125" style="890" bestFit="1" customWidth="1"/>
    <col min="2823" max="2823" width="10.7109375" style="890" customWidth="1"/>
    <col min="2824" max="2824" width="10.28515625" style="890" bestFit="1" customWidth="1"/>
    <col min="2825" max="2825" width="1.140625" style="890" customWidth="1"/>
    <col min="2826" max="2827" width="6.7109375" style="890" customWidth="1"/>
    <col min="2828" max="2847" width="8.85546875" style="890" customWidth="1"/>
    <col min="2848" max="2849" width="6.7109375" style="890" customWidth="1"/>
    <col min="2850" max="2850" width="21.7109375" style="890" bestFit="1" customWidth="1"/>
    <col min="2851" max="2869" width="10.28515625" style="890" customWidth="1"/>
    <col min="2870" max="3070" width="6.7109375" style="890" customWidth="1"/>
    <col min="3071" max="3071" width="2.5703125" style="890" bestFit="1" customWidth="1"/>
    <col min="3072" max="3072" width="20.7109375" style="890" bestFit="1" customWidth="1"/>
    <col min="3073" max="3073" width="132.7109375" style="890" bestFit="1" customWidth="1"/>
    <col min="3074" max="3075" width="10.85546875" style="890" bestFit="1" customWidth="1"/>
    <col min="3076" max="3076" width="10.7109375" style="890" customWidth="1"/>
    <col min="3077" max="3077" width="11.5703125" style="890" customWidth="1"/>
    <col min="3078" max="3078" width="8.42578125" style="890" bestFit="1" customWidth="1"/>
    <col min="3079" max="3079" width="10.7109375" style="890" customWidth="1"/>
    <col min="3080" max="3080" width="10.28515625" style="890" bestFit="1" customWidth="1"/>
    <col min="3081" max="3081" width="1.140625" style="890" customWidth="1"/>
    <col min="3082" max="3083" width="6.7109375" style="890" customWidth="1"/>
    <col min="3084" max="3103" width="8.85546875" style="890" customWidth="1"/>
    <col min="3104" max="3105" width="6.7109375" style="890" customWidth="1"/>
    <col min="3106" max="3106" width="21.7109375" style="890" bestFit="1" customWidth="1"/>
    <col min="3107" max="3125" width="10.28515625" style="890" customWidth="1"/>
    <col min="3126" max="3326" width="6.7109375" style="890" customWidth="1"/>
    <col min="3327" max="3327" width="2.5703125" style="890" bestFit="1" customWidth="1"/>
    <col min="3328" max="3328" width="20.7109375" style="890" bestFit="1" customWidth="1"/>
    <col min="3329" max="3329" width="132.7109375" style="890" bestFit="1" customWidth="1"/>
    <col min="3330" max="3331" width="10.85546875" style="890" bestFit="1" customWidth="1"/>
    <col min="3332" max="3332" width="10.7109375" style="890" customWidth="1"/>
    <col min="3333" max="3333" width="11.5703125" style="890" customWidth="1"/>
    <col min="3334" max="3334" width="8.42578125" style="890" bestFit="1" customWidth="1"/>
    <col min="3335" max="3335" width="10.7109375" style="890" customWidth="1"/>
    <col min="3336" max="3336" width="10.28515625" style="890" bestFit="1" customWidth="1"/>
    <col min="3337" max="3337" width="1.140625" style="890" customWidth="1"/>
    <col min="3338" max="3339" width="6.7109375" style="890" customWidth="1"/>
    <col min="3340" max="3359" width="8.85546875" style="890" customWidth="1"/>
    <col min="3360" max="3361" width="6.7109375" style="890" customWidth="1"/>
    <col min="3362" max="3362" width="21.7109375" style="890" bestFit="1" customWidth="1"/>
    <col min="3363" max="3381" width="10.28515625" style="890" customWidth="1"/>
    <col min="3382" max="3582" width="6.7109375" style="890" customWidth="1"/>
    <col min="3583" max="3583" width="2.5703125" style="890" bestFit="1" customWidth="1"/>
    <col min="3584" max="3584" width="20.7109375" style="890" bestFit="1" customWidth="1"/>
    <col min="3585" max="3585" width="132.7109375" style="890" bestFit="1" customWidth="1"/>
    <col min="3586" max="3587" width="10.85546875" style="890" bestFit="1" customWidth="1"/>
    <col min="3588" max="3588" width="10.7109375" style="890" customWidth="1"/>
    <col min="3589" max="3589" width="11.5703125" style="890" customWidth="1"/>
    <col min="3590" max="3590" width="8.42578125" style="890" bestFit="1" customWidth="1"/>
    <col min="3591" max="3591" width="10.7109375" style="890" customWidth="1"/>
    <col min="3592" max="3592" width="10.28515625" style="890" bestFit="1" customWidth="1"/>
    <col min="3593" max="3593" width="1.140625" style="890" customWidth="1"/>
    <col min="3594" max="3595" width="6.7109375" style="890" customWidth="1"/>
    <col min="3596" max="3615" width="8.85546875" style="890" customWidth="1"/>
    <col min="3616" max="3617" width="6.7109375" style="890" customWidth="1"/>
    <col min="3618" max="3618" width="21.7109375" style="890" bestFit="1" customWidth="1"/>
    <col min="3619" max="3637" width="10.28515625" style="890" customWidth="1"/>
    <col min="3638" max="3838" width="6.7109375" style="890" customWidth="1"/>
    <col min="3839" max="3839" width="2.5703125" style="890" bestFit="1" customWidth="1"/>
    <col min="3840" max="3840" width="20.7109375" style="890" bestFit="1" customWidth="1"/>
    <col min="3841" max="3841" width="132.7109375" style="890" bestFit="1" customWidth="1"/>
    <col min="3842" max="3843" width="10.85546875" style="890" bestFit="1" customWidth="1"/>
    <col min="3844" max="3844" width="10.7109375" style="890" customWidth="1"/>
    <col min="3845" max="3845" width="11.5703125" style="890" customWidth="1"/>
    <col min="3846" max="3846" width="8.42578125" style="890" bestFit="1" customWidth="1"/>
    <col min="3847" max="3847" width="10.7109375" style="890" customWidth="1"/>
    <col min="3848" max="3848" width="10.28515625" style="890" bestFit="1" customWidth="1"/>
    <col min="3849" max="3849" width="1.140625" style="890" customWidth="1"/>
    <col min="3850" max="3851" width="6.7109375" style="890" customWidth="1"/>
    <col min="3852" max="3871" width="8.85546875" style="890" customWidth="1"/>
    <col min="3872" max="3873" width="6.7109375" style="890" customWidth="1"/>
    <col min="3874" max="3874" width="21.7109375" style="890" bestFit="1" customWidth="1"/>
    <col min="3875" max="3893" width="10.28515625" style="890" customWidth="1"/>
    <col min="3894" max="4094" width="6.7109375" style="890" customWidth="1"/>
    <col min="4095" max="4095" width="2.5703125" style="890" bestFit="1" customWidth="1"/>
    <col min="4096" max="4096" width="20.7109375" style="890" bestFit="1" customWidth="1"/>
    <col min="4097" max="4097" width="132.7109375" style="890" bestFit="1" customWidth="1"/>
    <col min="4098" max="4099" width="10.85546875" style="890" bestFit="1" customWidth="1"/>
    <col min="4100" max="4100" width="10.7109375" style="890" customWidth="1"/>
    <col min="4101" max="4101" width="11.5703125" style="890" customWidth="1"/>
    <col min="4102" max="4102" width="8.42578125" style="890" bestFit="1" customWidth="1"/>
    <col min="4103" max="4103" width="10.7109375" style="890" customWidth="1"/>
    <col min="4104" max="4104" width="10.28515625" style="890" bestFit="1" customWidth="1"/>
    <col min="4105" max="4105" width="1.140625" style="890" customWidth="1"/>
    <col min="4106" max="4107" width="6.7109375" style="890" customWidth="1"/>
    <col min="4108" max="4127" width="8.85546875" style="890" customWidth="1"/>
    <col min="4128" max="4129" width="6.7109375" style="890" customWidth="1"/>
    <col min="4130" max="4130" width="21.7109375" style="890" bestFit="1" customWidth="1"/>
    <col min="4131" max="4149" width="10.28515625" style="890" customWidth="1"/>
    <col min="4150" max="4350" width="6.7109375" style="890" customWidth="1"/>
    <col min="4351" max="4351" width="2.5703125" style="890" bestFit="1" customWidth="1"/>
    <col min="4352" max="4352" width="20.7109375" style="890" bestFit="1" customWidth="1"/>
    <col min="4353" max="4353" width="132.7109375" style="890" bestFit="1" customWidth="1"/>
    <col min="4354" max="4355" width="10.85546875" style="890" bestFit="1" customWidth="1"/>
    <col min="4356" max="4356" width="10.7109375" style="890" customWidth="1"/>
    <col min="4357" max="4357" width="11.5703125" style="890" customWidth="1"/>
    <col min="4358" max="4358" width="8.42578125" style="890" bestFit="1" customWidth="1"/>
    <col min="4359" max="4359" width="10.7109375" style="890" customWidth="1"/>
    <col min="4360" max="4360" width="10.28515625" style="890" bestFit="1" customWidth="1"/>
    <col min="4361" max="4361" width="1.140625" style="890" customWidth="1"/>
    <col min="4362" max="4363" width="6.7109375" style="890" customWidth="1"/>
    <col min="4364" max="4383" width="8.85546875" style="890" customWidth="1"/>
    <col min="4384" max="4385" width="6.7109375" style="890" customWidth="1"/>
    <col min="4386" max="4386" width="21.7109375" style="890" bestFit="1" customWidth="1"/>
    <col min="4387" max="4405" width="10.28515625" style="890" customWidth="1"/>
    <col min="4406" max="4606" width="6.7109375" style="890" customWidth="1"/>
    <col min="4607" max="4607" width="2.5703125" style="890" bestFit="1" customWidth="1"/>
    <col min="4608" max="4608" width="20.7109375" style="890" bestFit="1" customWidth="1"/>
    <col min="4609" max="4609" width="132.7109375" style="890" bestFit="1" customWidth="1"/>
    <col min="4610" max="4611" width="10.85546875" style="890" bestFit="1" customWidth="1"/>
    <col min="4612" max="4612" width="10.7109375" style="890" customWidth="1"/>
    <col min="4613" max="4613" width="11.5703125" style="890" customWidth="1"/>
    <col min="4614" max="4614" width="8.42578125" style="890" bestFit="1" customWidth="1"/>
    <col min="4615" max="4615" width="10.7109375" style="890" customWidth="1"/>
    <col min="4616" max="4616" width="10.28515625" style="890" bestFit="1" customWidth="1"/>
    <col min="4617" max="4617" width="1.140625" style="890" customWidth="1"/>
    <col min="4618" max="4619" width="6.7109375" style="890" customWidth="1"/>
    <col min="4620" max="4639" width="8.85546875" style="890" customWidth="1"/>
    <col min="4640" max="4641" width="6.7109375" style="890" customWidth="1"/>
    <col min="4642" max="4642" width="21.7109375" style="890" bestFit="1" customWidth="1"/>
    <col min="4643" max="4661" width="10.28515625" style="890" customWidth="1"/>
    <col min="4662" max="4862" width="6.7109375" style="890" customWidth="1"/>
    <col min="4863" max="4863" width="2.5703125" style="890" bestFit="1" customWidth="1"/>
    <col min="4864" max="4864" width="20.7109375" style="890" bestFit="1" customWidth="1"/>
    <col min="4865" max="4865" width="132.7109375" style="890" bestFit="1" customWidth="1"/>
    <col min="4866" max="4867" width="10.85546875" style="890" bestFit="1" customWidth="1"/>
    <col min="4868" max="4868" width="10.7109375" style="890" customWidth="1"/>
    <col min="4869" max="4869" width="11.5703125" style="890" customWidth="1"/>
    <col min="4870" max="4870" width="8.42578125" style="890" bestFit="1" customWidth="1"/>
    <col min="4871" max="4871" width="10.7109375" style="890" customWidth="1"/>
    <col min="4872" max="4872" width="10.28515625" style="890" bestFit="1" customWidth="1"/>
    <col min="4873" max="4873" width="1.140625" style="890" customWidth="1"/>
    <col min="4874" max="4875" width="6.7109375" style="890" customWidth="1"/>
    <col min="4876" max="4895" width="8.85546875" style="890" customWidth="1"/>
    <col min="4896" max="4897" width="6.7109375" style="890" customWidth="1"/>
    <col min="4898" max="4898" width="21.7109375" style="890" bestFit="1" customWidth="1"/>
    <col min="4899" max="4917" width="10.28515625" style="890" customWidth="1"/>
    <col min="4918" max="5118" width="6.7109375" style="890" customWidth="1"/>
    <col min="5119" max="5119" width="2.5703125" style="890" bestFit="1" customWidth="1"/>
    <col min="5120" max="5120" width="20.7109375" style="890" bestFit="1" customWidth="1"/>
    <col min="5121" max="5121" width="132.7109375" style="890" bestFit="1" customWidth="1"/>
    <col min="5122" max="5123" width="10.85546875" style="890" bestFit="1" customWidth="1"/>
    <col min="5124" max="5124" width="10.7109375" style="890" customWidth="1"/>
    <col min="5125" max="5125" width="11.5703125" style="890" customWidth="1"/>
    <col min="5126" max="5126" width="8.42578125" style="890" bestFit="1" customWidth="1"/>
    <col min="5127" max="5127" width="10.7109375" style="890" customWidth="1"/>
    <col min="5128" max="5128" width="10.28515625" style="890" bestFit="1" customWidth="1"/>
    <col min="5129" max="5129" width="1.140625" style="890" customWidth="1"/>
    <col min="5130" max="5131" width="6.7109375" style="890" customWidth="1"/>
    <col min="5132" max="5151" width="8.85546875" style="890" customWidth="1"/>
    <col min="5152" max="5153" width="6.7109375" style="890" customWidth="1"/>
    <col min="5154" max="5154" width="21.7109375" style="890" bestFit="1" customWidth="1"/>
    <col min="5155" max="5173" width="10.28515625" style="890" customWidth="1"/>
    <col min="5174" max="5374" width="6.7109375" style="890" customWidth="1"/>
    <col min="5375" max="5375" width="2.5703125" style="890" bestFit="1" customWidth="1"/>
    <col min="5376" max="5376" width="20.7109375" style="890" bestFit="1" customWidth="1"/>
    <col min="5377" max="5377" width="132.7109375" style="890" bestFit="1" customWidth="1"/>
    <col min="5378" max="5379" width="10.85546875" style="890" bestFit="1" customWidth="1"/>
    <col min="5380" max="5380" width="10.7109375" style="890" customWidth="1"/>
    <col min="5381" max="5381" width="11.5703125" style="890" customWidth="1"/>
    <col min="5382" max="5382" width="8.42578125" style="890" bestFit="1" customWidth="1"/>
    <col min="5383" max="5383" width="10.7109375" style="890" customWidth="1"/>
    <col min="5384" max="5384" width="10.28515625" style="890" bestFit="1" customWidth="1"/>
    <col min="5385" max="5385" width="1.140625" style="890" customWidth="1"/>
    <col min="5386" max="5387" width="6.7109375" style="890" customWidth="1"/>
    <col min="5388" max="5407" width="8.85546875" style="890" customWidth="1"/>
    <col min="5408" max="5409" width="6.7109375" style="890" customWidth="1"/>
    <col min="5410" max="5410" width="21.7109375" style="890" bestFit="1" customWidth="1"/>
    <col min="5411" max="5429" width="10.28515625" style="890" customWidth="1"/>
    <col min="5430" max="5630" width="6.7109375" style="890" customWidth="1"/>
    <col min="5631" max="5631" width="2.5703125" style="890" bestFit="1" customWidth="1"/>
    <col min="5632" max="5632" width="20.7109375" style="890" bestFit="1" customWidth="1"/>
    <col min="5633" max="5633" width="132.7109375" style="890" bestFit="1" customWidth="1"/>
    <col min="5634" max="5635" width="10.85546875" style="890" bestFit="1" customWidth="1"/>
    <col min="5636" max="5636" width="10.7109375" style="890" customWidth="1"/>
    <col min="5637" max="5637" width="11.5703125" style="890" customWidth="1"/>
    <col min="5638" max="5638" width="8.42578125" style="890" bestFit="1" customWidth="1"/>
    <col min="5639" max="5639" width="10.7109375" style="890" customWidth="1"/>
    <col min="5640" max="5640" width="10.28515625" style="890" bestFit="1" customWidth="1"/>
    <col min="5641" max="5641" width="1.140625" style="890" customWidth="1"/>
    <col min="5642" max="5643" width="6.7109375" style="890" customWidth="1"/>
    <col min="5644" max="5663" width="8.85546875" style="890" customWidth="1"/>
    <col min="5664" max="5665" width="6.7109375" style="890" customWidth="1"/>
    <col min="5666" max="5666" width="21.7109375" style="890" bestFit="1" customWidth="1"/>
    <col min="5667" max="5685" width="10.28515625" style="890" customWidth="1"/>
    <col min="5686" max="5886" width="6.7109375" style="890" customWidth="1"/>
    <col min="5887" max="5887" width="2.5703125" style="890" bestFit="1" customWidth="1"/>
    <col min="5888" max="5888" width="20.7109375" style="890" bestFit="1" customWidth="1"/>
    <col min="5889" max="5889" width="132.7109375" style="890" bestFit="1" customWidth="1"/>
    <col min="5890" max="5891" width="10.85546875" style="890" bestFit="1" customWidth="1"/>
    <col min="5892" max="5892" width="10.7109375" style="890" customWidth="1"/>
    <col min="5893" max="5893" width="11.5703125" style="890" customWidth="1"/>
    <col min="5894" max="5894" width="8.42578125" style="890" bestFit="1" customWidth="1"/>
    <col min="5895" max="5895" width="10.7109375" style="890" customWidth="1"/>
    <col min="5896" max="5896" width="10.28515625" style="890" bestFit="1" customWidth="1"/>
    <col min="5897" max="5897" width="1.140625" style="890" customWidth="1"/>
    <col min="5898" max="5899" width="6.7109375" style="890" customWidth="1"/>
    <col min="5900" max="5919" width="8.85546875" style="890" customWidth="1"/>
    <col min="5920" max="5921" width="6.7109375" style="890" customWidth="1"/>
    <col min="5922" max="5922" width="21.7109375" style="890" bestFit="1" customWidth="1"/>
    <col min="5923" max="5941" width="10.28515625" style="890" customWidth="1"/>
    <col min="5942" max="6142" width="6.7109375" style="890" customWidth="1"/>
    <col min="6143" max="6143" width="2.5703125" style="890" bestFit="1" customWidth="1"/>
    <col min="6144" max="6144" width="20.7109375" style="890" bestFit="1" customWidth="1"/>
    <col min="6145" max="6145" width="132.7109375" style="890" bestFit="1" customWidth="1"/>
    <col min="6146" max="6147" width="10.85546875" style="890" bestFit="1" customWidth="1"/>
    <col min="6148" max="6148" width="10.7109375" style="890" customWidth="1"/>
    <col min="6149" max="6149" width="11.5703125" style="890" customWidth="1"/>
    <col min="6150" max="6150" width="8.42578125" style="890" bestFit="1" customWidth="1"/>
    <col min="6151" max="6151" width="10.7109375" style="890" customWidth="1"/>
    <col min="6152" max="6152" width="10.28515625" style="890" bestFit="1" customWidth="1"/>
    <col min="6153" max="6153" width="1.140625" style="890" customWidth="1"/>
    <col min="6154" max="6155" width="6.7109375" style="890" customWidth="1"/>
    <col min="6156" max="6175" width="8.85546875" style="890" customWidth="1"/>
    <col min="6176" max="6177" width="6.7109375" style="890" customWidth="1"/>
    <col min="6178" max="6178" width="21.7109375" style="890" bestFit="1" customWidth="1"/>
    <col min="6179" max="6197" width="10.28515625" style="890" customWidth="1"/>
    <col min="6198" max="6398" width="6.7109375" style="890" customWidth="1"/>
    <col min="6399" max="6399" width="2.5703125" style="890" bestFit="1" customWidth="1"/>
    <col min="6400" max="6400" width="20.7109375" style="890" bestFit="1" customWidth="1"/>
    <col min="6401" max="6401" width="132.7109375" style="890" bestFit="1" customWidth="1"/>
    <col min="6402" max="6403" width="10.85546875" style="890" bestFit="1" customWidth="1"/>
    <col min="6404" max="6404" width="10.7109375" style="890" customWidth="1"/>
    <col min="6405" max="6405" width="11.5703125" style="890" customWidth="1"/>
    <col min="6406" max="6406" width="8.42578125" style="890" bestFit="1" customWidth="1"/>
    <col min="6407" max="6407" width="10.7109375" style="890" customWidth="1"/>
    <col min="6408" max="6408" width="10.28515625" style="890" bestFit="1" customWidth="1"/>
    <col min="6409" max="6409" width="1.140625" style="890" customWidth="1"/>
    <col min="6410" max="6411" width="6.7109375" style="890" customWidth="1"/>
    <col min="6412" max="6431" width="8.85546875" style="890" customWidth="1"/>
    <col min="6432" max="6433" width="6.7109375" style="890" customWidth="1"/>
    <col min="6434" max="6434" width="21.7109375" style="890" bestFit="1" customWidth="1"/>
    <col min="6435" max="6453" width="10.28515625" style="890" customWidth="1"/>
    <col min="6454" max="6654" width="6.7109375" style="890" customWidth="1"/>
    <col min="6655" max="6655" width="2.5703125" style="890" bestFit="1" customWidth="1"/>
    <col min="6656" max="6656" width="20.7109375" style="890" bestFit="1" customWidth="1"/>
    <col min="6657" max="6657" width="132.7109375" style="890" bestFit="1" customWidth="1"/>
    <col min="6658" max="6659" width="10.85546875" style="890" bestFit="1" customWidth="1"/>
    <col min="6660" max="6660" width="10.7109375" style="890" customWidth="1"/>
    <col min="6661" max="6661" width="11.5703125" style="890" customWidth="1"/>
    <col min="6662" max="6662" width="8.42578125" style="890" bestFit="1" customWidth="1"/>
    <col min="6663" max="6663" width="10.7109375" style="890" customWidth="1"/>
    <col min="6664" max="6664" width="10.28515625" style="890" bestFit="1" customWidth="1"/>
    <col min="6665" max="6665" width="1.140625" style="890" customWidth="1"/>
    <col min="6666" max="6667" width="6.7109375" style="890" customWidth="1"/>
    <col min="6668" max="6687" width="8.85546875" style="890" customWidth="1"/>
    <col min="6688" max="6689" width="6.7109375" style="890" customWidth="1"/>
    <col min="6690" max="6690" width="21.7109375" style="890" bestFit="1" customWidth="1"/>
    <col min="6691" max="6709" width="10.28515625" style="890" customWidth="1"/>
    <col min="6710" max="6910" width="6.7109375" style="890" customWidth="1"/>
    <col min="6911" max="6911" width="2.5703125" style="890" bestFit="1" customWidth="1"/>
    <col min="6912" max="6912" width="20.7109375" style="890" bestFit="1" customWidth="1"/>
    <col min="6913" max="6913" width="132.7109375" style="890" bestFit="1" customWidth="1"/>
    <col min="6914" max="6915" width="10.85546875" style="890" bestFit="1" customWidth="1"/>
    <col min="6916" max="6916" width="10.7109375" style="890" customWidth="1"/>
    <col min="6917" max="6917" width="11.5703125" style="890" customWidth="1"/>
    <col min="6918" max="6918" width="8.42578125" style="890" bestFit="1" customWidth="1"/>
    <col min="6919" max="6919" width="10.7109375" style="890" customWidth="1"/>
    <col min="6920" max="6920" width="10.28515625" style="890" bestFit="1" customWidth="1"/>
    <col min="6921" max="6921" width="1.140625" style="890" customWidth="1"/>
    <col min="6922" max="6923" width="6.7109375" style="890" customWidth="1"/>
    <col min="6924" max="6943" width="8.85546875" style="890" customWidth="1"/>
    <col min="6944" max="6945" width="6.7109375" style="890" customWidth="1"/>
    <col min="6946" max="6946" width="21.7109375" style="890" bestFit="1" customWidth="1"/>
    <col min="6947" max="6965" width="10.28515625" style="890" customWidth="1"/>
    <col min="6966" max="7166" width="6.7109375" style="890" customWidth="1"/>
    <col min="7167" max="7167" width="2.5703125" style="890" bestFit="1" customWidth="1"/>
    <col min="7168" max="7168" width="20.7109375" style="890" bestFit="1" customWidth="1"/>
    <col min="7169" max="7169" width="132.7109375" style="890" bestFit="1" customWidth="1"/>
    <col min="7170" max="7171" width="10.85546875" style="890" bestFit="1" customWidth="1"/>
    <col min="7172" max="7172" width="10.7109375" style="890" customWidth="1"/>
    <col min="7173" max="7173" width="11.5703125" style="890" customWidth="1"/>
    <col min="7174" max="7174" width="8.42578125" style="890" bestFit="1" customWidth="1"/>
    <col min="7175" max="7175" width="10.7109375" style="890" customWidth="1"/>
    <col min="7176" max="7176" width="10.28515625" style="890" bestFit="1" customWidth="1"/>
    <col min="7177" max="7177" width="1.140625" style="890" customWidth="1"/>
    <col min="7178" max="7179" width="6.7109375" style="890" customWidth="1"/>
    <col min="7180" max="7199" width="8.85546875" style="890" customWidth="1"/>
    <col min="7200" max="7201" width="6.7109375" style="890" customWidth="1"/>
    <col min="7202" max="7202" width="21.7109375" style="890" bestFit="1" customWidth="1"/>
    <col min="7203" max="7221" width="10.28515625" style="890" customWidth="1"/>
    <col min="7222" max="7422" width="6.7109375" style="890" customWidth="1"/>
    <col min="7423" max="7423" width="2.5703125" style="890" bestFit="1" customWidth="1"/>
    <col min="7424" max="7424" width="20.7109375" style="890" bestFit="1" customWidth="1"/>
    <col min="7425" max="7425" width="132.7109375" style="890" bestFit="1" customWidth="1"/>
    <col min="7426" max="7427" width="10.85546875" style="890" bestFit="1" customWidth="1"/>
    <col min="7428" max="7428" width="10.7109375" style="890" customWidth="1"/>
    <col min="7429" max="7429" width="11.5703125" style="890" customWidth="1"/>
    <col min="7430" max="7430" width="8.42578125" style="890" bestFit="1" customWidth="1"/>
    <col min="7431" max="7431" width="10.7109375" style="890" customWidth="1"/>
    <col min="7432" max="7432" width="10.28515625" style="890" bestFit="1" customWidth="1"/>
    <col min="7433" max="7433" width="1.140625" style="890" customWidth="1"/>
    <col min="7434" max="7435" width="6.7109375" style="890" customWidth="1"/>
    <col min="7436" max="7455" width="8.85546875" style="890" customWidth="1"/>
    <col min="7456" max="7457" width="6.7109375" style="890" customWidth="1"/>
    <col min="7458" max="7458" width="21.7109375" style="890" bestFit="1" customWidth="1"/>
    <col min="7459" max="7477" width="10.28515625" style="890" customWidth="1"/>
    <col min="7478" max="7678" width="6.7109375" style="890" customWidth="1"/>
    <col min="7679" max="7679" width="2.5703125" style="890" bestFit="1" customWidth="1"/>
    <col min="7680" max="7680" width="20.7109375" style="890" bestFit="1" customWidth="1"/>
    <col min="7681" max="7681" width="132.7109375" style="890" bestFit="1" customWidth="1"/>
    <col min="7682" max="7683" width="10.85546875" style="890" bestFit="1" customWidth="1"/>
    <col min="7684" max="7684" width="10.7109375" style="890" customWidth="1"/>
    <col min="7685" max="7685" width="11.5703125" style="890" customWidth="1"/>
    <col min="7686" max="7686" width="8.42578125" style="890" bestFit="1" customWidth="1"/>
    <col min="7687" max="7687" width="10.7109375" style="890" customWidth="1"/>
    <col min="7688" max="7688" width="10.28515625" style="890" bestFit="1" customWidth="1"/>
    <col min="7689" max="7689" width="1.140625" style="890" customWidth="1"/>
    <col min="7690" max="7691" width="6.7109375" style="890" customWidth="1"/>
    <col min="7692" max="7711" width="8.85546875" style="890" customWidth="1"/>
    <col min="7712" max="7713" width="6.7109375" style="890" customWidth="1"/>
    <col min="7714" max="7714" width="21.7109375" style="890" bestFit="1" customWidth="1"/>
    <col min="7715" max="7733" width="10.28515625" style="890" customWidth="1"/>
    <col min="7734" max="7934" width="6.7109375" style="890" customWidth="1"/>
    <col min="7935" max="7935" width="2.5703125" style="890" bestFit="1" customWidth="1"/>
    <col min="7936" max="7936" width="20.7109375" style="890" bestFit="1" customWidth="1"/>
    <col min="7937" max="7937" width="132.7109375" style="890" bestFit="1" customWidth="1"/>
    <col min="7938" max="7939" width="10.85546875" style="890" bestFit="1" customWidth="1"/>
    <col min="7940" max="7940" width="10.7109375" style="890" customWidth="1"/>
    <col min="7941" max="7941" width="11.5703125" style="890" customWidth="1"/>
    <col min="7942" max="7942" width="8.42578125" style="890" bestFit="1" customWidth="1"/>
    <col min="7943" max="7943" width="10.7109375" style="890" customWidth="1"/>
    <col min="7944" max="7944" width="10.28515625" style="890" bestFit="1" customWidth="1"/>
    <col min="7945" max="7945" width="1.140625" style="890" customWidth="1"/>
    <col min="7946" max="7947" width="6.7109375" style="890" customWidth="1"/>
    <col min="7948" max="7967" width="8.85546875" style="890" customWidth="1"/>
    <col min="7968" max="7969" width="6.7109375" style="890" customWidth="1"/>
    <col min="7970" max="7970" width="21.7109375" style="890" bestFit="1" customWidth="1"/>
    <col min="7971" max="7989" width="10.28515625" style="890" customWidth="1"/>
    <col min="7990" max="8190" width="6.7109375" style="890" customWidth="1"/>
    <col min="8191" max="8191" width="2.5703125" style="890" bestFit="1" customWidth="1"/>
    <col min="8192" max="8192" width="20.7109375" style="890" bestFit="1" customWidth="1"/>
    <col min="8193" max="8193" width="132.7109375" style="890" bestFit="1" customWidth="1"/>
    <col min="8194" max="8195" width="10.85546875" style="890" bestFit="1" customWidth="1"/>
    <col min="8196" max="8196" width="10.7109375" style="890" customWidth="1"/>
    <col min="8197" max="8197" width="11.5703125" style="890" customWidth="1"/>
    <col min="8198" max="8198" width="8.42578125" style="890" bestFit="1" customWidth="1"/>
    <col min="8199" max="8199" width="10.7109375" style="890" customWidth="1"/>
    <col min="8200" max="8200" width="10.28515625" style="890" bestFit="1" customWidth="1"/>
    <col min="8201" max="8201" width="1.140625" style="890" customWidth="1"/>
    <col min="8202" max="8203" width="6.7109375" style="890" customWidth="1"/>
    <col min="8204" max="8223" width="8.85546875" style="890" customWidth="1"/>
    <col min="8224" max="8225" width="6.7109375" style="890" customWidth="1"/>
    <col min="8226" max="8226" width="21.7109375" style="890" bestFit="1" customWidth="1"/>
    <col min="8227" max="8245" width="10.28515625" style="890" customWidth="1"/>
    <col min="8246" max="8446" width="6.7109375" style="890" customWidth="1"/>
    <col min="8447" max="8447" width="2.5703125" style="890" bestFit="1" customWidth="1"/>
    <col min="8448" max="8448" width="20.7109375" style="890" bestFit="1" customWidth="1"/>
    <col min="8449" max="8449" width="132.7109375" style="890" bestFit="1" customWidth="1"/>
    <col min="8450" max="8451" width="10.85546875" style="890" bestFit="1" customWidth="1"/>
    <col min="8452" max="8452" width="10.7109375" style="890" customWidth="1"/>
    <col min="8453" max="8453" width="11.5703125" style="890" customWidth="1"/>
    <col min="8454" max="8454" width="8.42578125" style="890" bestFit="1" customWidth="1"/>
    <col min="8455" max="8455" width="10.7109375" style="890" customWidth="1"/>
    <col min="8456" max="8456" width="10.28515625" style="890" bestFit="1" customWidth="1"/>
    <col min="8457" max="8457" width="1.140625" style="890" customWidth="1"/>
    <col min="8458" max="8459" width="6.7109375" style="890" customWidth="1"/>
    <col min="8460" max="8479" width="8.85546875" style="890" customWidth="1"/>
    <col min="8480" max="8481" width="6.7109375" style="890" customWidth="1"/>
    <col min="8482" max="8482" width="21.7109375" style="890" bestFit="1" customWidth="1"/>
    <col min="8483" max="8501" width="10.28515625" style="890" customWidth="1"/>
    <col min="8502" max="8702" width="6.7109375" style="890" customWidth="1"/>
    <col min="8703" max="8703" width="2.5703125" style="890" bestFit="1" customWidth="1"/>
    <col min="8704" max="8704" width="20.7109375" style="890" bestFit="1" customWidth="1"/>
    <col min="8705" max="8705" width="132.7109375" style="890" bestFit="1" customWidth="1"/>
    <col min="8706" max="8707" width="10.85546875" style="890" bestFit="1" customWidth="1"/>
    <col min="8708" max="8708" width="10.7109375" style="890" customWidth="1"/>
    <col min="8709" max="8709" width="11.5703125" style="890" customWidth="1"/>
    <col min="8710" max="8710" width="8.42578125" style="890" bestFit="1" customWidth="1"/>
    <col min="8711" max="8711" width="10.7109375" style="890" customWidth="1"/>
    <col min="8712" max="8712" width="10.28515625" style="890" bestFit="1" customWidth="1"/>
    <col min="8713" max="8713" width="1.140625" style="890" customWidth="1"/>
    <col min="8714" max="8715" width="6.7109375" style="890" customWidth="1"/>
    <col min="8716" max="8735" width="8.85546875" style="890" customWidth="1"/>
    <col min="8736" max="8737" width="6.7109375" style="890" customWidth="1"/>
    <col min="8738" max="8738" width="21.7109375" style="890" bestFit="1" customWidth="1"/>
    <col min="8739" max="8757" width="10.28515625" style="890" customWidth="1"/>
    <col min="8758" max="8958" width="6.7109375" style="890" customWidth="1"/>
    <col min="8959" max="8959" width="2.5703125" style="890" bestFit="1" customWidth="1"/>
    <col min="8960" max="8960" width="20.7109375" style="890" bestFit="1" customWidth="1"/>
    <col min="8961" max="8961" width="132.7109375" style="890" bestFit="1" customWidth="1"/>
    <col min="8962" max="8963" width="10.85546875" style="890" bestFit="1" customWidth="1"/>
    <col min="8964" max="8964" width="10.7109375" style="890" customWidth="1"/>
    <col min="8965" max="8965" width="11.5703125" style="890" customWidth="1"/>
    <col min="8966" max="8966" width="8.42578125" style="890" bestFit="1" customWidth="1"/>
    <col min="8967" max="8967" width="10.7109375" style="890" customWidth="1"/>
    <col min="8968" max="8968" width="10.28515625" style="890" bestFit="1" customWidth="1"/>
    <col min="8969" max="8969" width="1.140625" style="890" customWidth="1"/>
    <col min="8970" max="8971" width="6.7109375" style="890" customWidth="1"/>
    <col min="8972" max="8991" width="8.85546875" style="890" customWidth="1"/>
    <col min="8992" max="8993" width="6.7109375" style="890" customWidth="1"/>
    <col min="8994" max="8994" width="21.7109375" style="890" bestFit="1" customWidth="1"/>
    <col min="8995" max="9013" width="10.28515625" style="890" customWidth="1"/>
    <col min="9014" max="9214" width="6.7109375" style="890" customWidth="1"/>
    <col min="9215" max="9215" width="2.5703125" style="890" bestFit="1" customWidth="1"/>
    <col min="9216" max="9216" width="20.7109375" style="890" bestFit="1" customWidth="1"/>
    <col min="9217" max="9217" width="132.7109375" style="890" bestFit="1" customWidth="1"/>
    <col min="9218" max="9219" width="10.85546875" style="890" bestFit="1" customWidth="1"/>
    <col min="9220" max="9220" width="10.7109375" style="890" customWidth="1"/>
    <col min="9221" max="9221" width="11.5703125" style="890" customWidth="1"/>
    <col min="9222" max="9222" width="8.42578125" style="890" bestFit="1" customWidth="1"/>
    <col min="9223" max="9223" width="10.7109375" style="890" customWidth="1"/>
    <col min="9224" max="9224" width="10.28515625" style="890" bestFit="1" customWidth="1"/>
    <col min="9225" max="9225" width="1.140625" style="890" customWidth="1"/>
    <col min="9226" max="9227" width="6.7109375" style="890" customWidth="1"/>
    <col min="9228" max="9247" width="8.85546875" style="890" customWidth="1"/>
    <col min="9248" max="9249" width="6.7109375" style="890" customWidth="1"/>
    <col min="9250" max="9250" width="21.7109375" style="890" bestFit="1" customWidth="1"/>
    <col min="9251" max="9269" width="10.28515625" style="890" customWidth="1"/>
    <col min="9270" max="9470" width="6.7109375" style="890" customWidth="1"/>
    <col min="9471" max="9471" width="2.5703125" style="890" bestFit="1" customWidth="1"/>
    <col min="9472" max="9472" width="20.7109375" style="890" bestFit="1" customWidth="1"/>
    <col min="9473" max="9473" width="132.7109375" style="890" bestFit="1" customWidth="1"/>
    <col min="9474" max="9475" width="10.85546875" style="890" bestFit="1" customWidth="1"/>
    <col min="9476" max="9476" width="10.7109375" style="890" customWidth="1"/>
    <col min="9477" max="9477" width="11.5703125" style="890" customWidth="1"/>
    <col min="9478" max="9478" width="8.42578125" style="890" bestFit="1" customWidth="1"/>
    <col min="9479" max="9479" width="10.7109375" style="890" customWidth="1"/>
    <col min="9480" max="9480" width="10.28515625" style="890" bestFit="1" customWidth="1"/>
    <col min="9481" max="9481" width="1.140625" style="890" customWidth="1"/>
    <col min="9482" max="9483" width="6.7109375" style="890" customWidth="1"/>
    <col min="9484" max="9503" width="8.85546875" style="890" customWidth="1"/>
    <col min="9504" max="9505" width="6.7109375" style="890" customWidth="1"/>
    <col min="9506" max="9506" width="21.7109375" style="890" bestFit="1" customWidth="1"/>
    <col min="9507" max="9525" width="10.28515625" style="890" customWidth="1"/>
    <col min="9526" max="9726" width="6.7109375" style="890" customWidth="1"/>
    <col min="9727" max="9727" width="2.5703125" style="890" bestFit="1" customWidth="1"/>
    <col min="9728" max="9728" width="20.7109375" style="890" bestFit="1" customWidth="1"/>
    <col min="9729" max="9729" width="132.7109375" style="890" bestFit="1" customWidth="1"/>
    <col min="9730" max="9731" width="10.85546875" style="890" bestFit="1" customWidth="1"/>
    <col min="9732" max="9732" width="10.7109375" style="890" customWidth="1"/>
    <col min="9733" max="9733" width="11.5703125" style="890" customWidth="1"/>
    <col min="9734" max="9734" width="8.42578125" style="890" bestFit="1" customWidth="1"/>
    <col min="9735" max="9735" width="10.7109375" style="890" customWidth="1"/>
    <col min="9736" max="9736" width="10.28515625" style="890" bestFit="1" customWidth="1"/>
    <col min="9737" max="9737" width="1.140625" style="890" customWidth="1"/>
    <col min="9738" max="9739" width="6.7109375" style="890" customWidth="1"/>
    <col min="9740" max="9759" width="8.85546875" style="890" customWidth="1"/>
    <col min="9760" max="9761" width="6.7109375" style="890" customWidth="1"/>
    <col min="9762" max="9762" width="21.7109375" style="890" bestFit="1" customWidth="1"/>
    <col min="9763" max="9781" width="10.28515625" style="890" customWidth="1"/>
    <col min="9782" max="9982" width="6.7109375" style="890" customWidth="1"/>
    <col min="9983" max="9983" width="2.5703125" style="890" bestFit="1" customWidth="1"/>
    <col min="9984" max="9984" width="20.7109375" style="890" bestFit="1" customWidth="1"/>
    <col min="9985" max="9985" width="132.7109375" style="890" bestFit="1" customWidth="1"/>
    <col min="9986" max="9987" width="10.85546875" style="890" bestFit="1" customWidth="1"/>
    <col min="9988" max="9988" width="10.7109375" style="890" customWidth="1"/>
    <col min="9989" max="9989" width="11.5703125" style="890" customWidth="1"/>
    <col min="9990" max="9990" width="8.42578125" style="890" bestFit="1" customWidth="1"/>
    <col min="9991" max="9991" width="10.7109375" style="890" customWidth="1"/>
    <col min="9992" max="9992" width="10.28515625" style="890" bestFit="1" customWidth="1"/>
    <col min="9993" max="9993" width="1.140625" style="890" customWidth="1"/>
    <col min="9994" max="9995" width="6.7109375" style="890" customWidth="1"/>
    <col min="9996" max="10015" width="8.85546875" style="890" customWidth="1"/>
    <col min="10016" max="10017" width="6.7109375" style="890" customWidth="1"/>
    <col min="10018" max="10018" width="21.7109375" style="890" bestFit="1" customWidth="1"/>
    <col min="10019" max="10037" width="10.28515625" style="890" customWidth="1"/>
    <col min="10038" max="10238" width="6.7109375" style="890" customWidth="1"/>
    <col min="10239" max="10239" width="2.5703125" style="890" bestFit="1" customWidth="1"/>
    <col min="10240" max="10240" width="20.7109375" style="890" bestFit="1" customWidth="1"/>
    <col min="10241" max="10241" width="132.7109375" style="890" bestFit="1" customWidth="1"/>
    <col min="10242" max="10243" width="10.85546875" style="890" bestFit="1" customWidth="1"/>
    <col min="10244" max="10244" width="10.7109375" style="890" customWidth="1"/>
    <col min="10245" max="10245" width="11.5703125" style="890" customWidth="1"/>
    <col min="10246" max="10246" width="8.42578125" style="890" bestFit="1" customWidth="1"/>
    <col min="10247" max="10247" width="10.7109375" style="890" customWidth="1"/>
    <col min="10248" max="10248" width="10.28515625" style="890" bestFit="1" customWidth="1"/>
    <col min="10249" max="10249" width="1.140625" style="890" customWidth="1"/>
    <col min="10250" max="10251" width="6.7109375" style="890" customWidth="1"/>
    <col min="10252" max="10271" width="8.85546875" style="890" customWidth="1"/>
    <col min="10272" max="10273" width="6.7109375" style="890" customWidth="1"/>
    <col min="10274" max="10274" width="21.7109375" style="890" bestFit="1" customWidth="1"/>
    <col min="10275" max="10293" width="10.28515625" style="890" customWidth="1"/>
    <col min="10294" max="10494" width="6.7109375" style="890" customWidth="1"/>
    <col min="10495" max="10495" width="2.5703125" style="890" bestFit="1" customWidth="1"/>
    <col min="10496" max="10496" width="20.7109375" style="890" bestFit="1" customWidth="1"/>
    <col min="10497" max="10497" width="132.7109375" style="890" bestFit="1" customWidth="1"/>
    <col min="10498" max="10499" width="10.85546875" style="890" bestFit="1" customWidth="1"/>
    <col min="10500" max="10500" width="10.7109375" style="890" customWidth="1"/>
    <col min="10501" max="10501" width="11.5703125" style="890" customWidth="1"/>
    <col min="10502" max="10502" width="8.42578125" style="890" bestFit="1" customWidth="1"/>
    <col min="10503" max="10503" width="10.7109375" style="890" customWidth="1"/>
    <col min="10504" max="10504" width="10.28515625" style="890" bestFit="1" customWidth="1"/>
    <col min="10505" max="10505" width="1.140625" style="890" customWidth="1"/>
    <col min="10506" max="10507" width="6.7109375" style="890" customWidth="1"/>
    <col min="10508" max="10527" width="8.85546875" style="890" customWidth="1"/>
    <col min="10528" max="10529" width="6.7109375" style="890" customWidth="1"/>
    <col min="10530" max="10530" width="21.7109375" style="890" bestFit="1" customWidth="1"/>
    <col min="10531" max="10549" width="10.28515625" style="890" customWidth="1"/>
    <col min="10550" max="10750" width="6.7109375" style="890" customWidth="1"/>
    <col min="10751" max="10751" width="2.5703125" style="890" bestFit="1" customWidth="1"/>
    <col min="10752" max="10752" width="20.7109375" style="890" bestFit="1" customWidth="1"/>
    <col min="10753" max="10753" width="132.7109375" style="890" bestFit="1" customWidth="1"/>
    <col min="10754" max="10755" width="10.85546875" style="890" bestFit="1" customWidth="1"/>
    <col min="10756" max="10756" width="10.7109375" style="890" customWidth="1"/>
    <col min="10757" max="10757" width="11.5703125" style="890" customWidth="1"/>
    <col min="10758" max="10758" width="8.42578125" style="890" bestFit="1" customWidth="1"/>
    <col min="10759" max="10759" width="10.7109375" style="890" customWidth="1"/>
    <col min="10760" max="10760" width="10.28515625" style="890" bestFit="1" customWidth="1"/>
    <col min="10761" max="10761" width="1.140625" style="890" customWidth="1"/>
    <col min="10762" max="10763" width="6.7109375" style="890" customWidth="1"/>
    <col min="10764" max="10783" width="8.85546875" style="890" customWidth="1"/>
    <col min="10784" max="10785" width="6.7109375" style="890" customWidth="1"/>
    <col min="10786" max="10786" width="21.7109375" style="890" bestFit="1" customWidth="1"/>
    <col min="10787" max="10805" width="10.28515625" style="890" customWidth="1"/>
    <col min="10806" max="11006" width="6.7109375" style="890" customWidth="1"/>
    <col min="11007" max="11007" width="2.5703125" style="890" bestFit="1" customWidth="1"/>
    <col min="11008" max="11008" width="20.7109375" style="890" bestFit="1" customWidth="1"/>
    <col min="11009" max="11009" width="132.7109375" style="890" bestFit="1" customWidth="1"/>
    <col min="11010" max="11011" width="10.85546875" style="890" bestFit="1" customWidth="1"/>
    <col min="11012" max="11012" width="10.7109375" style="890" customWidth="1"/>
    <col min="11013" max="11013" width="11.5703125" style="890" customWidth="1"/>
    <col min="11014" max="11014" width="8.42578125" style="890" bestFit="1" customWidth="1"/>
    <col min="11015" max="11015" width="10.7109375" style="890" customWidth="1"/>
    <col min="11016" max="11016" width="10.28515625" style="890" bestFit="1" customWidth="1"/>
    <col min="11017" max="11017" width="1.140625" style="890" customWidth="1"/>
    <col min="11018" max="11019" width="6.7109375" style="890" customWidth="1"/>
    <col min="11020" max="11039" width="8.85546875" style="890" customWidth="1"/>
    <col min="11040" max="11041" width="6.7109375" style="890" customWidth="1"/>
    <col min="11042" max="11042" width="21.7109375" style="890" bestFit="1" customWidth="1"/>
    <col min="11043" max="11061" width="10.28515625" style="890" customWidth="1"/>
    <col min="11062" max="11262" width="6.7109375" style="890" customWidth="1"/>
    <col min="11263" max="11263" width="2.5703125" style="890" bestFit="1" customWidth="1"/>
    <col min="11264" max="11264" width="20.7109375" style="890" bestFit="1" customWidth="1"/>
    <col min="11265" max="11265" width="132.7109375" style="890" bestFit="1" customWidth="1"/>
    <col min="11266" max="11267" width="10.85546875" style="890" bestFit="1" customWidth="1"/>
    <col min="11268" max="11268" width="10.7109375" style="890" customWidth="1"/>
    <col min="11269" max="11269" width="11.5703125" style="890" customWidth="1"/>
    <col min="11270" max="11270" width="8.42578125" style="890" bestFit="1" customWidth="1"/>
    <col min="11271" max="11271" width="10.7109375" style="890" customWidth="1"/>
    <col min="11272" max="11272" width="10.28515625" style="890" bestFit="1" customWidth="1"/>
    <col min="11273" max="11273" width="1.140625" style="890" customWidth="1"/>
    <col min="11274" max="11275" width="6.7109375" style="890" customWidth="1"/>
    <col min="11276" max="11295" width="8.85546875" style="890" customWidth="1"/>
    <col min="11296" max="11297" width="6.7109375" style="890" customWidth="1"/>
    <col min="11298" max="11298" width="21.7109375" style="890" bestFit="1" customWidth="1"/>
    <col min="11299" max="11317" width="10.28515625" style="890" customWidth="1"/>
    <col min="11318" max="11518" width="6.7109375" style="890" customWidth="1"/>
    <col min="11519" max="11519" width="2.5703125" style="890" bestFit="1" customWidth="1"/>
    <col min="11520" max="11520" width="20.7109375" style="890" bestFit="1" customWidth="1"/>
    <col min="11521" max="11521" width="132.7109375" style="890" bestFit="1" customWidth="1"/>
    <col min="11522" max="11523" width="10.85546875" style="890" bestFit="1" customWidth="1"/>
    <col min="11524" max="11524" width="10.7109375" style="890" customWidth="1"/>
    <col min="11525" max="11525" width="11.5703125" style="890" customWidth="1"/>
    <col min="11526" max="11526" width="8.42578125" style="890" bestFit="1" customWidth="1"/>
    <col min="11527" max="11527" width="10.7109375" style="890" customWidth="1"/>
    <col min="11528" max="11528" width="10.28515625" style="890" bestFit="1" customWidth="1"/>
    <col min="11529" max="11529" width="1.140625" style="890" customWidth="1"/>
    <col min="11530" max="11531" width="6.7109375" style="890" customWidth="1"/>
    <col min="11532" max="11551" width="8.85546875" style="890" customWidth="1"/>
    <col min="11552" max="11553" width="6.7109375" style="890" customWidth="1"/>
    <col min="11554" max="11554" width="21.7109375" style="890" bestFit="1" customWidth="1"/>
    <col min="11555" max="11573" width="10.28515625" style="890" customWidth="1"/>
    <col min="11574" max="11774" width="6.7109375" style="890" customWidth="1"/>
    <col min="11775" max="11775" width="2.5703125" style="890" bestFit="1" customWidth="1"/>
    <col min="11776" max="11776" width="20.7109375" style="890" bestFit="1" customWidth="1"/>
    <col min="11777" max="11777" width="132.7109375" style="890" bestFit="1" customWidth="1"/>
    <col min="11778" max="11779" width="10.85546875" style="890" bestFit="1" customWidth="1"/>
    <col min="11780" max="11780" width="10.7109375" style="890" customWidth="1"/>
    <col min="11781" max="11781" width="11.5703125" style="890" customWidth="1"/>
    <col min="11782" max="11782" width="8.42578125" style="890" bestFit="1" customWidth="1"/>
    <col min="11783" max="11783" width="10.7109375" style="890" customWidth="1"/>
    <col min="11784" max="11784" width="10.28515625" style="890" bestFit="1" customWidth="1"/>
    <col min="11785" max="11785" width="1.140625" style="890" customWidth="1"/>
    <col min="11786" max="11787" width="6.7109375" style="890" customWidth="1"/>
    <col min="11788" max="11807" width="8.85546875" style="890" customWidth="1"/>
    <col min="11808" max="11809" width="6.7109375" style="890" customWidth="1"/>
    <col min="11810" max="11810" width="21.7109375" style="890" bestFit="1" customWidth="1"/>
    <col min="11811" max="11829" width="10.28515625" style="890" customWidth="1"/>
    <col min="11830" max="12030" width="6.7109375" style="890" customWidth="1"/>
    <col min="12031" max="12031" width="2.5703125" style="890" bestFit="1" customWidth="1"/>
    <col min="12032" max="12032" width="20.7109375" style="890" bestFit="1" customWidth="1"/>
    <col min="12033" max="12033" width="132.7109375" style="890" bestFit="1" customWidth="1"/>
    <col min="12034" max="12035" width="10.85546875" style="890" bestFit="1" customWidth="1"/>
    <col min="12036" max="12036" width="10.7109375" style="890" customWidth="1"/>
    <col min="12037" max="12037" width="11.5703125" style="890" customWidth="1"/>
    <col min="12038" max="12038" width="8.42578125" style="890" bestFit="1" customWidth="1"/>
    <col min="12039" max="12039" width="10.7109375" style="890" customWidth="1"/>
    <col min="12040" max="12040" width="10.28515625" style="890" bestFit="1" customWidth="1"/>
    <col min="12041" max="12041" width="1.140625" style="890" customWidth="1"/>
    <col min="12042" max="12043" width="6.7109375" style="890" customWidth="1"/>
    <col min="12044" max="12063" width="8.85546875" style="890" customWidth="1"/>
    <col min="12064" max="12065" width="6.7109375" style="890" customWidth="1"/>
    <col min="12066" max="12066" width="21.7109375" style="890" bestFit="1" customWidth="1"/>
    <col min="12067" max="12085" width="10.28515625" style="890" customWidth="1"/>
    <col min="12086" max="12286" width="6.7109375" style="890" customWidth="1"/>
    <col min="12287" max="12287" width="2.5703125" style="890" bestFit="1" customWidth="1"/>
    <col min="12288" max="12288" width="20.7109375" style="890" bestFit="1" customWidth="1"/>
    <col min="12289" max="12289" width="132.7109375" style="890" bestFit="1" customWidth="1"/>
    <col min="12290" max="12291" width="10.85546875" style="890" bestFit="1" customWidth="1"/>
    <col min="12292" max="12292" width="10.7109375" style="890" customWidth="1"/>
    <col min="12293" max="12293" width="11.5703125" style="890" customWidth="1"/>
    <col min="12294" max="12294" width="8.42578125" style="890" bestFit="1" customWidth="1"/>
    <col min="12295" max="12295" width="10.7109375" style="890" customWidth="1"/>
    <col min="12296" max="12296" width="10.28515625" style="890" bestFit="1" customWidth="1"/>
    <col min="12297" max="12297" width="1.140625" style="890" customWidth="1"/>
    <col min="12298" max="12299" width="6.7109375" style="890" customWidth="1"/>
    <col min="12300" max="12319" width="8.85546875" style="890" customWidth="1"/>
    <col min="12320" max="12321" width="6.7109375" style="890" customWidth="1"/>
    <col min="12322" max="12322" width="21.7109375" style="890" bestFit="1" customWidth="1"/>
    <col min="12323" max="12341" width="10.28515625" style="890" customWidth="1"/>
    <col min="12342" max="12542" width="6.7109375" style="890" customWidth="1"/>
    <col min="12543" max="12543" width="2.5703125" style="890" bestFit="1" customWidth="1"/>
    <col min="12544" max="12544" width="20.7109375" style="890" bestFit="1" customWidth="1"/>
    <col min="12545" max="12545" width="132.7109375" style="890" bestFit="1" customWidth="1"/>
    <col min="12546" max="12547" width="10.85546875" style="890" bestFit="1" customWidth="1"/>
    <col min="12548" max="12548" width="10.7109375" style="890" customWidth="1"/>
    <col min="12549" max="12549" width="11.5703125" style="890" customWidth="1"/>
    <col min="12550" max="12550" width="8.42578125" style="890" bestFit="1" customWidth="1"/>
    <col min="12551" max="12551" width="10.7109375" style="890" customWidth="1"/>
    <col min="12552" max="12552" width="10.28515625" style="890" bestFit="1" customWidth="1"/>
    <col min="12553" max="12553" width="1.140625" style="890" customWidth="1"/>
    <col min="12554" max="12555" width="6.7109375" style="890" customWidth="1"/>
    <col min="12556" max="12575" width="8.85546875" style="890" customWidth="1"/>
    <col min="12576" max="12577" width="6.7109375" style="890" customWidth="1"/>
    <col min="12578" max="12578" width="21.7109375" style="890" bestFit="1" customWidth="1"/>
    <col min="12579" max="12597" width="10.28515625" style="890" customWidth="1"/>
    <col min="12598" max="12798" width="6.7109375" style="890" customWidth="1"/>
    <col min="12799" max="12799" width="2.5703125" style="890" bestFit="1" customWidth="1"/>
    <col min="12800" max="12800" width="20.7109375" style="890" bestFit="1" customWidth="1"/>
    <col min="12801" max="12801" width="132.7109375" style="890" bestFit="1" customWidth="1"/>
    <col min="12802" max="12803" width="10.85546875" style="890" bestFit="1" customWidth="1"/>
    <col min="12804" max="12804" width="10.7109375" style="890" customWidth="1"/>
    <col min="12805" max="12805" width="11.5703125" style="890" customWidth="1"/>
    <col min="12806" max="12806" width="8.42578125" style="890" bestFit="1" customWidth="1"/>
    <col min="12807" max="12807" width="10.7109375" style="890" customWidth="1"/>
    <col min="12808" max="12808" width="10.28515625" style="890" bestFit="1" customWidth="1"/>
    <col min="12809" max="12809" width="1.140625" style="890" customWidth="1"/>
    <col min="12810" max="12811" width="6.7109375" style="890" customWidth="1"/>
    <col min="12812" max="12831" width="8.85546875" style="890" customWidth="1"/>
    <col min="12832" max="12833" width="6.7109375" style="890" customWidth="1"/>
    <col min="12834" max="12834" width="21.7109375" style="890" bestFit="1" customWidth="1"/>
    <col min="12835" max="12853" width="10.28515625" style="890" customWidth="1"/>
    <col min="12854" max="13054" width="6.7109375" style="890" customWidth="1"/>
    <col min="13055" max="13055" width="2.5703125" style="890" bestFit="1" customWidth="1"/>
    <col min="13056" max="13056" width="20.7109375" style="890" bestFit="1" customWidth="1"/>
    <col min="13057" max="13057" width="132.7109375" style="890" bestFit="1" customWidth="1"/>
    <col min="13058" max="13059" width="10.85546875" style="890" bestFit="1" customWidth="1"/>
    <col min="13060" max="13060" width="10.7109375" style="890" customWidth="1"/>
    <col min="13061" max="13061" width="11.5703125" style="890" customWidth="1"/>
    <col min="13062" max="13062" width="8.42578125" style="890" bestFit="1" customWidth="1"/>
    <col min="13063" max="13063" width="10.7109375" style="890" customWidth="1"/>
    <col min="13064" max="13064" width="10.28515625" style="890" bestFit="1" customWidth="1"/>
    <col min="13065" max="13065" width="1.140625" style="890" customWidth="1"/>
    <col min="13066" max="13067" width="6.7109375" style="890" customWidth="1"/>
    <col min="13068" max="13087" width="8.85546875" style="890" customWidth="1"/>
    <col min="13088" max="13089" width="6.7109375" style="890" customWidth="1"/>
    <col min="13090" max="13090" width="21.7109375" style="890" bestFit="1" customWidth="1"/>
    <col min="13091" max="13109" width="10.28515625" style="890" customWidth="1"/>
    <col min="13110" max="13310" width="6.7109375" style="890" customWidth="1"/>
    <col min="13311" max="13311" width="2.5703125" style="890" bestFit="1" customWidth="1"/>
    <col min="13312" max="13312" width="20.7109375" style="890" bestFit="1" customWidth="1"/>
    <col min="13313" max="13313" width="132.7109375" style="890" bestFit="1" customWidth="1"/>
    <col min="13314" max="13315" width="10.85546875" style="890" bestFit="1" customWidth="1"/>
    <col min="13316" max="13316" width="10.7109375" style="890" customWidth="1"/>
    <col min="13317" max="13317" width="11.5703125" style="890" customWidth="1"/>
    <col min="13318" max="13318" width="8.42578125" style="890" bestFit="1" customWidth="1"/>
    <col min="13319" max="13319" width="10.7109375" style="890" customWidth="1"/>
    <col min="13320" max="13320" width="10.28515625" style="890" bestFit="1" customWidth="1"/>
    <col min="13321" max="13321" width="1.140625" style="890" customWidth="1"/>
    <col min="13322" max="13323" width="6.7109375" style="890" customWidth="1"/>
    <col min="13324" max="13343" width="8.85546875" style="890" customWidth="1"/>
    <col min="13344" max="13345" width="6.7109375" style="890" customWidth="1"/>
    <col min="13346" max="13346" width="21.7109375" style="890" bestFit="1" customWidth="1"/>
    <col min="13347" max="13365" width="10.28515625" style="890" customWidth="1"/>
    <col min="13366" max="13566" width="6.7109375" style="890" customWidth="1"/>
    <col min="13567" max="13567" width="2.5703125" style="890" bestFit="1" customWidth="1"/>
    <col min="13568" max="13568" width="20.7109375" style="890" bestFit="1" customWidth="1"/>
    <col min="13569" max="13569" width="132.7109375" style="890" bestFit="1" customWidth="1"/>
    <col min="13570" max="13571" width="10.85546875" style="890" bestFit="1" customWidth="1"/>
    <col min="13572" max="13572" width="10.7109375" style="890" customWidth="1"/>
    <col min="13573" max="13573" width="11.5703125" style="890" customWidth="1"/>
    <col min="13574" max="13574" width="8.42578125" style="890" bestFit="1" customWidth="1"/>
    <col min="13575" max="13575" width="10.7109375" style="890" customWidth="1"/>
    <col min="13576" max="13576" width="10.28515625" style="890" bestFit="1" customWidth="1"/>
    <col min="13577" max="13577" width="1.140625" style="890" customWidth="1"/>
    <col min="13578" max="13579" width="6.7109375" style="890" customWidth="1"/>
    <col min="13580" max="13599" width="8.85546875" style="890" customWidth="1"/>
    <col min="13600" max="13601" width="6.7109375" style="890" customWidth="1"/>
    <col min="13602" max="13602" width="21.7109375" style="890" bestFit="1" customWidth="1"/>
    <col min="13603" max="13621" width="10.28515625" style="890" customWidth="1"/>
    <col min="13622" max="13822" width="6.7109375" style="890" customWidth="1"/>
    <col min="13823" max="13823" width="2.5703125" style="890" bestFit="1" customWidth="1"/>
    <col min="13824" max="13824" width="20.7109375" style="890" bestFit="1" customWidth="1"/>
    <col min="13825" max="13825" width="132.7109375" style="890" bestFit="1" customWidth="1"/>
    <col min="13826" max="13827" width="10.85546875" style="890" bestFit="1" customWidth="1"/>
    <col min="13828" max="13828" width="10.7109375" style="890" customWidth="1"/>
    <col min="13829" max="13829" width="11.5703125" style="890" customWidth="1"/>
    <col min="13830" max="13830" width="8.42578125" style="890" bestFit="1" customWidth="1"/>
    <col min="13831" max="13831" width="10.7109375" style="890" customWidth="1"/>
    <col min="13832" max="13832" width="10.28515625" style="890" bestFit="1" customWidth="1"/>
    <col min="13833" max="13833" width="1.140625" style="890" customWidth="1"/>
    <col min="13834" max="13835" width="6.7109375" style="890" customWidth="1"/>
    <col min="13836" max="13855" width="8.85546875" style="890" customWidth="1"/>
    <col min="13856" max="13857" width="6.7109375" style="890" customWidth="1"/>
    <col min="13858" max="13858" width="21.7109375" style="890" bestFit="1" customWidth="1"/>
    <col min="13859" max="13877" width="10.28515625" style="890" customWidth="1"/>
    <col min="13878" max="14078" width="6.7109375" style="890" customWidth="1"/>
    <col min="14079" max="14079" width="2.5703125" style="890" bestFit="1" customWidth="1"/>
    <col min="14080" max="14080" width="20.7109375" style="890" bestFit="1" customWidth="1"/>
    <col min="14081" max="14081" width="132.7109375" style="890" bestFit="1" customWidth="1"/>
    <col min="14082" max="14083" width="10.85546875" style="890" bestFit="1" customWidth="1"/>
    <col min="14084" max="14084" width="10.7109375" style="890" customWidth="1"/>
    <col min="14085" max="14085" width="11.5703125" style="890" customWidth="1"/>
    <col min="14086" max="14086" width="8.42578125" style="890" bestFit="1" customWidth="1"/>
    <col min="14087" max="14087" width="10.7109375" style="890" customWidth="1"/>
    <col min="14088" max="14088" width="10.28515625" style="890" bestFit="1" customWidth="1"/>
    <col min="14089" max="14089" width="1.140625" style="890" customWidth="1"/>
    <col min="14090" max="14091" width="6.7109375" style="890" customWidth="1"/>
    <col min="14092" max="14111" width="8.85546875" style="890" customWidth="1"/>
    <col min="14112" max="14113" width="6.7109375" style="890" customWidth="1"/>
    <col min="14114" max="14114" width="21.7109375" style="890" bestFit="1" customWidth="1"/>
    <col min="14115" max="14133" width="10.28515625" style="890" customWidth="1"/>
    <col min="14134" max="14334" width="6.7109375" style="890" customWidth="1"/>
    <col min="14335" max="14335" width="2.5703125" style="890" bestFit="1" customWidth="1"/>
    <col min="14336" max="14336" width="20.7109375" style="890" bestFit="1" customWidth="1"/>
    <col min="14337" max="14337" width="132.7109375" style="890" bestFit="1" customWidth="1"/>
    <col min="14338" max="14339" width="10.85546875" style="890" bestFit="1" customWidth="1"/>
    <col min="14340" max="14340" width="10.7109375" style="890" customWidth="1"/>
    <col min="14341" max="14341" width="11.5703125" style="890" customWidth="1"/>
    <col min="14342" max="14342" width="8.42578125" style="890" bestFit="1" customWidth="1"/>
    <col min="14343" max="14343" width="10.7109375" style="890" customWidth="1"/>
    <col min="14344" max="14344" width="10.28515625" style="890" bestFit="1" customWidth="1"/>
    <col min="14345" max="14345" width="1.140625" style="890" customWidth="1"/>
    <col min="14346" max="14347" width="6.7109375" style="890" customWidth="1"/>
    <col min="14348" max="14367" width="8.85546875" style="890" customWidth="1"/>
    <col min="14368" max="14369" width="6.7109375" style="890" customWidth="1"/>
    <col min="14370" max="14370" width="21.7109375" style="890" bestFit="1" customWidth="1"/>
    <col min="14371" max="14389" width="10.28515625" style="890" customWidth="1"/>
    <col min="14390" max="14590" width="6.7109375" style="890" customWidth="1"/>
    <col min="14591" max="14591" width="2.5703125" style="890" bestFit="1" customWidth="1"/>
    <col min="14592" max="14592" width="20.7109375" style="890" bestFit="1" customWidth="1"/>
    <col min="14593" max="14593" width="132.7109375" style="890" bestFit="1" customWidth="1"/>
    <col min="14594" max="14595" width="10.85546875" style="890" bestFit="1" customWidth="1"/>
    <col min="14596" max="14596" width="10.7109375" style="890" customWidth="1"/>
    <col min="14597" max="14597" width="11.5703125" style="890" customWidth="1"/>
    <col min="14598" max="14598" width="8.42578125" style="890" bestFit="1" customWidth="1"/>
    <col min="14599" max="14599" width="10.7109375" style="890" customWidth="1"/>
    <col min="14600" max="14600" width="10.28515625" style="890" bestFit="1" customWidth="1"/>
    <col min="14601" max="14601" width="1.140625" style="890" customWidth="1"/>
    <col min="14602" max="14603" width="6.7109375" style="890" customWidth="1"/>
    <col min="14604" max="14623" width="8.85546875" style="890" customWidth="1"/>
    <col min="14624" max="14625" width="6.7109375" style="890" customWidth="1"/>
    <col min="14626" max="14626" width="21.7109375" style="890" bestFit="1" customWidth="1"/>
    <col min="14627" max="14645" width="10.28515625" style="890" customWidth="1"/>
    <col min="14646" max="14846" width="6.7109375" style="890" customWidth="1"/>
    <col min="14847" max="14847" width="2.5703125" style="890" bestFit="1" customWidth="1"/>
    <col min="14848" max="14848" width="20.7109375" style="890" bestFit="1" customWidth="1"/>
    <col min="14849" max="14849" width="132.7109375" style="890" bestFit="1" customWidth="1"/>
    <col min="14850" max="14851" width="10.85546875" style="890" bestFit="1" customWidth="1"/>
    <col min="14852" max="14852" width="10.7109375" style="890" customWidth="1"/>
    <col min="14853" max="14853" width="11.5703125" style="890" customWidth="1"/>
    <col min="14854" max="14854" width="8.42578125" style="890" bestFit="1" customWidth="1"/>
    <col min="14855" max="14855" width="10.7109375" style="890" customWidth="1"/>
    <col min="14856" max="14856" width="10.28515625" style="890" bestFit="1" customWidth="1"/>
    <col min="14857" max="14857" width="1.140625" style="890" customWidth="1"/>
    <col min="14858" max="14859" width="6.7109375" style="890" customWidth="1"/>
    <col min="14860" max="14879" width="8.85546875" style="890" customWidth="1"/>
    <col min="14880" max="14881" width="6.7109375" style="890" customWidth="1"/>
    <col min="14882" max="14882" width="21.7109375" style="890" bestFit="1" customWidth="1"/>
    <col min="14883" max="14901" width="10.28515625" style="890" customWidth="1"/>
    <col min="14902" max="15102" width="6.7109375" style="890" customWidth="1"/>
    <col min="15103" max="15103" width="2.5703125" style="890" bestFit="1" customWidth="1"/>
    <col min="15104" max="15104" width="20.7109375" style="890" bestFit="1" customWidth="1"/>
    <col min="15105" max="15105" width="132.7109375" style="890" bestFit="1" customWidth="1"/>
    <col min="15106" max="15107" width="10.85546875" style="890" bestFit="1" customWidth="1"/>
    <col min="15108" max="15108" width="10.7109375" style="890" customWidth="1"/>
    <col min="15109" max="15109" width="11.5703125" style="890" customWidth="1"/>
    <col min="15110" max="15110" width="8.42578125" style="890" bestFit="1" customWidth="1"/>
    <col min="15111" max="15111" width="10.7109375" style="890" customWidth="1"/>
    <col min="15112" max="15112" width="10.28515625" style="890" bestFit="1" customWidth="1"/>
    <col min="15113" max="15113" width="1.140625" style="890" customWidth="1"/>
    <col min="15114" max="15115" width="6.7109375" style="890" customWidth="1"/>
    <col min="15116" max="15135" width="8.85546875" style="890" customWidth="1"/>
    <col min="15136" max="15137" width="6.7109375" style="890" customWidth="1"/>
    <col min="15138" max="15138" width="21.7109375" style="890" bestFit="1" customWidth="1"/>
    <col min="15139" max="15157" width="10.28515625" style="890" customWidth="1"/>
    <col min="15158" max="15358" width="6.7109375" style="890" customWidth="1"/>
    <col min="15359" max="15359" width="2.5703125" style="890" bestFit="1" customWidth="1"/>
    <col min="15360" max="15360" width="20.7109375" style="890" bestFit="1" customWidth="1"/>
    <col min="15361" max="15361" width="132.7109375" style="890" bestFit="1" customWidth="1"/>
    <col min="15362" max="15363" width="10.85546875" style="890" bestFit="1" customWidth="1"/>
    <col min="15364" max="15364" width="10.7109375" style="890" customWidth="1"/>
    <col min="15365" max="15365" width="11.5703125" style="890" customWidth="1"/>
    <col min="15366" max="15366" width="8.42578125" style="890" bestFit="1" customWidth="1"/>
    <col min="15367" max="15367" width="10.7109375" style="890" customWidth="1"/>
    <col min="15368" max="15368" width="10.28515625" style="890" bestFit="1" customWidth="1"/>
    <col min="15369" max="15369" width="1.140625" style="890" customWidth="1"/>
    <col min="15370" max="15371" width="6.7109375" style="890" customWidth="1"/>
    <col min="15372" max="15391" width="8.85546875" style="890" customWidth="1"/>
    <col min="15392" max="15393" width="6.7109375" style="890" customWidth="1"/>
    <col min="15394" max="15394" width="21.7109375" style="890" bestFit="1" customWidth="1"/>
    <col min="15395" max="15413" width="10.28515625" style="890" customWidth="1"/>
    <col min="15414" max="15614" width="6.7109375" style="890" customWidth="1"/>
    <col min="15615" max="15615" width="2.5703125" style="890" bestFit="1" customWidth="1"/>
    <col min="15616" max="15616" width="20.7109375" style="890" bestFit="1" customWidth="1"/>
    <col min="15617" max="15617" width="132.7109375" style="890" bestFit="1" customWidth="1"/>
    <col min="15618" max="15619" width="10.85546875" style="890" bestFit="1" customWidth="1"/>
    <col min="15620" max="15620" width="10.7109375" style="890" customWidth="1"/>
    <col min="15621" max="15621" width="11.5703125" style="890" customWidth="1"/>
    <col min="15622" max="15622" width="8.42578125" style="890" bestFit="1" customWidth="1"/>
    <col min="15623" max="15623" width="10.7109375" style="890" customWidth="1"/>
    <col min="15624" max="15624" width="10.28515625" style="890" bestFit="1" customWidth="1"/>
    <col min="15625" max="15625" width="1.140625" style="890" customWidth="1"/>
    <col min="15626" max="15627" width="6.7109375" style="890" customWidth="1"/>
    <col min="15628" max="15647" width="8.85546875" style="890" customWidth="1"/>
    <col min="15648" max="15649" width="6.7109375" style="890" customWidth="1"/>
    <col min="15650" max="15650" width="21.7109375" style="890" bestFit="1" customWidth="1"/>
    <col min="15651" max="15669" width="10.28515625" style="890" customWidth="1"/>
    <col min="15670" max="15870" width="6.7109375" style="890" customWidth="1"/>
    <col min="15871" max="15871" width="2.5703125" style="890" bestFit="1" customWidth="1"/>
    <col min="15872" max="15872" width="20.7109375" style="890" bestFit="1" customWidth="1"/>
    <col min="15873" max="15873" width="132.7109375" style="890" bestFit="1" customWidth="1"/>
    <col min="15874" max="15875" width="10.85546875" style="890" bestFit="1" customWidth="1"/>
    <col min="15876" max="15876" width="10.7109375" style="890" customWidth="1"/>
    <col min="15877" max="15877" width="11.5703125" style="890" customWidth="1"/>
    <col min="15878" max="15878" width="8.42578125" style="890" bestFit="1" customWidth="1"/>
    <col min="15879" max="15879" width="10.7109375" style="890" customWidth="1"/>
    <col min="15880" max="15880" width="10.28515625" style="890" bestFit="1" customWidth="1"/>
    <col min="15881" max="15881" width="1.140625" style="890" customWidth="1"/>
    <col min="15882" max="15883" width="6.7109375" style="890" customWidth="1"/>
    <col min="15884" max="15903" width="8.85546875" style="890" customWidth="1"/>
    <col min="15904" max="15905" width="6.7109375" style="890" customWidth="1"/>
    <col min="15906" max="15906" width="21.7109375" style="890" bestFit="1" customWidth="1"/>
    <col min="15907" max="15925" width="10.28515625" style="890" customWidth="1"/>
    <col min="15926" max="16126" width="6.7109375" style="890" customWidth="1"/>
    <col min="16127" max="16127" width="2.5703125" style="890" bestFit="1" customWidth="1"/>
    <col min="16128" max="16128" width="20.7109375" style="890" bestFit="1" customWidth="1"/>
    <col min="16129" max="16129" width="132.7109375" style="890" bestFit="1" customWidth="1"/>
    <col min="16130" max="16131" width="10.85546875" style="890" bestFit="1" customWidth="1"/>
    <col min="16132" max="16132" width="10.7109375" style="890" customWidth="1"/>
    <col min="16133" max="16133" width="11.5703125" style="890" customWidth="1"/>
    <col min="16134" max="16134" width="8.42578125" style="890" bestFit="1" customWidth="1"/>
    <col min="16135" max="16135" width="10.7109375" style="890" customWidth="1"/>
    <col min="16136" max="16136" width="10.28515625" style="890" bestFit="1" customWidth="1"/>
    <col min="16137" max="16137" width="1.140625" style="890" customWidth="1"/>
    <col min="16138" max="16139" width="6.7109375" style="890" customWidth="1"/>
    <col min="16140" max="16159" width="8.85546875" style="890" customWidth="1"/>
    <col min="16160" max="16161" width="6.7109375" style="890" customWidth="1"/>
    <col min="16162" max="16162" width="21.7109375" style="890" bestFit="1" customWidth="1"/>
    <col min="16163" max="16181" width="10.28515625" style="890" customWidth="1"/>
    <col min="16182" max="16384" width="6.7109375" style="890" customWidth="1"/>
  </cols>
  <sheetData>
    <row r="1" spans="2:53" ht="21" customHeight="1">
      <c r="C1" s="1430"/>
      <c r="D1" s="1460"/>
      <c r="K1" s="1430"/>
    </row>
    <row r="2" spans="2:53" ht="12.6" customHeight="1">
      <c r="B2" s="1432" t="s">
        <v>4389</v>
      </c>
      <c r="C2" s="1432"/>
      <c r="D2" s="1461"/>
      <c r="E2" s="1461" t="s">
        <v>4390</v>
      </c>
      <c r="F2" s="1461"/>
      <c r="G2" s="1461"/>
      <c r="H2" s="1461"/>
      <c r="I2" s="1461"/>
      <c r="J2" s="1461"/>
      <c r="K2" s="1431"/>
      <c r="L2" s="1457" t="s">
        <v>4391</v>
      </c>
      <c r="M2" s="1457"/>
      <c r="N2" s="1457"/>
      <c r="O2" s="1457"/>
      <c r="P2" s="1457"/>
      <c r="Q2" s="1457"/>
      <c r="R2" s="1457"/>
      <c r="S2" s="1457"/>
      <c r="T2" s="1457"/>
      <c r="U2" s="1457"/>
      <c r="V2" s="1457"/>
      <c r="W2" s="1457"/>
      <c r="X2" s="1457"/>
      <c r="Y2" s="1457"/>
      <c r="Z2" s="1457"/>
      <c r="AA2" s="1457"/>
      <c r="AB2" s="1457"/>
      <c r="AC2" s="1457"/>
      <c r="AD2" s="1457"/>
      <c r="AE2" s="1457"/>
      <c r="AF2" s="1433"/>
      <c r="AG2" s="1433"/>
      <c r="AH2" s="1433" t="s">
        <v>4392</v>
      </c>
      <c r="AI2" s="1433"/>
      <c r="AJ2" s="1433"/>
      <c r="AK2" s="1433"/>
      <c r="AL2" s="1433"/>
      <c r="AM2" s="1433"/>
      <c r="AN2" s="1433"/>
      <c r="AO2" s="1433"/>
      <c r="AP2" s="1433"/>
    </row>
    <row r="3" spans="2:53" ht="12.6" customHeight="1">
      <c r="B3" s="1432"/>
      <c r="C3" s="1432"/>
      <c r="D3" s="1461" t="s">
        <v>4393</v>
      </c>
      <c r="E3" s="1461" t="s">
        <v>4394</v>
      </c>
      <c r="F3" s="1461" t="s">
        <v>4395</v>
      </c>
      <c r="G3" s="1461" t="s">
        <v>4396</v>
      </c>
      <c r="H3" s="1461" t="s">
        <v>4397</v>
      </c>
      <c r="I3" s="1461" t="s">
        <v>4496</v>
      </c>
      <c r="J3" s="1461" t="s">
        <v>4497</v>
      </c>
      <c r="K3" s="1431"/>
      <c r="L3" s="1457">
        <v>2023</v>
      </c>
      <c r="M3" s="1457">
        <f>+L3+1</f>
        <v>2024</v>
      </c>
      <c r="N3" s="1457">
        <f t="shared" ref="N3:AE3" si="0">+M3+1</f>
        <v>2025</v>
      </c>
      <c r="O3" s="1457">
        <f t="shared" si="0"/>
        <v>2026</v>
      </c>
      <c r="P3" s="1457">
        <f t="shared" si="0"/>
        <v>2027</v>
      </c>
      <c r="Q3" s="1457">
        <f t="shared" si="0"/>
        <v>2028</v>
      </c>
      <c r="R3" s="1457">
        <f t="shared" si="0"/>
        <v>2029</v>
      </c>
      <c r="S3" s="1457">
        <f t="shared" si="0"/>
        <v>2030</v>
      </c>
      <c r="T3" s="1457">
        <f t="shared" si="0"/>
        <v>2031</v>
      </c>
      <c r="U3" s="1457">
        <f t="shared" si="0"/>
        <v>2032</v>
      </c>
      <c r="V3" s="1457">
        <f t="shared" si="0"/>
        <v>2033</v>
      </c>
      <c r="W3" s="1457">
        <f t="shared" si="0"/>
        <v>2034</v>
      </c>
      <c r="X3" s="1457">
        <f t="shared" si="0"/>
        <v>2035</v>
      </c>
      <c r="Y3" s="1457">
        <f t="shared" si="0"/>
        <v>2036</v>
      </c>
      <c r="Z3" s="1457">
        <f t="shared" si="0"/>
        <v>2037</v>
      </c>
      <c r="AA3" s="1457">
        <f t="shared" si="0"/>
        <v>2038</v>
      </c>
      <c r="AB3" s="1457">
        <f t="shared" si="0"/>
        <v>2039</v>
      </c>
      <c r="AC3" s="1457">
        <f t="shared" si="0"/>
        <v>2040</v>
      </c>
      <c r="AD3" s="1457">
        <f t="shared" si="0"/>
        <v>2041</v>
      </c>
      <c r="AE3" s="1457">
        <f t="shared" si="0"/>
        <v>2042</v>
      </c>
      <c r="AF3" s="1433"/>
      <c r="AG3" s="1433"/>
      <c r="AH3" s="1433">
        <v>2023</v>
      </c>
      <c r="AI3" s="1433">
        <f>+AH3+1</f>
        <v>2024</v>
      </c>
      <c r="AJ3" s="1433">
        <f t="shared" ref="AJ3:BA3" si="1">+AI3+1</f>
        <v>2025</v>
      </c>
      <c r="AK3" s="1433">
        <f t="shared" si="1"/>
        <v>2026</v>
      </c>
      <c r="AL3" s="1433">
        <f t="shared" si="1"/>
        <v>2027</v>
      </c>
      <c r="AM3" s="1433">
        <f t="shared" si="1"/>
        <v>2028</v>
      </c>
      <c r="AN3" s="1433">
        <f t="shared" si="1"/>
        <v>2029</v>
      </c>
      <c r="AO3" s="1433">
        <f t="shared" si="1"/>
        <v>2030</v>
      </c>
      <c r="AP3" s="1433">
        <f t="shared" si="1"/>
        <v>2031</v>
      </c>
      <c r="AQ3" s="1433">
        <f t="shared" si="1"/>
        <v>2032</v>
      </c>
      <c r="AR3" s="1433">
        <f t="shared" si="1"/>
        <v>2033</v>
      </c>
      <c r="AS3" s="1433">
        <f t="shared" si="1"/>
        <v>2034</v>
      </c>
      <c r="AT3" s="1433">
        <f t="shared" si="1"/>
        <v>2035</v>
      </c>
      <c r="AU3" s="1433">
        <f t="shared" si="1"/>
        <v>2036</v>
      </c>
      <c r="AV3" s="1433">
        <f t="shared" si="1"/>
        <v>2037</v>
      </c>
      <c r="AW3" s="1433">
        <f t="shared" si="1"/>
        <v>2038</v>
      </c>
      <c r="AX3" s="1433">
        <f t="shared" si="1"/>
        <v>2039</v>
      </c>
      <c r="AY3" s="1433">
        <f t="shared" si="1"/>
        <v>2040</v>
      </c>
      <c r="AZ3" s="1433">
        <f t="shared" si="1"/>
        <v>2041</v>
      </c>
      <c r="BA3" s="1433">
        <f t="shared" si="1"/>
        <v>2042</v>
      </c>
    </row>
    <row r="4" spans="2:53">
      <c r="B4" s="1430" t="s">
        <v>4398</v>
      </c>
      <c r="C4" s="1430" t="s">
        <v>4399</v>
      </c>
      <c r="D4" s="1462">
        <v>1624.04</v>
      </c>
      <c r="E4" s="1462">
        <v>32750</v>
      </c>
      <c r="F4" s="1462">
        <v>1624.04</v>
      </c>
      <c r="G4" s="1462">
        <v>64</v>
      </c>
      <c r="H4" s="1462">
        <v>31125.96</v>
      </c>
      <c r="I4" s="1462">
        <f>+E4/5</f>
        <v>6550</v>
      </c>
      <c r="J4" s="1462">
        <f>+E4/I4</f>
        <v>5</v>
      </c>
      <c r="K4" s="1434"/>
      <c r="L4" s="1458">
        <f t="shared" ref="L4:L11" si="2">+I4/2</f>
        <v>3275</v>
      </c>
      <c r="M4" s="1458">
        <f t="shared" ref="M4:M11" si="3">+I4</f>
        <v>6550</v>
      </c>
      <c r="N4" s="1458">
        <f t="shared" ref="N4:P11" si="4">+M4</f>
        <v>6550</v>
      </c>
      <c r="O4" s="1458">
        <f t="shared" si="4"/>
        <v>6550</v>
      </c>
      <c r="P4" s="1458">
        <f t="shared" si="4"/>
        <v>6550</v>
      </c>
      <c r="Q4" s="1458">
        <f t="shared" ref="Q4:Q11" si="5">+P4/2</f>
        <v>3275</v>
      </c>
      <c r="R4" s="1458"/>
      <c r="S4" s="1458"/>
      <c r="T4" s="1458"/>
      <c r="U4" s="1458"/>
      <c r="V4" s="1458"/>
      <c r="W4" s="1458"/>
      <c r="X4" s="1458"/>
      <c r="Y4" s="1458"/>
      <c r="Z4" s="1458"/>
      <c r="AA4" s="1458"/>
      <c r="AB4" s="1458"/>
      <c r="AC4" s="1458"/>
      <c r="AD4" s="1458"/>
      <c r="AE4" s="1458"/>
      <c r="AF4" s="1435"/>
      <c r="AH4" s="1436">
        <f>+$E4-L4</f>
        <v>29475</v>
      </c>
      <c r="AI4" s="1435">
        <f>+AH4-M4</f>
        <v>22925</v>
      </c>
      <c r="AJ4" s="1435">
        <f t="shared" ref="AJ4:BA4" si="6">+AI4-N4</f>
        <v>16375</v>
      </c>
      <c r="AK4" s="1435">
        <f t="shared" si="6"/>
        <v>9825</v>
      </c>
      <c r="AL4" s="1435">
        <f t="shared" si="6"/>
        <v>3275</v>
      </c>
      <c r="AM4" s="1435">
        <f t="shared" si="6"/>
        <v>0</v>
      </c>
      <c r="AN4" s="1435">
        <f t="shared" si="6"/>
        <v>0</v>
      </c>
      <c r="AO4" s="1435">
        <f t="shared" si="6"/>
        <v>0</v>
      </c>
      <c r="AP4" s="1435">
        <f t="shared" si="6"/>
        <v>0</v>
      </c>
      <c r="AQ4" s="1435">
        <f t="shared" si="6"/>
        <v>0</v>
      </c>
      <c r="AR4" s="1435">
        <f t="shared" si="6"/>
        <v>0</v>
      </c>
      <c r="AS4" s="1435">
        <f t="shared" si="6"/>
        <v>0</v>
      </c>
      <c r="AT4" s="1435">
        <f t="shared" si="6"/>
        <v>0</v>
      </c>
      <c r="AU4" s="1435">
        <f t="shared" si="6"/>
        <v>0</v>
      </c>
      <c r="AV4" s="1435">
        <f t="shared" si="6"/>
        <v>0</v>
      </c>
      <c r="AW4" s="1435">
        <f t="shared" si="6"/>
        <v>0</v>
      </c>
      <c r="AX4" s="1435">
        <f t="shared" si="6"/>
        <v>0</v>
      </c>
      <c r="AY4" s="1435">
        <f t="shared" si="6"/>
        <v>0</v>
      </c>
      <c r="AZ4" s="1435">
        <f t="shared" si="6"/>
        <v>0</v>
      </c>
      <c r="BA4" s="1435">
        <f t="shared" si="6"/>
        <v>0</v>
      </c>
    </row>
    <row r="5" spans="2:53">
      <c r="B5" s="1430" t="s">
        <v>4398</v>
      </c>
      <c r="C5" s="1430" t="s">
        <v>4400</v>
      </c>
      <c r="D5" s="1462">
        <v>1624.04</v>
      </c>
      <c r="E5" s="1462">
        <v>32750</v>
      </c>
      <c r="F5" s="1462">
        <v>1624.04</v>
      </c>
      <c r="G5" s="1462">
        <v>64</v>
      </c>
      <c r="H5" s="1462">
        <v>31125.96</v>
      </c>
      <c r="I5" s="1462">
        <f t="shared" ref="I5:I11" si="7">+E5/5</f>
        <v>6550</v>
      </c>
      <c r="J5" s="1462">
        <f t="shared" ref="J5:J11" si="8">+E5/I5</f>
        <v>5</v>
      </c>
      <c r="K5" s="1434"/>
      <c r="L5" s="1458">
        <f t="shared" si="2"/>
        <v>3275</v>
      </c>
      <c r="M5" s="1458">
        <f t="shared" si="3"/>
        <v>6550</v>
      </c>
      <c r="N5" s="1458">
        <f t="shared" si="4"/>
        <v>6550</v>
      </c>
      <c r="O5" s="1458">
        <f t="shared" si="4"/>
        <v>6550</v>
      </c>
      <c r="P5" s="1458">
        <f t="shared" si="4"/>
        <v>6550</v>
      </c>
      <c r="Q5" s="1458">
        <f t="shared" si="5"/>
        <v>3275</v>
      </c>
      <c r="R5" s="1458"/>
      <c r="S5" s="1458"/>
      <c r="T5" s="1458"/>
      <c r="U5" s="1458"/>
      <c r="AH5" s="1436">
        <f t="shared" ref="AH5:AH11" si="9">+$E5-L5</f>
        <v>29475</v>
      </c>
      <c r="AI5" s="1435">
        <f>+AH5-M5</f>
        <v>22925</v>
      </c>
      <c r="AJ5" s="1435">
        <f t="shared" ref="AJ5:BA5" si="10">+AI5-N5</f>
        <v>16375</v>
      </c>
      <c r="AK5" s="1435">
        <f t="shared" si="10"/>
        <v>9825</v>
      </c>
      <c r="AL5" s="1435">
        <f t="shared" si="10"/>
        <v>3275</v>
      </c>
      <c r="AM5" s="1435">
        <f t="shared" si="10"/>
        <v>0</v>
      </c>
      <c r="AN5" s="1435">
        <f t="shared" si="10"/>
        <v>0</v>
      </c>
      <c r="AO5" s="1435">
        <f t="shared" si="10"/>
        <v>0</v>
      </c>
      <c r="AP5" s="1435">
        <f t="shared" si="10"/>
        <v>0</v>
      </c>
      <c r="AQ5" s="1435">
        <f t="shared" si="10"/>
        <v>0</v>
      </c>
      <c r="AR5" s="1435">
        <f t="shared" si="10"/>
        <v>0</v>
      </c>
      <c r="AS5" s="1435">
        <f t="shared" si="10"/>
        <v>0</v>
      </c>
      <c r="AT5" s="1435">
        <f t="shared" si="10"/>
        <v>0</v>
      </c>
      <c r="AU5" s="1435">
        <f t="shared" si="10"/>
        <v>0</v>
      </c>
      <c r="AV5" s="1435">
        <f t="shared" si="10"/>
        <v>0</v>
      </c>
      <c r="AW5" s="1435">
        <f t="shared" si="10"/>
        <v>0</v>
      </c>
      <c r="AX5" s="1435">
        <f t="shared" si="10"/>
        <v>0</v>
      </c>
      <c r="AY5" s="1435">
        <f t="shared" si="10"/>
        <v>0</v>
      </c>
      <c r="AZ5" s="1435">
        <f t="shared" si="10"/>
        <v>0</v>
      </c>
      <c r="BA5" s="1435">
        <f t="shared" si="10"/>
        <v>0</v>
      </c>
    </row>
    <row r="6" spans="2:53">
      <c r="B6" s="1430" t="s">
        <v>4398</v>
      </c>
      <c r="C6" s="1430" t="s">
        <v>4401</v>
      </c>
      <c r="D6" s="1462">
        <v>26.98</v>
      </c>
      <c r="E6" s="1462">
        <v>544</v>
      </c>
      <c r="F6" s="1462">
        <v>26.98</v>
      </c>
      <c r="G6" s="1462">
        <v>64</v>
      </c>
      <c r="H6" s="1462">
        <v>517.02</v>
      </c>
      <c r="I6" s="1462">
        <f t="shared" si="7"/>
        <v>108.8</v>
      </c>
      <c r="J6" s="1462">
        <f t="shared" si="8"/>
        <v>5</v>
      </c>
      <c r="K6" s="1434"/>
      <c r="L6" s="1458">
        <f t="shared" si="2"/>
        <v>54.4</v>
      </c>
      <c r="M6" s="1458">
        <f t="shared" si="3"/>
        <v>108.8</v>
      </c>
      <c r="N6" s="1458">
        <f t="shared" si="4"/>
        <v>108.8</v>
      </c>
      <c r="O6" s="1458">
        <f t="shared" si="4"/>
        <v>108.8</v>
      </c>
      <c r="P6" s="1458">
        <f t="shared" si="4"/>
        <v>108.8</v>
      </c>
      <c r="Q6" s="1458">
        <f t="shared" si="5"/>
        <v>54.4</v>
      </c>
      <c r="R6" s="1458"/>
      <c r="S6" s="1458"/>
      <c r="T6" s="1458"/>
      <c r="U6" s="1458"/>
      <c r="AH6" s="1436">
        <f t="shared" si="9"/>
        <v>489.6</v>
      </c>
      <c r="AI6" s="1435">
        <f>+AH6-M6</f>
        <v>380.8</v>
      </c>
      <c r="AJ6" s="1435">
        <f t="shared" ref="AJ6:BA19" si="11">+AI6-N6</f>
        <v>272</v>
      </c>
      <c r="AK6" s="1435">
        <f t="shared" si="11"/>
        <v>163.19999999999999</v>
      </c>
      <c r="AL6" s="1435">
        <f t="shared" si="11"/>
        <v>54.399999999999991</v>
      </c>
      <c r="AM6" s="1435">
        <f t="shared" si="11"/>
        <v>0</v>
      </c>
      <c r="AN6" s="1435">
        <f t="shared" si="11"/>
        <v>0</v>
      </c>
      <c r="AO6" s="1435">
        <f t="shared" si="11"/>
        <v>0</v>
      </c>
      <c r="AP6" s="1435">
        <f t="shared" si="11"/>
        <v>0</v>
      </c>
      <c r="AQ6" s="1435">
        <f t="shared" si="11"/>
        <v>0</v>
      </c>
      <c r="AR6" s="1435">
        <f t="shared" si="11"/>
        <v>0</v>
      </c>
      <c r="AS6" s="1435">
        <f t="shared" si="11"/>
        <v>0</v>
      </c>
      <c r="AT6" s="1435">
        <f t="shared" si="11"/>
        <v>0</v>
      </c>
      <c r="AU6" s="1435">
        <f t="shared" si="11"/>
        <v>0</v>
      </c>
      <c r="AV6" s="1435">
        <f t="shared" si="11"/>
        <v>0</v>
      </c>
      <c r="AW6" s="1435">
        <f t="shared" si="11"/>
        <v>0</v>
      </c>
      <c r="AX6" s="1435">
        <f t="shared" si="11"/>
        <v>0</v>
      </c>
      <c r="AY6" s="1435">
        <f t="shared" si="11"/>
        <v>0</v>
      </c>
      <c r="AZ6" s="1435">
        <f t="shared" si="11"/>
        <v>0</v>
      </c>
      <c r="BA6" s="1435">
        <f t="shared" si="11"/>
        <v>0</v>
      </c>
    </row>
    <row r="7" spans="2:53">
      <c r="B7" s="1430" t="s">
        <v>4398</v>
      </c>
      <c r="C7" s="1430" t="s">
        <v>4402</v>
      </c>
      <c r="D7" s="1462">
        <v>21.57</v>
      </c>
      <c r="E7" s="1462">
        <v>435</v>
      </c>
      <c r="F7" s="1462">
        <v>21.57</v>
      </c>
      <c r="G7" s="1462">
        <v>64</v>
      </c>
      <c r="H7" s="1462">
        <v>413.43</v>
      </c>
      <c r="I7" s="1462">
        <f t="shared" si="7"/>
        <v>87</v>
      </c>
      <c r="J7" s="1462">
        <f t="shared" si="8"/>
        <v>5</v>
      </c>
      <c r="K7" s="1434"/>
      <c r="L7" s="1458">
        <f t="shared" si="2"/>
        <v>43.5</v>
      </c>
      <c r="M7" s="1458">
        <f t="shared" si="3"/>
        <v>87</v>
      </c>
      <c r="N7" s="1458">
        <f t="shared" si="4"/>
        <v>87</v>
      </c>
      <c r="O7" s="1458">
        <f t="shared" si="4"/>
        <v>87</v>
      </c>
      <c r="P7" s="1458">
        <f t="shared" si="4"/>
        <v>87</v>
      </c>
      <c r="Q7" s="1458">
        <f t="shared" si="5"/>
        <v>43.5</v>
      </c>
      <c r="R7" s="1458"/>
      <c r="S7" s="1458"/>
      <c r="T7" s="1458"/>
      <c r="U7" s="1458"/>
      <c r="AH7" s="1436">
        <f t="shared" si="9"/>
        <v>391.5</v>
      </c>
      <c r="AI7" s="1435">
        <f t="shared" ref="AI7:AI11" si="12">+AH7-M7</f>
        <v>304.5</v>
      </c>
      <c r="AJ7" s="1435">
        <f t="shared" si="11"/>
        <v>217.5</v>
      </c>
      <c r="AK7" s="1435">
        <f t="shared" si="11"/>
        <v>130.5</v>
      </c>
      <c r="AL7" s="1435">
        <f t="shared" si="11"/>
        <v>43.5</v>
      </c>
      <c r="AM7" s="1435">
        <f t="shared" si="11"/>
        <v>0</v>
      </c>
      <c r="AN7" s="1435">
        <f t="shared" si="11"/>
        <v>0</v>
      </c>
      <c r="AO7" s="1435">
        <f t="shared" si="11"/>
        <v>0</v>
      </c>
      <c r="AP7" s="1435">
        <f t="shared" si="11"/>
        <v>0</v>
      </c>
      <c r="AQ7" s="1435">
        <f t="shared" si="11"/>
        <v>0</v>
      </c>
      <c r="AR7" s="1435">
        <f t="shared" si="11"/>
        <v>0</v>
      </c>
      <c r="AS7" s="1435">
        <f t="shared" si="11"/>
        <v>0</v>
      </c>
      <c r="AT7" s="1435">
        <f t="shared" si="11"/>
        <v>0</v>
      </c>
      <c r="AU7" s="1435">
        <f t="shared" si="11"/>
        <v>0</v>
      </c>
      <c r="AV7" s="1435">
        <f t="shared" si="11"/>
        <v>0</v>
      </c>
      <c r="AW7" s="1435">
        <f t="shared" si="11"/>
        <v>0</v>
      </c>
      <c r="AX7" s="1435">
        <f t="shared" si="11"/>
        <v>0</v>
      </c>
      <c r="AY7" s="1435">
        <f t="shared" si="11"/>
        <v>0</v>
      </c>
      <c r="AZ7" s="1435">
        <f t="shared" si="11"/>
        <v>0</v>
      </c>
      <c r="BA7" s="1435">
        <f t="shared" si="11"/>
        <v>0</v>
      </c>
    </row>
    <row r="8" spans="2:53">
      <c r="B8" s="1430" t="s">
        <v>4398</v>
      </c>
      <c r="C8" s="1430" t="s">
        <v>4403</v>
      </c>
      <c r="D8" s="1462">
        <v>93.23</v>
      </c>
      <c r="E8" s="1462">
        <v>1880</v>
      </c>
      <c r="F8" s="1462">
        <v>93.23</v>
      </c>
      <c r="G8" s="1462">
        <v>64</v>
      </c>
      <c r="H8" s="1462">
        <v>1786.77</v>
      </c>
      <c r="I8" s="1462">
        <f t="shared" si="7"/>
        <v>376</v>
      </c>
      <c r="J8" s="1462">
        <f t="shared" si="8"/>
        <v>5</v>
      </c>
      <c r="K8" s="1434"/>
      <c r="L8" s="1458">
        <f t="shared" si="2"/>
        <v>188</v>
      </c>
      <c r="M8" s="1458">
        <f t="shared" si="3"/>
        <v>376</v>
      </c>
      <c r="N8" s="1458">
        <f t="shared" si="4"/>
        <v>376</v>
      </c>
      <c r="O8" s="1458">
        <f t="shared" si="4"/>
        <v>376</v>
      </c>
      <c r="P8" s="1458">
        <f t="shared" si="4"/>
        <v>376</v>
      </c>
      <c r="Q8" s="1458">
        <f t="shared" si="5"/>
        <v>188</v>
      </c>
      <c r="R8" s="1458"/>
      <c r="S8" s="1458"/>
      <c r="T8" s="1458"/>
      <c r="U8" s="1458"/>
      <c r="AH8" s="1436">
        <f t="shared" si="9"/>
        <v>1692</v>
      </c>
      <c r="AI8" s="1435">
        <f t="shared" si="12"/>
        <v>1316</v>
      </c>
      <c r="AJ8" s="1435">
        <f t="shared" si="11"/>
        <v>940</v>
      </c>
      <c r="AK8" s="1435">
        <f t="shared" si="11"/>
        <v>564</v>
      </c>
      <c r="AL8" s="1435">
        <f t="shared" si="11"/>
        <v>188</v>
      </c>
      <c r="AM8" s="1435">
        <f t="shared" si="11"/>
        <v>0</v>
      </c>
      <c r="AN8" s="1435">
        <f t="shared" si="11"/>
        <v>0</v>
      </c>
      <c r="AO8" s="1435">
        <f t="shared" si="11"/>
        <v>0</v>
      </c>
      <c r="AP8" s="1435">
        <f t="shared" si="11"/>
        <v>0</v>
      </c>
      <c r="AQ8" s="1435">
        <f t="shared" si="11"/>
        <v>0</v>
      </c>
      <c r="AR8" s="1435">
        <f t="shared" si="11"/>
        <v>0</v>
      </c>
      <c r="AS8" s="1435">
        <f t="shared" si="11"/>
        <v>0</v>
      </c>
      <c r="AT8" s="1435">
        <f t="shared" si="11"/>
        <v>0</v>
      </c>
      <c r="AU8" s="1435">
        <f t="shared" si="11"/>
        <v>0</v>
      </c>
      <c r="AV8" s="1435">
        <f t="shared" si="11"/>
        <v>0</v>
      </c>
      <c r="AW8" s="1435">
        <f t="shared" si="11"/>
        <v>0</v>
      </c>
      <c r="AX8" s="1435">
        <f t="shared" si="11"/>
        <v>0</v>
      </c>
      <c r="AY8" s="1435">
        <f t="shared" si="11"/>
        <v>0</v>
      </c>
      <c r="AZ8" s="1435">
        <f t="shared" si="11"/>
        <v>0</v>
      </c>
      <c r="BA8" s="1435">
        <f t="shared" si="11"/>
        <v>0</v>
      </c>
    </row>
    <row r="9" spans="2:53">
      <c r="B9" s="1430" t="s">
        <v>4398</v>
      </c>
      <c r="C9" s="1430" t="s">
        <v>4404</v>
      </c>
      <c r="D9" s="1462">
        <v>1041.3700000000001</v>
      </c>
      <c r="E9" s="1462">
        <v>21000</v>
      </c>
      <c r="F9" s="1462">
        <v>1041.3700000000001</v>
      </c>
      <c r="G9" s="1462">
        <v>64</v>
      </c>
      <c r="H9" s="1462">
        <v>19958.63</v>
      </c>
      <c r="I9" s="1462">
        <f t="shared" si="7"/>
        <v>4200</v>
      </c>
      <c r="J9" s="1462">
        <f t="shared" si="8"/>
        <v>5</v>
      </c>
      <c r="K9" s="1434"/>
      <c r="L9" s="1458">
        <f t="shared" si="2"/>
        <v>2100</v>
      </c>
      <c r="M9" s="1458">
        <f t="shared" si="3"/>
        <v>4200</v>
      </c>
      <c r="N9" s="1458">
        <f t="shared" si="4"/>
        <v>4200</v>
      </c>
      <c r="O9" s="1458">
        <f t="shared" si="4"/>
        <v>4200</v>
      </c>
      <c r="P9" s="1458">
        <f t="shared" si="4"/>
        <v>4200</v>
      </c>
      <c r="Q9" s="1458">
        <f t="shared" si="5"/>
        <v>2100</v>
      </c>
      <c r="R9" s="1458"/>
      <c r="S9" s="1458"/>
      <c r="T9" s="1458"/>
      <c r="U9" s="1458"/>
      <c r="AH9" s="1436">
        <f t="shared" si="9"/>
        <v>18900</v>
      </c>
      <c r="AI9" s="1435">
        <f t="shared" si="12"/>
        <v>14700</v>
      </c>
      <c r="AJ9" s="1435">
        <f t="shared" si="11"/>
        <v>10500</v>
      </c>
      <c r="AK9" s="1435">
        <f t="shared" si="11"/>
        <v>6300</v>
      </c>
      <c r="AL9" s="1435">
        <f t="shared" si="11"/>
        <v>2100</v>
      </c>
      <c r="AM9" s="1435">
        <f t="shared" si="11"/>
        <v>0</v>
      </c>
      <c r="AN9" s="1435">
        <f t="shared" si="11"/>
        <v>0</v>
      </c>
      <c r="AO9" s="1435">
        <f t="shared" si="11"/>
        <v>0</v>
      </c>
      <c r="AP9" s="1435">
        <f t="shared" si="11"/>
        <v>0</v>
      </c>
      <c r="AQ9" s="1435">
        <f t="shared" si="11"/>
        <v>0</v>
      </c>
      <c r="AR9" s="1435">
        <f t="shared" si="11"/>
        <v>0</v>
      </c>
      <c r="AS9" s="1435">
        <f t="shared" si="11"/>
        <v>0</v>
      </c>
      <c r="AT9" s="1435">
        <f t="shared" si="11"/>
        <v>0</v>
      </c>
      <c r="AU9" s="1435">
        <f t="shared" si="11"/>
        <v>0</v>
      </c>
      <c r="AV9" s="1435">
        <f t="shared" si="11"/>
        <v>0</v>
      </c>
      <c r="AW9" s="1435">
        <f t="shared" si="11"/>
        <v>0</v>
      </c>
      <c r="AX9" s="1435">
        <f t="shared" si="11"/>
        <v>0</v>
      </c>
      <c r="AY9" s="1435">
        <f t="shared" si="11"/>
        <v>0</v>
      </c>
      <c r="AZ9" s="1435">
        <f t="shared" si="11"/>
        <v>0</v>
      </c>
      <c r="BA9" s="1435">
        <f t="shared" si="11"/>
        <v>0</v>
      </c>
    </row>
    <row r="10" spans="2:53">
      <c r="B10" s="1430" t="s">
        <v>4398</v>
      </c>
      <c r="C10" s="1430" t="s">
        <v>4405</v>
      </c>
      <c r="D10" s="1462">
        <v>1810</v>
      </c>
      <c r="E10" s="1462">
        <v>36500</v>
      </c>
      <c r="F10" s="1462">
        <v>1810</v>
      </c>
      <c r="G10" s="1462">
        <v>64</v>
      </c>
      <c r="H10" s="1462">
        <v>34690</v>
      </c>
      <c r="I10" s="1462">
        <f t="shared" si="7"/>
        <v>7300</v>
      </c>
      <c r="J10" s="1462">
        <f t="shared" si="8"/>
        <v>5</v>
      </c>
      <c r="K10" s="1434"/>
      <c r="L10" s="1458">
        <f t="shared" si="2"/>
        <v>3650</v>
      </c>
      <c r="M10" s="1458">
        <f t="shared" si="3"/>
        <v>7300</v>
      </c>
      <c r="N10" s="1458">
        <f t="shared" si="4"/>
        <v>7300</v>
      </c>
      <c r="O10" s="1458">
        <f t="shared" si="4"/>
        <v>7300</v>
      </c>
      <c r="P10" s="1458">
        <f t="shared" si="4"/>
        <v>7300</v>
      </c>
      <c r="Q10" s="1458">
        <f t="shared" si="5"/>
        <v>3650</v>
      </c>
      <c r="R10" s="1458"/>
      <c r="S10" s="1458"/>
      <c r="T10" s="1458"/>
      <c r="U10" s="1458"/>
      <c r="AH10" s="1436">
        <f t="shared" si="9"/>
        <v>32850</v>
      </c>
      <c r="AI10" s="1435">
        <f t="shared" si="12"/>
        <v>25550</v>
      </c>
      <c r="AJ10" s="1435">
        <f t="shared" si="11"/>
        <v>18250</v>
      </c>
      <c r="AK10" s="1435">
        <f t="shared" si="11"/>
        <v>10950</v>
      </c>
      <c r="AL10" s="1435">
        <f t="shared" si="11"/>
        <v>3650</v>
      </c>
      <c r="AM10" s="1435">
        <f t="shared" si="11"/>
        <v>0</v>
      </c>
      <c r="AN10" s="1435">
        <f t="shared" si="11"/>
        <v>0</v>
      </c>
      <c r="AO10" s="1435">
        <f t="shared" si="11"/>
        <v>0</v>
      </c>
      <c r="AP10" s="1435">
        <f t="shared" si="11"/>
        <v>0</v>
      </c>
      <c r="AQ10" s="1435">
        <f t="shared" si="11"/>
        <v>0</v>
      </c>
      <c r="AR10" s="1435">
        <f t="shared" si="11"/>
        <v>0</v>
      </c>
      <c r="AS10" s="1435">
        <f t="shared" si="11"/>
        <v>0</v>
      </c>
      <c r="AT10" s="1435">
        <f t="shared" si="11"/>
        <v>0</v>
      </c>
      <c r="AU10" s="1435">
        <f t="shared" si="11"/>
        <v>0</v>
      </c>
      <c r="AV10" s="1435">
        <f t="shared" si="11"/>
        <v>0</v>
      </c>
      <c r="AW10" s="1435">
        <f t="shared" si="11"/>
        <v>0</v>
      </c>
      <c r="AX10" s="1435">
        <f t="shared" si="11"/>
        <v>0</v>
      </c>
      <c r="AY10" s="1435">
        <f t="shared" si="11"/>
        <v>0</v>
      </c>
      <c r="AZ10" s="1435">
        <f t="shared" si="11"/>
        <v>0</v>
      </c>
      <c r="BA10" s="1435">
        <f t="shared" si="11"/>
        <v>0</v>
      </c>
    </row>
    <row r="11" spans="2:53">
      <c r="B11" s="1430" t="s">
        <v>4398</v>
      </c>
      <c r="C11" s="1430" t="s">
        <v>4406</v>
      </c>
      <c r="D11" s="1462">
        <v>1810</v>
      </c>
      <c r="E11" s="1462">
        <v>36500</v>
      </c>
      <c r="F11" s="1462">
        <v>1810</v>
      </c>
      <c r="G11" s="1462">
        <v>64</v>
      </c>
      <c r="H11" s="1462">
        <v>34690</v>
      </c>
      <c r="I11" s="1462">
        <f t="shared" si="7"/>
        <v>7300</v>
      </c>
      <c r="J11" s="1462">
        <f t="shared" si="8"/>
        <v>5</v>
      </c>
      <c r="K11" s="1434"/>
      <c r="L11" s="1458">
        <f t="shared" si="2"/>
        <v>3650</v>
      </c>
      <c r="M11" s="1458">
        <f t="shared" si="3"/>
        <v>7300</v>
      </c>
      <c r="N11" s="1458">
        <f t="shared" si="4"/>
        <v>7300</v>
      </c>
      <c r="O11" s="1458">
        <f t="shared" si="4"/>
        <v>7300</v>
      </c>
      <c r="P11" s="1458">
        <f t="shared" si="4"/>
        <v>7300</v>
      </c>
      <c r="Q11" s="1458">
        <f t="shared" si="5"/>
        <v>3650</v>
      </c>
      <c r="R11" s="1458"/>
      <c r="S11" s="1458"/>
      <c r="T11" s="1458"/>
      <c r="U11" s="1458"/>
      <c r="AH11" s="1436">
        <f t="shared" si="9"/>
        <v>32850</v>
      </c>
      <c r="AI11" s="1435">
        <f t="shared" si="12"/>
        <v>25550</v>
      </c>
      <c r="AJ11" s="1435">
        <f t="shared" si="11"/>
        <v>18250</v>
      </c>
      <c r="AK11" s="1435">
        <f t="shared" si="11"/>
        <v>10950</v>
      </c>
      <c r="AL11" s="1435">
        <f t="shared" si="11"/>
        <v>3650</v>
      </c>
      <c r="AM11" s="1435">
        <f t="shared" si="11"/>
        <v>0</v>
      </c>
      <c r="AN11" s="1435">
        <f t="shared" si="11"/>
        <v>0</v>
      </c>
      <c r="AO11" s="1435">
        <f t="shared" si="11"/>
        <v>0</v>
      </c>
      <c r="AP11" s="1435">
        <f t="shared" si="11"/>
        <v>0</v>
      </c>
      <c r="AQ11" s="1435">
        <f t="shared" si="11"/>
        <v>0</v>
      </c>
      <c r="AR11" s="1435">
        <f t="shared" si="11"/>
        <v>0</v>
      </c>
      <c r="AS11" s="1435">
        <f t="shared" si="11"/>
        <v>0</v>
      </c>
      <c r="AT11" s="1435">
        <f t="shared" si="11"/>
        <v>0</v>
      </c>
      <c r="AU11" s="1435">
        <f t="shared" si="11"/>
        <v>0</v>
      </c>
      <c r="AV11" s="1435">
        <f t="shared" si="11"/>
        <v>0</v>
      </c>
      <c r="AW11" s="1435">
        <f t="shared" si="11"/>
        <v>0</v>
      </c>
      <c r="AX11" s="1435">
        <f t="shared" si="11"/>
        <v>0</v>
      </c>
      <c r="AY11" s="1435">
        <f t="shared" si="11"/>
        <v>0</v>
      </c>
      <c r="AZ11" s="1435">
        <f t="shared" si="11"/>
        <v>0</v>
      </c>
      <c r="BA11" s="1435">
        <f t="shared" si="11"/>
        <v>0</v>
      </c>
    </row>
    <row r="12" spans="2:53">
      <c r="B12" s="1437"/>
      <c r="C12" s="1438"/>
      <c r="D12" s="1463">
        <v>8051.2300000000005</v>
      </c>
      <c r="E12" s="1463">
        <v>162359</v>
      </c>
      <c r="F12" s="1463">
        <v>8051.2300000000005</v>
      </c>
      <c r="G12" s="1463"/>
      <c r="H12" s="1463">
        <v>154307.76999999999</v>
      </c>
      <c r="I12" s="1463"/>
      <c r="J12" s="1463"/>
      <c r="K12" s="1439"/>
      <c r="AH12" s="1436"/>
      <c r="AI12" s="1435"/>
      <c r="AJ12" s="1435"/>
      <c r="AK12" s="1435"/>
      <c r="AL12" s="1435"/>
      <c r="AM12" s="1435"/>
      <c r="AN12" s="1435"/>
      <c r="AO12" s="1435"/>
      <c r="AP12" s="1435"/>
      <c r="AQ12" s="1435"/>
      <c r="AR12" s="1435"/>
      <c r="AS12" s="1435"/>
      <c r="AT12" s="1435"/>
      <c r="AU12" s="1435"/>
      <c r="AV12" s="1435"/>
      <c r="AW12" s="1435"/>
      <c r="AX12" s="1435"/>
      <c r="AY12" s="1435"/>
      <c r="AZ12" s="1435"/>
      <c r="BA12" s="1435"/>
    </row>
    <row r="13" spans="2:53">
      <c r="B13" s="1430" t="s">
        <v>1106</v>
      </c>
      <c r="C13" s="1430" t="s">
        <v>4407</v>
      </c>
      <c r="D13" s="1462">
        <v>173.56</v>
      </c>
      <c r="E13" s="1462">
        <v>5600</v>
      </c>
      <c r="F13" s="1462">
        <v>173.56</v>
      </c>
      <c r="G13" s="1462">
        <v>46</v>
      </c>
      <c r="H13" s="1462">
        <v>5426.4400000000005</v>
      </c>
      <c r="I13" s="1462">
        <f>+E13/8</f>
        <v>700</v>
      </c>
      <c r="J13" s="1462">
        <f t="shared" ref="J13:J19" si="13">+E13/I13</f>
        <v>8</v>
      </c>
      <c r="K13" s="1434"/>
      <c r="L13" s="1458">
        <f t="shared" ref="L13:L19" si="14">+I13/2</f>
        <v>350</v>
      </c>
      <c r="M13" s="1458">
        <f t="shared" ref="M13:M19" si="15">+I13</f>
        <v>700</v>
      </c>
      <c r="N13" s="1458">
        <f t="shared" ref="N13:S19" si="16">+M13</f>
        <v>700</v>
      </c>
      <c r="O13" s="1458">
        <f t="shared" si="16"/>
        <v>700</v>
      </c>
      <c r="P13" s="1458">
        <f t="shared" si="16"/>
        <v>700</v>
      </c>
      <c r="Q13" s="1458">
        <f t="shared" si="16"/>
        <v>700</v>
      </c>
      <c r="R13" s="1458">
        <f t="shared" si="16"/>
        <v>700</v>
      </c>
      <c r="S13" s="1458">
        <f t="shared" si="16"/>
        <v>700</v>
      </c>
      <c r="T13" s="1458">
        <f t="shared" ref="T13:T19" si="17">+S13/2</f>
        <v>350</v>
      </c>
      <c r="U13" s="1458"/>
      <c r="V13" s="1458"/>
      <c r="W13" s="1458"/>
      <c r="X13" s="1458"/>
      <c r="Y13" s="1458"/>
      <c r="Z13" s="1458"/>
      <c r="AA13" s="1458"/>
      <c r="AH13" s="1436">
        <f>+$E13-L13</f>
        <v>5250</v>
      </c>
      <c r="AI13" s="1435">
        <f>+AH13-M13</f>
        <v>4550</v>
      </c>
      <c r="AJ13" s="1435">
        <f t="shared" si="11"/>
        <v>3850</v>
      </c>
      <c r="AK13" s="1435">
        <f t="shared" si="11"/>
        <v>3150</v>
      </c>
      <c r="AL13" s="1435">
        <f t="shared" si="11"/>
        <v>2450</v>
      </c>
      <c r="AM13" s="1435">
        <f t="shared" si="11"/>
        <v>1750</v>
      </c>
      <c r="AN13" s="1435">
        <f t="shared" si="11"/>
        <v>1050</v>
      </c>
      <c r="AO13" s="1435">
        <f t="shared" si="11"/>
        <v>350</v>
      </c>
      <c r="AP13" s="1435">
        <f t="shared" si="11"/>
        <v>0</v>
      </c>
      <c r="AQ13" s="1435">
        <f t="shared" si="11"/>
        <v>0</v>
      </c>
      <c r="AR13" s="1435">
        <f t="shared" si="11"/>
        <v>0</v>
      </c>
      <c r="AS13" s="1435">
        <f t="shared" si="11"/>
        <v>0</v>
      </c>
      <c r="AT13" s="1435">
        <f t="shared" si="11"/>
        <v>0</v>
      </c>
      <c r="AU13" s="1435">
        <f t="shared" si="11"/>
        <v>0</v>
      </c>
      <c r="AV13" s="1435">
        <f t="shared" si="11"/>
        <v>0</v>
      </c>
      <c r="AW13" s="1435">
        <f t="shared" si="11"/>
        <v>0</v>
      </c>
      <c r="AX13" s="1435">
        <f t="shared" si="11"/>
        <v>0</v>
      </c>
      <c r="AY13" s="1435">
        <f t="shared" si="11"/>
        <v>0</v>
      </c>
      <c r="AZ13" s="1435">
        <f t="shared" si="11"/>
        <v>0</v>
      </c>
      <c r="BA13" s="1435">
        <f t="shared" si="11"/>
        <v>0</v>
      </c>
    </row>
    <row r="14" spans="2:53">
      <c r="B14" s="1430" t="s">
        <v>1106</v>
      </c>
      <c r="C14" s="1430" t="s">
        <v>4408</v>
      </c>
      <c r="D14" s="1462">
        <v>86.78</v>
      </c>
      <c r="E14" s="1462">
        <v>2800</v>
      </c>
      <c r="F14" s="1462">
        <v>86.78</v>
      </c>
      <c r="G14" s="1462">
        <v>46</v>
      </c>
      <c r="H14" s="1462">
        <v>2713.2200000000003</v>
      </c>
      <c r="I14" s="1462">
        <f t="shared" ref="I14:I19" si="18">+E14/8</f>
        <v>350</v>
      </c>
      <c r="J14" s="1462">
        <f t="shared" si="13"/>
        <v>8</v>
      </c>
      <c r="K14" s="1434"/>
      <c r="L14" s="1458">
        <f t="shared" si="14"/>
        <v>175</v>
      </c>
      <c r="M14" s="1458">
        <f t="shared" si="15"/>
        <v>350</v>
      </c>
      <c r="N14" s="1458">
        <f t="shared" si="16"/>
        <v>350</v>
      </c>
      <c r="O14" s="1458">
        <f t="shared" si="16"/>
        <v>350</v>
      </c>
      <c r="P14" s="1458">
        <f t="shared" si="16"/>
        <v>350</v>
      </c>
      <c r="Q14" s="1458">
        <f t="shared" si="16"/>
        <v>350</v>
      </c>
      <c r="R14" s="1458">
        <f t="shared" si="16"/>
        <v>350</v>
      </c>
      <c r="S14" s="1458">
        <f t="shared" si="16"/>
        <v>350</v>
      </c>
      <c r="T14" s="1458">
        <f t="shared" si="17"/>
        <v>175</v>
      </c>
      <c r="U14" s="1458"/>
      <c r="V14" s="1458"/>
      <c r="W14" s="1458"/>
      <c r="X14" s="1458"/>
      <c r="Y14" s="1458"/>
      <c r="Z14" s="1458"/>
      <c r="AA14" s="1458"/>
      <c r="AH14" s="1436">
        <f>+$E14-L14</f>
        <v>2625</v>
      </c>
      <c r="AI14" s="1435">
        <f>+AH14-M14</f>
        <v>2275</v>
      </c>
      <c r="AJ14" s="1435">
        <f t="shared" si="11"/>
        <v>1925</v>
      </c>
      <c r="AK14" s="1435">
        <f t="shared" si="11"/>
        <v>1575</v>
      </c>
      <c r="AL14" s="1435">
        <f t="shared" si="11"/>
        <v>1225</v>
      </c>
      <c r="AM14" s="1435">
        <f t="shared" si="11"/>
        <v>875</v>
      </c>
      <c r="AN14" s="1435">
        <f t="shared" si="11"/>
        <v>525</v>
      </c>
      <c r="AO14" s="1435">
        <f t="shared" si="11"/>
        <v>175</v>
      </c>
      <c r="AP14" s="1435">
        <f t="shared" si="11"/>
        <v>0</v>
      </c>
      <c r="AQ14" s="1435">
        <f t="shared" si="11"/>
        <v>0</v>
      </c>
      <c r="AR14" s="1435">
        <f t="shared" si="11"/>
        <v>0</v>
      </c>
      <c r="AS14" s="1435">
        <f t="shared" si="11"/>
        <v>0</v>
      </c>
      <c r="AT14" s="1435">
        <f t="shared" si="11"/>
        <v>0</v>
      </c>
      <c r="AU14" s="1435">
        <f t="shared" si="11"/>
        <v>0</v>
      </c>
      <c r="AV14" s="1435">
        <f t="shared" si="11"/>
        <v>0</v>
      </c>
      <c r="AW14" s="1435">
        <f t="shared" si="11"/>
        <v>0</v>
      </c>
      <c r="AX14" s="1435">
        <f t="shared" si="11"/>
        <v>0</v>
      </c>
      <c r="AY14" s="1435">
        <f t="shared" si="11"/>
        <v>0</v>
      </c>
      <c r="AZ14" s="1435">
        <f t="shared" si="11"/>
        <v>0</v>
      </c>
      <c r="BA14" s="1435">
        <f t="shared" si="11"/>
        <v>0</v>
      </c>
    </row>
    <row r="15" spans="2:53">
      <c r="B15" s="1430" t="s">
        <v>1106</v>
      </c>
      <c r="C15" s="1430" t="s">
        <v>4409</v>
      </c>
      <c r="D15" s="1462">
        <v>173.56</v>
      </c>
      <c r="E15" s="1462">
        <v>5600</v>
      </c>
      <c r="F15" s="1462">
        <v>173.56</v>
      </c>
      <c r="G15" s="1462">
        <v>46</v>
      </c>
      <c r="H15" s="1462">
        <v>5426.4400000000005</v>
      </c>
      <c r="I15" s="1462">
        <f t="shared" si="18"/>
        <v>700</v>
      </c>
      <c r="J15" s="1462">
        <f t="shared" si="13"/>
        <v>8</v>
      </c>
      <c r="K15" s="1434"/>
      <c r="L15" s="1458">
        <f t="shared" si="14"/>
        <v>350</v>
      </c>
      <c r="M15" s="1458">
        <f t="shared" si="15"/>
        <v>700</v>
      </c>
      <c r="N15" s="1458">
        <f t="shared" si="16"/>
        <v>700</v>
      </c>
      <c r="O15" s="1458">
        <f t="shared" si="16"/>
        <v>700</v>
      </c>
      <c r="P15" s="1458">
        <f t="shared" si="16"/>
        <v>700</v>
      </c>
      <c r="Q15" s="1458">
        <f t="shared" si="16"/>
        <v>700</v>
      </c>
      <c r="R15" s="1458">
        <f t="shared" si="16"/>
        <v>700</v>
      </c>
      <c r="S15" s="1458">
        <f t="shared" si="16"/>
        <v>700</v>
      </c>
      <c r="T15" s="1458">
        <f t="shared" si="17"/>
        <v>350</v>
      </c>
      <c r="U15" s="1458"/>
      <c r="V15" s="1458"/>
      <c r="W15" s="1458"/>
      <c r="X15" s="1458"/>
      <c r="Y15" s="1458"/>
      <c r="Z15" s="1458"/>
      <c r="AA15" s="1458"/>
      <c r="AH15" s="1436">
        <f>+$E15-L15</f>
        <v>5250</v>
      </c>
      <c r="AI15" s="1435">
        <f>+AH15-M15</f>
        <v>4550</v>
      </c>
      <c r="AJ15" s="1435">
        <f t="shared" si="11"/>
        <v>3850</v>
      </c>
      <c r="AK15" s="1435">
        <f t="shared" si="11"/>
        <v>3150</v>
      </c>
      <c r="AL15" s="1435">
        <f t="shared" si="11"/>
        <v>2450</v>
      </c>
      <c r="AM15" s="1435">
        <f t="shared" si="11"/>
        <v>1750</v>
      </c>
      <c r="AN15" s="1435">
        <f t="shared" si="11"/>
        <v>1050</v>
      </c>
      <c r="AO15" s="1435">
        <f t="shared" si="11"/>
        <v>350</v>
      </c>
      <c r="AP15" s="1435">
        <f t="shared" si="11"/>
        <v>0</v>
      </c>
      <c r="AQ15" s="1435">
        <f t="shared" si="11"/>
        <v>0</v>
      </c>
      <c r="AR15" s="1435">
        <f t="shared" si="11"/>
        <v>0</v>
      </c>
      <c r="AS15" s="1435">
        <f t="shared" si="11"/>
        <v>0</v>
      </c>
      <c r="AT15" s="1435">
        <f t="shared" si="11"/>
        <v>0</v>
      </c>
      <c r="AU15" s="1435">
        <f t="shared" si="11"/>
        <v>0</v>
      </c>
      <c r="AV15" s="1435">
        <f t="shared" si="11"/>
        <v>0</v>
      </c>
      <c r="AW15" s="1435">
        <f t="shared" si="11"/>
        <v>0</v>
      </c>
      <c r="AX15" s="1435">
        <f t="shared" si="11"/>
        <v>0</v>
      </c>
      <c r="AY15" s="1435">
        <f t="shared" si="11"/>
        <v>0</v>
      </c>
      <c r="AZ15" s="1435">
        <f t="shared" si="11"/>
        <v>0</v>
      </c>
      <c r="BA15" s="1435">
        <f t="shared" si="11"/>
        <v>0</v>
      </c>
    </row>
    <row r="16" spans="2:53">
      <c r="B16" s="1430" t="s">
        <v>1106</v>
      </c>
      <c r="C16" s="1430" t="s">
        <v>4410</v>
      </c>
      <c r="D16" s="1462">
        <v>161.16</v>
      </c>
      <c r="E16" s="1462">
        <v>5200</v>
      </c>
      <c r="F16" s="1462">
        <v>161.16</v>
      </c>
      <c r="G16" s="1462">
        <v>46</v>
      </c>
      <c r="H16" s="1462">
        <v>5038.84</v>
      </c>
      <c r="I16" s="1462">
        <f t="shared" si="18"/>
        <v>650</v>
      </c>
      <c r="J16" s="1462">
        <f t="shared" si="13"/>
        <v>8</v>
      </c>
      <c r="K16" s="1434"/>
      <c r="L16" s="1458">
        <f t="shared" si="14"/>
        <v>325</v>
      </c>
      <c r="M16" s="1458">
        <f t="shared" si="15"/>
        <v>650</v>
      </c>
      <c r="N16" s="1458">
        <f t="shared" si="16"/>
        <v>650</v>
      </c>
      <c r="O16" s="1458">
        <f t="shared" si="16"/>
        <v>650</v>
      </c>
      <c r="P16" s="1458">
        <f t="shared" si="16"/>
        <v>650</v>
      </c>
      <c r="Q16" s="1458">
        <f t="shared" si="16"/>
        <v>650</v>
      </c>
      <c r="R16" s="1458">
        <f t="shared" si="16"/>
        <v>650</v>
      </c>
      <c r="S16" s="1458">
        <f t="shared" si="16"/>
        <v>650</v>
      </c>
      <c r="T16" s="1458">
        <f t="shared" si="17"/>
        <v>325</v>
      </c>
      <c r="U16" s="1458"/>
      <c r="V16" s="1458"/>
      <c r="W16" s="1458"/>
      <c r="X16" s="1458"/>
      <c r="Y16" s="1458"/>
      <c r="Z16" s="1458"/>
      <c r="AA16" s="1458"/>
      <c r="AH16" s="1436">
        <f>+$E16-L16</f>
        <v>4875</v>
      </c>
      <c r="AI16" s="1435">
        <f>+AH16-M16</f>
        <v>4225</v>
      </c>
      <c r="AJ16" s="1435">
        <f t="shared" si="11"/>
        <v>3575</v>
      </c>
      <c r="AK16" s="1435">
        <f t="shared" si="11"/>
        <v>2925</v>
      </c>
      <c r="AL16" s="1435">
        <f t="shared" si="11"/>
        <v>2275</v>
      </c>
      <c r="AM16" s="1435">
        <f t="shared" si="11"/>
        <v>1625</v>
      </c>
      <c r="AN16" s="1435">
        <f t="shared" si="11"/>
        <v>975</v>
      </c>
      <c r="AO16" s="1435">
        <f t="shared" si="11"/>
        <v>325</v>
      </c>
      <c r="AP16" s="1435">
        <f t="shared" si="11"/>
        <v>0</v>
      </c>
      <c r="AQ16" s="1435">
        <f t="shared" si="11"/>
        <v>0</v>
      </c>
      <c r="AR16" s="1435">
        <f t="shared" si="11"/>
        <v>0</v>
      </c>
      <c r="AS16" s="1435">
        <f t="shared" si="11"/>
        <v>0</v>
      </c>
      <c r="AT16" s="1435">
        <f t="shared" si="11"/>
        <v>0</v>
      </c>
      <c r="AU16" s="1435">
        <f t="shared" si="11"/>
        <v>0</v>
      </c>
      <c r="AV16" s="1435">
        <f t="shared" si="11"/>
        <v>0</v>
      </c>
      <c r="AW16" s="1435">
        <f t="shared" si="11"/>
        <v>0</v>
      </c>
      <c r="AX16" s="1435">
        <f t="shared" si="11"/>
        <v>0</v>
      </c>
      <c r="AY16" s="1435">
        <f t="shared" si="11"/>
        <v>0</v>
      </c>
      <c r="AZ16" s="1435">
        <f t="shared" si="11"/>
        <v>0</v>
      </c>
      <c r="BA16" s="1435">
        <f t="shared" si="11"/>
        <v>0</v>
      </c>
    </row>
    <row r="17" spans="2:53">
      <c r="B17" s="1430" t="s">
        <v>1106</v>
      </c>
      <c r="C17" s="1430" t="s">
        <v>4411</v>
      </c>
      <c r="D17" s="1462">
        <v>173.56</v>
      </c>
      <c r="E17" s="1462">
        <v>5600</v>
      </c>
      <c r="F17" s="1462">
        <v>173.56</v>
      </c>
      <c r="G17" s="1462">
        <v>46</v>
      </c>
      <c r="H17" s="1462">
        <v>5426.4400000000005</v>
      </c>
      <c r="I17" s="1462">
        <f t="shared" si="18"/>
        <v>700</v>
      </c>
      <c r="J17" s="1462">
        <f t="shared" si="13"/>
        <v>8</v>
      </c>
      <c r="K17" s="1434"/>
      <c r="L17" s="1458">
        <f t="shared" si="14"/>
        <v>350</v>
      </c>
      <c r="M17" s="1458">
        <f t="shared" si="15"/>
        <v>700</v>
      </c>
      <c r="N17" s="1458">
        <f t="shared" si="16"/>
        <v>700</v>
      </c>
      <c r="O17" s="1458">
        <f t="shared" si="16"/>
        <v>700</v>
      </c>
      <c r="P17" s="1458">
        <f t="shared" si="16"/>
        <v>700</v>
      </c>
      <c r="Q17" s="1458">
        <f t="shared" si="16"/>
        <v>700</v>
      </c>
      <c r="R17" s="1458">
        <f t="shared" si="16"/>
        <v>700</v>
      </c>
      <c r="S17" s="1458">
        <f t="shared" si="16"/>
        <v>700</v>
      </c>
      <c r="T17" s="1458">
        <f t="shared" si="17"/>
        <v>350</v>
      </c>
      <c r="U17" s="1458"/>
      <c r="V17" s="1458"/>
      <c r="W17" s="1458"/>
      <c r="X17" s="1458"/>
      <c r="Y17" s="1458"/>
      <c r="Z17" s="1458"/>
      <c r="AA17" s="1458"/>
      <c r="AH17" s="1436">
        <f>+$E17-L17</f>
        <v>5250</v>
      </c>
      <c r="AI17" s="1435">
        <f>+AH17-M17</f>
        <v>4550</v>
      </c>
      <c r="AJ17" s="1435">
        <f t="shared" si="11"/>
        <v>3850</v>
      </c>
      <c r="AK17" s="1435">
        <f t="shared" si="11"/>
        <v>3150</v>
      </c>
      <c r="AL17" s="1435">
        <f t="shared" si="11"/>
        <v>2450</v>
      </c>
      <c r="AM17" s="1435">
        <f t="shared" si="11"/>
        <v>1750</v>
      </c>
      <c r="AN17" s="1435">
        <f t="shared" si="11"/>
        <v>1050</v>
      </c>
      <c r="AO17" s="1435">
        <f t="shared" si="11"/>
        <v>350</v>
      </c>
      <c r="AP17" s="1435">
        <f t="shared" si="11"/>
        <v>0</v>
      </c>
      <c r="AQ17" s="1435">
        <f t="shared" si="11"/>
        <v>0</v>
      </c>
      <c r="AR17" s="1435">
        <f t="shared" si="11"/>
        <v>0</v>
      </c>
      <c r="AS17" s="1435">
        <f t="shared" si="11"/>
        <v>0</v>
      </c>
      <c r="AT17" s="1435">
        <f t="shared" si="11"/>
        <v>0</v>
      </c>
      <c r="AU17" s="1435">
        <f t="shared" si="11"/>
        <v>0</v>
      </c>
      <c r="AV17" s="1435">
        <f t="shared" si="11"/>
        <v>0</v>
      </c>
      <c r="AW17" s="1435">
        <f t="shared" si="11"/>
        <v>0</v>
      </c>
      <c r="AX17" s="1435">
        <f t="shared" si="11"/>
        <v>0</v>
      </c>
      <c r="AY17" s="1435">
        <f t="shared" si="11"/>
        <v>0</v>
      </c>
      <c r="AZ17" s="1435">
        <f t="shared" si="11"/>
        <v>0</v>
      </c>
      <c r="BA17" s="1435">
        <f t="shared" si="11"/>
        <v>0</v>
      </c>
    </row>
    <row r="18" spans="2:53">
      <c r="B18" s="1430" t="s">
        <v>1106</v>
      </c>
      <c r="C18" s="1430" t="s">
        <v>4412</v>
      </c>
      <c r="D18" s="1462">
        <v>61.99</v>
      </c>
      <c r="E18" s="1462">
        <v>2000</v>
      </c>
      <c r="F18" s="1462">
        <v>61.99</v>
      </c>
      <c r="G18" s="1462">
        <v>46</v>
      </c>
      <c r="H18" s="1462">
        <v>1938.01</v>
      </c>
      <c r="I18" s="1462">
        <f t="shared" si="18"/>
        <v>250</v>
      </c>
      <c r="J18" s="1462">
        <f t="shared" si="13"/>
        <v>8</v>
      </c>
      <c r="K18" s="1434"/>
      <c r="L18" s="1458">
        <f t="shared" si="14"/>
        <v>125</v>
      </c>
      <c r="M18" s="1458">
        <f t="shared" si="15"/>
        <v>250</v>
      </c>
      <c r="N18" s="1458">
        <f t="shared" si="16"/>
        <v>250</v>
      </c>
      <c r="O18" s="1458">
        <f t="shared" si="16"/>
        <v>250</v>
      </c>
      <c r="P18" s="1458">
        <f t="shared" si="16"/>
        <v>250</v>
      </c>
      <c r="Q18" s="1458">
        <f t="shared" si="16"/>
        <v>250</v>
      </c>
      <c r="R18" s="1458">
        <f t="shared" si="16"/>
        <v>250</v>
      </c>
      <c r="S18" s="1458">
        <f t="shared" si="16"/>
        <v>250</v>
      </c>
      <c r="T18" s="1458">
        <f t="shared" si="17"/>
        <v>125</v>
      </c>
      <c r="U18" s="1458"/>
      <c r="V18" s="1458"/>
      <c r="W18" s="1458"/>
      <c r="X18" s="1458"/>
      <c r="Y18" s="1458"/>
      <c r="Z18" s="1458"/>
      <c r="AA18" s="1458"/>
      <c r="AH18" s="1436">
        <f t="shared" ref="AH18:AH67" si="19">+$E18-L18</f>
        <v>1875</v>
      </c>
      <c r="AI18" s="1435">
        <f t="shared" ref="AI18:AL33" si="20">+AH18-M18</f>
        <v>1625</v>
      </c>
      <c r="AJ18" s="1435">
        <f t="shared" si="11"/>
        <v>1375</v>
      </c>
      <c r="AK18" s="1435">
        <f t="shared" si="11"/>
        <v>1125</v>
      </c>
      <c r="AL18" s="1435">
        <f t="shared" si="11"/>
        <v>875</v>
      </c>
      <c r="AM18" s="1435">
        <f t="shared" si="11"/>
        <v>625</v>
      </c>
      <c r="AN18" s="1435">
        <f t="shared" si="11"/>
        <v>375</v>
      </c>
      <c r="AO18" s="1435">
        <f t="shared" si="11"/>
        <v>125</v>
      </c>
      <c r="AP18" s="1435">
        <f t="shared" si="11"/>
        <v>0</v>
      </c>
      <c r="AQ18" s="1435">
        <f t="shared" si="11"/>
        <v>0</v>
      </c>
      <c r="AR18" s="1435">
        <f t="shared" si="11"/>
        <v>0</v>
      </c>
      <c r="AS18" s="1435">
        <f t="shared" si="11"/>
        <v>0</v>
      </c>
      <c r="AT18" s="1435">
        <f t="shared" si="11"/>
        <v>0</v>
      </c>
      <c r="AU18" s="1435">
        <f t="shared" si="11"/>
        <v>0</v>
      </c>
      <c r="AV18" s="1435">
        <f t="shared" si="11"/>
        <v>0</v>
      </c>
      <c r="AW18" s="1435">
        <f t="shared" si="11"/>
        <v>0</v>
      </c>
      <c r="AX18" s="1435">
        <f t="shared" si="11"/>
        <v>0</v>
      </c>
      <c r="AY18" s="1435">
        <f t="shared" si="11"/>
        <v>0</v>
      </c>
      <c r="AZ18" s="1435">
        <f t="shared" si="11"/>
        <v>0</v>
      </c>
      <c r="BA18" s="1435">
        <f t="shared" si="11"/>
        <v>0</v>
      </c>
    </row>
    <row r="19" spans="2:53">
      <c r="B19" s="1430" t="s">
        <v>1106</v>
      </c>
      <c r="C19" s="1430" t="s">
        <v>4413</v>
      </c>
      <c r="D19" s="1462">
        <v>61.99</v>
      </c>
      <c r="E19" s="1462">
        <v>2000</v>
      </c>
      <c r="F19" s="1462">
        <v>61.99</v>
      </c>
      <c r="G19" s="1462">
        <v>46</v>
      </c>
      <c r="H19" s="1462">
        <v>1938.01</v>
      </c>
      <c r="I19" s="1462">
        <f t="shared" si="18"/>
        <v>250</v>
      </c>
      <c r="J19" s="1462">
        <f t="shared" si="13"/>
        <v>8</v>
      </c>
      <c r="K19" s="1434"/>
      <c r="L19" s="1458">
        <f t="shared" si="14"/>
        <v>125</v>
      </c>
      <c r="M19" s="1458">
        <f t="shared" si="15"/>
        <v>250</v>
      </c>
      <c r="N19" s="1458">
        <f t="shared" si="16"/>
        <v>250</v>
      </c>
      <c r="O19" s="1458">
        <f t="shared" si="16"/>
        <v>250</v>
      </c>
      <c r="P19" s="1458">
        <f t="shared" si="16"/>
        <v>250</v>
      </c>
      <c r="Q19" s="1458">
        <f t="shared" si="16"/>
        <v>250</v>
      </c>
      <c r="R19" s="1458">
        <f t="shared" si="16"/>
        <v>250</v>
      </c>
      <c r="S19" s="1458">
        <f t="shared" si="16"/>
        <v>250</v>
      </c>
      <c r="T19" s="1458">
        <f t="shared" si="17"/>
        <v>125</v>
      </c>
      <c r="U19" s="1458"/>
      <c r="V19" s="1458"/>
      <c r="W19" s="1458"/>
      <c r="X19" s="1458"/>
      <c r="Y19" s="1458"/>
      <c r="Z19" s="1458"/>
      <c r="AA19" s="1458"/>
      <c r="AH19" s="1436">
        <f t="shared" si="19"/>
        <v>1875</v>
      </c>
      <c r="AI19" s="1435">
        <f t="shared" si="20"/>
        <v>1625</v>
      </c>
      <c r="AJ19" s="1435">
        <f t="shared" si="11"/>
        <v>1375</v>
      </c>
      <c r="AK19" s="1435">
        <f t="shared" si="11"/>
        <v>1125</v>
      </c>
      <c r="AL19" s="1435">
        <f t="shared" si="11"/>
        <v>875</v>
      </c>
      <c r="AM19" s="1435">
        <f t="shared" ref="AM19:BA34" si="21">+AL19-Q19</f>
        <v>625</v>
      </c>
      <c r="AN19" s="1435">
        <f t="shared" si="21"/>
        <v>375</v>
      </c>
      <c r="AO19" s="1435">
        <f t="shared" si="21"/>
        <v>125</v>
      </c>
      <c r="AP19" s="1435">
        <f t="shared" si="21"/>
        <v>0</v>
      </c>
      <c r="AQ19" s="1435">
        <f t="shared" si="21"/>
        <v>0</v>
      </c>
      <c r="AR19" s="1435">
        <f t="shared" si="21"/>
        <v>0</v>
      </c>
      <c r="AS19" s="1435">
        <f t="shared" si="21"/>
        <v>0</v>
      </c>
      <c r="AT19" s="1435">
        <f t="shared" si="21"/>
        <v>0</v>
      </c>
      <c r="AU19" s="1435">
        <f t="shared" si="21"/>
        <v>0</v>
      </c>
      <c r="AV19" s="1435">
        <f t="shared" si="21"/>
        <v>0</v>
      </c>
      <c r="AW19" s="1435">
        <f t="shared" si="21"/>
        <v>0</v>
      </c>
      <c r="AX19" s="1435">
        <f t="shared" si="21"/>
        <v>0</v>
      </c>
      <c r="AY19" s="1435">
        <f t="shared" si="21"/>
        <v>0</v>
      </c>
      <c r="AZ19" s="1435">
        <f t="shared" si="21"/>
        <v>0</v>
      </c>
      <c r="BA19" s="1435">
        <f t="shared" si="21"/>
        <v>0</v>
      </c>
    </row>
    <row r="20" spans="2:53">
      <c r="B20" s="1437"/>
      <c r="C20" s="1438"/>
      <c r="D20" s="1463">
        <v>892.6</v>
      </c>
      <c r="E20" s="1463">
        <v>28800</v>
      </c>
      <c r="F20" s="1463">
        <v>892.6</v>
      </c>
      <c r="G20" s="1463"/>
      <c r="H20" s="1463">
        <v>27907.4</v>
      </c>
      <c r="I20" s="1463"/>
      <c r="J20" s="1463"/>
      <c r="K20" s="1439"/>
      <c r="AH20" s="1436"/>
      <c r="AI20" s="1435"/>
      <c r="AJ20" s="1435"/>
      <c r="AK20" s="1435"/>
      <c r="AL20" s="1435"/>
      <c r="AM20" s="1435"/>
      <c r="AN20" s="1435"/>
      <c r="AO20" s="1435"/>
      <c r="AP20" s="1435"/>
      <c r="AQ20" s="1435"/>
      <c r="AR20" s="1435"/>
      <c r="AS20" s="1435"/>
      <c r="AT20" s="1435"/>
      <c r="AU20" s="1435"/>
      <c r="AV20" s="1435"/>
      <c r="AW20" s="1435"/>
      <c r="AX20" s="1435"/>
      <c r="AY20" s="1435"/>
      <c r="AZ20" s="1435"/>
      <c r="BA20" s="1435"/>
    </row>
    <row r="21" spans="2:53">
      <c r="B21" s="1430" t="s">
        <v>1105</v>
      </c>
      <c r="C21" s="1430" t="s">
        <v>4414</v>
      </c>
      <c r="D21" s="1462">
        <v>234.31</v>
      </c>
      <c r="E21" s="1462">
        <v>9450</v>
      </c>
      <c r="F21" s="1462">
        <v>234.31</v>
      </c>
      <c r="G21" s="1462">
        <v>50</v>
      </c>
      <c r="H21" s="1462">
        <v>9215.69</v>
      </c>
      <c r="I21" s="1462">
        <f>+E21/10</f>
        <v>945</v>
      </c>
      <c r="J21" s="1462">
        <f t="shared" ref="J21:J31" si="22">+E21/I21</f>
        <v>10</v>
      </c>
      <c r="K21" s="1434"/>
      <c r="L21" s="1458">
        <f t="shared" ref="L21:L31" si="23">+I21/2</f>
        <v>472.5</v>
      </c>
      <c r="M21" s="1458">
        <f t="shared" ref="M21:M31" si="24">+I21</f>
        <v>945</v>
      </c>
      <c r="N21" s="1458">
        <f t="shared" ref="N21:U31" si="25">+M21</f>
        <v>945</v>
      </c>
      <c r="O21" s="1458">
        <f t="shared" si="25"/>
        <v>945</v>
      </c>
      <c r="P21" s="1458">
        <f t="shared" si="25"/>
        <v>945</v>
      </c>
      <c r="Q21" s="1458">
        <f t="shared" si="25"/>
        <v>945</v>
      </c>
      <c r="R21" s="1458">
        <f t="shared" si="25"/>
        <v>945</v>
      </c>
      <c r="S21" s="1458">
        <f t="shared" si="25"/>
        <v>945</v>
      </c>
      <c r="T21" s="1458">
        <f t="shared" si="25"/>
        <v>945</v>
      </c>
      <c r="U21" s="1458">
        <f t="shared" si="25"/>
        <v>945</v>
      </c>
      <c r="V21" s="1458">
        <f t="shared" ref="V21:V31" si="26">+U21/2</f>
        <v>472.5</v>
      </c>
      <c r="W21" s="1458"/>
      <c r="X21" s="1458"/>
      <c r="Y21" s="1458"/>
      <c r="Z21" s="1458"/>
      <c r="AA21" s="1458"/>
      <c r="AB21" s="1458"/>
      <c r="AC21" s="1458"/>
      <c r="AD21" s="1458"/>
      <c r="AE21" s="1458"/>
      <c r="AH21" s="1436">
        <f t="shared" si="19"/>
        <v>8977.5</v>
      </c>
      <c r="AI21" s="1435">
        <f t="shared" si="20"/>
        <v>8032.5</v>
      </c>
      <c r="AJ21" s="1435">
        <f t="shared" si="20"/>
        <v>7087.5</v>
      </c>
      <c r="AK21" s="1435">
        <f t="shared" si="20"/>
        <v>6142.5</v>
      </c>
      <c r="AL21" s="1435">
        <f t="shared" si="20"/>
        <v>5197.5</v>
      </c>
      <c r="AM21" s="1435">
        <f t="shared" si="21"/>
        <v>4252.5</v>
      </c>
      <c r="AN21" s="1435">
        <f t="shared" si="21"/>
        <v>3307.5</v>
      </c>
      <c r="AO21" s="1435">
        <f t="shared" si="21"/>
        <v>2362.5</v>
      </c>
      <c r="AP21" s="1435">
        <f t="shared" si="21"/>
        <v>1417.5</v>
      </c>
      <c r="AQ21" s="1435">
        <f t="shared" si="21"/>
        <v>472.5</v>
      </c>
      <c r="AR21" s="1435">
        <f t="shared" si="21"/>
        <v>0</v>
      </c>
      <c r="AS21" s="1435">
        <f t="shared" si="21"/>
        <v>0</v>
      </c>
      <c r="AT21" s="1435">
        <f t="shared" si="21"/>
        <v>0</v>
      </c>
      <c r="AU21" s="1435">
        <f t="shared" si="21"/>
        <v>0</v>
      </c>
      <c r="AV21" s="1435">
        <f t="shared" si="21"/>
        <v>0</v>
      </c>
      <c r="AW21" s="1435">
        <f t="shared" si="21"/>
        <v>0</v>
      </c>
      <c r="AX21" s="1435">
        <f t="shared" si="21"/>
        <v>0</v>
      </c>
      <c r="AY21" s="1435">
        <f t="shared" si="21"/>
        <v>0</v>
      </c>
      <c r="AZ21" s="1435">
        <f t="shared" si="21"/>
        <v>0</v>
      </c>
      <c r="BA21" s="1435">
        <f t="shared" si="21"/>
        <v>0</v>
      </c>
    </row>
    <row r="22" spans="2:53">
      <c r="B22" s="1430" t="s">
        <v>1105</v>
      </c>
      <c r="C22" s="1430" t="s">
        <v>4415</v>
      </c>
      <c r="D22" s="1462">
        <v>1319.07</v>
      </c>
      <c r="E22" s="1462">
        <v>53200</v>
      </c>
      <c r="F22" s="1462">
        <v>1319.07</v>
      </c>
      <c r="G22" s="1462">
        <v>50</v>
      </c>
      <c r="H22" s="1462">
        <v>51880.93</v>
      </c>
      <c r="I22" s="1462">
        <f t="shared" ref="I22:I31" si="27">+E22/10</f>
        <v>5320</v>
      </c>
      <c r="J22" s="1462">
        <f t="shared" si="22"/>
        <v>10</v>
      </c>
      <c r="K22" s="1434"/>
      <c r="L22" s="1458">
        <f t="shared" si="23"/>
        <v>2660</v>
      </c>
      <c r="M22" s="1458">
        <f t="shared" si="24"/>
        <v>5320</v>
      </c>
      <c r="N22" s="1458">
        <f t="shared" si="25"/>
        <v>5320</v>
      </c>
      <c r="O22" s="1458">
        <f t="shared" si="25"/>
        <v>5320</v>
      </c>
      <c r="P22" s="1458">
        <f t="shared" si="25"/>
        <v>5320</v>
      </c>
      <c r="Q22" s="1458">
        <f t="shared" si="25"/>
        <v>5320</v>
      </c>
      <c r="R22" s="1458">
        <f t="shared" si="25"/>
        <v>5320</v>
      </c>
      <c r="S22" s="1458">
        <f t="shared" si="25"/>
        <v>5320</v>
      </c>
      <c r="T22" s="1458">
        <f t="shared" si="25"/>
        <v>5320</v>
      </c>
      <c r="U22" s="1458">
        <f t="shared" si="25"/>
        <v>5320</v>
      </c>
      <c r="V22" s="1458">
        <f t="shared" si="26"/>
        <v>2660</v>
      </c>
      <c r="W22" s="1458"/>
      <c r="X22" s="1458"/>
      <c r="Y22" s="1458"/>
      <c r="Z22" s="1458"/>
      <c r="AA22" s="1458"/>
      <c r="AB22" s="1458"/>
      <c r="AC22" s="1458"/>
      <c r="AD22" s="1458"/>
      <c r="AE22" s="1458"/>
      <c r="AH22" s="1436">
        <f t="shared" si="19"/>
        <v>50540</v>
      </c>
      <c r="AI22" s="1435">
        <f t="shared" si="20"/>
        <v>45220</v>
      </c>
      <c r="AJ22" s="1435">
        <f t="shared" si="20"/>
        <v>39900</v>
      </c>
      <c r="AK22" s="1435">
        <f t="shared" si="20"/>
        <v>34580</v>
      </c>
      <c r="AL22" s="1435">
        <f t="shared" si="20"/>
        <v>29260</v>
      </c>
      <c r="AM22" s="1435">
        <f t="shared" si="21"/>
        <v>23940</v>
      </c>
      <c r="AN22" s="1435">
        <f t="shared" si="21"/>
        <v>18620</v>
      </c>
      <c r="AO22" s="1435">
        <f t="shared" si="21"/>
        <v>13300</v>
      </c>
      <c r="AP22" s="1435">
        <f t="shared" si="21"/>
        <v>7980</v>
      </c>
      <c r="AQ22" s="1435">
        <f t="shared" si="21"/>
        <v>2660</v>
      </c>
      <c r="AR22" s="1435">
        <f t="shared" si="21"/>
        <v>0</v>
      </c>
      <c r="AS22" s="1435">
        <f t="shared" si="21"/>
        <v>0</v>
      </c>
      <c r="AT22" s="1435">
        <f t="shared" si="21"/>
        <v>0</v>
      </c>
      <c r="AU22" s="1435">
        <f t="shared" si="21"/>
        <v>0</v>
      </c>
      <c r="AV22" s="1435">
        <f t="shared" si="21"/>
        <v>0</v>
      </c>
      <c r="AW22" s="1435">
        <f t="shared" si="21"/>
        <v>0</v>
      </c>
      <c r="AX22" s="1435">
        <f t="shared" si="21"/>
        <v>0</v>
      </c>
      <c r="AY22" s="1435">
        <f t="shared" si="21"/>
        <v>0</v>
      </c>
      <c r="AZ22" s="1435">
        <f t="shared" si="21"/>
        <v>0</v>
      </c>
      <c r="BA22" s="1435">
        <f t="shared" si="21"/>
        <v>0</v>
      </c>
    </row>
    <row r="23" spans="2:53">
      <c r="B23" s="1430" t="s">
        <v>1105</v>
      </c>
      <c r="C23" s="1430" t="s">
        <v>4416</v>
      </c>
      <c r="D23" s="1462">
        <v>74.38</v>
      </c>
      <c r="E23" s="1462">
        <v>3000</v>
      </c>
      <c r="F23" s="1462">
        <v>74.38</v>
      </c>
      <c r="G23" s="1462">
        <v>50</v>
      </c>
      <c r="H23" s="1462">
        <v>2925.62</v>
      </c>
      <c r="I23" s="1462">
        <f t="shared" si="27"/>
        <v>300</v>
      </c>
      <c r="J23" s="1462">
        <f t="shared" si="22"/>
        <v>10</v>
      </c>
      <c r="K23" s="1434"/>
      <c r="L23" s="1458">
        <f t="shared" si="23"/>
        <v>150</v>
      </c>
      <c r="M23" s="1458">
        <f t="shared" si="24"/>
        <v>300</v>
      </c>
      <c r="N23" s="1458">
        <f t="shared" si="25"/>
        <v>300</v>
      </c>
      <c r="O23" s="1458">
        <f t="shared" si="25"/>
        <v>300</v>
      </c>
      <c r="P23" s="1458">
        <f t="shared" si="25"/>
        <v>300</v>
      </c>
      <c r="Q23" s="1458">
        <f t="shared" si="25"/>
        <v>300</v>
      </c>
      <c r="R23" s="1458">
        <f t="shared" si="25"/>
        <v>300</v>
      </c>
      <c r="S23" s="1458">
        <f t="shared" si="25"/>
        <v>300</v>
      </c>
      <c r="T23" s="1458">
        <f t="shared" si="25"/>
        <v>300</v>
      </c>
      <c r="U23" s="1458">
        <f t="shared" si="25"/>
        <v>300</v>
      </c>
      <c r="V23" s="1458">
        <f t="shared" si="26"/>
        <v>150</v>
      </c>
      <c r="W23" s="1458"/>
      <c r="X23" s="1458"/>
      <c r="Y23" s="1458"/>
      <c r="Z23" s="1458"/>
      <c r="AA23" s="1458"/>
      <c r="AB23" s="1458"/>
      <c r="AC23" s="1458"/>
      <c r="AD23" s="1458"/>
      <c r="AE23" s="1458"/>
      <c r="AH23" s="1436">
        <f t="shared" si="19"/>
        <v>2850</v>
      </c>
      <c r="AI23" s="1435">
        <f t="shared" si="20"/>
        <v>2550</v>
      </c>
      <c r="AJ23" s="1435">
        <f t="shared" si="20"/>
        <v>2250</v>
      </c>
      <c r="AK23" s="1435">
        <f t="shared" si="20"/>
        <v>1950</v>
      </c>
      <c r="AL23" s="1435">
        <f t="shared" si="20"/>
        <v>1650</v>
      </c>
      <c r="AM23" s="1435">
        <f t="shared" si="21"/>
        <v>1350</v>
      </c>
      <c r="AN23" s="1435">
        <f t="shared" si="21"/>
        <v>1050</v>
      </c>
      <c r="AO23" s="1435">
        <f t="shared" si="21"/>
        <v>750</v>
      </c>
      <c r="AP23" s="1435">
        <f t="shared" si="21"/>
        <v>450</v>
      </c>
      <c r="AQ23" s="1435">
        <f t="shared" si="21"/>
        <v>150</v>
      </c>
      <c r="AR23" s="1435">
        <f t="shared" si="21"/>
        <v>0</v>
      </c>
      <c r="AS23" s="1435">
        <f t="shared" si="21"/>
        <v>0</v>
      </c>
      <c r="AT23" s="1435">
        <f t="shared" si="21"/>
        <v>0</v>
      </c>
      <c r="AU23" s="1435">
        <f t="shared" si="21"/>
        <v>0</v>
      </c>
      <c r="AV23" s="1435">
        <f t="shared" si="21"/>
        <v>0</v>
      </c>
      <c r="AW23" s="1435">
        <f t="shared" si="21"/>
        <v>0</v>
      </c>
      <c r="AX23" s="1435">
        <f t="shared" si="21"/>
        <v>0</v>
      </c>
      <c r="AY23" s="1435">
        <f t="shared" si="21"/>
        <v>0</v>
      </c>
      <c r="AZ23" s="1435">
        <f t="shared" si="21"/>
        <v>0</v>
      </c>
      <c r="BA23" s="1435">
        <f t="shared" si="21"/>
        <v>0</v>
      </c>
    </row>
    <row r="24" spans="2:53">
      <c r="B24" s="1430" t="s">
        <v>1105</v>
      </c>
      <c r="C24" s="1430" t="s">
        <v>4417</v>
      </c>
      <c r="D24" s="1462">
        <v>74.38</v>
      </c>
      <c r="E24" s="1462">
        <v>3000</v>
      </c>
      <c r="F24" s="1462">
        <v>74.38</v>
      </c>
      <c r="G24" s="1462">
        <v>50</v>
      </c>
      <c r="H24" s="1462">
        <v>2925.62</v>
      </c>
      <c r="I24" s="1462">
        <f t="shared" si="27"/>
        <v>300</v>
      </c>
      <c r="J24" s="1462">
        <f t="shared" si="22"/>
        <v>10</v>
      </c>
      <c r="K24" s="1434"/>
      <c r="L24" s="1458">
        <f t="shared" si="23"/>
        <v>150</v>
      </c>
      <c r="M24" s="1458">
        <f t="shared" si="24"/>
        <v>300</v>
      </c>
      <c r="N24" s="1458">
        <f t="shared" si="25"/>
        <v>300</v>
      </c>
      <c r="O24" s="1458">
        <f t="shared" si="25"/>
        <v>300</v>
      </c>
      <c r="P24" s="1458">
        <f t="shared" si="25"/>
        <v>300</v>
      </c>
      <c r="Q24" s="1458">
        <f t="shared" si="25"/>
        <v>300</v>
      </c>
      <c r="R24" s="1458">
        <f t="shared" si="25"/>
        <v>300</v>
      </c>
      <c r="S24" s="1458">
        <f t="shared" si="25"/>
        <v>300</v>
      </c>
      <c r="T24" s="1458">
        <f t="shared" si="25"/>
        <v>300</v>
      </c>
      <c r="U24" s="1458">
        <f t="shared" si="25"/>
        <v>300</v>
      </c>
      <c r="V24" s="1458">
        <f t="shared" si="26"/>
        <v>150</v>
      </c>
      <c r="W24" s="1458"/>
      <c r="X24" s="1458"/>
      <c r="Y24" s="1458"/>
      <c r="Z24" s="1458"/>
      <c r="AA24" s="1458"/>
      <c r="AB24" s="1458"/>
      <c r="AC24" s="1458"/>
      <c r="AD24" s="1458"/>
      <c r="AE24" s="1458"/>
      <c r="AH24" s="1436">
        <f t="shared" si="19"/>
        <v>2850</v>
      </c>
      <c r="AI24" s="1435">
        <f t="shared" si="20"/>
        <v>2550</v>
      </c>
      <c r="AJ24" s="1435">
        <f t="shared" si="20"/>
        <v>2250</v>
      </c>
      <c r="AK24" s="1435">
        <f t="shared" si="20"/>
        <v>1950</v>
      </c>
      <c r="AL24" s="1435">
        <f t="shared" si="20"/>
        <v>1650</v>
      </c>
      <c r="AM24" s="1435">
        <f t="shared" si="21"/>
        <v>1350</v>
      </c>
      <c r="AN24" s="1435">
        <f t="shared" si="21"/>
        <v>1050</v>
      </c>
      <c r="AO24" s="1435">
        <f t="shared" si="21"/>
        <v>750</v>
      </c>
      <c r="AP24" s="1435">
        <f t="shared" si="21"/>
        <v>450</v>
      </c>
      <c r="AQ24" s="1435">
        <f t="shared" si="21"/>
        <v>150</v>
      </c>
      <c r="AR24" s="1435">
        <f t="shared" si="21"/>
        <v>0</v>
      </c>
      <c r="AS24" s="1435">
        <f t="shared" si="21"/>
        <v>0</v>
      </c>
      <c r="AT24" s="1435">
        <f t="shared" si="21"/>
        <v>0</v>
      </c>
      <c r="AU24" s="1435">
        <f t="shared" si="21"/>
        <v>0</v>
      </c>
      <c r="AV24" s="1435">
        <f t="shared" si="21"/>
        <v>0</v>
      </c>
      <c r="AW24" s="1435">
        <f t="shared" si="21"/>
        <v>0</v>
      </c>
      <c r="AX24" s="1435">
        <f t="shared" si="21"/>
        <v>0</v>
      </c>
      <c r="AY24" s="1435">
        <f t="shared" si="21"/>
        <v>0</v>
      </c>
      <c r="AZ24" s="1435">
        <f t="shared" si="21"/>
        <v>0</v>
      </c>
      <c r="BA24" s="1435">
        <f t="shared" si="21"/>
        <v>0</v>
      </c>
    </row>
    <row r="25" spans="2:53">
      <c r="B25" s="1430" t="s">
        <v>1105</v>
      </c>
      <c r="C25" s="1430" t="s">
        <v>4418</v>
      </c>
      <c r="D25" s="1462">
        <v>74.38</v>
      </c>
      <c r="E25" s="1462">
        <v>3000</v>
      </c>
      <c r="F25" s="1462">
        <v>74.38</v>
      </c>
      <c r="G25" s="1462">
        <v>50</v>
      </c>
      <c r="H25" s="1462">
        <v>2925.62</v>
      </c>
      <c r="I25" s="1462">
        <f t="shared" si="27"/>
        <v>300</v>
      </c>
      <c r="J25" s="1462">
        <f t="shared" si="22"/>
        <v>10</v>
      </c>
      <c r="K25" s="1434"/>
      <c r="L25" s="1458">
        <f t="shared" si="23"/>
        <v>150</v>
      </c>
      <c r="M25" s="1458">
        <f t="shared" si="24"/>
        <v>300</v>
      </c>
      <c r="N25" s="1458">
        <f t="shared" si="25"/>
        <v>300</v>
      </c>
      <c r="O25" s="1458">
        <f t="shared" si="25"/>
        <v>300</v>
      </c>
      <c r="P25" s="1458">
        <f t="shared" si="25"/>
        <v>300</v>
      </c>
      <c r="Q25" s="1458">
        <f t="shared" si="25"/>
        <v>300</v>
      </c>
      <c r="R25" s="1458">
        <f t="shared" si="25"/>
        <v>300</v>
      </c>
      <c r="S25" s="1458">
        <f t="shared" si="25"/>
        <v>300</v>
      </c>
      <c r="T25" s="1458">
        <f t="shared" si="25"/>
        <v>300</v>
      </c>
      <c r="U25" s="1458">
        <f t="shared" si="25"/>
        <v>300</v>
      </c>
      <c r="V25" s="1458">
        <f t="shared" si="26"/>
        <v>150</v>
      </c>
      <c r="W25" s="1458"/>
      <c r="X25" s="1458"/>
      <c r="Y25" s="1458"/>
      <c r="Z25" s="1458"/>
      <c r="AA25" s="1458"/>
      <c r="AB25" s="1458"/>
      <c r="AC25" s="1458"/>
      <c r="AD25" s="1458"/>
      <c r="AE25" s="1458"/>
      <c r="AH25" s="1436">
        <f t="shared" si="19"/>
        <v>2850</v>
      </c>
      <c r="AI25" s="1435">
        <f t="shared" si="20"/>
        <v>2550</v>
      </c>
      <c r="AJ25" s="1435">
        <f t="shared" si="20"/>
        <v>2250</v>
      </c>
      <c r="AK25" s="1435">
        <f t="shared" si="20"/>
        <v>1950</v>
      </c>
      <c r="AL25" s="1435">
        <f t="shared" si="20"/>
        <v>1650</v>
      </c>
      <c r="AM25" s="1435">
        <f t="shared" si="21"/>
        <v>1350</v>
      </c>
      <c r="AN25" s="1435">
        <f t="shared" si="21"/>
        <v>1050</v>
      </c>
      <c r="AO25" s="1435">
        <f t="shared" si="21"/>
        <v>750</v>
      </c>
      <c r="AP25" s="1435">
        <f t="shared" si="21"/>
        <v>450</v>
      </c>
      <c r="AQ25" s="1435">
        <f t="shared" si="21"/>
        <v>150</v>
      </c>
      <c r="AR25" s="1435">
        <f t="shared" si="21"/>
        <v>0</v>
      </c>
      <c r="AS25" s="1435">
        <f t="shared" si="21"/>
        <v>0</v>
      </c>
      <c r="AT25" s="1435">
        <f t="shared" si="21"/>
        <v>0</v>
      </c>
      <c r="AU25" s="1435">
        <f t="shared" si="21"/>
        <v>0</v>
      </c>
      <c r="AV25" s="1435">
        <f t="shared" si="21"/>
        <v>0</v>
      </c>
      <c r="AW25" s="1435">
        <f t="shared" si="21"/>
        <v>0</v>
      </c>
      <c r="AX25" s="1435">
        <f t="shared" si="21"/>
        <v>0</v>
      </c>
      <c r="AY25" s="1435">
        <f t="shared" si="21"/>
        <v>0</v>
      </c>
      <c r="AZ25" s="1435">
        <f t="shared" si="21"/>
        <v>0</v>
      </c>
      <c r="BA25" s="1435">
        <f t="shared" si="21"/>
        <v>0</v>
      </c>
    </row>
    <row r="26" spans="2:53">
      <c r="B26" s="1430" t="s">
        <v>1105</v>
      </c>
      <c r="C26" s="1430" t="s">
        <v>4419</v>
      </c>
      <c r="D26" s="1462">
        <v>2.7800000000000002</v>
      </c>
      <c r="E26" s="1462">
        <v>112</v>
      </c>
      <c r="F26" s="1462">
        <v>2.7800000000000002</v>
      </c>
      <c r="G26" s="1462">
        <v>50</v>
      </c>
      <c r="H26" s="1462">
        <v>109.22</v>
      </c>
      <c r="I26" s="1462">
        <f t="shared" si="27"/>
        <v>11.2</v>
      </c>
      <c r="J26" s="1462">
        <f t="shared" si="22"/>
        <v>10</v>
      </c>
      <c r="K26" s="1434"/>
      <c r="L26" s="1458">
        <f t="shared" si="23"/>
        <v>5.6</v>
      </c>
      <c r="M26" s="1458">
        <f t="shared" si="24"/>
        <v>11.2</v>
      </c>
      <c r="N26" s="1458">
        <f t="shared" si="25"/>
        <v>11.2</v>
      </c>
      <c r="O26" s="1458">
        <f t="shared" si="25"/>
        <v>11.2</v>
      </c>
      <c r="P26" s="1458">
        <f t="shared" si="25"/>
        <v>11.2</v>
      </c>
      <c r="Q26" s="1458">
        <f t="shared" si="25"/>
        <v>11.2</v>
      </c>
      <c r="R26" s="1458">
        <f t="shared" si="25"/>
        <v>11.2</v>
      </c>
      <c r="S26" s="1458">
        <f t="shared" si="25"/>
        <v>11.2</v>
      </c>
      <c r="T26" s="1458">
        <f t="shared" si="25"/>
        <v>11.2</v>
      </c>
      <c r="U26" s="1458">
        <f t="shared" si="25"/>
        <v>11.2</v>
      </c>
      <c r="V26" s="1458">
        <f t="shared" si="26"/>
        <v>5.6</v>
      </c>
      <c r="W26" s="1458"/>
      <c r="X26" s="1458"/>
      <c r="Y26" s="1458"/>
      <c r="Z26" s="1458"/>
      <c r="AA26" s="1458"/>
      <c r="AB26" s="1458"/>
      <c r="AC26" s="1458"/>
      <c r="AD26" s="1458"/>
      <c r="AE26" s="1458"/>
      <c r="AH26" s="1436">
        <f t="shared" si="19"/>
        <v>106.4</v>
      </c>
      <c r="AI26" s="1435">
        <f t="shared" si="20"/>
        <v>95.2</v>
      </c>
      <c r="AJ26" s="1435">
        <f t="shared" si="20"/>
        <v>84</v>
      </c>
      <c r="AK26" s="1435">
        <f t="shared" si="20"/>
        <v>72.8</v>
      </c>
      <c r="AL26" s="1435">
        <f t="shared" si="20"/>
        <v>61.599999999999994</v>
      </c>
      <c r="AM26" s="1435">
        <f t="shared" si="21"/>
        <v>50.399999999999991</v>
      </c>
      <c r="AN26" s="1435">
        <f t="shared" si="21"/>
        <v>39.199999999999989</v>
      </c>
      <c r="AO26" s="1435">
        <f t="shared" si="21"/>
        <v>27.999999999999989</v>
      </c>
      <c r="AP26" s="1435">
        <f t="shared" si="21"/>
        <v>16.79999999999999</v>
      </c>
      <c r="AQ26" s="1435">
        <f t="shared" si="21"/>
        <v>5.5999999999999908</v>
      </c>
      <c r="AR26" s="1435">
        <f t="shared" si="21"/>
        <v>-8.8817841970012523E-15</v>
      </c>
      <c r="AS26" s="1435">
        <f t="shared" si="21"/>
        <v>-8.8817841970012523E-15</v>
      </c>
      <c r="AT26" s="1435">
        <f t="shared" si="21"/>
        <v>-8.8817841970012523E-15</v>
      </c>
      <c r="AU26" s="1435">
        <f t="shared" si="21"/>
        <v>-8.8817841970012523E-15</v>
      </c>
      <c r="AV26" s="1435">
        <f t="shared" si="21"/>
        <v>-8.8817841970012523E-15</v>
      </c>
      <c r="AW26" s="1435">
        <f t="shared" si="21"/>
        <v>-8.8817841970012523E-15</v>
      </c>
      <c r="AX26" s="1435">
        <f t="shared" si="21"/>
        <v>-8.8817841970012523E-15</v>
      </c>
      <c r="AY26" s="1435">
        <f t="shared" si="21"/>
        <v>-8.8817841970012523E-15</v>
      </c>
      <c r="AZ26" s="1435">
        <f t="shared" si="21"/>
        <v>-8.8817841970012523E-15</v>
      </c>
      <c r="BA26" s="1435">
        <f t="shared" si="21"/>
        <v>-8.8817841970012523E-15</v>
      </c>
    </row>
    <row r="27" spans="2:53">
      <c r="B27" s="1430" t="s">
        <v>1105</v>
      </c>
      <c r="C27" s="1430" t="s">
        <v>4420</v>
      </c>
      <c r="D27" s="1462">
        <v>2.7800000000000002</v>
      </c>
      <c r="E27" s="1462">
        <v>112</v>
      </c>
      <c r="F27" s="1462">
        <v>2.7800000000000002</v>
      </c>
      <c r="G27" s="1462">
        <v>50</v>
      </c>
      <c r="H27" s="1462">
        <v>109.22</v>
      </c>
      <c r="I27" s="1462">
        <f t="shared" si="27"/>
        <v>11.2</v>
      </c>
      <c r="J27" s="1462">
        <f t="shared" si="22"/>
        <v>10</v>
      </c>
      <c r="K27" s="1434"/>
      <c r="L27" s="1458">
        <f t="shared" si="23"/>
        <v>5.6</v>
      </c>
      <c r="M27" s="1458">
        <f t="shared" si="24"/>
        <v>11.2</v>
      </c>
      <c r="N27" s="1458">
        <f t="shared" si="25"/>
        <v>11.2</v>
      </c>
      <c r="O27" s="1458">
        <f t="shared" si="25"/>
        <v>11.2</v>
      </c>
      <c r="P27" s="1458">
        <f t="shared" si="25"/>
        <v>11.2</v>
      </c>
      <c r="Q27" s="1458">
        <f t="shared" si="25"/>
        <v>11.2</v>
      </c>
      <c r="R27" s="1458">
        <f t="shared" si="25"/>
        <v>11.2</v>
      </c>
      <c r="S27" s="1458">
        <f t="shared" si="25"/>
        <v>11.2</v>
      </c>
      <c r="T27" s="1458">
        <f t="shared" si="25"/>
        <v>11.2</v>
      </c>
      <c r="U27" s="1458">
        <f t="shared" si="25"/>
        <v>11.2</v>
      </c>
      <c r="V27" s="1458">
        <f t="shared" si="26"/>
        <v>5.6</v>
      </c>
      <c r="W27" s="1458"/>
      <c r="X27" s="1458"/>
      <c r="Y27" s="1458"/>
      <c r="Z27" s="1458"/>
      <c r="AA27" s="1458"/>
      <c r="AB27" s="1458"/>
      <c r="AC27" s="1458"/>
      <c r="AD27" s="1458"/>
      <c r="AE27" s="1458"/>
      <c r="AH27" s="1436">
        <f t="shared" si="19"/>
        <v>106.4</v>
      </c>
      <c r="AI27" s="1435">
        <f t="shared" si="20"/>
        <v>95.2</v>
      </c>
      <c r="AJ27" s="1435">
        <f t="shared" si="20"/>
        <v>84</v>
      </c>
      <c r="AK27" s="1435">
        <f t="shared" si="20"/>
        <v>72.8</v>
      </c>
      <c r="AL27" s="1435">
        <f t="shared" si="20"/>
        <v>61.599999999999994</v>
      </c>
      <c r="AM27" s="1435">
        <f t="shared" si="21"/>
        <v>50.399999999999991</v>
      </c>
      <c r="AN27" s="1435">
        <f t="shared" si="21"/>
        <v>39.199999999999989</v>
      </c>
      <c r="AO27" s="1435">
        <f t="shared" si="21"/>
        <v>27.999999999999989</v>
      </c>
      <c r="AP27" s="1435">
        <f t="shared" si="21"/>
        <v>16.79999999999999</v>
      </c>
      <c r="AQ27" s="1435">
        <f t="shared" si="21"/>
        <v>5.5999999999999908</v>
      </c>
      <c r="AR27" s="1435">
        <f t="shared" si="21"/>
        <v>-8.8817841970012523E-15</v>
      </c>
      <c r="AS27" s="1435">
        <f t="shared" si="21"/>
        <v>-8.8817841970012523E-15</v>
      </c>
      <c r="AT27" s="1435">
        <f t="shared" si="21"/>
        <v>-8.8817841970012523E-15</v>
      </c>
      <c r="AU27" s="1435">
        <f t="shared" si="21"/>
        <v>-8.8817841970012523E-15</v>
      </c>
      <c r="AV27" s="1435">
        <f t="shared" si="21"/>
        <v>-8.8817841970012523E-15</v>
      </c>
      <c r="AW27" s="1435">
        <f t="shared" si="21"/>
        <v>-8.8817841970012523E-15</v>
      </c>
      <c r="AX27" s="1435">
        <f t="shared" si="21"/>
        <v>-8.8817841970012523E-15</v>
      </c>
      <c r="AY27" s="1435">
        <f t="shared" si="21"/>
        <v>-8.8817841970012523E-15</v>
      </c>
      <c r="AZ27" s="1435">
        <f t="shared" si="21"/>
        <v>-8.8817841970012523E-15</v>
      </c>
      <c r="BA27" s="1435">
        <f t="shared" si="21"/>
        <v>-8.8817841970012523E-15</v>
      </c>
    </row>
    <row r="28" spans="2:53">
      <c r="B28" s="1430" t="s">
        <v>1105</v>
      </c>
      <c r="C28" s="1430" t="s">
        <v>4421</v>
      </c>
      <c r="D28" s="1462">
        <v>4.29</v>
      </c>
      <c r="E28" s="1462">
        <v>173</v>
      </c>
      <c r="F28" s="1462">
        <v>4.29</v>
      </c>
      <c r="G28" s="1462">
        <v>50</v>
      </c>
      <c r="H28" s="1462">
        <v>168.71</v>
      </c>
      <c r="I28" s="1462">
        <f t="shared" si="27"/>
        <v>17.3</v>
      </c>
      <c r="J28" s="1462">
        <f t="shared" si="22"/>
        <v>10</v>
      </c>
      <c r="K28" s="1434"/>
      <c r="L28" s="1458">
        <f t="shared" si="23"/>
        <v>8.65</v>
      </c>
      <c r="M28" s="1458">
        <f t="shared" si="24"/>
        <v>17.3</v>
      </c>
      <c r="N28" s="1458">
        <f t="shared" si="25"/>
        <v>17.3</v>
      </c>
      <c r="O28" s="1458">
        <f t="shared" si="25"/>
        <v>17.3</v>
      </c>
      <c r="P28" s="1458">
        <f t="shared" si="25"/>
        <v>17.3</v>
      </c>
      <c r="Q28" s="1458">
        <f t="shared" si="25"/>
        <v>17.3</v>
      </c>
      <c r="R28" s="1458">
        <f t="shared" si="25"/>
        <v>17.3</v>
      </c>
      <c r="S28" s="1458">
        <f t="shared" si="25"/>
        <v>17.3</v>
      </c>
      <c r="T28" s="1458">
        <f t="shared" si="25"/>
        <v>17.3</v>
      </c>
      <c r="U28" s="1458">
        <f t="shared" si="25"/>
        <v>17.3</v>
      </c>
      <c r="V28" s="1458">
        <f t="shared" si="26"/>
        <v>8.65</v>
      </c>
      <c r="W28" s="1458"/>
      <c r="X28" s="1458"/>
      <c r="Y28" s="1458"/>
      <c r="Z28" s="1458"/>
      <c r="AA28" s="1458"/>
      <c r="AB28" s="1458"/>
      <c r="AC28" s="1458"/>
      <c r="AD28" s="1458"/>
      <c r="AE28" s="1458"/>
      <c r="AH28" s="1436">
        <f t="shared" si="19"/>
        <v>164.35</v>
      </c>
      <c r="AI28" s="1435">
        <f t="shared" si="20"/>
        <v>147.04999999999998</v>
      </c>
      <c r="AJ28" s="1435">
        <f t="shared" si="20"/>
        <v>129.74999999999997</v>
      </c>
      <c r="AK28" s="1435">
        <f t="shared" si="20"/>
        <v>112.44999999999997</v>
      </c>
      <c r="AL28" s="1435">
        <f t="shared" si="20"/>
        <v>95.149999999999977</v>
      </c>
      <c r="AM28" s="1435">
        <f t="shared" si="21"/>
        <v>77.84999999999998</v>
      </c>
      <c r="AN28" s="1435">
        <f t="shared" si="21"/>
        <v>60.549999999999983</v>
      </c>
      <c r="AO28" s="1435">
        <f t="shared" si="21"/>
        <v>43.249999999999986</v>
      </c>
      <c r="AP28" s="1435">
        <f t="shared" si="21"/>
        <v>25.949999999999985</v>
      </c>
      <c r="AQ28" s="1435">
        <f t="shared" si="21"/>
        <v>8.6499999999999844</v>
      </c>
      <c r="AR28" s="1435">
        <f t="shared" si="21"/>
        <v>-1.5987211554602254E-14</v>
      </c>
      <c r="AS28" s="1435">
        <f t="shared" si="21"/>
        <v>-1.5987211554602254E-14</v>
      </c>
      <c r="AT28" s="1435">
        <f t="shared" si="21"/>
        <v>-1.5987211554602254E-14</v>
      </c>
      <c r="AU28" s="1435">
        <f t="shared" si="21"/>
        <v>-1.5987211554602254E-14</v>
      </c>
      <c r="AV28" s="1435">
        <f t="shared" si="21"/>
        <v>-1.5987211554602254E-14</v>
      </c>
      <c r="AW28" s="1435">
        <f t="shared" si="21"/>
        <v>-1.5987211554602254E-14</v>
      </c>
      <c r="AX28" s="1435">
        <f t="shared" si="21"/>
        <v>-1.5987211554602254E-14</v>
      </c>
      <c r="AY28" s="1435">
        <f t="shared" si="21"/>
        <v>-1.5987211554602254E-14</v>
      </c>
      <c r="AZ28" s="1435">
        <f t="shared" si="21"/>
        <v>-1.5987211554602254E-14</v>
      </c>
      <c r="BA28" s="1435">
        <f t="shared" si="21"/>
        <v>-1.5987211554602254E-14</v>
      </c>
    </row>
    <row r="29" spans="2:53">
      <c r="B29" s="1430" t="s">
        <v>1105</v>
      </c>
      <c r="C29" s="1430" t="s">
        <v>4422</v>
      </c>
      <c r="D29" s="1462">
        <v>74.38</v>
      </c>
      <c r="E29" s="1462">
        <v>3000</v>
      </c>
      <c r="F29" s="1462">
        <v>74.38</v>
      </c>
      <c r="G29" s="1462">
        <v>50</v>
      </c>
      <c r="H29" s="1462">
        <v>2925.62</v>
      </c>
      <c r="I29" s="1462">
        <f t="shared" si="27"/>
        <v>300</v>
      </c>
      <c r="J29" s="1462">
        <f t="shared" si="22"/>
        <v>10</v>
      </c>
      <c r="K29" s="1434"/>
      <c r="L29" s="1458">
        <f t="shared" si="23"/>
        <v>150</v>
      </c>
      <c r="M29" s="1458">
        <f t="shared" si="24"/>
        <v>300</v>
      </c>
      <c r="N29" s="1458">
        <f t="shared" si="25"/>
        <v>300</v>
      </c>
      <c r="O29" s="1458">
        <f t="shared" si="25"/>
        <v>300</v>
      </c>
      <c r="P29" s="1458">
        <f t="shared" si="25"/>
        <v>300</v>
      </c>
      <c r="Q29" s="1458">
        <f t="shared" si="25"/>
        <v>300</v>
      </c>
      <c r="R29" s="1458">
        <f t="shared" si="25"/>
        <v>300</v>
      </c>
      <c r="S29" s="1458">
        <f t="shared" si="25"/>
        <v>300</v>
      </c>
      <c r="T29" s="1458">
        <f t="shared" si="25"/>
        <v>300</v>
      </c>
      <c r="U29" s="1458">
        <f t="shared" si="25"/>
        <v>300</v>
      </c>
      <c r="V29" s="1458">
        <f t="shared" si="26"/>
        <v>150</v>
      </c>
      <c r="W29" s="1458"/>
      <c r="X29" s="1458"/>
      <c r="Y29" s="1458"/>
      <c r="Z29" s="1458"/>
      <c r="AA29" s="1458"/>
      <c r="AB29" s="1458"/>
      <c r="AC29" s="1458"/>
      <c r="AD29" s="1458"/>
      <c r="AE29" s="1458"/>
      <c r="AH29" s="1436">
        <f t="shared" si="19"/>
        <v>2850</v>
      </c>
      <c r="AI29" s="1435">
        <f t="shared" si="20"/>
        <v>2550</v>
      </c>
      <c r="AJ29" s="1435">
        <f t="shared" si="20"/>
        <v>2250</v>
      </c>
      <c r="AK29" s="1435">
        <f t="shared" si="20"/>
        <v>1950</v>
      </c>
      <c r="AL29" s="1435">
        <f t="shared" si="20"/>
        <v>1650</v>
      </c>
      <c r="AM29" s="1435">
        <f t="shared" si="21"/>
        <v>1350</v>
      </c>
      <c r="AN29" s="1435">
        <f t="shared" si="21"/>
        <v>1050</v>
      </c>
      <c r="AO29" s="1435">
        <f t="shared" si="21"/>
        <v>750</v>
      </c>
      <c r="AP29" s="1435">
        <f t="shared" si="21"/>
        <v>450</v>
      </c>
      <c r="AQ29" s="1435">
        <f t="shared" si="21"/>
        <v>150</v>
      </c>
      <c r="AR29" s="1435">
        <f t="shared" si="21"/>
        <v>0</v>
      </c>
      <c r="AS29" s="1435">
        <f t="shared" si="21"/>
        <v>0</v>
      </c>
      <c r="AT29" s="1435">
        <f t="shared" si="21"/>
        <v>0</v>
      </c>
      <c r="AU29" s="1435">
        <f t="shared" si="21"/>
        <v>0</v>
      </c>
      <c r="AV29" s="1435">
        <f t="shared" si="21"/>
        <v>0</v>
      </c>
      <c r="AW29" s="1435">
        <f t="shared" si="21"/>
        <v>0</v>
      </c>
      <c r="AX29" s="1435">
        <f t="shared" si="21"/>
        <v>0</v>
      </c>
      <c r="AY29" s="1435">
        <f t="shared" si="21"/>
        <v>0</v>
      </c>
      <c r="AZ29" s="1435">
        <f t="shared" si="21"/>
        <v>0</v>
      </c>
      <c r="BA29" s="1435">
        <f t="shared" si="21"/>
        <v>0</v>
      </c>
    </row>
    <row r="30" spans="2:53">
      <c r="B30" s="1430" t="s">
        <v>1105</v>
      </c>
      <c r="C30" s="1430" t="s">
        <v>4423</v>
      </c>
      <c r="D30" s="1462">
        <v>74.38</v>
      </c>
      <c r="E30" s="1462">
        <v>3000</v>
      </c>
      <c r="F30" s="1462">
        <v>74.38</v>
      </c>
      <c r="G30" s="1462">
        <v>50</v>
      </c>
      <c r="H30" s="1462">
        <v>2925.62</v>
      </c>
      <c r="I30" s="1462">
        <f t="shared" si="27"/>
        <v>300</v>
      </c>
      <c r="J30" s="1462">
        <f t="shared" si="22"/>
        <v>10</v>
      </c>
      <c r="K30" s="1434"/>
      <c r="L30" s="1458">
        <f t="shared" si="23"/>
        <v>150</v>
      </c>
      <c r="M30" s="1458">
        <f t="shared" si="24"/>
        <v>300</v>
      </c>
      <c r="N30" s="1458">
        <f t="shared" si="25"/>
        <v>300</v>
      </c>
      <c r="O30" s="1458">
        <f t="shared" si="25"/>
        <v>300</v>
      </c>
      <c r="P30" s="1458">
        <f t="shared" si="25"/>
        <v>300</v>
      </c>
      <c r="Q30" s="1458">
        <f t="shared" si="25"/>
        <v>300</v>
      </c>
      <c r="R30" s="1458">
        <f t="shared" si="25"/>
        <v>300</v>
      </c>
      <c r="S30" s="1458">
        <f t="shared" si="25"/>
        <v>300</v>
      </c>
      <c r="T30" s="1458">
        <f t="shared" si="25"/>
        <v>300</v>
      </c>
      <c r="U30" s="1458">
        <f t="shared" si="25"/>
        <v>300</v>
      </c>
      <c r="V30" s="1458">
        <f t="shared" si="26"/>
        <v>150</v>
      </c>
      <c r="W30" s="1458"/>
      <c r="X30" s="1458"/>
      <c r="Y30" s="1458"/>
      <c r="Z30" s="1458"/>
      <c r="AA30" s="1458"/>
      <c r="AB30" s="1458"/>
      <c r="AC30" s="1458"/>
      <c r="AD30" s="1458"/>
      <c r="AE30" s="1458"/>
      <c r="AH30" s="1436">
        <f t="shared" si="19"/>
        <v>2850</v>
      </c>
      <c r="AI30" s="1435">
        <f t="shared" si="20"/>
        <v>2550</v>
      </c>
      <c r="AJ30" s="1435">
        <f t="shared" si="20"/>
        <v>2250</v>
      </c>
      <c r="AK30" s="1435">
        <f t="shared" si="20"/>
        <v>1950</v>
      </c>
      <c r="AL30" s="1435">
        <f t="shared" si="20"/>
        <v>1650</v>
      </c>
      <c r="AM30" s="1435">
        <f t="shared" si="21"/>
        <v>1350</v>
      </c>
      <c r="AN30" s="1435">
        <f t="shared" si="21"/>
        <v>1050</v>
      </c>
      <c r="AO30" s="1435">
        <f t="shared" si="21"/>
        <v>750</v>
      </c>
      <c r="AP30" s="1435">
        <f t="shared" si="21"/>
        <v>450</v>
      </c>
      <c r="AQ30" s="1435">
        <f t="shared" si="21"/>
        <v>150</v>
      </c>
      <c r="AR30" s="1435">
        <f t="shared" si="21"/>
        <v>0</v>
      </c>
      <c r="AS30" s="1435">
        <f t="shared" si="21"/>
        <v>0</v>
      </c>
      <c r="AT30" s="1435">
        <f t="shared" si="21"/>
        <v>0</v>
      </c>
      <c r="AU30" s="1435">
        <f t="shared" si="21"/>
        <v>0</v>
      </c>
      <c r="AV30" s="1435">
        <f t="shared" si="21"/>
        <v>0</v>
      </c>
      <c r="AW30" s="1435">
        <f t="shared" si="21"/>
        <v>0</v>
      </c>
      <c r="AX30" s="1435">
        <f t="shared" si="21"/>
        <v>0</v>
      </c>
      <c r="AY30" s="1435">
        <f t="shared" si="21"/>
        <v>0</v>
      </c>
      <c r="AZ30" s="1435">
        <f t="shared" si="21"/>
        <v>0</v>
      </c>
      <c r="BA30" s="1435">
        <f t="shared" si="21"/>
        <v>0</v>
      </c>
    </row>
    <row r="31" spans="2:53">
      <c r="B31" s="1430" t="s">
        <v>1105</v>
      </c>
      <c r="C31" s="1430" t="s">
        <v>4424</v>
      </c>
      <c r="D31" s="1462">
        <v>74.38</v>
      </c>
      <c r="E31" s="1462">
        <v>3000</v>
      </c>
      <c r="F31" s="1462">
        <v>74.38</v>
      </c>
      <c r="G31" s="1462">
        <v>50</v>
      </c>
      <c r="H31" s="1462">
        <v>2925.62</v>
      </c>
      <c r="I31" s="1462">
        <f t="shared" si="27"/>
        <v>300</v>
      </c>
      <c r="J31" s="1462">
        <f t="shared" si="22"/>
        <v>10</v>
      </c>
      <c r="K31" s="1434"/>
      <c r="L31" s="1458">
        <f t="shared" si="23"/>
        <v>150</v>
      </c>
      <c r="M31" s="1458">
        <f t="shared" si="24"/>
        <v>300</v>
      </c>
      <c r="N31" s="1458">
        <f t="shared" si="25"/>
        <v>300</v>
      </c>
      <c r="O31" s="1458">
        <f t="shared" si="25"/>
        <v>300</v>
      </c>
      <c r="P31" s="1458">
        <f t="shared" si="25"/>
        <v>300</v>
      </c>
      <c r="Q31" s="1458">
        <f t="shared" si="25"/>
        <v>300</v>
      </c>
      <c r="R31" s="1458">
        <f t="shared" si="25"/>
        <v>300</v>
      </c>
      <c r="S31" s="1458">
        <f t="shared" si="25"/>
        <v>300</v>
      </c>
      <c r="T31" s="1458">
        <f t="shared" si="25"/>
        <v>300</v>
      </c>
      <c r="U31" s="1458">
        <f t="shared" si="25"/>
        <v>300</v>
      </c>
      <c r="V31" s="1458">
        <f t="shared" si="26"/>
        <v>150</v>
      </c>
      <c r="W31" s="1458"/>
      <c r="X31" s="1458"/>
      <c r="Y31" s="1458"/>
      <c r="Z31" s="1458"/>
      <c r="AA31" s="1458"/>
      <c r="AB31" s="1458"/>
      <c r="AC31" s="1458"/>
      <c r="AD31" s="1458"/>
      <c r="AE31" s="1458"/>
      <c r="AH31" s="1436">
        <f t="shared" si="19"/>
        <v>2850</v>
      </c>
      <c r="AI31" s="1435">
        <f t="shared" si="20"/>
        <v>2550</v>
      </c>
      <c r="AJ31" s="1435">
        <f t="shared" si="20"/>
        <v>2250</v>
      </c>
      <c r="AK31" s="1435">
        <f t="shared" si="20"/>
        <v>1950</v>
      </c>
      <c r="AL31" s="1435">
        <f t="shared" si="20"/>
        <v>1650</v>
      </c>
      <c r="AM31" s="1435">
        <f t="shared" si="21"/>
        <v>1350</v>
      </c>
      <c r="AN31" s="1435">
        <f t="shared" si="21"/>
        <v>1050</v>
      </c>
      <c r="AO31" s="1435">
        <f t="shared" si="21"/>
        <v>750</v>
      </c>
      <c r="AP31" s="1435">
        <f t="shared" si="21"/>
        <v>450</v>
      </c>
      <c r="AQ31" s="1435">
        <f t="shared" si="21"/>
        <v>150</v>
      </c>
      <c r="AR31" s="1435">
        <f t="shared" si="21"/>
        <v>0</v>
      </c>
      <c r="AS31" s="1435">
        <f t="shared" si="21"/>
        <v>0</v>
      </c>
      <c r="AT31" s="1435">
        <f t="shared" si="21"/>
        <v>0</v>
      </c>
      <c r="AU31" s="1435">
        <f t="shared" si="21"/>
        <v>0</v>
      </c>
      <c r="AV31" s="1435">
        <f t="shared" si="21"/>
        <v>0</v>
      </c>
      <c r="AW31" s="1435">
        <f t="shared" si="21"/>
        <v>0</v>
      </c>
      <c r="AX31" s="1435">
        <f t="shared" si="21"/>
        <v>0</v>
      </c>
      <c r="AY31" s="1435">
        <f t="shared" si="21"/>
        <v>0</v>
      </c>
      <c r="AZ31" s="1435">
        <f t="shared" si="21"/>
        <v>0</v>
      </c>
      <c r="BA31" s="1435">
        <f t="shared" si="21"/>
        <v>0</v>
      </c>
    </row>
    <row r="32" spans="2:53">
      <c r="B32" s="1437"/>
      <c r="C32" s="1438"/>
      <c r="D32" s="1463">
        <v>2009.51</v>
      </c>
      <c r="E32" s="1463">
        <v>81047</v>
      </c>
      <c r="F32" s="1463">
        <v>2009.51</v>
      </c>
      <c r="G32" s="1463"/>
      <c r="H32" s="1463">
        <v>79037.490000000005</v>
      </c>
      <c r="I32" s="1463"/>
      <c r="J32" s="1463"/>
      <c r="K32" s="1439"/>
      <c r="AH32" s="1436"/>
      <c r="AI32" s="1435"/>
      <c r="AJ32" s="1435"/>
      <c r="AK32" s="1435"/>
      <c r="AL32" s="1435"/>
      <c r="AM32" s="1435"/>
      <c r="AN32" s="1435"/>
      <c r="AO32" s="1435"/>
      <c r="AP32" s="1435"/>
      <c r="AQ32" s="1435"/>
      <c r="AR32" s="1435"/>
      <c r="AS32" s="1435"/>
      <c r="AT32" s="1435"/>
      <c r="AU32" s="1435"/>
      <c r="AV32" s="1435"/>
      <c r="AW32" s="1435"/>
      <c r="AX32" s="1435"/>
      <c r="AY32" s="1435"/>
      <c r="AZ32" s="1435"/>
      <c r="BA32" s="1435"/>
    </row>
    <row r="33" spans="2:53">
      <c r="B33" s="1430" t="s">
        <v>4425</v>
      </c>
      <c r="C33" s="1430" t="s">
        <v>4426</v>
      </c>
      <c r="D33" s="1462">
        <v>669.45</v>
      </c>
      <c r="E33" s="1462">
        <v>18000</v>
      </c>
      <c r="F33" s="1462">
        <v>669.45</v>
      </c>
      <c r="G33" s="1462">
        <v>54</v>
      </c>
      <c r="H33" s="1462">
        <v>17330.55</v>
      </c>
      <c r="I33" s="1462">
        <f>+E33/7</f>
        <v>2571.4285714285716</v>
      </c>
      <c r="J33" s="1462">
        <f t="shared" ref="J33:J47" si="28">+E33/I33</f>
        <v>7</v>
      </c>
      <c r="K33" s="1434"/>
      <c r="L33" s="1458">
        <f t="shared" ref="L33:L47" si="29">+I33/2</f>
        <v>1285.7142857142858</v>
      </c>
      <c r="M33" s="1458">
        <f t="shared" ref="M33:M47" si="30">+I33</f>
        <v>2571.4285714285716</v>
      </c>
      <c r="N33" s="1458">
        <f t="shared" ref="N33:R47" si="31">+M33</f>
        <v>2571.4285714285716</v>
      </c>
      <c r="O33" s="1458">
        <f t="shared" si="31"/>
        <v>2571.4285714285716</v>
      </c>
      <c r="P33" s="1458">
        <f t="shared" si="31"/>
        <v>2571.4285714285716</v>
      </c>
      <c r="Q33" s="1458">
        <f t="shared" si="31"/>
        <v>2571.4285714285716</v>
      </c>
      <c r="R33" s="1458">
        <f t="shared" si="31"/>
        <v>2571.4285714285716</v>
      </c>
      <c r="S33" s="1458">
        <f t="shared" ref="S33:S47" si="32">+R33/2</f>
        <v>1285.7142857142858</v>
      </c>
      <c r="T33" s="1458"/>
      <c r="U33" s="1458"/>
      <c r="V33" s="1458"/>
      <c r="W33" s="1458"/>
      <c r="X33" s="1458"/>
      <c r="AH33" s="1436">
        <f t="shared" si="19"/>
        <v>16714.285714285714</v>
      </c>
      <c r="AI33" s="1435">
        <f t="shared" si="20"/>
        <v>14142.857142857141</v>
      </c>
      <c r="AJ33" s="1435">
        <f t="shared" si="20"/>
        <v>11571.428571428569</v>
      </c>
      <c r="AK33" s="1435">
        <f t="shared" si="20"/>
        <v>8999.9999999999964</v>
      </c>
      <c r="AL33" s="1435">
        <f t="shared" si="20"/>
        <v>6428.5714285714248</v>
      </c>
      <c r="AM33" s="1435">
        <f t="shared" si="21"/>
        <v>3857.1428571428532</v>
      </c>
      <c r="AN33" s="1435">
        <f t="shared" si="21"/>
        <v>1285.7142857142817</v>
      </c>
      <c r="AO33" s="1435">
        <f t="shared" si="21"/>
        <v>-4.0927261579781771E-12</v>
      </c>
      <c r="AP33" s="1435">
        <f t="shared" si="21"/>
        <v>-4.0927261579781771E-12</v>
      </c>
      <c r="AQ33" s="1435">
        <f t="shared" si="21"/>
        <v>-4.0927261579781771E-12</v>
      </c>
      <c r="AR33" s="1435">
        <f t="shared" si="21"/>
        <v>-4.0927261579781771E-12</v>
      </c>
      <c r="AS33" s="1435">
        <f t="shared" si="21"/>
        <v>-4.0927261579781771E-12</v>
      </c>
      <c r="AT33" s="1435">
        <f t="shared" si="21"/>
        <v>-4.0927261579781771E-12</v>
      </c>
      <c r="AU33" s="1435">
        <f t="shared" si="21"/>
        <v>-4.0927261579781771E-12</v>
      </c>
      <c r="AV33" s="1435">
        <f t="shared" si="21"/>
        <v>-4.0927261579781771E-12</v>
      </c>
      <c r="AW33" s="1435">
        <f t="shared" si="21"/>
        <v>-4.0927261579781771E-12</v>
      </c>
      <c r="AX33" s="1435">
        <f t="shared" si="21"/>
        <v>-4.0927261579781771E-12</v>
      </c>
      <c r="AY33" s="1435">
        <f t="shared" si="21"/>
        <v>-4.0927261579781771E-12</v>
      </c>
      <c r="AZ33" s="1435">
        <f t="shared" si="21"/>
        <v>-4.0927261579781771E-12</v>
      </c>
      <c r="BA33" s="1435">
        <f t="shared" si="21"/>
        <v>-4.0927261579781771E-12</v>
      </c>
    </row>
    <row r="34" spans="2:53">
      <c r="B34" s="1430" t="s">
        <v>4425</v>
      </c>
      <c r="C34" s="1430" t="s">
        <v>4427</v>
      </c>
      <c r="D34" s="1462">
        <v>1599.25</v>
      </c>
      <c r="E34" s="1462">
        <v>43000</v>
      </c>
      <c r="F34" s="1462">
        <v>1599.25</v>
      </c>
      <c r="G34" s="1462">
        <v>54</v>
      </c>
      <c r="H34" s="1462">
        <v>41400.75</v>
      </c>
      <c r="I34" s="1462">
        <f t="shared" ref="I34:I47" si="33">+E34/7</f>
        <v>6142.8571428571431</v>
      </c>
      <c r="J34" s="1462">
        <f t="shared" si="28"/>
        <v>7</v>
      </c>
      <c r="K34" s="1434"/>
      <c r="L34" s="1458">
        <f t="shared" si="29"/>
        <v>3071.4285714285716</v>
      </c>
      <c r="M34" s="1458">
        <f t="shared" si="30"/>
        <v>6142.8571428571431</v>
      </c>
      <c r="N34" s="1458">
        <f t="shared" si="31"/>
        <v>6142.8571428571431</v>
      </c>
      <c r="O34" s="1458">
        <f t="shared" si="31"/>
        <v>6142.8571428571431</v>
      </c>
      <c r="P34" s="1458">
        <f t="shared" si="31"/>
        <v>6142.8571428571431</v>
      </c>
      <c r="Q34" s="1458">
        <f t="shared" si="31"/>
        <v>6142.8571428571431</v>
      </c>
      <c r="R34" s="1458">
        <f t="shared" si="31"/>
        <v>6142.8571428571431</v>
      </c>
      <c r="S34" s="1458">
        <f t="shared" si="32"/>
        <v>3071.4285714285716</v>
      </c>
      <c r="T34" s="1458"/>
      <c r="U34" s="1458"/>
      <c r="V34" s="1458"/>
      <c r="W34" s="1458"/>
      <c r="X34" s="1458"/>
      <c r="AH34" s="1436">
        <f t="shared" si="19"/>
        <v>39928.571428571428</v>
      </c>
      <c r="AI34" s="1435">
        <f t="shared" ref="AI34:AX47" si="34">+AH34-M34</f>
        <v>33785.714285714283</v>
      </c>
      <c r="AJ34" s="1435">
        <f t="shared" si="34"/>
        <v>27642.857142857138</v>
      </c>
      <c r="AK34" s="1435">
        <f t="shared" si="34"/>
        <v>21499.999999999993</v>
      </c>
      <c r="AL34" s="1435">
        <f t="shared" si="34"/>
        <v>15357.14285714285</v>
      </c>
      <c r="AM34" s="1435">
        <f t="shared" si="21"/>
        <v>9214.2857142857065</v>
      </c>
      <c r="AN34" s="1435">
        <f t="shared" si="21"/>
        <v>3071.4285714285634</v>
      </c>
      <c r="AO34" s="1435">
        <f t="shared" si="21"/>
        <v>-8.1854523159563541E-12</v>
      </c>
      <c r="AP34" s="1435">
        <f t="shared" si="21"/>
        <v>-8.1854523159563541E-12</v>
      </c>
      <c r="AQ34" s="1435">
        <f t="shared" si="21"/>
        <v>-8.1854523159563541E-12</v>
      </c>
      <c r="AR34" s="1435">
        <f t="shared" si="21"/>
        <v>-8.1854523159563541E-12</v>
      </c>
      <c r="AS34" s="1435">
        <f t="shared" si="21"/>
        <v>-8.1854523159563541E-12</v>
      </c>
      <c r="AT34" s="1435">
        <f t="shared" si="21"/>
        <v>-8.1854523159563541E-12</v>
      </c>
      <c r="AU34" s="1435">
        <f t="shared" si="21"/>
        <v>-8.1854523159563541E-12</v>
      </c>
      <c r="AV34" s="1435">
        <f t="shared" si="21"/>
        <v>-8.1854523159563541E-12</v>
      </c>
      <c r="AW34" s="1435">
        <f t="shared" si="21"/>
        <v>-8.1854523159563541E-12</v>
      </c>
      <c r="AX34" s="1435">
        <f t="shared" si="21"/>
        <v>-8.1854523159563541E-12</v>
      </c>
      <c r="AY34" s="1435">
        <f t="shared" si="21"/>
        <v>-8.1854523159563541E-12</v>
      </c>
      <c r="AZ34" s="1435">
        <f t="shared" si="21"/>
        <v>-8.1854523159563541E-12</v>
      </c>
      <c r="BA34" s="1435">
        <f t="shared" si="21"/>
        <v>-8.1854523159563541E-12</v>
      </c>
    </row>
    <row r="35" spans="2:53">
      <c r="B35" s="1430" t="s">
        <v>4425</v>
      </c>
      <c r="C35" s="1430" t="s">
        <v>4428</v>
      </c>
      <c r="D35" s="1462">
        <v>8.93</v>
      </c>
      <c r="E35" s="1462">
        <v>240</v>
      </c>
      <c r="F35" s="1462">
        <v>8.93</v>
      </c>
      <c r="G35" s="1462">
        <v>54</v>
      </c>
      <c r="H35" s="1462">
        <v>231.07</v>
      </c>
      <c r="I35" s="1462">
        <f t="shared" si="33"/>
        <v>34.285714285714285</v>
      </c>
      <c r="J35" s="1462">
        <f t="shared" si="28"/>
        <v>7</v>
      </c>
      <c r="K35" s="1434"/>
      <c r="L35" s="1458">
        <f t="shared" si="29"/>
        <v>17.142857142857142</v>
      </c>
      <c r="M35" s="1458">
        <f t="shared" si="30"/>
        <v>34.285714285714285</v>
      </c>
      <c r="N35" s="1458">
        <f t="shared" si="31"/>
        <v>34.285714285714285</v>
      </c>
      <c r="O35" s="1458">
        <f t="shared" si="31"/>
        <v>34.285714285714285</v>
      </c>
      <c r="P35" s="1458">
        <f t="shared" si="31"/>
        <v>34.285714285714285</v>
      </c>
      <c r="Q35" s="1458">
        <f t="shared" si="31"/>
        <v>34.285714285714285</v>
      </c>
      <c r="R35" s="1458">
        <f t="shared" si="31"/>
        <v>34.285714285714285</v>
      </c>
      <c r="S35" s="1458">
        <f t="shared" si="32"/>
        <v>17.142857142857142</v>
      </c>
      <c r="T35" s="1458"/>
      <c r="U35" s="1458"/>
      <c r="V35" s="1458"/>
      <c r="W35" s="1458"/>
      <c r="X35" s="1458"/>
      <c r="AH35" s="1436">
        <f t="shared" si="19"/>
        <v>222.85714285714286</v>
      </c>
      <c r="AI35" s="1435">
        <f t="shared" si="34"/>
        <v>188.57142857142858</v>
      </c>
      <c r="AJ35" s="1435">
        <f t="shared" si="34"/>
        <v>154.28571428571431</v>
      </c>
      <c r="AK35" s="1435">
        <f t="shared" si="34"/>
        <v>120.00000000000003</v>
      </c>
      <c r="AL35" s="1435">
        <f t="shared" si="34"/>
        <v>85.714285714285751</v>
      </c>
      <c r="AM35" s="1435">
        <f t="shared" si="34"/>
        <v>51.428571428571466</v>
      </c>
      <c r="AN35" s="1435">
        <f t="shared" si="34"/>
        <v>17.142857142857181</v>
      </c>
      <c r="AO35" s="1435">
        <f t="shared" si="34"/>
        <v>3.907985046680551E-14</v>
      </c>
      <c r="AP35" s="1435">
        <f t="shared" si="34"/>
        <v>3.907985046680551E-14</v>
      </c>
      <c r="AQ35" s="1435">
        <f t="shared" si="34"/>
        <v>3.907985046680551E-14</v>
      </c>
      <c r="AR35" s="1435">
        <f t="shared" si="34"/>
        <v>3.907985046680551E-14</v>
      </c>
      <c r="AS35" s="1435">
        <f t="shared" si="34"/>
        <v>3.907985046680551E-14</v>
      </c>
      <c r="AT35" s="1435">
        <f t="shared" si="34"/>
        <v>3.907985046680551E-14</v>
      </c>
      <c r="AU35" s="1435">
        <f t="shared" si="34"/>
        <v>3.907985046680551E-14</v>
      </c>
      <c r="AV35" s="1435">
        <f t="shared" si="34"/>
        <v>3.907985046680551E-14</v>
      </c>
      <c r="AW35" s="1435">
        <f t="shared" si="34"/>
        <v>3.907985046680551E-14</v>
      </c>
      <c r="AX35" s="1435">
        <f t="shared" si="34"/>
        <v>3.907985046680551E-14</v>
      </c>
      <c r="AY35" s="1435">
        <f t="shared" ref="AY35:BA49" si="35">+AX35-AC35</f>
        <v>3.907985046680551E-14</v>
      </c>
      <c r="AZ35" s="1435">
        <f t="shared" si="35"/>
        <v>3.907985046680551E-14</v>
      </c>
      <c r="BA35" s="1435">
        <f t="shared" si="35"/>
        <v>3.907985046680551E-14</v>
      </c>
    </row>
    <row r="36" spans="2:53">
      <c r="B36" s="1430" t="s">
        <v>4425</v>
      </c>
      <c r="C36" s="1430" t="s">
        <v>4429</v>
      </c>
      <c r="D36" s="1462">
        <v>9.67</v>
      </c>
      <c r="E36" s="1462">
        <v>260</v>
      </c>
      <c r="F36" s="1462">
        <v>9.67</v>
      </c>
      <c r="G36" s="1462">
        <v>54</v>
      </c>
      <c r="H36" s="1462">
        <v>250.33</v>
      </c>
      <c r="I36" s="1462">
        <f t="shared" si="33"/>
        <v>37.142857142857146</v>
      </c>
      <c r="J36" s="1462">
        <f t="shared" si="28"/>
        <v>6.9999999999999991</v>
      </c>
      <c r="K36" s="1434"/>
      <c r="L36" s="1458">
        <f t="shared" si="29"/>
        <v>18.571428571428573</v>
      </c>
      <c r="M36" s="1458">
        <f t="shared" si="30"/>
        <v>37.142857142857146</v>
      </c>
      <c r="N36" s="1458">
        <f t="shared" si="31"/>
        <v>37.142857142857146</v>
      </c>
      <c r="O36" s="1458">
        <f t="shared" si="31"/>
        <v>37.142857142857146</v>
      </c>
      <c r="P36" s="1458">
        <f t="shared" si="31"/>
        <v>37.142857142857146</v>
      </c>
      <c r="Q36" s="1458">
        <f t="shared" si="31"/>
        <v>37.142857142857146</v>
      </c>
      <c r="R36" s="1458">
        <f t="shared" si="31"/>
        <v>37.142857142857146</v>
      </c>
      <c r="S36" s="1458">
        <f t="shared" si="32"/>
        <v>18.571428571428573</v>
      </c>
      <c r="T36" s="1458"/>
      <c r="U36" s="1458"/>
      <c r="V36" s="1458"/>
      <c r="W36" s="1458"/>
      <c r="X36" s="1458"/>
      <c r="AH36" s="1436">
        <f t="shared" si="19"/>
        <v>241.42857142857142</v>
      </c>
      <c r="AI36" s="1435">
        <f t="shared" si="34"/>
        <v>204.28571428571428</v>
      </c>
      <c r="AJ36" s="1435">
        <f t="shared" si="34"/>
        <v>167.14285714285714</v>
      </c>
      <c r="AK36" s="1435">
        <f t="shared" si="34"/>
        <v>130</v>
      </c>
      <c r="AL36" s="1435">
        <f t="shared" si="34"/>
        <v>92.857142857142861</v>
      </c>
      <c r="AM36" s="1435">
        <f t="shared" si="34"/>
        <v>55.714285714285715</v>
      </c>
      <c r="AN36" s="1435">
        <f t="shared" si="34"/>
        <v>18.571428571428569</v>
      </c>
      <c r="AO36" s="1435">
        <f t="shared" si="34"/>
        <v>0</v>
      </c>
      <c r="AP36" s="1435">
        <f t="shared" si="34"/>
        <v>0</v>
      </c>
      <c r="AQ36" s="1435">
        <f t="shared" si="34"/>
        <v>0</v>
      </c>
      <c r="AR36" s="1435">
        <f t="shared" si="34"/>
        <v>0</v>
      </c>
      <c r="AS36" s="1435">
        <f t="shared" si="34"/>
        <v>0</v>
      </c>
      <c r="AT36" s="1435">
        <f t="shared" si="34"/>
        <v>0</v>
      </c>
      <c r="AU36" s="1435">
        <f t="shared" si="34"/>
        <v>0</v>
      </c>
      <c r="AV36" s="1435">
        <f t="shared" si="34"/>
        <v>0</v>
      </c>
      <c r="AW36" s="1435">
        <f t="shared" si="34"/>
        <v>0</v>
      </c>
      <c r="AX36" s="1435">
        <f t="shared" si="34"/>
        <v>0</v>
      </c>
      <c r="AY36" s="1435">
        <f t="shared" si="35"/>
        <v>0</v>
      </c>
      <c r="AZ36" s="1435">
        <f t="shared" si="35"/>
        <v>0</v>
      </c>
      <c r="BA36" s="1435">
        <f t="shared" si="35"/>
        <v>0</v>
      </c>
    </row>
    <row r="37" spans="2:53">
      <c r="B37" s="1430" t="s">
        <v>4425</v>
      </c>
      <c r="C37" s="1430" t="s">
        <v>4430</v>
      </c>
      <c r="D37" s="1462">
        <v>669.45</v>
      </c>
      <c r="E37" s="1462">
        <v>18000</v>
      </c>
      <c r="F37" s="1462">
        <v>669.45</v>
      </c>
      <c r="G37" s="1462">
        <v>54</v>
      </c>
      <c r="H37" s="1462">
        <v>17330.55</v>
      </c>
      <c r="I37" s="1462">
        <f t="shared" si="33"/>
        <v>2571.4285714285716</v>
      </c>
      <c r="J37" s="1462">
        <f t="shared" si="28"/>
        <v>7</v>
      </c>
      <c r="K37" s="1434"/>
      <c r="L37" s="1458">
        <f t="shared" si="29"/>
        <v>1285.7142857142858</v>
      </c>
      <c r="M37" s="1458">
        <f t="shared" si="30"/>
        <v>2571.4285714285716</v>
      </c>
      <c r="N37" s="1458">
        <f t="shared" si="31"/>
        <v>2571.4285714285716</v>
      </c>
      <c r="O37" s="1458">
        <f t="shared" si="31"/>
        <v>2571.4285714285716</v>
      </c>
      <c r="P37" s="1458">
        <f t="shared" si="31"/>
        <v>2571.4285714285716</v>
      </c>
      <c r="Q37" s="1458">
        <f t="shared" si="31"/>
        <v>2571.4285714285716</v>
      </c>
      <c r="R37" s="1458">
        <f t="shared" si="31"/>
        <v>2571.4285714285716</v>
      </c>
      <c r="S37" s="1458">
        <f t="shared" si="32"/>
        <v>1285.7142857142858</v>
      </c>
      <c r="T37" s="1458"/>
      <c r="U37" s="1458"/>
      <c r="V37" s="1458"/>
      <c r="W37" s="1458"/>
      <c r="X37" s="1458"/>
      <c r="AH37" s="1436">
        <f t="shared" si="19"/>
        <v>16714.285714285714</v>
      </c>
      <c r="AI37" s="1435">
        <f t="shared" si="34"/>
        <v>14142.857142857141</v>
      </c>
      <c r="AJ37" s="1435">
        <f t="shared" si="34"/>
        <v>11571.428571428569</v>
      </c>
      <c r="AK37" s="1435">
        <f t="shared" si="34"/>
        <v>8999.9999999999964</v>
      </c>
      <c r="AL37" s="1435">
        <f t="shared" si="34"/>
        <v>6428.5714285714248</v>
      </c>
      <c r="AM37" s="1435">
        <f t="shared" si="34"/>
        <v>3857.1428571428532</v>
      </c>
      <c r="AN37" s="1435">
        <f t="shared" si="34"/>
        <v>1285.7142857142817</v>
      </c>
      <c r="AO37" s="1435">
        <f t="shared" si="34"/>
        <v>-4.0927261579781771E-12</v>
      </c>
      <c r="AP37" s="1435">
        <f t="shared" si="34"/>
        <v>-4.0927261579781771E-12</v>
      </c>
      <c r="AQ37" s="1435">
        <f t="shared" si="34"/>
        <v>-4.0927261579781771E-12</v>
      </c>
      <c r="AR37" s="1435">
        <f t="shared" si="34"/>
        <v>-4.0927261579781771E-12</v>
      </c>
      <c r="AS37" s="1435">
        <f t="shared" si="34"/>
        <v>-4.0927261579781771E-12</v>
      </c>
      <c r="AT37" s="1435">
        <f t="shared" si="34"/>
        <v>-4.0927261579781771E-12</v>
      </c>
      <c r="AU37" s="1435">
        <f t="shared" si="34"/>
        <v>-4.0927261579781771E-12</v>
      </c>
      <c r="AV37" s="1435">
        <f t="shared" si="34"/>
        <v>-4.0927261579781771E-12</v>
      </c>
      <c r="AW37" s="1435">
        <f t="shared" si="34"/>
        <v>-4.0927261579781771E-12</v>
      </c>
      <c r="AX37" s="1435">
        <f t="shared" si="34"/>
        <v>-4.0927261579781771E-12</v>
      </c>
      <c r="AY37" s="1435">
        <f t="shared" si="35"/>
        <v>-4.0927261579781771E-12</v>
      </c>
      <c r="AZ37" s="1435">
        <f t="shared" si="35"/>
        <v>-4.0927261579781771E-12</v>
      </c>
      <c r="BA37" s="1435">
        <f t="shared" si="35"/>
        <v>-4.0927261579781771E-12</v>
      </c>
    </row>
    <row r="38" spans="2:53">
      <c r="B38" s="1430" t="s">
        <v>4425</v>
      </c>
      <c r="C38" s="1430" t="s">
        <v>4431</v>
      </c>
      <c r="D38" s="1462">
        <v>22984.52</v>
      </c>
      <c r="E38" s="1462">
        <v>618000</v>
      </c>
      <c r="F38" s="1462">
        <v>22984.52</v>
      </c>
      <c r="G38" s="1462">
        <v>54</v>
      </c>
      <c r="H38" s="1462">
        <v>595015.48</v>
      </c>
      <c r="I38" s="1462">
        <f t="shared" si="33"/>
        <v>88285.71428571429</v>
      </c>
      <c r="J38" s="1462">
        <f t="shared" si="28"/>
        <v>7</v>
      </c>
      <c r="K38" s="1434"/>
      <c r="L38" s="1458">
        <f t="shared" si="29"/>
        <v>44142.857142857145</v>
      </c>
      <c r="M38" s="1458">
        <f t="shared" si="30"/>
        <v>88285.71428571429</v>
      </c>
      <c r="N38" s="1458">
        <f t="shared" si="31"/>
        <v>88285.71428571429</v>
      </c>
      <c r="O38" s="1458">
        <f t="shared" si="31"/>
        <v>88285.71428571429</v>
      </c>
      <c r="P38" s="1458">
        <f t="shared" si="31"/>
        <v>88285.71428571429</v>
      </c>
      <c r="Q38" s="1458">
        <f t="shared" si="31"/>
        <v>88285.71428571429</v>
      </c>
      <c r="R38" s="1458">
        <f t="shared" si="31"/>
        <v>88285.71428571429</v>
      </c>
      <c r="S38" s="1458">
        <f t="shared" si="32"/>
        <v>44142.857142857145</v>
      </c>
      <c r="T38" s="1458"/>
      <c r="U38" s="1458"/>
      <c r="V38" s="1458"/>
      <c r="W38" s="1458"/>
      <c r="X38" s="1458"/>
      <c r="AH38" s="1436">
        <f t="shared" si="19"/>
        <v>573857.14285714284</v>
      </c>
      <c r="AI38" s="1435">
        <f t="shared" si="34"/>
        <v>485571.42857142852</v>
      </c>
      <c r="AJ38" s="1435">
        <f t="shared" si="34"/>
        <v>397285.7142857142</v>
      </c>
      <c r="AK38" s="1435">
        <f t="shared" si="34"/>
        <v>308999.99999999988</v>
      </c>
      <c r="AL38" s="1435">
        <f t="shared" si="34"/>
        <v>220714.28571428559</v>
      </c>
      <c r="AM38" s="1435">
        <f t="shared" si="34"/>
        <v>132428.5714285713</v>
      </c>
      <c r="AN38" s="1435">
        <f t="shared" si="34"/>
        <v>44142.857142857014</v>
      </c>
      <c r="AO38" s="1435">
        <f t="shared" si="34"/>
        <v>-1.3096723705530167E-10</v>
      </c>
      <c r="AP38" s="1435">
        <f t="shared" si="34"/>
        <v>-1.3096723705530167E-10</v>
      </c>
      <c r="AQ38" s="1435">
        <f t="shared" si="34"/>
        <v>-1.3096723705530167E-10</v>
      </c>
      <c r="AR38" s="1435">
        <f t="shared" si="34"/>
        <v>-1.3096723705530167E-10</v>
      </c>
      <c r="AS38" s="1435">
        <f t="shared" si="34"/>
        <v>-1.3096723705530167E-10</v>
      </c>
      <c r="AT38" s="1435">
        <f t="shared" si="34"/>
        <v>-1.3096723705530167E-10</v>
      </c>
      <c r="AU38" s="1435">
        <f t="shared" si="34"/>
        <v>-1.3096723705530167E-10</v>
      </c>
      <c r="AV38" s="1435">
        <f t="shared" si="34"/>
        <v>-1.3096723705530167E-10</v>
      </c>
      <c r="AW38" s="1435">
        <f t="shared" si="34"/>
        <v>-1.3096723705530167E-10</v>
      </c>
      <c r="AX38" s="1435">
        <f t="shared" si="34"/>
        <v>-1.3096723705530167E-10</v>
      </c>
      <c r="AY38" s="1435">
        <f t="shared" si="35"/>
        <v>-1.3096723705530167E-10</v>
      </c>
      <c r="AZ38" s="1435">
        <f t="shared" si="35"/>
        <v>-1.3096723705530167E-10</v>
      </c>
      <c r="BA38" s="1435">
        <f t="shared" si="35"/>
        <v>-1.3096723705530167E-10</v>
      </c>
    </row>
    <row r="39" spans="2:53">
      <c r="B39" s="1430" t="s">
        <v>4425</v>
      </c>
      <c r="C39" s="1430" t="s">
        <v>4432</v>
      </c>
      <c r="D39" s="1462">
        <v>172.94</v>
      </c>
      <c r="E39" s="1462">
        <v>4650</v>
      </c>
      <c r="F39" s="1462">
        <v>172.94</v>
      </c>
      <c r="G39" s="1462">
        <v>54</v>
      </c>
      <c r="H39" s="1462">
        <v>4477.0600000000004</v>
      </c>
      <c r="I39" s="1462">
        <f t="shared" si="33"/>
        <v>664.28571428571433</v>
      </c>
      <c r="J39" s="1462">
        <f t="shared" si="28"/>
        <v>6.9999999999999991</v>
      </c>
      <c r="K39" s="1434"/>
      <c r="L39" s="1458">
        <f t="shared" si="29"/>
        <v>332.14285714285717</v>
      </c>
      <c r="M39" s="1458">
        <f t="shared" si="30"/>
        <v>664.28571428571433</v>
      </c>
      <c r="N39" s="1458">
        <f t="shared" si="31"/>
        <v>664.28571428571433</v>
      </c>
      <c r="O39" s="1458">
        <f t="shared" si="31"/>
        <v>664.28571428571433</v>
      </c>
      <c r="P39" s="1458">
        <f t="shared" si="31"/>
        <v>664.28571428571433</v>
      </c>
      <c r="Q39" s="1458">
        <f t="shared" si="31"/>
        <v>664.28571428571433</v>
      </c>
      <c r="R39" s="1458">
        <f t="shared" si="31"/>
        <v>664.28571428571433</v>
      </c>
      <c r="S39" s="1458">
        <f t="shared" si="32"/>
        <v>332.14285714285717</v>
      </c>
      <c r="T39" s="1458"/>
      <c r="U39" s="1458"/>
      <c r="V39" s="1458"/>
      <c r="W39" s="1458"/>
      <c r="X39" s="1458"/>
      <c r="AH39" s="1436">
        <f t="shared" si="19"/>
        <v>4317.8571428571431</v>
      </c>
      <c r="AI39" s="1435">
        <f t="shared" si="34"/>
        <v>3653.5714285714289</v>
      </c>
      <c r="AJ39" s="1435">
        <f t="shared" si="34"/>
        <v>2989.2857142857147</v>
      </c>
      <c r="AK39" s="1435">
        <f t="shared" si="34"/>
        <v>2325.0000000000005</v>
      </c>
      <c r="AL39" s="1435">
        <f t="shared" si="34"/>
        <v>1660.7142857142862</v>
      </c>
      <c r="AM39" s="1435">
        <f t="shared" si="34"/>
        <v>996.4285714285719</v>
      </c>
      <c r="AN39" s="1435">
        <f t="shared" si="34"/>
        <v>332.14285714285757</v>
      </c>
      <c r="AO39" s="1435">
        <f t="shared" si="34"/>
        <v>0</v>
      </c>
      <c r="AP39" s="1435">
        <f t="shared" si="34"/>
        <v>0</v>
      </c>
      <c r="AQ39" s="1435">
        <f t="shared" si="34"/>
        <v>0</v>
      </c>
      <c r="AR39" s="1435">
        <f t="shared" si="34"/>
        <v>0</v>
      </c>
      <c r="AS39" s="1435">
        <f t="shared" si="34"/>
        <v>0</v>
      </c>
      <c r="AT39" s="1435">
        <f t="shared" si="34"/>
        <v>0</v>
      </c>
      <c r="AU39" s="1435">
        <f t="shared" si="34"/>
        <v>0</v>
      </c>
      <c r="AV39" s="1435">
        <f t="shared" si="34"/>
        <v>0</v>
      </c>
      <c r="AW39" s="1435">
        <f t="shared" si="34"/>
        <v>0</v>
      </c>
      <c r="AX39" s="1435">
        <f t="shared" si="34"/>
        <v>0</v>
      </c>
      <c r="AY39" s="1435">
        <f t="shared" si="35"/>
        <v>0</v>
      </c>
      <c r="AZ39" s="1435">
        <f t="shared" si="35"/>
        <v>0</v>
      </c>
      <c r="BA39" s="1435">
        <f t="shared" si="35"/>
        <v>0</v>
      </c>
    </row>
    <row r="40" spans="2:53">
      <c r="B40" s="1430" t="s">
        <v>4425</v>
      </c>
      <c r="C40" s="1430" t="s">
        <v>4433</v>
      </c>
      <c r="D40" s="1462">
        <v>4463.01</v>
      </c>
      <c r="E40" s="1462">
        <v>120000</v>
      </c>
      <c r="F40" s="1462">
        <v>4463.01</v>
      </c>
      <c r="G40" s="1462">
        <v>54</v>
      </c>
      <c r="H40" s="1462">
        <v>115536.99</v>
      </c>
      <c r="I40" s="1462">
        <f t="shared" si="33"/>
        <v>17142.857142857141</v>
      </c>
      <c r="J40" s="1462">
        <f t="shared" si="28"/>
        <v>7.0000000000000009</v>
      </c>
      <c r="K40" s="1434"/>
      <c r="L40" s="1458">
        <f t="shared" si="29"/>
        <v>8571.4285714285706</v>
      </c>
      <c r="M40" s="1458">
        <f t="shared" si="30"/>
        <v>17142.857142857141</v>
      </c>
      <c r="N40" s="1458">
        <f t="shared" si="31"/>
        <v>17142.857142857141</v>
      </c>
      <c r="O40" s="1458">
        <f t="shared" si="31"/>
        <v>17142.857142857141</v>
      </c>
      <c r="P40" s="1458">
        <f t="shared" si="31"/>
        <v>17142.857142857141</v>
      </c>
      <c r="Q40" s="1458">
        <f t="shared" si="31"/>
        <v>17142.857142857141</v>
      </c>
      <c r="R40" s="1458">
        <f t="shared" si="31"/>
        <v>17142.857142857141</v>
      </c>
      <c r="S40" s="1458">
        <f t="shared" si="32"/>
        <v>8571.4285714285706</v>
      </c>
      <c r="T40" s="1458"/>
      <c r="U40" s="1458"/>
      <c r="V40" s="1458"/>
      <c r="W40" s="1458"/>
      <c r="X40" s="1458"/>
      <c r="AH40" s="1436">
        <f t="shared" si="19"/>
        <v>111428.57142857143</v>
      </c>
      <c r="AI40" s="1435">
        <f t="shared" si="34"/>
        <v>94285.71428571429</v>
      </c>
      <c r="AJ40" s="1435">
        <f t="shared" si="34"/>
        <v>77142.857142857145</v>
      </c>
      <c r="AK40" s="1435">
        <f t="shared" si="34"/>
        <v>60000</v>
      </c>
      <c r="AL40" s="1435">
        <f t="shared" si="34"/>
        <v>42857.142857142855</v>
      </c>
      <c r="AM40" s="1435">
        <f t="shared" si="34"/>
        <v>25714.285714285714</v>
      </c>
      <c r="AN40" s="1435">
        <f t="shared" si="34"/>
        <v>8571.4285714285725</v>
      </c>
      <c r="AO40" s="1435">
        <f t="shared" si="34"/>
        <v>0</v>
      </c>
      <c r="AP40" s="1435">
        <f t="shared" si="34"/>
        <v>0</v>
      </c>
      <c r="AQ40" s="1435">
        <f t="shared" si="34"/>
        <v>0</v>
      </c>
      <c r="AR40" s="1435">
        <f t="shared" si="34"/>
        <v>0</v>
      </c>
      <c r="AS40" s="1435">
        <f t="shared" si="34"/>
        <v>0</v>
      </c>
      <c r="AT40" s="1435">
        <f t="shared" si="34"/>
        <v>0</v>
      </c>
      <c r="AU40" s="1435">
        <f t="shared" si="34"/>
        <v>0</v>
      </c>
      <c r="AV40" s="1435">
        <f t="shared" si="34"/>
        <v>0</v>
      </c>
      <c r="AW40" s="1435">
        <f t="shared" si="34"/>
        <v>0</v>
      </c>
      <c r="AX40" s="1435">
        <f t="shared" si="34"/>
        <v>0</v>
      </c>
      <c r="AY40" s="1435">
        <f t="shared" si="35"/>
        <v>0</v>
      </c>
      <c r="AZ40" s="1435">
        <f t="shared" si="35"/>
        <v>0</v>
      </c>
      <c r="BA40" s="1435">
        <f t="shared" si="35"/>
        <v>0</v>
      </c>
    </row>
    <row r="41" spans="2:53">
      <c r="B41" s="1430" t="s">
        <v>4425</v>
      </c>
      <c r="C41" s="1430" t="s">
        <v>4434</v>
      </c>
      <c r="D41" s="1462">
        <v>128.4</v>
      </c>
      <c r="E41" s="1462">
        <v>3452.5</v>
      </c>
      <c r="F41" s="1462">
        <v>128.4</v>
      </c>
      <c r="G41" s="1462">
        <v>54</v>
      </c>
      <c r="H41" s="1462">
        <v>3324.1</v>
      </c>
      <c r="I41" s="1462">
        <f t="shared" si="33"/>
        <v>493.21428571428572</v>
      </c>
      <c r="J41" s="1462">
        <f t="shared" si="28"/>
        <v>7</v>
      </c>
      <c r="K41" s="1434"/>
      <c r="L41" s="1458">
        <f t="shared" si="29"/>
        <v>246.60714285714286</v>
      </c>
      <c r="M41" s="1458">
        <f t="shared" si="30"/>
        <v>493.21428571428572</v>
      </c>
      <c r="N41" s="1458">
        <f t="shared" si="31"/>
        <v>493.21428571428572</v>
      </c>
      <c r="O41" s="1458">
        <f t="shared" si="31"/>
        <v>493.21428571428572</v>
      </c>
      <c r="P41" s="1458">
        <f t="shared" si="31"/>
        <v>493.21428571428572</v>
      </c>
      <c r="Q41" s="1458">
        <f t="shared" si="31"/>
        <v>493.21428571428572</v>
      </c>
      <c r="R41" s="1458">
        <f t="shared" si="31"/>
        <v>493.21428571428572</v>
      </c>
      <c r="S41" s="1458">
        <f t="shared" si="32"/>
        <v>246.60714285714286</v>
      </c>
      <c r="T41" s="1458"/>
      <c r="U41" s="1458"/>
      <c r="V41" s="1458"/>
      <c r="W41" s="1458"/>
      <c r="X41" s="1458"/>
      <c r="AH41" s="1436">
        <f t="shared" si="19"/>
        <v>3205.8928571428573</v>
      </c>
      <c r="AI41" s="1435">
        <f t="shared" si="34"/>
        <v>2712.6785714285716</v>
      </c>
      <c r="AJ41" s="1435">
        <f t="shared" si="34"/>
        <v>2219.4642857142858</v>
      </c>
      <c r="AK41" s="1435">
        <f t="shared" si="34"/>
        <v>1726.25</v>
      </c>
      <c r="AL41" s="1435">
        <f t="shared" si="34"/>
        <v>1233.0357142857142</v>
      </c>
      <c r="AM41" s="1435">
        <f t="shared" si="34"/>
        <v>739.82142857142844</v>
      </c>
      <c r="AN41" s="1435">
        <f t="shared" si="34"/>
        <v>246.60714285714272</v>
      </c>
      <c r="AO41" s="1435">
        <f t="shared" si="34"/>
        <v>0</v>
      </c>
      <c r="AP41" s="1435">
        <f t="shared" si="34"/>
        <v>0</v>
      </c>
      <c r="AQ41" s="1435">
        <f t="shared" si="34"/>
        <v>0</v>
      </c>
      <c r="AR41" s="1435">
        <f t="shared" si="34"/>
        <v>0</v>
      </c>
      <c r="AS41" s="1435">
        <f t="shared" si="34"/>
        <v>0</v>
      </c>
      <c r="AT41" s="1435">
        <f t="shared" si="34"/>
        <v>0</v>
      </c>
      <c r="AU41" s="1435">
        <f t="shared" si="34"/>
        <v>0</v>
      </c>
      <c r="AV41" s="1435">
        <f t="shared" si="34"/>
        <v>0</v>
      </c>
      <c r="AW41" s="1435">
        <f t="shared" si="34"/>
        <v>0</v>
      </c>
      <c r="AX41" s="1435">
        <f t="shared" si="34"/>
        <v>0</v>
      </c>
      <c r="AY41" s="1435">
        <f t="shared" si="35"/>
        <v>0</v>
      </c>
      <c r="AZ41" s="1435">
        <f t="shared" si="35"/>
        <v>0</v>
      </c>
      <c r="BA41" s="1435">
        <f t="shared" si="35"/>
        <v>0</v>
      </c>
    </row>
    <row r="42" spans="2:53">
      <c r="B42" s="1430" t="s">
        <v>4425</v>
      </c>
      <c r="C42" s="1430" t="s">
        <v>4435</v>
      </c>
      <c r="D42" s="1462">
        <v>128.4</v>
      </c>
      <c r="E42" s="1462">
        <v>3452.5</v>
      </c>
      <c r="F42" s="1462">
        <v>128.4</v>
      </c>
      <c r="G42" s="1462">
        <v>54</v>
      </c>
      <c r="H42" s="1462">
        <v>3324.1</v>
      </c>
      <c r="I42" s="1462">
        <f t="shared" si="33"/>
        <v>493.21428571428572</v>
      </c>
      <c r="J42" s="1462">
        <f t="shared" si="28"/>
        <v>7</v>
      </c>
      <c r="K42" s="1434"/>
      <c r="L42" s="1458">
        <f t="shared" si="29"/>
        <v>246.60714285714286</v>
      </c>
      <c r="M42" s="1458">
        <f t="shared" si="30"/>
        <v>493.21428571428572</v>
      </c>
      <c r="N42" s="1458">
        <f t="shared" si="31"/>
        <v>493.21428571428572</v>
      </c>
      <c r="O42" s="1458">
        <f t="shared" si="31"/>
        <v>493.21428571428572</v>
      </c>
      <c r="P42" s="1458">
        <f t="shared" si="31"/>
        <v>493.21428571428572</v>
      </c>
      <c r="Q42" s="1458">
        <f t="shared" si="31"/>
        <v>493.21428571428572</v>
      </c>
      <c r="R42" s="1458">
        <f t="shared" si="31"/>
        <v>493.21428571428572</v>
      </c>
      <c r="S42" s="1458">
        <f t="shared" si="32"/>
        <v>246.60714285714286</v>
      </c>
      <c r="T42" s="1458"/>
      <c r="U42" s="1458"/>
      <c r="V42" s="1458"/>
      <c r="W42" s="1458"/>
      <c r="X42" s="1458"/>
      <c r="AH42" s="1436">
        <f t="shared" si="19"/>
        <v>3205.8928571428573</v>
      </c>
      <c r="AI42" s="1435">
        <f t="shared" si="34"/>
        <v>2712.6785714285716</v>
      </c>
      <c r="AJ42" s="1435">
        <f t="shared" si="34"/>
        <v>2219.4642857142858</v>
      </c>
      <c r="AK42" s="1435">
        <f t="shared" si="34"/>
        <v>1726.25</v>
      </c>
      <c r="AL42" s="1435">
        <f t="shared" si="34"/>
        <v>1233.0357142857142</v>
      </c>
      <c r="AM42" s="1435">
        <f t="shared" si="34"/>
        <v>739.82142857142844</v>
      </c>
      <c r="AN42" s="1435">
        <f t="shared" si="34"/>
        <v>246.60714285714272</v>
      </c>
      <c r="AO42" s="1435">
        <f t="shared" si="34"/>
        <v>0</v>
      </c>
      <c r="AP42" s="1435">
        <f t="shared" si="34"/>
        <v>0</v>
      </c>
      <c r="AQ42" s="1435">
        <f t="shared" si="34"/>
        <v>0</v>
      </c>
      <c r="AR42" s="1435">
        <f t="shared" si="34"/>
        <v>0</v>
      </c>
      <c r="AS42" s="1435">
        <f t="shared" si="34"/>
        <v>0</v>
      </c>
      <c r="AT42" s="1435">
        <f t="shared" si="34"/>
        <v>0</v>
      </c>
      <c r="AU42" s="1435">
        <f t="shared" si="34"/>
        <v>0</v>
      </c>
      <c r="AV42" s="1435">
        <f t="shared" si="34"/>
        <v>0</v>
      </c>
      <c r="AW42" s="1435">
        <f t="shared" si="34"/>
        <v>0</v>
      </c>
      <c r="AX42" s="1435">
        <f t="shared" si="34"/>
        <v>0</v>
      </c>
      <c r="AY42" s="1435">
        <f t="shared" si="35"/>
        <v>0</v>
      </c>
      <c r="AZ42" s="1435">
        <f t="shared" si="35"/>
        <v>0</v>
      </c>
      <c r="BA42" s="1435">
        <f t="shared" si="35"/>
        <v>0</v>
      </c>
    </row>
    <row r="43" spans="2:53">
      <c r="B43" s="1430" t="s">
        <v>4425</v>
      </c>
      <c r="C43" s="1430" t="s">
        <v>4436</v>
      </c>
      <c r="D43" s="1462">
        <v>128.4</v>
      </c>
      <c r="E43" s="1462">
        <v>3452.5</v>
      </c>
      <c r="F43" s="1462">
        <v>128.4</v>
      </c>
      <c r="G43" s="1462">
        <v>54</v>
      </c>
      <c r="H43" s="1462">
        <v>3324.1</v>
      </c>
      <c r="I43" s="1462">
        <f t="shared" si="33"/>
        <v>493.21428571428572</v>
      </c>
      <c r="J43" s="1462">
        <f t="shared" si="28"/>
        <v>7</v>
      </c>
      <c r="K43" s="1434"/>
      <c r="L43" s="1458">
        <f t="shared" si="29"/>
        <v>246.60714285714286</v>
      </c>
      <c r="M43" s="1458">
        <f t="shared" si="30"/>
        <v>493.21428571428572</v>
      </c>
      <c r="N43" s="1458">
        <f t="shared" si="31"/>
        <v>493.21428571428572</v>
      </c>
      <c r="O43" s="1458">
        <f t="shared" si="31"/>
        <v>493.21428571428572</v>
      </c>
      <c r="P43" s="1458">
        <f t="shared" si="31"/>
        <v>493.21428571428572</v>
      </c>
      <c r="Q43" s="1458">
        <f t="shared" si="31"/>
        <v>493.21428571428572</v>
      </c>
      <c r="R43" s="1458">
        <f t="shared" si="31"/>
        <v>493.21428571428572</v>
      </c>
      <c r="S43" s="1458">
        <f t="shared" si="32"/>
        <v>246.60714285714286</v>
      </c>
      <c r="T43" s="1458"/>
      <c r="U43" s="1458"/>
      <c r="V43" s="1458"/>
      <c r="W43" s="1458"/>
      <c r="X43" s="1458"/>
      <c r="AH43" s="1436">
        <f t="shared" si="19"/>
        <v>3205.8928571428573</v>
      </c>
      <c r="AI43" s="1435">
        <f t="shared" si="34"/>
        <v>2712.6785714285716</v>
      </c>
      <c r="AJ43" s="1435">
        <f t="shared" si="34"/>
        <v>2219.4642857142858</v>
      </c>
      <c r="AK43" s="1435">
        <f t="shared" si="34"/>
        <v>1726.25</v>
      </c>
      <c r="AL43" s="1435">
        <f t="shared" si="34"/>
        <v>1233.0357142857142</v>
      </c>
      <c r="AM43" s="1435">
        <f t="shared" si="34"/>
        <v>739.82142857142844</v>
      </c>
      <c r="AN43" s="1435">
        <f t="shared" si="34"/>
        <v>246.60714285714272</v>
      </c>
      <c r="AO43" s="1435">
        <f t="shared" si="34"/>
        <v>0</v>
      </c>
      <c r="AP43" s="1435">
        <f t="shared" si="34"/>
        <v>0</v>
      </c>
      <c r="AQ43" s="1435">
        <f t="shared" si="34"/>
        <v>0</v>
      </c>
      <c r="AR43" s="1435">
        <f t="shared" si="34"/>
        <v>0</v>
      </c>
      <c r="AS43" s="1435">
        <f t="shared" si="34"/>
        <v>0</v>
      </c>
      <c r="AT43" s="1435">
        <f t="shared" si="34"/>
        <v>0</v>
      </c>
      <c r="AU43" s="1435">
        <f t="shared" si="34"/>
        <v>0</v>
      </c>
      <c r="AV43" s="1435">
        <f t="shared" si="34"/>
        <v>0</v>
      </c>
      <c r="AW43" s="1435">
        <f t="shared" si="34"/>
        <v>0</v>
      </c>
      <c r="AX43" s="1435">
        <f t="shared" si="34"/>
        <v>0</v>
      </c>
      <c r="AY43" s="1435">
        <f t="shared" si="35"/>
        <v>0</v>
      </c>
      <c r="AZ43" s="1435">
        <f t="shared" si="35"/>
        <v>0</v>
      </c>
      <c r="BA43" s="1435">
        <f t="shared" si="35"/>
        <v>0</v>
      </c>
    </row>
    <row r="44" spans="2:53">
      <c r="B44" s="1430" t="s">
        <v>4425</v>
      </c>
      <c r="C44" s="1430" t="s">
        <v>4437</v>
      </c>
      <c r="D44" s="1462">
        <v>128.4</v>
      </c>
      <c r="E44" s="1462">
        <v>3452.5</v>
      </c>
      <c r="F44" s="1462">
        <v>128.4</v>
      </c>
      <c r="G44" s="1462">
        <v>54</v>
      </c>
      <c r="H44" s="1462">
        <v>3324.1</v>
      </c>
      <c r="I44" s="1462">
        <f t="shared" si="33"/>
        <v>493.21428571428572</v>
      </c>
      <c r="J44" s="1462">
        <f t="shared" si="28"/>
        <v>7</v>
      </c>
      <c r="K44" s="1434"/>
      <c r="L44" s="1458">
        <f t="shared" si="29"/>
        <v>246.60714285714286</v>
      </c>
      <c r="M44" s="1458">
        <f t="shared" si="30"/>
        <v>493.21428571428572</v>
      </c>
      <c r="N44" s="1458">
        <f t="shared" si="31"/>
        <v>493.21428571428572</v>
      </c>
      <c r="O44" s="1458">
        <f t="shared" si="31"/>
        <v>493.21428571428572</v>
      </c>
      <c r="P44" s="1458">
        <f t="shared" si="31"/>
        <v>493.21428571428572</v>
      </c>
      <c r="Q44" s="1458">
        <f t="shared" si="31"/>
        <v>493.21428571428572</v>
      </c>
      <c r="R44" s="1458">
        <f t="shared" si="31"/>
        <v>493.21428571428572</v>
      </c>
      <c r="S44" s="1458">
        <f t="shared" si="32"/>
        <v>246.60714285714286</v>
      </c>
      <c r="T44" s="1458"/>
      <c r="U44" s="1458"/>
      <c r="V44" s="1458"/>
      <c r="W44" s="1458"/>
      <c r="X44" s="1458"/>
      <c r="AH44" s="1436">
        <f t="shared" si="19"/>
        <v>3205.8928571428573</v>
      </c>
      <c r="AI44" s="1435">
        <f t="shared" si="34"/>
        <v>2712.6785714285716</v>
      </c>
      <c r="AJ44" s="1435">
        <f t="shared" si="34"/>
        <v>2219.4642857142858</v>
      </c>
      <c r="AK44" s="1435">
        <f t="shared" si="34"/>
        <v>1726.25</v>
      </c>
      <c r="AL44" s="1435">
        <f t="shared" si="34"/>
        <v>1233.0357142857142</v>
      </c>
      <c r="AM44" s="1435">
        <f t="shared" si="34"/>
        <v>739.82142857142844</v>
      </c>
      <c r="AN44" s="1435">
        <f t="shared" si="34"/>
        <v>246.60714285714272</v>
      </c>
      <c r="AO44" s="1435">
        <f t="shared" si="34"/>
        <v>0</v>
      </c>
      <c r="AP44" s="1435">
        <f t="shared" si="34"/>
        <v>0</v>
      </c>
      <c r="AQ44" s="1435">
        <f t="shared" si="34"/>
        <v>0</v>
      </c>
      <c r="AR44" s="1435">
        <f t="shared" si="34"/>
        <v>0</v>
      </c>
      <c r="AS44" s="1435">
        <f t="shared" si="34"/>
        <v>0</v>
      </c>
      <c r="AT44" s="1435">
        <f t="shared" si="34"/>
        <v>0</v>
      </c>
      <c r="AU44" s="1435">
        <f t="shared" si="34"/>
        <v>0</v>
      </c>
      <c r="AV44" s="1435">
        <f t="shared" si="34"/>
        <v>0</v>
      </c>
      <c r="AW44" s="1435">
        <f t="shared" si="34"/>
        <v>0</v>
      </c>
      <c r="AX44" s="1435">
        <f t="shared" si="34"/>
        <v>0</v>
      </c>
      <c r="AY44" s="1435">
        <f t="shared" si="35"/>
        <v>0</v>
      </c>
      <c r="AZ44" s="1435">
        <f t="shared" si="35"/>
        <v>0</v>
      </c>
      <c r="BA44" s="1435">
        <f t="shared" si="35"/>
        <v>0</v>
      </c>
    </row>
    <row r="45" spans="2:53">
      <c r="B45" s="1430" t="s">
        <v>4425</v>
      </c>
      <c r="C45" s="1430" t="s">
        <v>4438</v>
      </c>
      <c r="D45" s="1462">
        <v>5206.8500000000004</v>
      </c>
      <c r="E45" s="1462">
        <v>140000</v>
      </c>
      <c r="F45" s="1462">
        <v>5206.8500000000004</v>
      </c>
      <c r="G45" s="1462">
        <v>54</v>
      </c>
      <c r="H45" s="1462">
        <v>134793.15</v>
      </c>
      <c r="I45" s="1462">
        <f t="shared" si="33"/>
        <v>20000</v>
      </c>
      <c r="J45" s="1462">
        <f t="shared" si="28"/>
        <v>7</v>
      </c>
      <c r="K45" s="1434"/>
      <c r="L45" s="1458">
        <f t="shared" si="29"/>
        <v>10000</v>
      </c>
      <c r="M45" s="1458">
        <f t="shared" si="30"/>
        <v>20000</v>
      </c>
      <c r="N45" s="1458">
        <f t="shared" si="31"/>
        <v>20000</v>
      </c>
      <c r="O45" s="1458">
        <f t="shared" si="31"/>
        <v>20000</v>
      </c>
      <c r="P45" s="1458">
        <f t="shared" si="31"/>
        <v>20000</v>
      </c>
      <c r="Q45" s="1458">
        <f t="shared" si="31"/>
        <v>20000</v>
      </c>
      <c r="R45" s="1458">
        <f t="shared" si="31"/>
        <v>20000</v>
      </c>
      <c r="S45" s="1458">
        <f t="shared" si="32"/>
        <v>10000</v>
      </c>
      <c r="T45" s="1458"/>
      <c r="U45" s="1458"/>
      <c r="V45" s="1458"/>
      <c r="W45" s="1458"/>
      <c r="X45" s="1458"/>
      <c r="AH45" s="1436">
        <f t="shared" si="19"/>
        <v>130000</v>
      </c>
      <c r="AI45" s="1435">
        <f t="shared" si="34"/>
        <v>110000</v>
      </c>
      <c r="AJ45" s="1435">
        <f t="shared" si="34"/>
        <v>90000</v>
      </c>
      <c r="AK45" s="1435">
        <f t="shared" si="34"/>
        <v>70000</v>
      </c>
      <c r="AL45" s="1435">
        <f t="shared" si="34"/>
        <v>50000</v>
      </c>
      <c r="AM45" s="1435">
        <f t="shared" si="34"/>
        <v>30000</v>
      </c>
      <c r="AN45" s="1435">
        <f t="shared" si="34"/>
        <v>10000</v>
      </c>
      <c r="AO45" s="1435">
        <f t="shared" si="34"/>
        <v>0</v>
      </c>
      <c r="AP45" s="1435">
        <f t="shared" si="34"/>
        <v>0</v>
      </c>
      <c r="AQ45" s="1435">
        <f t="shared" si="34"/>
        <v>0</v>
      </c>
      <c r="AR45" s="1435">
        <f t="shared" si="34"/>
        <v>0</v>
      </c>
      <c r="AS45" s="1435">
        <f t="shared" si="34"/>
        <v>0</v>
      </c>
      <c r="AT45" s="1435">
        <f t="shared" si="34"/>
        <v>0</v>
      </c>
      <c r="AU45" s="1435">
        <f t="shared" si="34"/>
        <v>0</v>
      </c>
      <c r="AV45" s="1435">
        <f t="shared" si="34"/>
        <v>0</v>
      </c>
      <c r="AW45" s="1435">
        <f t="shared" si="34"/>
        <v>0</v>
      </c>
      <c r="AX45" s="1435">
        <f t="shared" si="34"/>
        <v>0</v>
      </c>
      <c r="AY45" s="1435">
        <f t="shared" si="35"/>
        <v>0</v>
      </c>
      <c r="AZ45" s="1435">
        <f t="shared" si="35"/>
        <v>0</v>
      </c>
      <c r="BA45" s="1435">
        <f t="shared" si="35"/>
        <v>0</v>
      </c>
    </row>
    <row r="46" spans="2:53">
      <c r="B46" s="1430" t="s">
        <v>4425</v>
      </c>
      <c r="C46" s="1430" t="s">
        <v>4439</v>
      </c>
      <c r="D46" s="1462">
        <v>226.87</v>
      </c>
      <c r="E46" s="1462">
        <v>6100</v>
      </c>
      <c r="F46" s="1462">
        <v>226.87</v>
      </c>
      <c r="G46" s="1462">
        <v>54</v>
      </c>
      <c r="H46" s="1462">
        <v>5873.13</v>
      </c>
      <c r="I46" s="1462">
        <f t="shared" si="33"/>
        <v>871.42857142857144</v>
      </c>
      <c r="J46" s="1462">
        <f t="shared" si="28"/>
        <v>7</v>
      </c>
      <c r="K46" s="1434"/>
      <c r="L46" s="1458">
        <f t="shared" si="29"/>
        <v>435.71428571428572</v>
      </c>
      <c r="M46" s="1458">
        <f t="shared" si="30"/>
        <v>871.42857142857144</v>
      </c>
      <c r="N46" s="1458">
        <f t="shared" si="31"/>
        <v>871.42857142857144</v>
      </c>
      <c r="O46" s="1458">
        <f t="shared" si="31"/>
        <v>871.42857142857144</v>
      </c>
      <c r="P46" s="1458">
        <f t="shared" si="31"/>
        <v>871.42857142857144</v>
      </c>
      <c r="Q46" s="1458">
        <f t="shared" si="31"/>
        <v>871.42857142857144</v>
      </c>
      <c r="R46" s="1458">
        <f t="shared" si="31"/>
        <v>871.42857142857144</v>
      </c>
      <c r="S46" s="1458">
        <f t="shared" si="32"/>
        <v>435.71428571428572</v>
      </c>
      <c r="T46" s="1458"/>
      <c r="U46" s="1458"/>
      <c r="V46" s="1458"/>
      <c r="W46" s="1458"/>
      <c r="X46" s="1458"/>
      <c r="AH46" s="1436">
        <f t="shared" si="19"/>
        <v>5664.2857142857147</v>
      </c>
      <c r="AI46" s="1435">
        <f t="shared" si="34"/>
        <v>4792.8571428571431</v>
      </c>
      <c r="AJ46" s="1435">
        <f t="shared" si="34"/>
        <v>3921.4285714285716</v>
      </c>
      <c r="AK46" s="1435">
        <f t="shared" si="34"/>
        <v>3050</v>
      </c>
      <c r="AL46" s="1435">
        <f t="shared" si="34"/>
        <v>2178.5714285714284</v>
      </c>
      <c r="AM46" s="1435">
        <f t="shared" si="34"/>
        <v>1307.1428571428569</v>
      </c>
      <c r="AN46" s="1435">
        <f t="shared" si="34"/>
        <v>435.71428571428544</v>
      </c>
      <c r="AO46" s="1435">
        <f t="shared" si="34"/>
        <v>0</v>
      </c>
      <c r="AP46" s="1435">
        <f t="shared" si="34"/>
        <v>0</v>
      </c>
      <c r="AQ46" s="1435">
        <f t="shared" si="34"/>
        <v>0</v>
      </c>
      <c r="AR46" s="1435">
        <f t="shared" si="34"/>
        <v>0</v>
      </c>
      <c r="AS46" s="1435">
        <f t="shared" si="34"/>
        <v>0</v>
      </c>
      <c r="AT46" s="1435">
        <f t="shared" si="34"/>
        <v>0</v>
      </c>
      <c r="AU46" s="1435">
        <f t="shared" si="34"/>
        <v>0</v>
      </c>
      <c r="AV46" s="1435">
        <f t="shared" si="34"/>
        <v>0</v>
      </c>
      <c r="AW46" s="1435">
        <f t="shared" si="34"/>
        <v>0</v>
      </c>
      <c r="AX46" s="1435">
        <f t="shared" si="34"/>
        <v>0</v>
      </c>
      <c r="AY46" s="1435">
        <f t="shared" si="35"/>
        <v>0</v>
      </c>
      <c r="AZ46" s="1435">
        <f t="shared" si="35"/>
        <v>0</v>
      </c>
      <c r="BA46" s="1435">
        <f t="shared" si="35"/>
        <v>0</v>
      </c>
    </row>
    <row r="47" spans="2:53">
      <c r="B47" s="1430" t="s">
        <v>4425</v>
      </c>
      <c r="C47" s="1430" t="s">
        <v>4440</v>
      </c>
      <c r="D47" s="1462">
        <v>1710.82</v>
      </c>
      <c r="E47" s="1462">
        <v>46000</v>
      </c>
      <c r="F47" s="1462">
        <v>1710.82</v>
      </c>
      <c r="G47" s="1462">
        <v>54</v>
      </c>
      <c r="H47" s="1462">
        <v>44289.18</v>
      </c>
      <c r="I47" s="1462">
        <f t="shared" si="33"/>
        <v>6571.4285714285716</v>
      </c>
      <c r="J47" s="1462">
        <f t="shared" si="28"/>
        <v>7</v>
      </c>
      <c r="K47" s="1434"/>
      <c r="L47" s="1458">
        <f t="shared" si="29"/>
        <v>3285.7142857142858</v>
      </c>
      <c r="M47" s="1458">
        <f t="shared" si="30"/>
        <v>6571.4285714285716</v>
      </c>
      <c r="N47" s="1458">
        <f t="shared" si="31"/>
        <v>6571.4285714285716</v>
      </c>
      <c r="O47" s="1458">
        <f t="shared" si="31"/>
        <v>6571.4285714285716</v>
      </c>
      <c r="P47" s="1458">
        <f t="shared" si="31"/>
        <v>6571.4285714285716</v>
      </c>
      <c r="Q47" s="1458">
        <f t="shared" si="31"/>
        <v>6571.4285714285716</v>
      </c>
      <c r="R47" s="1458">
        <f t="shared" si="31"/>
        <v>6571.4285714285716</v>
      </c>
      <c r="S47" s="1458">
        <f t="shared" si="32"/>
        <v>3285.7142857142858</v>
      </c>
      <c r="T47" s="1458"/>
      <c r="U47" s="1458"/>
      <c r="V47" s="1458"/>
      <c r="W47" s="1458"/>
      <c r="X47" s="1458"/>
      <c r="AH47" s="1436">
        <f t="shared" si="19"/>
        <v>42714.285714285717</v>
      </c>
      <c r="AI47" s="1435">
        <f t="shared" si="34"/>
        <v>36142.857142857145</v>
      </c>
      <c r="AJ47" s="1435">
        <f t="shared" si="34"/>
        <v>29571.428571428572</v>
      </c>
      <c r="AK47" s="1435">
        <f t="shared" si="34"/>
        <v>23000</v>
      </c>
      <c r="AL47" s="1435">
        <f t="shared" si="34"/>
        <v>16428.571428571428</v>
      </c>
      <c r="AM47" s="1435">
        <f t="shared" si="34"/>
        <v>9857.1428571428551</v>
      </c>
      <c r="AN47" s="1435">
        <f t="shared" si="34"/>
        <v>3285.7142857142835</v>
      </c>
      <c r="AO47" s="1435">
        <f t="shared" si="34"/>
        <v>0</v>
      </c>
      <c r="AP47" s="1435">
        <f t="shared" si="34"/>
        <v>0</v>
      </c>
      <c r="AQ47" s="1435">
        <f t="shared" si="34"/>
        <v>0</v>
      </c>
      <c r="AR47" s="1435">
        <f t="shared" si="34"/>
        <v>0</v>
      </c>
      <c r="AS47" s="1435">
        <f t="shared" si="34"/>
        <v>0</v>
      </c>
      <c r="AT47" s="1435">
        <f t="shared" si="34"/>
        <v>0</v>
      </c>
      <c r="AU47" s="1435">
        <f t="shared" si="34"/>
        <v>0</v>
      </c>
      <c r="AV47" s="1435">
        <f t="shared" si="34"/>
        <v>0</v>
      </c>
      <c r="AW47" s="1435">
        <f t="shared" si="34"/>
        <v>0</v>
      </c>
      <c r="AX47" s="1435">
        <f t="shared" si="34"/>
        <v>0</v>
      </c>
      <c r="AY47" s="1435">
        <f t="shared" si="35"/>
        <v>0</v>
      </c>
      <c r="AZ47" s="1435">
        <f t="shared" si="35"/>
        <v>0</v>
      </c>
      <c r="BA47" s="1435">
        <f t="shared" si="35"/>
        <v>0</v>
      </c>
    </row>
    <row r="48" spans="2:53">
      <c r="B48" s="1437"/>
      <c r="C48" s="1438"/>
      <c r="D48" s="1463">
        <v>383.08</v>
      </c>
      <c r="E48" s="1463">
        <v>10300</v>
      </c>
      <c r="F48" s="1463">
        <v>383.08</v>
      </c>
      <c r="G48" s="1463"/>
      <c r="H48" s="1463">
        <v>9916.92</v>
      </c>
      <c r="I48" s="1463"/>
      <c r="J48" s="1463"/>
      <c r="K48" s="1434"/>
      <c r="AH48" s="1436"/>
      <c r="AI48" s="1435"/>
      <c r="AJ48" s="1435"/>
      <c r="AK48" s="1435"/>
      <c r="AL48" s="1435"/>
      <c r="AM48" s="1435"/>
      <c r="AN48" s="1435"/>
      <c r="AO48" s="1435"/>
      <c r="AP48" s="1435"/>
      <c r="AQ48" s="1435"/>
      <c r="AR48" s="1435"/>
      <c r="AS48" s="1435"/>
      <c r="AT48" s="1435"/>
      <c r="AU48" s="1435"/>
      <c r="AV48" s="1435"/>
      <c r="AW48" s="1435"/>
      <c r="AX48" s="1435"/>
      <c r="AY48" s="1435"/>
      <c r="AZ48" s="1435"/>
      <c r="BA48" s="1435"/>
    </row>
    <row r="49" spans="2:53">
      <c r="B49" s="1430" t="s">
        <v>4425</v>
      </c>
      <c r="C49" s="1430" t="s">
        <v>4441</v>
      </c>
      <c r="D49" s="1462">
        <v>383.08</v>
      </c>
      <c r="E49" s="1462">
        <v>10300</v>
      </c>
      <c r="F49" s="1462">
        <v>383.08</v>
      </c>
      <c r="G49" s="1462">
        <v>54</v>
      </c>
      <c r="H49" s="1462">
        <v>9916.92</v>
      </c>
      <c r="I49" s="1462">
        <f t="shared" ref="I49:I50" si="36">+E49/7</f>
        <v>1471.4285714285713</v>
      </c>
      <c r="J49" s="1462">
        <f t="shared" ref="J49:J50" si="37">+E49/I49</f>
        <v>7.0000000000000009</v>
      </c>
      <c r="K49" s="1434"/>
      <c r="L49" s="1458">
        <f>+I49/2</f>
        <v>735.71428571428567</v>
      </c>
      <c r="M49" s="1458">
        <f>+I49</f>
        <v>1471.4285714285713</v>
      </c>
      <c r="N49" s="1458">
        <f t="shared" ref="N49:R50" si="38">+M49</f>
        <v>1471.4285714285713</v>
      </c>
      <c r="O49" s="1458">
        <f t="shared" si="38"/>
        <v>1471.4285714285713</v>
      </c>
      <c r="P49" s="1458">
        <f t="shared" si="38"/>
        <v>1471.4285714285713</v>
      </c>
      <c r="Q49" s="1458">
        <f t="shared" si="38"/>
        <v>1471.4285714285713</v>
      </c>
      <c r="R49" s="1458">
        <f t="shared" si="38"/>
        <v>1471.4285714285713</v>
      </c>
      <c r="S49" s="1458">
        <f>+R49/2</f>
        <v>735.71428571428567</v>
      </c>
      <c r="T49" s="1458"/>
      <c r="U49" s="1458"/>
      <c r="V49" s="1458"/>
      <c r="W49" s="1458"/>
      <c r="X49" s="1458"/>
      <c r="AH49" s="1436">
        <f t="shared" si="19"/>
        <v>9564.2857142857138</v>
      </c>
      <c r="AI49" s="1435">
        <f t="shared" ref="AI49:AX63" si="39">+AH49-M49</f>
        <v>8092.8571428571422</v>
      </c>
      <c r="AJ49" s="1435">
        <f t="shared" si="39"/>
        <v>6621.4285714285706</v>
      </c>
      <c r="AK49" s="1435">
        <f t="shared" si="39"/>
        <v>5149.9999999999991</v>
      </c>
      <c r="AL49" s="1435">
        <f t="shared" si="39"/>
        <v>3678.5714285714275</v>
      </c>
      <c r="AM49" s="1435">
        <f t="shared" si="39"/>
        <v>2207.142857142856</v>
      </c>
      <c r="AN49" s="1435">
        <f t="shared" si="39"/>
        <v>735.71428571428464</v>
      </c>
      <c r="AO49" s="1435">
        <f t="shared" si="39"/>
        <v>-1.0231815394945443E-12</v>
      </c>
      <c r="AP49" s="1435">
        <f t="shared" si="39"/>
        <v>-1.0231815394945443E-12</v>
      </c>
      <c r="AQ49" s="1435">
        <f t="shared" si="39"/>
        <v>-1.0231815394945443E-12</v>
      </c>
      <c r="AR49" s="1435">
        <f t="shared" si="39"/>
        <v>-1.0231815394945443E-12</v>
      </c>
      <c r="AS49" s="1435">
        <f t="shared" si="39"/>
        <v>-1.0231815394945443E-12</v>
      </c>
      <c r="AT49" s="1435">
        <f t="shared" si="39"/>
        <v>-1.0231815394945443E-12</v>
      </c>
      <c r="AU49" s="1435">
        <f t="shared" si="39"/>
        <v>-1.0231815394945443E-12</v>
      </c>
      <c r="AV49" s="1435">
        <f t="shared" si="39"/>
        <v>-1.0231815394945443E-12</v>
      </c>
      <c r="AW49" s="1435">
        <f t="shared" si="39"/>
        <v>-1.0231815394945443E-12</v>
      </c>
      <c r="AX49" s="1435">
        <f t="shared" si="39"/>
        <v>-1.0231815394945443E-12</v>
      </c>
      <c r="AY49" s="1435">
        <f t="shared" si="35"/>
        <v>-1.0231815394945443E-12</v>
      </c>
      <c r="AZ49" s="1435">
        <f t="shared" si="35"/>
        <v>-1.0231815394945443E-12</v>
      </c>
      <c r="BA49" s="1435">
        <f t="shared" si="35"/>
        <v>-1.0231815394945443E-12</v>
      </c>
    </row>
    <row r="50" spans="2:53">
      <c r="B50" s="1430" t="s">
        <v>4425</v>
      </c>
      <c r="C50" s="1430" t="s">
        <v>4442</v>
      </c>
      <c r="D50" s="1462">
        <v>5876.3</v>
      </c>
      <c r="E50" s="1462">
        <v>158000</v>
      </c>
      <c r="F50" s="1462">
        <v>5876.3</v>
      </c>
      <c r="G50" s="1462">
        <v>54</v>
      </c>
      <c r="H50" s="1462">
        <v>152123.70000000001</v>
      </c>
      <c r="I50" s="1462">
        <f t="shared" si="36"/>
        <v>22571.428571428572</v>
      </c>
      <c r="J50" s="1462">
        <f t="shared" si="37"/>
        <v>7</v>
      </c>
      <c r="K50" s="1434"/>
      <c r="L50" s="1458">
        <f>+I50/2</f>
        <v>11285.714285714286</v>
      </c>
      <c r="M50" s="1458">
        <f>+I50</f>
        <v>22571.428571428572</v>
      </c>
      <c r="N50" s="1458">
        <f t="shared" si="38"/>
        <v>22571.428571428572</v>
      </c>
      <c r="O50" s="1458">
        <f t="shared" si="38"/>
        <v>22571.428571428572</v>
      </c>
      <c r="P50" s="1458">
        <f t="shared" si="38"/>
        <v>22571.428571428572</v>
      </c>
      <c r="Q50" s="1458">
        <f t="shared" si="38"/>
        <v>22571.428571428572</v>
      </c>
      <c r="R50" s="1458">
        <f t="shared" si="38"/>
        <v>22571.428571428572</v>
      </c>
      <c r="S50" s="1458">
        <f>+R50/2</f>
        <v>11285.714285714286</v>
      </c>
      <c r="T50" s="1458"/>
      <c r="U50" s="1458"/>
      <c r="V50" s="1458"/>
      <c r="W50" s="1458"/>
      <c r="X50" s="1458"/>
      <c r="AH50" s="1436">
        <f t="shared" si="19"/>
        <v>146714.28571428571</v>
      </c>
      <c r="AI50" s="1435">
        <f t="shared" si="39"/>
        <v>124142.85714285713</v>
      </c>
      <c r="AJ50" s="1435">
        <f t="shared" si="39"/>
        <v>101571.42857142855</v>
      </c>
      <c r="AK50" s="1435">
        <f t="shared" si="39"/>
        <v>78999.999999999971</v>
      </c>
      <c r="AL50" s="1435">
        <f t="shared" si="39"/>
        <v>56428.571428571398</v>
      </c>
      <c r="AM50" s="1435">
        <f t="shared" si="39"/>
        <v>33857.142857142826</v>
      </c>
      <c r="AN50" s="1435">
        <f t="shared" si="39"/>
        <v>11285.714285714253</v>
      </c>
      <c r="AO50" s="1435">
        <f t="shared" si="39"/>
        <v>-3.2741809263825417E-11</v>
      </c>
      <c r="AP50" s="1435">
        <f t="shared" si="39"/>
        <v>-3.2741809263825417E-11</v>
      </c>
      <c r="AQ50" s="1435">
        <f t="shared" si="39"/>
        <v>-3.2741809263825417E-11</v>
      </c>
      <c r="AR50" s="1435">
        <f t="shared" si="39"/>
        <v>-3.2741809263825417E-11</v>
      </c>
      <c r="AS50" s="1435">
        <f t="shared" si="39"/>
        <v>-3.2741809263825417E-11</v>
      </c>
      <c r="AT50" s="1435">
        <f t="shared" si="39"/>
        <v>-3.2741809263825417E-11</v>
      </c>
      <c r="AU50" s="1435">
        <f t="shared" si="39"/>
        <v>-3.2741809263825417E-11</v>
      </c>
      <c r="AV50" s="1435">
        <f t="shared" si="39"/>
        <v>-3.2741809263825417E-11</v>
      </c>
      <c r="AW50" s="1435">
        <f t="shared" si="39"/>
        <v>-3.2741809263825417E-11</v>
      </c>
      <c r="AX50" s="1435">
        <f t="shared" si="39"/>
        <v>-3.2741809263825417E-11</v>
      </c>
      <c r="AY50" s="1435">
        <f t="shared" ref="AY50:BA65" si="40">+AX50-AC50</f>
        <v>-3.2741809263825417E-11</v>
      </c>
      <c r="AZ50" s="1435">
        <f t="shared" si="40"/>
        <v>-3.2741809263825417E-11</v>
      </c>
      <c r="BA50" s="1435">
        <f t="shared" si="40"/>
        <v>-3.2741809263825417E-11</v>
      </c>
    </row>
    <row r="51" spans="2:53">
      <c r="B51" s="1437"/>
      <c r="C51" s="1438"/>
      <c r="D51" s="1463">
        <v>44877.82</v>
      </c>
      <c r="E51" s="1463">
        <v>1206660</v>
      </c>
      <c r="F51" s="1463">
        <v>44877.82</v>
      </c>
      <c r="G51" s="1463"/>
      <c r="H51" s="1463">
        <v>1161782.18</v>
      </c>
      <c r="I51" s="1463"/>
      <c r="J51" s="1463"/>
      <c r="K51" s="1439"/>
      <c r="AH51" s="1436"/>
      <c r="AI51" s="1435"/>
      <c r="AJ51" s="1435"/>
      <c r="AK51" s="1435"/>
      <c r="AL51" s="1435"/>
      <c r="AM51" s="1435"/>
      <c r="AN51" s="1435"/>
      <c r="AO51" s="1435"/>
      <c r="AP51" s="1435"/>
      <c r="AQ51" s="1435"/>
      <c r="AR51" s="1435"/>
      <c r="AS51" s="1435"/>
      <c r="AT51" s="1435"/>
      <c r="AU51" s="1435"/>
      <c r="AV51" s="1435"/>
      <c r="AW51" s="1435"/>
      <c r="AX51" s="1435"/>
      <c r="AY51" s="1435"/>
      <c r="AZ51" s="1435"/>
      <c r="BA51" s="1435"/>
    </row>
    <row r="52" spans="2:53">
      <c r="B52" s="1430" t="s">
        <v>4443</v>
      </c>
      <c r="C52" s="1430" t="s">
        <v>4444</v>
      </c>
      <c r="D52" s="1462">
        <v>1487.67</v>
      </c>
      <c r="E52" s="1462">
        <v>15000</v>
      </c>
      <c r="F52" s="1462">
        <v>1487.67</v>
      </c>
      <c r="G52" s="1462">
        <v>26</v>
      </c>
      <c r="H52" s="1462">
        <v>13512.33</v>
      </c>
      <c r="I52" s="1462">
        <f>+E52/5</f>
        <v>3000</v>
      </c>
      <c r="J52" s="1462">
        <f>+E52/I52</f>
        <v>5</v>
      </c>
      <c r="K52" s="1434"/>
      <c r="L52" s="1458">
        <f>+I52/2</f>
        <v>1500</v>
      </c>
      <c r="M52" s="1458">
        <f>+I52</f>
        <v>3000</v>
      </c>
      <c r="N52" s="1458">
        <f>+M52</f>
        <v>3000</v>
      </c>
      <c r="O52" s="1458">
        <f>+N52</f>
        <v>3000</v>
      </c>
      <c r="P52" s="1458">
        <f>+O52</f>
        <v>3000</v>
      </c>
      <c r="Q52" s="1458">
        <f>+P52/2</f>
        <v>1500</v>
      </c>
      <c r="AH52" s="1436">
        <f t="shared" si="19"/>
        <v>13500</v>
      </c>
      <c r="AI52" s="1435">
        <f t="shared" si="39"/>
        <v>10500</v>
      </c>
      <c r="AJ52" s="1435">
        <f t="shared" si="39"/>
        <v>7500</v>
      </c>
      <c r="AK52" s="1435">
        <f t="shared" si="39"/>
        <v>4500</v>
      </c>
      <c r="AL52" s="1435">
        <f t="shared" si="39"/>
        <v>1500</v>
      </c>
      <c r="AM52" s="1435">
        <f t="shared" si="39"/>
        <v>0</v>
      </c>
      <c r="AN52" s="1435">
        <f t="shared" si="39"/>
        <v>0</v>
      </c>
      <c r="AO52" s="1435">
        <f t="shared" si="39"/>
        <v>0</v>
      </c>
      <c r="AP52" s="1435">
        <f t="shared" si="39"/>
        <v>0</v>
      </c>
      <c r="AQ52" s="1435">
        <f t="shared" si="39"/>
        <v>0</v>
      </c>
      <c r="AR52" s="1435">
        <f t="shared" si="39"/>
        <v>0</v>
      </c>
      <c r="AS52" s="1435">
        <f t="shared" si="39"/>
        <v>0</v>
      </c>
      <c r="AT52" s="1435">
        <f t="shared" si="39"/>
        <v>0</v>
      </c>
      <c r="AU52" s="1435">
        <f t="shared" si="39"/>
        <v>0</v>
      </c>
      <c r="AV52" s="1435">
        <f t="shared" si="39"/>
        <v>0</v>
      </c>
      <c r="AW52" s="1435">
        <f t="shared" si="39"/>
        <v>0</v>
      </c>
      <c r="AX52" s="1435">
        <f t="shared" si="39"/>
        <v>0</v>
      </c>
      <c r="AY52" s="1435">
        <f t="shared" si="40"/>
        <v>0</v>
      </c>
      <c r="AZ52" s="1435">
        <f t="shared" si="40"/>
        <v>0</v>
      </c>
      <c r="BA52" s="1435">
        <f t="shared" si="40"/>
        <v>0</v>
      </c>
    </row>
    <row r="53" spans="2:53">
      <c r="B53" s="1437"/>
      <c r="C53" s="1438"/>
      <c r="D53" s="1463">
        <v>1487.67</v>
      </c>
      <c r="E53" s="1463">
        <v>15000</v>
      </c>
      <c r="F53" s="1463">
        <v>1487.67</v>
      </c>
      <c r="G53" s="1463"/>
      <c r="H53" s="1463">
        <v>13512.33</v>
      </c>
      <c r="I53" s="1463"/>
      <c r="J53" s="1463"/>
      <c r="K53" s="1439"/>
      <c r="L53" s="1458"/>
      <c r="M53" s="1458"/>
      <c r="N53" s="1458"/>
      <c r="O53" s="1458"/>
      <c r="P53" s="1458"/>
      <c r="AH53" s="1436"/>
      <c r="AI53" s="1435"/>
      <c r="AJ53" s="1435"/>
      <c r="AK53" s="1435"/>
      <c r="AL53" s="1435"/>
      <c r="AM53" s="1435"/>
      <c r="AN53" s="1435"/>
      <c r="AO53" s="1435"/>
      <c r="AP53" s="1435"/>
      <c r="AQ53" s="1435"/>
      <c r="AR53" s="1435"/>
      <c r="AS53" s="1435"/>
      <c r="AT53" s="1435"/>
      <c r="AU53" s="1435"/>
      <c r="AV53" s="1435"/>
      <c r="AW53" s="1435"/>
      <c r="AX53" s="1435"/>
      <c r="AY53" s="1435"/>
      <c r="AZ53" s="1435"/>
      <c r="BA53" s="1435"/>
    </row>
    <row r="54" spans="2:53">
      <c r="B54" s="1430" t="s">
        <v>4445</v>
      </c>
      <c r="C54" s="1430" t="s">
        <v>4446</v>
      </c>
      <c r="D54" s="1462">
        <v>694.25</v>
      </c>
      <c r="E54" s="1462">
        <v>7000</v>
      </c>
      <c r="F54" s="1462">
        <v>694.25</v>
      </c>
      <c r="G54" s="1462">
        <v>59</v>
      </c>
      <c r="H54" s="1462">
        <v>6305.75</v>
      </c>
      <c r="I54" s="1462">
        <f>+E54/5</f>
        <v>1400</v>
      </c>
      <c r="J54" s="1462">
        <f>+E54/I54</f>
        <v>5</v>
      </c>
      <c r="K54" s="1434"/>
      <c r="L54" s="1458">
        <f>+I54/2</f>
        <v>700</v>
      </c>
      <c r="M54" s="1458">
        <f>+I54</f>
        <v>1400</v>
      </c>
      <c r="N54" s="1458">
        <f>+M54</f>
        <v>1400</v>
      </c>
      <c r="O54" s="1458">
        <f>+N54</f>
        <v>1400</v>
      </c>
      <c r="P54" s="1458">
        <f>+O54</f>
        <v>1400</v>
      </c>
      <c r="Q54" s="1458">
        <f>+P54/2</f>
        <v>700</v>
      </c>
      <c r="AH54" s="1436">
        <f t="shared" si="19"/>
        <v>6300</v>
      </c>
      <c r="AI54" s="1435">
        <f t="shared" si="39"/>
        <v>4900</v>
      </c>
      <c r="AJ54" s="1435">
        <f t="shared" si="39"/>
        <v>3500</v>
      </c>
      <c r="AK54" s="1435">
        <f t="shared" si="39"/>
        <v>2100</v>
      </c>
      <c r="AL54" s="1435">
        <f t="shared" si="39"/>
        <v>700</v>
      </c>
      <c r="AM54" s="1435">
        <f t="shared" si="39"/>
        <v>0</v>
      </c>
      <c r="AN54" s="1435">
        <f t="shared" si="39"/>
        <v>0</v>
      </c>
      <c r="AO54" s="1435">
        <f t="shared" si="39"/>
        <v>0</v>
      </c>
      <c r="AP54" s="1435">
        <f t="shared" si="39"/>
        <v>0</v>
      </c>
      <c r="AQ54" s="1435">
        <f t="shared" si="39"/>
        <v>0</v>
      </c>
      <c r="AR54" s="1435">
        <f t="shared" si="39"/>
        <v>0</v>
      </c>
      <c r="AS54" s="1435">
        <f t="shared" si="39"/>
        <v>0</v>
      </c>
      <c r="AT54" s="1435">
        <f t="shared" si="39"/>
        <v>0</v>
      </c>
      <c r="AU54" s="1435">
        <f t="shared" si="39"/>
        <v>0</v>
      </c>
      <c r="AV54" s="1435">
        <f t="shared" si="39"/>
        <v>0</v>
      </c>
      <c r="AW54" s="1435">
        <f t="shared" si="39"/>
        <v>0</v>
      </c>
      <c r="AX54" s="1435">
        <f t="shared" si="39"/>
        <v>0</v>
      </c>
      <c r="AY54" s="1435">
        <f t="shared" si="40"/>
        <v>0</v>
      </c>
      <c r="AZ54" s="1435">
        <f t="shared" si="40"/>
        <v>0</v>
      </c>
      <c r="BA54" s="1435">
        <f t="shared" si="40"/>
        <v>0</v>
      </c>
    </row>
    <row r="55" spans="2:53">
      <c r="B55" s="1437"/>
      <c r="C55" s="1438"/>
      <c r="D55" s="1463">
        <v>694.25</v>
      </c>
      <c r="E55" s="1463">
        <v>7000</v>
      </c>
      <c r="F55" s="1463">
        <v>694.25</v>
      </c>
      <c r="G55" s="1463"/>
      <c r="H55" s="1463">
        <v>6305.75</v>
      </c>
      <c r="I55" s="1463"/>
      <c r="J55" s="1463"/>
      <c r="K55" s="1439"/>
      <c r="AH55" s="1436"/>
      <c r="AI55" s="1435"/>
      <c r="AJ55" s="1435"/>
      <c r="AK55" s="1435"/>
      <c r="AL55" s="1435"/>
      <c r="AM55" s="1435"/>
      <c r="AN55" s="1435"/>
      <c r="AO55" s="1435"/>
      <c r="AP55" s="1435"/>
      <c r="AQ55" s="1435"/>
      <c r="AR55" s="1435"/>
      <c r="AS55" s="1435"/>
      <c r="AT55" s="1435"/>
      <c r="AU55" s="1435"/>
      <c r="AV55" s="1435"/>
      <c r="AW55" s="1435"/>
      <c r="AX55" s="1435"/>
      <c r="AY55" s="1435"/>
      <c r="AZ55" s="1435"/>
      <c r="BA55" s="1435"/>
    </row>
    <row r="56" spans="2:53">
      <c r="B56" s="1430" t="s">
        <v>4447</v>
      </c>
      <c r="C56" s="1430" t="s">
        <v>4448</v>
      </c>
      <c r="D56" s="1462">
        <v>49.84</v>
      </c>
      <c r="E56" s="1462">
        <v>1005</v>
      </c>
      <c r="F56" s="1462">
        <v>49.84</v>
      </c>
      <c r="G56" s="1462">
        <v>62</v>
      </c>
      <c r="H56" s="1462">
        <v>955.16</v>
      </c>
      <c r="I56" s="1462">
        <f t="shared" ref="I56:I63" si="41">+E56/5</f>
        <v>201</v>
      </c>
      <c r="J56" s="1462">
        <f t="shared" ref="J56:J63" si="42">+E56/I56</f>
        <v>5</v>
      </c>
      <c r="K56" s="1434"/>
      <c r="L56" s="1458">
        <f t="shared" ref="L56:L63" si="43">+I56/2</f>
        <v>100.5</v>
      </c>
      <c r="M56" s="1458">
        <f t="shared" ref="M56:M63" si="44">+I56</f>
        <v>201</v>
      </c>
      <c r="N56" s="1458">
        <f t="shared" ref="N56:P63" si="45">+M56</f>
        <v>201</v>
      </c>
      <c r="O56" s="1458">
        <f t="shared" si="45"/>
        <v>201</v>
      </c>
      <c r="P56" s="1458">
        <f t="shared" si="45"/>
        <v>201</v>
      </c>
      <c r="Q56" s="1458">
        <f t="shared" ref="Q56:Q63" si="46">+P56/2</f>
        <v>100.5</v>
      </c>
      <c r="R56" s="1458"/>
      <c r="S56" s="1458"/>
      <c r="T56" s="1458"/>
      <c r="U56" s="1458"/>
      <c r="AH56" s="1436">
        <f t="shared" si="19"/>
        <v>904.5</v>
      </c>
      <c r="AI56" s="1435">
        <f t="shared" si="39"/>
        <v>703.5</v>
      </c>
      <c r="AJ56" s="1435">
        <f t="shared" si="39"/>
        <v>502.5</v>
      </c>
      <c r="AK56" s="1435">
        <f t="shared" si="39"/>
        <v>301.5</v>
      </c>
      <c r="AL56" s="1435">
        <f t="shared" si="39"/>
        <v>100.5</v>
      </c>
      <c r="AM56" s="1435">
        <f t="shared" si="39"/>
        <v>0</v>
      </c>
      <c r="AN56" s="1435">
        <f t="shared" si="39"/>
        <v>0</v>
      </c>
      <c r="AO56" s="1435">
        <f t="shared" si="39"/>
        <v>0</v>
      </c>
      <c r="AP56" s="1435">
        <f t="shared" si="39"/>
        <v>0</v>
      </c>
      <c r="AQ56" s="1435">
        <f t="shared" si="39"/>
        <v>0</v>
      </c>
      <c r="AR56" s="1435">
        <f t="shared" si="39"/>
        <v>0</v>
      </c>
      <c r="AS56" s="1435">
        <f t="shared" si="39"/>
        <v>0</v>
      </c>
      <c r="AT56" s="1435">
        <f t="shared" si="39"/>
        <v>0</v>
      </c>
      <c r="AU56" s="1435">
        <f t="shared" si="39"/>
        <v>0</v>
      </c>
      <c r="AV56" s="1435">
        <f t="shared" si="39"/>
        <v>0</v>
      </c>
      <c r="AW56" s="1435">
        <f t="shared" si="39"/>
        <v>0</v>
      </c>
      <c r="AX56" s="1435">
        <f t="shared" si="39"/>
        <v>0</v>
      </c>
      <c r="AY56" s="1435">
        <f t="shared" si="40"/>
        <v>0</v>
      </c>
      <c r="AZ56" s="1435">
        <f t="shared" si="40"/>
        <v>0</v>
      </c>
      <c r="BA56" s="1435">
        <f t="shared" si="40"/>
        <v>0</v>
      </c>
    </row>
    <row r="57" spans="2:53">
      <c r="B57" s="1430" t="s">
        <v>4447</v>
      </c>
      <c r="C57" s="1430" t="s">
        <v>4448</v>
      </c>
      <c r="D57" s="1462">
        <v>49.84</v>
      </c>
      <c r="E57" s="1462">
        <v>1005</v>
      </c>
      <c r="F57" s="1462">
        <v>49.84</v>
      </c>
      <c r="G57" s="1462">
        <v>62</v>
      </c>
      <c r="H57" s="1462">
        <v>955.16</v>
      </c>
      <c r="I57" s="1462">
        <f t="shared" si="41"/>
        <v>201</v>
      </c>
      <c r="J57" s="1462">
        <f t="shared" si="42"/>
        <v>5</v>
      </c>
      <c r="K57" s="1434"/>
      <c r="L57" s="1458">
        <f t="shared" si="43"/>
        <v>100.5</v>
      </c>
      <c r="M57" s="1458">
        <f t="shared" si="44"/>
        <v>201</v>
      </c>
      <c r="N57" s="1458">
        <f t="shared" si="45"/>
        <v>201</v>
      </c>
      <c r="O57" s="1458">
        <f t="shared" si="45"/>
        <v>201</v>
      </c>
      <c r="P57" s="1458">
        <f t="shared" si="45"/>
        <v>201</v>
      </c>
      <c r="Q57" s="1458">
        <f t="shared" si="46"/>
        <v>100.5</v>
      </c>
      <c r="R57" s="1458"/>
      <c r="S57" s="1458"/>
      <c r="T57" s="1458"/>
      <c r="U57" s="1458"/>
      <c r="AH57" s="1436">
        <f t="shared" si="19"/>
        <v>904.5</v>
      </c>
      <c r="AI57" s="1435">
        <f t="shared" si="39"/>
        <v>703.5</v>
      </c>
      <c r="AJ57" s="1435">
        <f t="shared" si="39"/>
        <v>502.5</v>
      </c>
      <c r="AK57" s="1435">
        <f t="shared" si="39"/>
        <v>301.5</v>
      </c>
      <c r="AL57" s="1435">
        <f t="shared" si="39"/>
        <v>100.5</v>
      </c>
      <c r="AM57" s="1435">
        <f t="shared" si="39"/>
        <v>0</v>
      </c>
      <c r="AN57" s="1435">
        <f t="shared" si="39"/>
        <v>0</v>
      </c>
      <c r="AO57" s="1435">
        <f t="shared" si="39"/>
        <v>0</v>
      </c>
      <c r="AP57" s="1435">
        <f t="shared" si="39"/>
        <v>0</v>
      </c>
      <c r="AQ57" s="1435">
        <f t="shared" si="39"/>
        <v>0</v>
      </c>
      <c r="AR57" s="1435">
        <f t="shared" si="39"/>
        <v>0</v>
      </c>
      <c r="AS57" s="1435">
        <f t="shared" si="39"/>
        <v>0</v>
      </c>
      <c r="AT57" s="1435">
        <f t="shared" si="39"/>
        <v>0</v>
      </c>
      <c r="AU57" s="1435">
        <f t="shared" si="39"/>
        <v>0</v>
      </c>
      <c r="AV57" s="1435">
        <f t="shared" si="39"/>
        <v>0</v>
      </c>
      <c r="AW57" s="1435">
        <f t="shared" si="39"/>
        <v>0</v>
      </c>
      <c r="AX57" s="1435">
        <f t="shared" si="39"/>
        <v>0</v>
      </c>
      <c r="AY57" s="1435">
        <f t="shared" si="40"/>
        <v>0</v>
      </c>
      <c r="AZ57" s="1435">
        <f t="shared" si="40"/>
        <v>0</v>
      </c>
      <c r="BA57" s="1435">
        <f t="shared" si="40"/>
        <v>0</v>
      </c>
    </row>
    <row r="58" spans="2:53">
      <c r="B58" s="1430" t="s">
        <v>4447</v>
      </c>
      <c r="C58" s="1430" t="s">
        <v>4449</v>
      </c>
      <c r="D58" s="1462">
        <v>49.84</v>
      </c>
      <c r="E58" s="1462">
        <v>1005</v>
      </c>
      <c r="F58" s="1462">
        <v>49.84</v>
      </c>
      <c r="G58" s="1462">
        <v>62</v>
      </c>
      <c r="H58" s="1462">
        <v>955.16</v>
      </c>
      <c r="I58" s="1462">
        <f t="shared" si="41"/>
        <v>201</v>
      </c>
      <c r="J58" s="1462">
        <f t="shared" si="42"/>
        <v>5</v>
      </c>
      <c r="K58" s="1434"/>
      <c r="L58" s="1458">
        <f t="shared" si="43"/>
        <v>100.5</v>
      </c>
      <c r="M58" s="1458">
        <f t="shared" si="44"/>
        <v>201</v>
      </c>
      <c r="N58" s="1458">
        <f t="shared" si="45"/>
        <v>201</v>
      </c>
      <c r="O58" s="1458">
        <f t="shared" si="45"/>
        <v>201</v>
      </c>
      <c r="P58" s="1458">
        <f t="shared" si="45"/>
        <v>201</v>
      </c>
      <c r="Q58" s="1458">
        <f t="shared" si="46"/>
        <v>100.5</v>
      </c>
      <c r="R58" s="1458"/>
      <c r="S58" s="1458"/>
      <c r="T58" s="1458"/>
      <c r="U58" s="1458"/>
      <c r="AH58" s="1436">
        <f t="shared" si="19"/>
        <v>904.5</v>
      </c>
      <c r="AI58" s="1435">
        <f t="shared" si="39"/>
        <v>703.5</v>
      </c>
      <c r="AJ58" s="1435">
        <f t="shared" si="39"/>
        <v>502.5</v>
      </c>
      <c r="AK58" s="1435">
        <f t="shared" si="39"/>
        <v>301.5</v>
      </c>
      <c r="AL58" s="1435">
        <f t="shared" si="39"/>
        <v>100.5</v>
      </c>
      <c r="AM58" s="1435">
        <f t="shared" si="39"/>
        <v>0</v>
      </c>
      <c r="AN58" s="1435">
        <f t="shared" si="39"/>
        <v>0</v>
      </c>
      <c r="AO58" s="1435">
        <f t="shared" si="39"/>
        <v>0</v>
      </c>
      <c r="AP58" s="1435">
        <f t="shared" si="39"/>
        <v>0</v>
      </c>
      <c r="AQ58" s="1435">
        <f t="shared" si="39"/>
        <v>0</v>
      </c>
      <c r="AR58" s="1435">
        <f t="shared" si="39"/>
        <v>0</v>
      </c>
      <c r="AS58" s="1435">
        <f t="shared" si="39"/>
        <v>0</v>
      </c>
      <c r="AT58" s="1435">
        <f t="shared" si="39"/>
        <v>0</v>
      </c>
      <c r="AU58" s="1435">
        <f t="shared" si="39"/>
        <v>0</v>
      </c>
      <c r="AV58" s="1435">
        <f t="shared" si="39"/>
        <v>0</v>
      </c>
      <c r="AW58" s="1435">
        <f t="shared" si="39"/>
        <v>0</v>
      </c>
      <c r="AX58" s="1435">
        <f t="shared" si="39"/>
        <v>0</v>
      </c>
      <c r="AY58" s="1435">
        <f t="shared" si="40"/>
        <v>0</v>
      </c>
      <c r="AZ58" s="1435">
        <f t="shared" si="40"/>
        <v>0</v>
      </c>
      <c r="BA58" s="1435">
        <f t="shared" si="40"/>
        <v>0</v>
      </c>
    </row>
    <row r="59" spans="2:53">
      <c r="B59" s="1430" t="s">
        <v>4447</v>
      </c>
      <c r="C59" s="1430" t="s">
        <v>4449</v>
      </c>
      <c r="D59" s="1462">
        <v>49.84</v>
      </c>
      <c r="E59" s="1462">
        <v>1005</v>
      </c>
      <c r="F59" s="1462">
        <v>49.84</v>
      </c>
      <c r="G59" s="1462">
        <v>62</v>
      </c>
      <c r="H59" s="1462">
        <v>955.16</v>
      </c>
      <c r="I59" s="1462">
        <f t="shared" si="41"/>
        <v>201</v>
      </c>
      <c r="J59" s="1462">
        <f t="shared" si="42"/>
        <v>5</v>
      </c>
      <c r="K59" s="1434"/>
      <c r="L59" s="1458">
        <f t="shared" si="43"/>
        <v>100.5</v>
      </c>
      <c r="M59" s="1458">
        <f t="shared" si="44"/>
        <v>201</v>
      </c>
      <c r="N59" s="1458">
        <f t="shared" si="45"/>
        <v>201</v>
      </c>
      <c r="O59" s="1458">
        <f t="shared" si="45"/>
        <v>201</v>
      </c>
      <c r="P59" s="1458">
        <f t="shared" si="45"/>
        <v>201</v>
      </c>
      <c r="Q59" s="1458">
        <f t="shared" si="46"/>
        <v>100.5</v>
      </c>
      <c r="R59" s="1458"/>
      <c r="S59" s="1458"/>
      <c r="T59" s="1458"/>
      <c r="U59" s="1458"/>
      <c r="AH59" s="1436">
        <f t="shared" si="19"/>
        <v>904.5</v>
      </c>
      <c r="AI59" s="1435">
        <f t="shared" si="39"/>
        <v>703.5</v>
      </c>
      <c r="AJ59" s="1435">
        <f t="shared" si="39"/>
        <v>502.5</v>
      </c>
      <c r="AK59" s="1435">
        <f t="shared" si="39"/>
        <v>301.5</v>
      </c>
      <c r="AL59" s="1435">
        <f t="shared" si="39"/>
        <v>100.5</v>
      </c>
      <c r="AM59" s="1435">
        <f t="shared" si="39"/>
        <v>0</v>
      </c>
      <c r="AN59" s="1435">
        <f t="shared" si="39"/>
        <v>0</v>
      </c>
      <c r="AO59" s="1435">
        <f t="shared" si="39"/>
        <v>0</v>
      </c>
      <c r="AP59" s="1435">
        <f t="shared" si="39"/>
        <v>0</v>
      </c>
      <c r="AQ59" s="1435">
        <f t="shared" si="39"/>
        <v>0</v>
      </c>
      <c r="AR59" s="1435">
        <f t="shared" si="39"/>
        <v>0</v>
      </c>
      <c r="AS59" s="1435">
        <f t="shared" si="39"/>
        <v>0</v>
      </c>
      <c r="AT59" s="1435">
        <f t="shared" si="39"/>
        <v>0</v>
      </c>
      <c r="AU59" s="1435">
        <f t="shared" si="39"/>
        <v>0</v>
      </c>
      <c r="AV59" s="1435">
        <f t="shared" si="39"/>
        <v>0</v>
      </c>
      <c r="AW59" s="1435">
        <f t="shared" si="39"/>
        <v>0</v>
      </c>
      <c r="AX59" s="1435">
        <f t="shared" si="39"/>
        <v>0</v>
      </c>
      <c r="AY59" s="1435">
        <f t="shared" si="40"/>
        <v>0</v>
      </c>
      <c r="AZ59" s="1435">
        <f t="shared" si="40"/>
        <v>0</v>
      </c>
      <c r="BA59" s="1435">
        <f t="shared" si="40"/>
        <v>0</v>
      </c>
    </row>
    <row r="60" spans="2:53">
      <c r="B60" s="1430" t="s">
        <v>4447</v>
      </c>
      <c r="C60" s="1430" t="s">
        <v>4450</v>
      </c>
      <c r="D60" s="1462">
        <v>35.24</v>
      </c>
      <c r="E60" s="1462">
        <v>888.21</v>
      </c>
      <c r="F60" s="1462">
        <v>44.050000000000004</v>
      </c>
      <c r="G60" s="1462">
        <v>61</v>
      </c>
      <c r="H60" s="1462">
        <v>844.16</v>
      </c>
      <c r="I60" s="1462">
        <f t="shared" si="41"/>
        <v>177.642</v>
      </c>
      <c r="J60" s="1462">
        <f t="shared" si="42"/>
        <v>5</v>
      </c>
      <c r="K60" s="1434"/>
      <c r="L60" s="1458">
        <f t="shared" si="43"/>
        <v>88.820999999999998</v>
      </c>
      <c r="M60" s="1458">
        <f t="shared" si="44"/>
        <v>177.642</v>
      </c>
      <c r="N60" s="1458">
        <f t="shared" si="45"/>
        <v>177.642</v>
      </c>
      <c r="O60" s="1458">
        <f t="shared" si="45"/>
        <v>177.642</v>
      </c>
      <c r="P60" s="1458">
        <f t="shared" si="45"/>
        <v>177.642</v>
      </c>
      <c r="Q60" s="1458">
        <f t="shared" si="46"/>
        <v>88.820999999999998</v>
      </c>
      <c r="R60" s="1458"/>
      <c r="S60" s="1458"/>
      <c r="T60" s="1458"/>
      <c r="U60" s="1458"/>
      <c r="AH60" s="1436">
        <f t="shared" si="19"/>
        <v>799.38900000000001</v>
      </c>
      <c r="AI60" s="1435">
        <f t="shared" si="39"/>
        <v>621.74700000000007</v>
      </c>
      <c r="AJ60" s="1435">
        <f t="shared" si="39"/>
        <v>444.10500000000008</v>
      </c>
      <c r="AK60" s="1435">
        <f t="shared" si="39"/>
        <v>266.46300000000008</v>
      </c>
      <c r="AL60" s="1435">
        <f t="shared" si="39"/>
        <v>88.821000000000083</v>
      </c>
      <c r="AM60" s="1435">
        <f t="shared" si="39"/>
        <v>0</v>
      </c>
      <c r="AN60" s="1435">
        <f t="shared" si="39"/>
        <v>0</v>
      </c>
      <c r="AO60" s="1435">
        <f t="shared" si="39"/>
        <v>0</v>
      </c>
      <c r="AP60" s="1435">
        <f t="shared" si="39"/>
        <v>0</v>
      </c>
      <c r="AQ60" s="1435">
        <f t="shared" si="39"/>
        <v>0</v>
      </c>
      <c r="AR60" s="1435">
        <f t="shared" si="39"/>
        <v>0</v>
      </c>
      <c r="AS60" s="1435">
        <f t="shared" si="39"/>
        <v>0</v>
      </c>
      <c r="AT60" s="1435">
        <f t="shared" si="39"/>
        <v>0</v>
      </c>
      <c r="AU60" s="1435">
        <f t="shared" si="39"/>
        <v>0</v>
      </c>
      <c r="AV60" s="1435">
        <f t="shared" si="39"/>
        <v>0</v>
      </c>
      <c r="AW60" s="1435">
        <f t="shared" si="39"/>
        <v>0</v>
      </c>
      <c r="AX60" s="1435">
        <f t="shared" si="39"/>
        <v>0</v>
      </c>
      <c r="AY60" s="1435">
        <f t="shared" si="40"/>
        <v>0</v>
      </c>
      <c r="AZ60" s="1435">
        <f t="shared" si="40"/>
        <v>0</v>
      </c>
      <c r="BA60" s="1435">
        <f t="shared" si="40"/>
        <v>0</v>
      </c>
    </row>
    <row r="61" spans="2:53">
      <c r="B61" s="1430" t="s">
        <v>4447</v>
      </c>
      <c r="C61" s="1430" t="s">
        <v>4451</v>
      </c>
      <c r="D61" s="1462">
        <v>63.97</v>
      </c>
      <c r="E61" s="1462">
        <v>1290</v>
      </c>
      <c r="F61" s="1462">
        <v>63.97</v>
      </c>
      <c r="G61" s="1462">
        <v>62</v>
      </c>
      <c r="H61" s="1462">
        <v>1226.03</v>
      </c>
      <c r="I61" s="1462">
        <f t="shared" si="41"/>
        <v>258</v>
      </c>
      <c r="J61" s="1462">
        <f t="shared" si="42"/>
        <v>5</v>
      </c>
      <c r="K61" s="1434"/>
      <c r="L61" s="1458">
        <f t="shared" si="43"/>
        <v>129</v>
      </c>
      <c r="M61" s="1458">
        <f t="shared" si="44"/>
        <v>258</v>
      </c>
      <c r="N61" s="1458">
        <f t="shared" si="45"/>
        <v>258</v>
      </c>
      <c r="O61" s="1458">
        <f t="shared" si="45"/>
        <v>258</v>
      </c>
      <c r="P61" s="1458">
        <f t="shared" si="45"/>
        <v>258</v>
      </c>
      <c r="Q61" s="1458">
        <f t="shared" si="46"/>
        <v>129</v>
      </c>
      <c r="R61" s="1458"/>
      <c r="S61" s="1458"/>
      <c r="T61" s="1458"/>
      <c r="U61" s="1458"/>
      <c r="AH61" s="1436">
        <f t="shared" si="19"/>
        <v>1161</v>
      </c>
      <c r="AI61" s="1435">
        <f t="shared" si="39"/>
        <v>903</v>
      </c>
      <c r="AJ61" s="1435">
        <f t="shared" si="39"/>
        <v>645</v>
      </c>
      <c r="AK61" s="1435">
        <f t="shared" si="39"/>
        <v>387</v>
      </c>
      <c r="AL61" s="1435">
        <f t="shared" si="39"/>
        <v>129</v>
      </c>
      <c r="AM61" s="1435">
        <f t="shared" si="39"/>
        <v>0</v>
      </c>
      <c r="AN61" s="1435">
        <f t="shared" si="39"/>
        <v>0</v>
      </c>
      <c r="AO61" s="1435">
        <f t="shared" si="39"/>
        <v>0</v>
      </c>
      <c r="AP61" s="1435">
        <f t="shared" si="39"/>
        <v>0</v>
      </c>
      <c r="AQ61" s="1435">
        <f t="shared" si="39"/>
        <v>0</v>
      </c>
      <c r="AR61" s="1435">
        <f t="shared" si="39"/>
        <v>0</v>
      </c>
      <c r="AS61" s="1435">
        <f t="shared" si="39"/>
        <v>0</v>
      </c>
      <c r="AT61" s="1435">
        <f t="shared" si="39"/>
        <v>0</v>
      </c>
      <c r="AU61" s="1435">
        <f t="shared" si="39"/>
        <v>0</v>
      </c>
      <c r="AV61" s="1435">
        <f t="shared" si="39"/>
        <v>0</v>
      </c>
      <c r="AW61" s="1435">
        <f t="shared" si="39"/>
        <v>0</v>
      </c>
      <c r="AX61" s="1435">
        <f t="shared" si="39"/>
        <v>0</v>
      </c>
      <c r="AY61" s="1435">
        <f t="shared" si="40"/>
        <v>0</v>
      </c>
      <c r="AZ61" s="1435">
        <f t="shared" si="40"/>
        <v>0</v>
      </c>
      <c r="BA61" s="1435">
        <f t="shared" si="40"/>
        <v>0</v>
      </c>
    </row>
    <row r="62" spans="2:53">
      <c r="B62" s="1430" t="s">
        <v>4447</v>
      </c>
      <c r="C62" s="1430" t="s">
        <v>4452</v>
      </c>
      <c r="D62" s="1462">
        <v>62.230000000000004</v>
      </c>
      <c r="E62" s="1462">
        <v>1255</v>
      </c>
      <c r="F62" s="1462">
        <v>62.230000000000004</v>
      </c>
      <c r="G62" s="1462">
        <v>62</v>
      </c>
      <c r="H62" s="1462">
        <v>1192.77</v>
      </c>
      <c r="I62" s="1462">
        <f t="shared" si="41"/>
        <v>251</v>
      </c>
      <c r="J62" s="1462">
        <f t="shared" si="42"/>
        <v>5</v>
      </c>
      <c r="K62" s="1434"/>
      <c r="L62" s="1458">
        <f t="shared" si="43"/>
        <v>125.5</v>
      </c>
      <c r="M62" s="1458">
        <f t="shared" si="44"/>
        <v>251</v>
      </c>
      <c r="N62" s="1458">
        <f t="shared" si="45"/>
        <v>251</v>
      </c>
      <c r="O62" s="1458">
        <f t="shared" si="45"/>
        <v>251</v>
      </c>
      <c r="P62" s="1458">
        <f t="shared" si="45"/>
        <v>251</v>
      </c>
      <c r="Q62" s="1458">
        <f t="shared" si="46"/>
        <v>125.5</v>
      </c>
      <c r="R62" s="1458"/>
      <c r="S62" s="1458"/>
      <c r="T62" s="1458"/>
      <c r="U62" s="1458"/>
      <c r="AH62" s="1436">
        <f t="shared" si="19"/>
        <v>1129.5</v>
      </c>
      <c r="AI62" s="1435">
        <f t="shared" si="39"/>
        <v>878.5</v>
      </c>
      <c r="AJ62" s="1435">
        <f t="shared" si="39"/>
        <v>627.5</v>
      </c>
      <c r="AK62" s="1435">
        <f t="shared" si="39"/>
        <v>376.5</v>
      </c>
      <c r="AL62" s="1435">
        <f t="shared" si="39"/>
        <v>125.5</v>
      </c>
      <c r="AM62" s="1435">
        <f t="shared" si="39"/>
        <v>0</v>
      </c>
      <c r="AN62" s="1435">
        <f t="shared" si="39"/>
        <v>0</v>
      </c>
      <c r="AO62" s="1435">
        <f t="shared" si="39"/>
        <v>0</v>
      </c>
      <c r="AP62" s="1435">
        <f t="shared" si="39"/>
        <v>0</v>
      </c>
      <c r="AQ62" s="1435">
        <f t="shared" si="39"/>
        <v>0</v>
      </c>
      <c r="AR62" s="1435">
        <f t="shared" si="39"/>
        <v>0</v>
      </c>
      <c r="AS62" s="1435">
        <f t="shared" si="39"/>
        <v>0</v>
      </c>
      <c r="AT62" s="1435">
        <f t="shared" si="39"/>
        <v>0</v>
      </c>
      <c r="AU62" s="1435">
        <f t="shared" si="39"/>
        <v>0</v>
      </c>
      <c r="AV62" s="1435">
        <f t="shared" si="39"/>
        <v>0</v>
      </c>
      <c r="AW62" s="1435">
        <f t="shared" si="39"/>
        <v>0</v>
      </c>
      <c r="AX62" s="1435">
        <f t="shared" si="39"/>
        <v>0</v>
      </c>
      <c r="AY62" s="1435">
        <f t="shared" si="40"/>
        <v>0</v>
      </c>
      <c r="AZ62" s="1435">
        <f t="shared" si="40"/>
        <v>0</v>
      </c>
      <c r="BA62" s="1435">
        <f t="shared" si="40"/>
        <v>0</v>
      </c>
    </row>
    <row r="63" spans="2:53">
      <c r="B63" s="1430" t="s">
        <v>4447</v>
      </c>
      <c r="C63" s="1430" t="s">
        <v>4453</v>
      </c>
      <c r="D63" s="1462">
        <v>42.65</v>
      </c>
      <c r="E63" s="1462">
        <v>860</v>
      </c>
      <c r="F63" s="1462">
        <v>42.65</v>
      </c>
      <c r="G63" s="1462">
        <v>62</v>
      </c>
      <c r="H63" s="1462">
        <v>817.35</v>
      </c>
      <c r="I63" s="1462">
        <f t="shared" si="41"/>
        <v>172</v>
      </c>
      <c r="J63" s="1462">
        <f t="shared" si="42"/>
        <v>5</v>
      </c>
      <c r="K63" s="1434"/>
      <c r="L63" s="1458">
        <f t="shared" si="43"/>
        <v>86</v>
      </c>
      <c r="M63" s="1458">
        <f t="shared" si="44"/>
        <v>172</v>
      </c>
      <c r="N63" s="1458">
        <f t="shared" si="45"/>
        <v>172</v>
      </c>
      <c r="O63" s="1458">
        <f t="shared" si="45"/>
        <v>172</v>
      </c>
      <c r="P63" s="1458">
        <f t="shared" si="45"/>
        <v>172</v>
      </c>
      <c r="Q63" s="1458">
        <f t="shared" si="46"/>
        <v>86</v>
      </c>
      <c r="R63" s="1458"/>
      <c r="S63" s="1458"/>
      <c r="T63" s="1458"/>
      <c r="U63" s="1458"/>
      <c r="AH63" s="1436">
        <f t="shared" si="19"/>
        <v>774</v>
      </c>
      <c r="AI63" s="1435">
        <f t="shared" si="39"/>
        <v>602</v>
      </c>
      <c r="AJ63" s="1435">
        <f t="shared" si="39"/>
        <v>430</v>
      </c>
      <c r="AK63" s="1435">
        <f t="shared" si="39"/>
        <v>258</v>
      </c>
      <c r="AL63" s="1435">
        <f t="shared" si="39"/>
        <v>86</v>
      </c>
      <c r="AM63" s="1435">
        <f t="shared" si="39"/>
        <v>0</v>
      </c>
      <c r="AN63" s="1435">
        <f t="shared" si="39"/>
        <v>0</v>
      </c>
      <c r="AO63" s="1435">
        <f t="shared" si="39"/>
        <v>0</v>
      </c>
      <c r="AP63" s="1435">
        <f t="shared" si="39"/>
        <v>0</v>
      </c>
      <c r="AQ63" s="1435">
        <f t="shared" si="39"/>
        <v>0</v>
      </c>
      <c r="AR63" s="1435">
        <f t="shared" si="39"/>
        <v>0</v>
      </c>
      <c r="AS63" s="1435">
        <f t="shared" si="39"/>
        <v>0</v>
      </c>
      <c r="AT63" s="1435">
        <f t="shared" si="39"/>
        <v>0</v>
      </c>
      <c r="AU63" s="1435">
        <f t="shared" si="39"/>
        <v>0</v>
      </c>
      <c r="AV63" s="1435">
        <f t="shared" si="39"/>
        <v>0</v>
      </c>
      <c r="AW63" s="1435">
        <f t="shared" si="39"/>
        <v>0</v>
      </c>
      <c r="AX63" s="1435">
        <f t="shared" si="39"/>
        <v>0</v>
      </c>
      <c r="AY63" s="1435">
        <f t="shared" si="40"/>
        <v>0</v>
      </c>
      <c r="AZ63" s="1435">
        <f t="shared" si="40"/>
        <v>0</v>
      </c>
      <c r="BA63" s="1435">
        <f t="shared" si="40"/>
        <v>0</v>
      </c>
    </row>
    <row r="64" spans="2:53">
      <c r="B64" s="1437"/>
      <c r="C64" s="1438"/>
      <c r="D64" s="1463">
        <v>403.45</v>
      </c>
      <c r="E64" s="1463">
        <v>8313.2100000000009</v>
      </c>
      <c r="F64" s="1463">
        <v>412.26</v>
      </c>
      <c r="G64" s="1463"/>
      <c r="H64" s="1463">
        <v>7900.95</v>
      </c>
      <c r="I64" s="1463"/>
      <c r="J64" s="1463"/>
      <c r="K64" s="1439"/>
      <c r="AH64" s="1436"/>
      <c r="AI64" s="1435"/>
      <c r="AJ64" s="1435"/>
      <c r="AK64" s="1435"/>
      <c r="AL64" s="1435"/>
      <c r="AM64" s="1435"/>
      <c r="AN64" s="1435"/>
      <c r="AO64" s="1435"/>
      <c r="AP64" s="1435"/>
      <c r="AQ64" s="1435"/>
      <c r="AR64" s="1435"/>
      <c r="AS64" s="1435"/>
      <c r="AT64" s="1435"/>
      <c r="AU64" s="1435"/>
      <c r="AV64" s="1435"/>
      <c r="AW64" s="1435"/>
      <c r="AX64" s="1435"/>
      <c r="AY64" s="1435"/>
      <c r="AZ64" s="1435"/>
      <c r="BA64" s="1435"/>
    </row>
    <row r="65" spans="1:53">
      <c r="B65" s="1430" t="s">
        <v>4454</v>
      </c>
      <c r="C65" s="1430" t="s">
        <v>4455</v>
      </c>
      <c r="D65" s="1462">
        <v>1537.26</v>
      </c>
      <c r="E65" s="1462">
        <v>31000</v>
      </c>
      <c r="F65" s="1462">
        <v>1537.26</v>
      </c>
      <c r="G65" s="1462">
        <v>57</v>
      </c>
      <c r="H65" s="1462">
        <v>29462.74</v>
      </c>
      <c r="I65" s="1462">
        <f t="shared" ref="I65:I67" si="47">+E65/5</f>
        <v>6200</v>
      </c>
      <c r="J65" s="1462">
        <f t="shared" ref="J65:J67" si="48">+E65/I65</f>
        <v>5</v>
      </c>
      <c r="K65" s="1434"/>
      <c r="L65" s="1458">
        <f>+I65/2</f>
        <v>3100</v>
      </c>
      <c r="M65" s="1458">
        <f>+I65</f>
        <v>6200</v>
      </c>
      <c r="N65" s="1458">
        <f t="shared" ref="N65:P67" si="49">+M65</f>
        <v>6200</v>
      </c>
      <c r="O65" s="1458">
        <f t="shared" si="49"/>
        <v>6200</v>
      </c>
      <c r="P65" s="1458">
        <f t="shared" si="49"/>
        <v>6200</v>
      </c>
      <c r="Q65" s="1458">
        <f>+P65/2</f>
        <v>3100</v>
      </c>
      <c r="R65" s="1458"/>
      <c r="S65" s="1458"/>
      <c r="T65" s="1458"/>
      <c r="U65" s="1458"/>
      <c r="AH65" s="1436">
        <f t="shared" si="19"/>
        <v>27900</v>
      </c>
      <c r="AI65" s="1435">
        <f t="shared" ref="AI65:AX67" si="50">+AH65-M65</f>
        <v>21700</v>
      </c>
      <c r="AJ65" s="1435">
        <f t="shared" si="50"/>
        <v>15500</v>
      </c>
      <c r="AK65" s="1435">
        <f t="shared" si="50"/>
        <v>9300</v>
      </c>
      <c r="AL65" s="1435">
        <f t="shared" si="50"/>
        <v>3100</v>
      </c>
      <c r="AM65" s="1435">
        <f t="shared" si="50"/>
        <v>0</v>
      </c>
      <c r="AN65" s="1435">
        <f t="shared" si="50"/>
        <v>0</v>
      </c>
      <c r="AO65" s="1435">
        <f t="shared" si="50"/>
        <v>0</v>
      </c>
      <c r="AP65" s="1435">
        <f t="shared" si="50"/>
        <v>0</v>
      </c>
      <c r="AQ65" s="1435">
        <f t="shared" si="50"/>
        <v>0</v>
      </c>
      <c r="AR65" s="1435">
        <f t="shared" si="50"/>
        <v>0</v>
      </c>
      <c r="AS65" s="1435">
        <f t="shared" si="50"/>
        <v>0</v>
      </c>
      <c r="AT65" s="1435">
        <f t="shared" si="50"/>
        <v>0</v>
      </c>
      <c r="AU65" s="1435">
        <f t="shared" si="50"/>
        <v>0</v>
      </c>
      <c r="AV65" s="1435">
        <f t="shared" si="50"/>
        <v>0</v>
      </c>
      <c r="AW65" s="1435">
        <f t="shared" si="50"/>
        <v>0</v>
      </c>
      <c r="AX65" s="1435">
        <f t="shared" si="50"/>
        <v>0</v>
      </c>
      <c r="AY65" s="1435">
        <f t="shared" si="40"/>
        <v>0</v>
      </c>
      <c r="AZ65" s="1435">
        <f t="shared" si="40"/>
        <v>0</v>
      </c>
      <c r="BA65" s="1435">
        <f t="shared" si="40"/>
        <v>0</v>
      </c>
    </row>
    <row r="66" spans="1:53">
      <c r="B66" s="1430" t="s">
        <v>4454</v>
      </c>
      <c r="C66" s="1430" t="s">
        <v>4456</v>
      </c>
      <c r="D66" s="1462">
        <v>4314.25</v>
      </c>
      <c r="E66" s="1462">
        <v>87000</v>
      </c>
      <c r="F66" s="1462">
        <v>4314.25</v>
      </c>
      <c r="G66" s="1462">
        <v>57</v>
      </c>
      <c r="H66" s="1462">
        <v>82685.75</v>
      </c>
      <c r="I66" s="1462">
        <f t="shared" si="47"/>
        <v>17400</v>
      </c>
      <c r="J66" s="1462">
        <f t="shared" si="48"/>
        <v>5</v>
      </c>
      <c r="K66" s="1434"/>
      <c r="L66" s="1458">
        <f>+I66/2</f>
        <v>8700</v>
      </c>
      <c r="M66" s="1458">
        <f>+I66</f>
        <v>17400</v>
      </c>
      <c r="N66" s="1458">
        <f t="shared" si="49"/>
        <v>17400</v>
      </c>
      <c r="O66" s="1458">
        <f t="shared" si="49"/>
        <v>17400</v>
      </c>
      <c r="P66" s="1458">
        <f t="shared" si="49"/>
        <v>17400</v>
      </c>
      <c r="Q66" s="1458">
        <f>+P66/2</f>
        <v>8700</v>
      </c>
      <c r="R66" s="1458"/>
      <c r="S66" s="1458"/>
      <c r="T66" s="1458"/>
      <c r="U66" s="1458"/>
      <c r="AH66" s="1436">
        <f t="shared" si="19"/>
        <v>78300</v>
      </c>
      <c r="AI66" s="1435">
        <f t="shared" si="50"/>
        <v>60900</v>
      </c>
      <c r="AJ66" s="1435">
        <f t="shared" si="50"/>
        <v>43500</v>
      </c>
      <c r="AK66" s="1435">
        <f t="shared" si="50"/>
        <v>26100</v>
      </c>
      <c r="AL66" s="1435">
        <f t="shared" si="50"/>
        <v>8700</v>
      </c>
      <c r="AM66" s="1435">
        <f t="shared" si="50"/>
        <v>0</v>
      </c>
      <c r="AN66" s="1435">
        <f t="shared" si="50"/>
        <v>0</v>
      </c>
      <c r="AO66" s="1435">
        <f t="shared" si="50"/>
        <v>0</v>
      </c>
      <c r="AP66" s="1435">
        <f t="shared" si="50"/>
        <v>0</v>
      </c>
      <c r="AQ66" s="1435">
        <f t="shared" si="50"/>
        <v>0</v>
      </c>
      <c r="AR66" s="1435">
        <f t="shared" si="50"/>
        <v>0</v>
      </c>
      <c r="AS66" s="1435">
        <f t="shared" si="50"/>
        <v>0</v>
      </c>
      <c r="AT66" s="1435">
        <f t="shared" si="50"/>
        <v>0</v>
      </c>
      <c r="AU66" s="1435">
        <f t="shared" si="50"/>
        <v>0</v>
      </c>
      <c r="AV66" s="1435">
        <f t="shared" si="50"/>
        <v>0</v>
      </c>
      <c r="AW66" s="1435">
        <f t="shared" si="50"/>
        <v>0</v>
      </c>
      <c r="AX66" s="1435">
        <f t="shared" si="50"/>
        <v>0</v>
      </c>
      <c r="AY66" s="1435">
        <f t="shared" ref="AY66:BA67" si="51">+AX66-AC66</f>
        <v>0</v>
      </c>
      <c r="AZ66" s="1435">
        <f t="shared" si="51"/>
        <v>0</v>
      </c>
      <c r="BA66" s="1435">
        <f t="shared" si="51"/>
        <v>0</v>
      </c>
    </row>
    <row r="67" spans="1:53">
      <c r="B67" s="1430" t="s">
        <v>4454</v>
      </c>
      <c r="C67" s="1430" t="s">
        <v>4457</v>
      </c>
      <c r="D67" s="1462">
        <v>1214.93</v>
      </c>
      <c r="E67" s="1462">
        <v>24500</v>
      </c>
      <c r="F67" s="1462">
        <v>1214.93</v>
      </c>
      <c r="G67" s="1462">
        <v>57</v>
      </c>
      <c r="H67" s="1462">
        <v>23285.07</v>
      </c>
      <c r="I67" s="1462">
        <f t="shared" si="47"/>
        <v>4900</v>
      </c>
      <c r="J67" s="1462">
        <f t="shared" si="48"/>
        <v>5</v>
      </c>
      <c r="K67" s="1434"/>
      <c r="L67" s="1458">
        <f>+I67/2</f>
        <v>2450</v>
      </c>
      <c r="M67" s="1458">
        <f>+I67</f>
        <v>4900</v>
      </c>
      <c r="N67" s="1458">
        <f t="shared" si="49"/>
        <v>4900</v>
      </c>
      <c r="O67" s="1458">
        <f t="shared" si="49"/>
        <v>4900</v>
      </c>
      <c r="P67" s="1458">
        <f t="shared" si="49"/>
        <v>4900</v>
      </c>
      <c r="Q67" s="1458">
        <f>+P67/2</f>
        <v>2450</v>
      </c>
      <c r="R67" s="1458"/>
      <c r="S67" s="1458"/>
      <c r="T67" s="1458"/>
      <c r="U67" s="1458"/>
      <c r="AH67" s="1436">
        <f t="shared" si="19"/>
        <v>22050</v>
      </c>
      <c r="AI67" s="1435">
        <f t="shared" si="50"/>
        <v>17150</v>
      </c>
      <c r="AJ67" s="1435">
        <f t="shared" si="50"/>
        <v>12250</v>
      </c>
      <c r="AK67" s="1435">
        <f t="shared" si="50"/>
        <v>7350</v>
      </c>
      <c r="AL67" s="1435">
        <f t="shared" si="50"/>
        <v>2450</v>
      </c>
      <c r="AM67" s="1435">
        <f t="shared" si="50"/>
        <v>0</v>
      </c>
      <c r="AN67" s="1435">
        <f t="shared" si="50"/>
        <v>0</v>
      </c>
      <c r="AO67" s="1435">
        <f t="shared" si="50"/>
        <v>0</v>
      </c>
      <c r="AP67" s="1435">
        <f t="shared" si="50"/>
        <v>0</v>
      </c>
      <c r="AQ67" s="1435">
        <f t="shared" si="50"/>
        <v>0</v>
      </c>
      <c r="AR67" s="1435">
        <f t="shared" si="50"/>
        <v>0</v>
      </c>
      <c r="AS67" s="1435">
        <f t="shared" si="50"/>
        <v>0</v>
      </c>
      <c r="AT67" s="1435">
        <f t="shared" si="50"/>
        <v>0</v>
      </c>
      <c r="AU67" s="1435">
        <f t="shared" si="50"/>
        <v>0</v>
      </c>
      <c r="AV67" s="1435">
        <f t="shared" si="50"/>
        <v>0</v>
      </c>
      <c r="AW67" s="1435">
        <f t="shared" si="50"/>
        <v>0</v>
      </c>
      <c r="AX67" s="1435">
        <f t="shared" si="50"/>
        <v>0</v>
      </c>
      <c r="AY67" s="1435">
        <f t="shared" si="51"/>
        <v>0</v>
      </c>
      <c r="AZ67" s="1435">
        <f t="shared" si="51"/>
        <v>0</v>
      </c>
      <c r="BA67" s="1435">
        <f t="shared" si="51"/>
        <v>0</v>
      </c>
    </row>
    <row r="68" spans="1:53">
      <c r="B68" s="1437"/>
      <c r="C68" s="1438"/>
      <c r="D68" s="1463">
        <v>7066.4400000000005</v>
      </c>
      <c r="E68" s="1463">
        <v>142500</v>
      </c>
      <c r="F68" s="1463">
        <v>7066.4400000000005</v>
      </c>
      <c r="G68" s="1463"/>
      <c r="H68" s="1463">
        <v>135433.56</v>
      </c>
      <c r="I68" s="1463"/>
      <c r="J68" s="1463"/>
      <c r="K68" s="1439"/>
      <c r="AH68" s="1436"/>
      <c r="AI68" s="1435"/>
      <c r="AJ68" s="1435"/>
      <c r="AK68" s="1435"/>
      <c r="AL68" s="1435"/>
      <c r="AM68" s="1435"/>
      <c r="AN68" s="1435"/>
      <c r="AO68" s="1435"/>
      <c r="AP68" s="1435"/>
      <c r="AQ68" s="1435"/>
      <c r="AR68" s="1435"/>
      <c r="AS68" s="1435"/>
      <c r="AT68" s="1435"/>
      <c r="AU68" s="1435"/>
      <c r="AV68" s="1435"/>
      <c r="AW68" s="1435"/>
      <c r="AX68" s="1435"/>
      <c r="AY68" s="1435"/>
      <c r="AZ68" s="1435"/>
      <c r="BA68" s="1435"/>
    </row>
    <row r="69" spans="1:53" ht="15.75" thickBot="1">
      <c r="B69" s="1440" t="s">
        <v>0</v>
      </c>
      <c r="C69" s="1440"/>
      <c r="D69" s="1464">
        <v>65482.97</v>
      </c>
      <c r="E69" s="1464">
        <v>1651679.21</v>
      </c>
      <c r="F69" s="1464">
        <v>65491.78</v>
      </c>
      <c r="G69" s="1464"/>
      <c r="H69" s="1464">
        <v>1586187.43</v>
      </c>
      <c r="I69" s="1465"/>
      <c r="J69" s="1465"/>
      <c r="K69" s="1439"/>
      <c r="L69" s="1459">
        <f t="shared" ref="L69:AE69" si="52">+SUM(L4:L67)</f>
        <v>124823.85671428574</v>
      </c>
      <c r="M69" s="1459">
        <f t="shared" si="52"/>
        <v>249647.71342857147</v>
      </c>
      <c r="N69" s="1459">
        <f t="shared" si="52"/>
        <v>249647.71342857147</v>
      </c>
      <c r="O69" s="1459">
        <f t="shared" si="52"/>
        <v>249647.71342857147</v>
      </c>
      <c r="P69" s="1459">
        <f t="shared" si="52"/>
        <v>249647.71342857147</v>
      </c>
      <c r="Q69" s="1459">
        <f t="shared" si="52"/>
        <v>216130.49242857148</v>
      </c>
      <c r="R69" s="1459">
        <f t="shared" si="52"/>
        <v>182613.27142857146</v>
      </c>
      <c r="S69" s="1459">
        <f t="shared" si="52"/>
        <v>97158.985714285736</v>
      </c>
      <c r="T69" s="1459">
        <f t="shared" si="52"/>
        <v>9904.7000000000007</v>
      </c>
      <c r="U69" s="1459">
        <f t="shared" si="52"/>
        <v>8104.7</v>
      </c>
      <c r="V69" s="1459">
        <f t="shared" si="52"/>
        <v>4052.35</v>
      </c>
      <c r="W69" s="1459">
        <f t="shared" si="52"/>
        <v>0</v>
      </c>
      <c r="X69" s="1459">
        <f t="shared" si="52"/>
        <v>0</v>
      </c>
      <c r="Y69" s="1459">
        <f t="shared" si="52"/>
        <v>0</v>
      </c>
      <c r="Z69" s="1459">
        <f t="shared" si="52"/>
        <v>0</v>
      </c>
      <c r="AA69" s="1459">
        <f t="shared" si="52"/>
        <v>0</v>
      </c>
      <c r="AB69" s="1459">
        <f t="shared" si="52"/>
        <v>0</v>
      </c>
      <c r="AC69" s="1459">
        <f t="shared" si="52"/>
        <v>0</v>
      </c>
      <c r="AD69" s="1459">
        <f t="shared" si="52"/>
        <v>0</v>
      </c>
      <c r="AE69" s="1459">
        <f t="shared" si="52"/>
        <v>0</v>
      </c>
      <c r="AH69" s="1441">
        <f t="shared" ref="AH69:BA69" si="53">+SUM(AH4:AH67)</f>
        <v>1516555.3532857141</v>
      </c>
      <c r="AI69" s="1441">
        <f t="shared" si="53"/>
        <v>1266907.6398571427</v>
      </c>
      <c r="AJ69" s="1441">
        <f t="shared" si="53"/>
        <v>1017259.9264285712</v>
      </c>
      <c r="AK69" s="1441">
        <f t="shared" si="53"/>
        <v>767612.21299999987</v>
      </c>
      <c r="AL69" s="1441">
        <f t="shared" si="53"/>
        <v>517964.49957142846</v>
      </c>
      <c r="AM69" s="1441">
        <f t="shared" si="53"/>
        <v>301834.00714285695</v>
      </c>
      <c r="AN69" s="1441">
        <f t="shared" si="53"/>
        <v>119220.73571428555</v>
      </c>
      <c r="AO69" s="1441">
        <f t="shared" si="53"/>
        <v>22061.749999999822</v>
      </c>
      <c r="AP69" s="1441">
        <f t="shared" si="53"/>
        <v>12157.049999999819</v>
      </c>
      <c r="AQ69" s="1441">
        <f t="shared" si="53"/>
        <v>4052.3499999998189</v>
      </c>
      <c r="AR69" s="1441">
        <f t="shared" si="53"/>
        <v>-1.8109780342001613E-10</v>
      </c>
      <c r="AS69" s="1441">
        <f t="shared" si="53"/>
        <v>-1.8109780342001613E-10</v>
      </c>
      <c r="AT69" s="1441">
        <f t="shared" si="53"/>
        <v>-1.8109780342001613E-10</v>
      </c>
      <c r="AU69" s="1441">
        <f t="shared" si="53"/>
        <v>-1.8109780342001613E-10</v>
      </c>
      <c r="AV69" s="1441">
        <f t="shared" si="53"/>
        <v>-1.8109780342001613E-10</v>
      </c>
      <c r="AW69" s="1441">
        <f t="shared" si="53"/>
        <v>-1.8109780342001613E-10</v>
      </c>
      <c r="AX69" s="1441">
        <f t="shared" si="53"/>
        <v>-1.8109780342001613E-10</v>
      </c>
      <c r="AY69" s="1441">
        <f t="shared" si="53"/>
        <v>-1.8109780342001613E-10</v>
      </c>
      <c r="AZ69" s="1441">
        <f t="shared" si="53"/>
        <v>-1.8109780342001613E-10</v>
      </c>
      <c r="BA69" s="1441">
        <f t="shared" si="53"/>
        <v>-1.8109780342001613E-10</v>
      </c>
    </row>
    <row r="70" spans="1:53" ht="15.75" thickTop="1">
      <c r="A70" s="1442"/>
      <c r="B70" s="1442"/>
      <c r="C70" s="1442"/>
      <c r="D70" s="1466"/>
      <c r="E70" s="1466"/>
      <c r="F70" s="1466"/>
      <c r="G70" s="1466"/>
      <c r="H70" s="1466"/>
      <c r="I70" s="1466"/>
      <c r="J70" s="1466"/>
      <c r="K70" s="1442"/>
      <c r="AH70" s="1436"/>
      <c r="AI70" s="1435"/>
      <c r="AJ70" s="1435"/>
      <c r="AK70" s="1435"/>
      <c r="AL70" s="1435"/>
      <c r="AM70" s="1435"/>
      <c r="AN70" s="1435"/>
      <c r="AO70" s="1435"/>
      <c r="AP70" s="1435"/>
      <c r="AQ70" s="1435"/>
      <c r="AR70" s="1435"/>
      <c r="AS70" s="1435"/>
      <c r="AT70" s="1435"/>
      <c r="AU70" s="1435"/>
      <c r="AV70" s="1435"/>
      <c r="AW70" s="1435"/>
      <c r="AX70" s="1435"/>
      <c r="AY70" s="1435"/>
      <c r="AZ70" s="1435"/>
      <c r="BA70" s="1435"/>
    </row>
    <row r="71" spans="1:53">
      <c r="AH71" s="1436"/>
      <c r="AI71" s="1435"/>
      <c r="AJ71" s="1435"/>
      <c r="AK71" s="1435"/>
      <c r="AL71" s="1435"/>
      <c r="AM71" s="1435"/>
      <c r="AN71" s="1435"/>
      <c r="AO71" s="1435"/>
      <c r="AP71" s="1435"/>
      <c r="AQ71" s="1435"/>
      <c r="AR71" s="1435"/>
      <c r="AS71" s="1435"/>
      <c r="AT71" s="1435"/>
      <c r="AU71" s="1435"/>
      <c r="AV71" s="1435"/>
      <c r="AW71" s="1435"/>
      <c r="AX71" s="1435"/>
      <c r="AY71" s="1435"/>
      <c r="AZ71" s="1435"/>
      <c r="BA71" s="1435"/>
    </row>
    <row r="72" spans="1:53">
      <c r="AH72" s="1436"/>
      <c r="AI72" s="1435"/>
      <c r="AJ72" s="1435"/>
      <c r="AK72" s="1435"/>
      <c r="AL72" s="1435"/>
      <c r="AM72" s="1435"/>
      <c r="AN72" s="1435"/>
      <c r="AO72" s="1435"/>
      <c r="AP72" s="1435"/>
      <c r="AQ72" s="1435"/>
      <c r="AR72" s="1435"/>
      <c r="AS72" s="1435"/>
      <c r="AT72" s="1435"/>
      <c r="AU72" s="1435"/>
      <c r="AV72" s="1435"/>
      <c r="AW72" s="1435"/>
      <c r="AX72" s="1435"/>
      <c r="AY72" s="1435"/>
      <c r="AZ72" s="1435"/>
      <c r="BA72" s="1435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I1080"/>
  <sheetViews>
    <sheetView showGridLines="0" zoomScale="79" workbookViewId="0"/>
  </sheetViews>
  <sheetFormatPr defaultRowHeight="15"/>
  <cols>
    <col min="1" max="1" width="1.7109375" customWidth="1"/>
    <col min="2" max="2" width="24.28515625" style="598" bestFit="1" customWidth="1"/>
    <col min="3" max="3" width="27.7109375" style="598" bestFit="1" customWidth="1"/>
    <col min="4" max="4" width="5.7109375" style="598" bestFit="1" customWidth="1"/>
    <col min="5" max="5" width="63.28515625" style="598" customWidth="1"/>
    <col min="6" max="6" width="4.7109375" style="730" bestFit="1" customWidth="1"/>
    <col min="7" max="7" width="12.140625" style="598" bestFit="1" customWidth="1"/>
    <col min="9" max="9" width="11.85546875" bestFit="1" customWidth="1"/>
  </cols>
  <sheetData>
    <row r="2" spans="2:9">
      <c r="B2" s="736"/>
      <c r="C2" s="736"/>
      <c r="D2" s="736"/>
      <c r="E2" s="599"/>
      <c r="F2" s="737"/>
      <c r="G2" s="599"/>
    </row>
    <row r="3" spans="2:9">
      <c r="B3" s="599" t="s">
        <v>2594</v>
      </c>
      <c r="C3" s="599" t="s">
        <v>2593</v>
      </c>
      <c r="D3" s="599" t="s">
        <v>865</v>
      </c>
      <c r="E3" s="599" t="s">
        <v>866</v>
      </c>
      <c r="F3" s="737" t="s">
        <v>867</v>
      </c>
      <c r="G3" s="599" t="s">
        <v>868</v>
      </c>
      <c r="H3" s="599" t="s">
        <v>4270</v>
      </c>
      <c r="I3" s="599" t="s">
        <v>4271</v>
      </c>
    </row>
    <row r="4" spans="2:9">
      <c r="B4" s="598" t="s">
        <v>2595</v>
      </c>
      <c r="C4" s="604" t="s">
        <v>1111</v>
      </c>
      <c r="D4" s="745">
        <v>2000</v>
      </c>
      <c r="E4" s="650" t="s">
        <v>877</v>
      </c>
      <c r="F4" s="897">
        <v>0.12</v>
      </c>
      <c r="G4" s="898">
        <v>1032.9100000000001</v>
      </c>
      <c r="H4" s="703">
        <f>+G4/$G$1080</f>
        <v>6.080850973586712E-5</v>
      </c>
      <c r="I4" s="704">
        <f>+H4*F4</f>
        <v>7.2970211683040538E-6</v>
      </c>
    </row>
    <row r="5" spans="2:9">
      <c r="B5" s="598" t="s">
        <v>2595</v>
      </c>
      <c r="C5" s="604" t="s">
        <v>1111</v>
      </c>
      <c r="D5" s="745">
        <v>2001</v>
      </c>
      <c r="E5" s="650" t="s">
        <v>878</v>
      </c>
      <c r="F5" s="897">
        <v>0.12</v>
      </c>
      <c r="G5" s="898">
        <v>2453.17</v>
      </c>
      <c r="H5" s="703">
        <f t="shared" ref="H5:H68" si="0">+G5/$G$1080</f>
        <v>1.444207257444861E-4</v>
      </c>
      <c r="I5" s="704">
        <f t="shared" ref="I5:I68" si="1">+H5*F5</f>
        <v>1.7330487089338331E-5</v>
      </c>
    </row>
    <row r="6" spans="2:9">
      <c r="B6" s="598" t="s">
        <v>2595</v>
      </c>
      <c r="C6" s="604" t="s">
        <v>1111</v>
      </c>
      <c r="D6" s="745">
        <v>2001</v>
      </c>
      <c r="E6" s="650" t="s">
        <v>879</v>
      </c>
      <c r="F6" s="897">
        <v>0.12</v>
      </c>
      <c r="G6" s="898">
        <v>1334.18</v>
      </c>
      <c r="H6" s="703">
        <f>+G6/$G$1080</f>
        <v>7.8544594901200674E-5</v>
      </c>
      <c r="I6" s="704">
        <f t="shared" si="1"/>
        <v>9.4253513881440801E-6</v>
      </c>
    </row>
    <row r="7" spans="2:9">
      <c r="B7" s="598" t="s">
        <v>2595</v>
      </c>
      <c r="C7" s="604" t="s">
        <v>1111</v>
      </c>
      <c r="D7" s="745">
        <v>2001</v>
      </c>
      <c r="E7" s="650" t="s">
        <v>880</v>
      </c>
      <c r="F7" s="897">
        <v>0.12</v>
      </c>
      <c r="G7" s="898">
        <v>6025.33</v>
      </c>
      <c r="H7" s="703">
        <f t="shared" si="0"/>
        <v>3.5471758233225761E-4</v>
      </c>
      <c r="I7" s="704">
        <f t="shared" si="1"/>
        <v>4.2566109879870914E-5</v>
      </c>
    </row>
    <row r="8" spans="2:9">
      <c r="B8" s="598" t="s">
        <v>2595</v>
      </c>
      <c r="C8" s="604" t="s">
        <v>1111</v>
      </c>
      <c r="D8" s="745">
        <v>2001</v>
      </c>
      <c r="E8" s="650" t="s">
        <v>877</v>
      </c>
      <c r="F8" s="897">
        <v>0.12</v>
      </c>
      <c r="G8" s="898">
        <v>856.18</v>
      </c>
      <c r="H8" s="703">
        <f t="shared" si="0"/>
        <v>5.0404226762888056E-5</v>
      </c>
      <c r="I8" s="704">
        <f t="shared" si="1"/>
        <v>6.0485072115465664E-6</v>
      </c>
    </row>
    <row r="9" spans="2:9">
      <c r="B9" s="598" t="s">
        <v>2595</v>
      </c>
      <c r="C9" s="604" t="s">
        <v>1111</v>
      </c>
      <c r="D9" s="745">
        <v>2002</v>
      </c>
      <c r="E9" s="650" t="s">
        <v>881</v>
      </c>
      <c r="F9" s="897">
        <v>0.12</v>
      </c>
      <c r="G9" s="898">
        <v>2117.4699999999998</v>
      </c>
      <c r="H9" s="703">
        <f t="shared" si="0"/>
        <v>1.2465770987831129E-4</v>
      </c>
      <c r="I9" s="704">
        <f t="shared" si="1"/>
        <v>1.4958925185397355E-5</v>
      </c>
    </row>
    <row r="10" spans="2:9">
      <c r="B10" s="598" t="s">
        <v>2595</v>
      </c>
      <c r="C10" s="604" t="s">
        <v>1111</v>
      </c>
      <c r="D10" s="745">
        <v>2002</v>
      </c>
      <c r="E10" s="650" t="s">
        <v>882</v>
      </c>
      <c r="F10" s="897">
        <v>0.12</v>
      </c>
      <c r="G10" s="898">
        <v>2065.83</v>
      </c>
      <c r="H10" s="703">
        <f t="shared" si="0"/>
        <v>1.2161760818236474E-4</v>
      </c>
      <c r="I10" s="704">
        <f t="shared" si="1"/>
        <v>1.4594112981883768E-5</v>
      </c>
    </row>
    <row r="11" spans="2:9">
      <c r="B11" s="598" t="s">
        <v>2595</v>
      </c>
      <c r="C11" s="604" t="s">
        <v>1111</v>
      </c>
      <c r="D11" s="745">
        <v>2003</v>
      </c>
      <c r="E11" s="650" t="s">
        <v>883</v>
      </c>
      <c r="F11" s="897">
        <v>0.12</v>
      </c>
      <c r="G11" s="898">
        <v>4166.67</v>
      </c>
      <c r="H11" s="703">
        <f t="shared" si="0"/>
        <v>2.4529629228214021E-4</v>
      </c>
      <c r="I11" s="704">
        <f t="shared" si="1"/>
        <v>2.9435555073856824E-5</v>
      </c>
    </row>
    <row r="12" spans="2:9">
      <c r="B12" s="598" t="s">
        <v>2595</v>
      </c>
      <c r="C12" s="604" t="s">
        <v>1111</v>
      </c>
      <c r="D12" s="745">
        <v>2004</v>
      </c>
      <c r="E12" s="650" t="s">
        <v>884</v>
      </c>
      <c r="F12" s="897">
        <v>0.12</v>
      </c>
      <c r="G12" s="898">
        <v>2666.67</v>
      </c>
      <c r="H12" s="703">
        <f t="shared" si="0"/>
        <v>1.5698969770584539E-4</v>
      </c>
      <c r="I12" s="704">
        <f t="shared" si="1"/>
        <v>1.8838763724701446E-5</v>
      </c>
    </row>
    <row r="13" spans="2:9">
      <c r="B13" s="598" t="s">
        <v>2595</v>
      </c>
      <c r="C13" s="604" t="s">
        <v>1111</v>
      </c>
      <c r="D13" s="745">
        <v>2004</v>
      </c>
      <c r="E13" s="650" t="s">
        <v>885</v>
      </c>
      <c r="F13" s="897">
        <v>0.12</v>
      </c>
      <c r="G13" s="898">
        <v>698.33</v>
      </c>
      <c r="H13" s="703">
        <f t="shared" si="0"/>
        <v>4.1111429460309308E-5</v>
      </c>
      <c r="I13" s="704">
        <f t="shared" si="1"/>
        <v>4.9333715352371165E-6</v>
      </c>
    </row>
    <row r="14" spans="2:9">
      <c r="B14" s="598" t="s">
        <v>2595</v>
      </c>
      <c r="C14" s="604" t="s">
        <v>1111</v>
      </c>
      <c r="D14" s="745">
        <v>2004</v>
      </c>
      <c r="E14" s="650" t="s">
        <v>882</v>
      </c>
      <c r="F14" s="897">
        <v>0.12</v>
      </c>
      <c r="G14" s="898">
        <v>4000</v>
      </c>
      <c r="H14" s="703">
        <f t="shared" si="0"/>
        <v>2.3548425220345283E-4</v>
      </c>
      <c r="I14" s="704">
        <f t="shared" si="1"/>
        <v>2.8258110264414339E-5</v>
      </c>
    </row>
    <row r="15" spans="2:9">
      <c r="B15" s="598" t="s">
        <v>2595</v>
      </c>
      <c r="C15" s="604" t="s">
        <v>1111</v>
      </c>
      <c r="D15" s="745">
        <v>2006</v>
      </c>
      <c r="E15" s="650" t="s">
        <v>1112</v>
      </c>
      <c r="F15" s="897">
        <v>0.12</v>
      </c>
      <c r="G15" s="898">
        <v>1250</v>
      </c>
      <c r="H15" s="703">
        <f t="shared" si="0"/>
        <v>7.3588828813579007E-5</v>
      </c>
      <c r="I15" s="704">
        <f t="shared" si="1"/>
        <v>8.8306594576294799E-6</v>
      </c>
    </row>
    <row r="16" spans="2:9">
      <c r="B16" s="598" t="s">
        <v>2595</v>
      </c>
      <c r="C16" s="604" t="s">
        <v>1111</v>
      </c>
      <c r="D16" s="745">
        <v>2007</v>
      </c>
      <c r="E16" s="650" t="s">
        <v>1113</v>
      </c>
      <c r="F16" s="897">
        <v>0.12</v>
      </c>
      <c r="G16" s="898">
        <v>8099.4</v>
      </c>
      <c r="H16" s="703">
        <f t="shared" si="0"/>
        <v>4.7682028807416145E-4</v>
      </c>
      <c r="I16" s="704">
        <f t="shared" si="1"/>
        <v>5.7218434568899373E-5</v>
      </c>
    </row>
    <row r="17" spans="2:9">
      <c r="B17" s="598" t="s">
        <v>2595</v>
      </c>
      <c r="C17" s="604" t="s">
        <v>1111</v>
      </c>
      <c r="D17" s="745">
        <v>2007</v>
      </c>
      <c r="E17" s="650" t="s">
        <v>1114</v>
      </c>
      <c r="F17" s="897">
        <v>0.12</v>
      </c>
      <c r="G17" s="898">
        <v>72894.600000000006</v>
      </c>
      <c r="H17" s="703">
        <f t="shared" si="0"/>
        <v>4.2913825926674531E-3</v>
      </c>
      <c r="I17" s="704">
        <f t="shared" si="1"/>
        <v>5.1496591112009434E-4</v>
      </c>
    </row>
    <row r="18" spans="2:9">
      <c r="B18" s="598" t="s">
        <v>2595</v>
      </c>
      <c r="C18" s="604" t="s">
        <v>1111</v>
      </c>
      <c r="D18" s="745">
        <v>2007</v>
      </c>
      <c r="E18" s="650" t="s">
        <v>886</v>
      </c>
      <c r="F18" s="897">
        <v>0.12</v>
      </c>
      <c r="G18" s="898">
        <v>2651.5</v>
      </c>
      <c r="H18" s="703">
        <f t="shared" si="0"/>
        <v>1.5609662367936379E-4</v>
      </c>
      <c r="I18" s="704">
        <f t="shared" si="1"/>
        <v>1.8731594841523654E-5</v>
      </c>
    </row>
    <row r="19" spans="2:9">
      <c r="B19" s="598" t="s">
        <v>2595</v>
      </c>
      <c r="C19" s="604" t="s">
        <v>1111</v>
      </c>
      <c r="D19" s="745">
        <v>2010</v>
      </c>
      <c r="E19" s="650" t="s">
        <v>887</v>
      </c>
      <c r="F19" s="897">
        <v>0.12</v>
      </c>
      <c r="G19" s="898">
        <v>1850</v>
      </c>
      <c r="H19" s="703">
        <f t="shared" si="0"/>
        <v>1.0891146664409693E-4</v>
      </c>
      <c r="I19" s="704">
        <f t="shared" si="1"/>
        <v>1.3069375997291631E-5</v>
      </c>
    </row>
    <row r="20" spans="2:9">
      <c r="B20" s="598" t="s">
        <v>2595</v>
      </c>
      <c r="C20" s="604" t="s">
        <v>1111</v>
      </c>
      <c r="D20" s="745">
        <v>2012</v>
      </c>
      <c r="E20" s="650" t="s">
        <v>888</v>
      </c>
      <c r="F20" s="897">
        <v>0.12</v>
      </c>
      <c r="G20" s="898">
        <v>1322.31</v>
      </c>
      <c r="H20" s="703">
        <f t="shared" si="0"/>
        <v>7.784579538278692E-5</v>
      </c>
      <c r="I20" s="704">
        <f t="shared" si="1"/>
        <v>9.3414954459344304E-6</v>
      </c>
    </row>
    <row r="21" spans="2:9">
      <c r="B21" s="598" t="s">
        <v>2595</v>
      </c>
      <c r="C21" s="604" t="s">
        <v>1111</v>
      </c>
      <c r="D21" s="745">
        <v>2012</v>
      </c>
      <c r="E21" s="650" t="s">
        <v>1115</v>
      </c>
      <c r="F21" s="897">
        <v>0.12</v>
      </c>
      <c r="G21" s="898">
        <v>992.7</v>
      </c>
      <c r="H21" s="703">
        <f t="shared" si="0"/>
        <v>5.8441304290591908E-5</v>
      </c>
      <c r="I21" s="704">
        <f t="shared" si="1"/>
        <v>7.0129565148710286E-6</v>
      </c>
    </row>
    <row r="22" spans="2:9">
      <c r="B22" s="598" t="s">
        <v>2595</v>
      </c>
      <c r="C22" s="604" t="s">
        <v>1111</v>
      </c>
      <c r="D22" s="745">
        <v>2015</v>
      </c>
      <c r="E22" s="650" t="s">
        <v>1116</v>
      </c>
      <c r="F22" s="897">
        <v>0.12</v>
      </c>
      <c r="G22" s="898">
        <v>487</v>
      </c>
      <c r="H22" s="703">
        <f t="shared" si="0"/>
        <v>2.8670207705770381E-5</v>
      </c>
      <c r="I22" s="704">
        <f t="shared" si="1"/>
        <v>3.4404249246924455E-6</v>
      </c>
    </row>
    <row r="23" spans="2:9">
      <c r="B23" s="598" t="s">
        <v>2595</v>
      </c>
      <c r="C23" s="604" t="s">
        <v>1111</v>
      </c>
      <c r="D23" s="745">
        <v>2018</v>
      </c>
      <c r="E23" s="650" t="s">
        <v>1117</v>
      </c>
      <c r="F23" s="897">
        <v>0.12</v>
      </c>
      <c r="G23" s="898">
        <v>2295.08</v>
      </c>
      <c r="H23" s="703">
        <f t="shared" si="0"/>
        <v>1.3511379938677511E-4</v>
      </c>
      <c r="I23" s="704">
        <f t="shared" si="1"/>
        <v>1.6213655926413013E-5</v>
      </c>
    </row>
    <row r="24" spans="2:9">
      <c r="B24" s="598" t="s">
        <v>2595</v>
      </c>
      <c r="C24" s="604" t="s">
        <v>1111</v>
      </c>
      <c r="D24" s="745"/>
      <c r="E24" s="650"/>
      <c r="F24" s="897">
        <v>0.12</v>
      </c>
      <c r="G24" s="898">
        <v>5404.92</v>
      </c>
      <c r="H24" s="703">
        <f t="shared" si="0"/>
        <v>3.1819338610487158E-4</v>
      </c>
      <c r="I24" s="704">
        <f t="shared" si="1"/>
        <v>3.8183206332584587E-5</v>
      </c>
    </row>
    <row r="25" spans="2:9">
      <c r="B25" s="598" t="s">
        <v>2595</v>
      </c>
      <c r="C25" s="604" t="s">
        <v>1111</v>
      </c>
      <c r="D25" s="745">
        <v>2018</v>
      </c>
      <c r="E25" s="650" t="s">
        <v>1118</v>
      </c>
      <c r="F25" s="897">
        <v>0.12</v>
      </c>
      <c r="G25" s="898">
        <v>1285</v>
      </c>
      <c r="H25" s="703">
        <f t="shared" si="0"/>
        <v>7.5649316020359221E-5</v>
      </c>
      <c r="I25" s="704">
        <f t="shared" si="1"/>
        <v>9.0779179224431062E-6</v>
      </c>
    </row>
    <row r="26" spans="2:9">
      <c r="B26" s="598" t="s">
        <v>2595</v>
      </c>
      <c r="C26" s="604" t="s">
        <v>1111</v>
      </c>
      <c r="D26" s="745">
        <v>2018</v>
      </c>
      <c r="E26" s="650" t="s">
        <v>1119</v>
      </c>
      <c r="F26" s="897">
        <v>0.12</v>
      </c>
      <c r="G26" s="898">
        <v>3400</v>
      </c>
      <c r="H26" s="703">
        <f t="shared" si="0"/>
        <v>2.001616143729349E-4</v>
      </c>
      <c r="I26" s="704">
        <f t="shared" si="1"/>
        <v>2.4019393724752188E-5</v>
      </c>
    </row>
    <row r="27" spans="2:9">
      <c r="B27" s="598" t="s">
        <v>2595</v>
      </c>
      <c r="C27" s="604" t="s">
        <v>1111</v>
      </c>
      <c r="D27" s="745"/>
      <c r="E27" s="650" t="s">
        <v>1120</v>
      </c>
      <c r="F27" s="897">
        <v>0.12</v>
      </c>
      <c r="G27" s="898">
        <v>4467.21</v>
      </c>
      <c r="H27" s="703">
        <f t="shared" si="0"/>
        <v>2.629894015714466E-4</v>
      </c>
      <c r="I27" s="704">
        <f t="shared" si="1"/>
        <v>3.1558728188573593E-5</v>
      </c>
    </row>
    <row r="28" spans="2:9">
      <c r="B28" s="598" t="s">
        <v>2595</v>
      </c>
      <c r="C28" s="604" t="s">
        <v>906</v>
      </c>
      <c r="D28" s="745">
        <v>2003</v>
      </c>
      <c r="E28" s="650" t="s">
        <v>889</v>
      </c>
      <c r="F28" s="897">
        <v>0.2</v>
      </c>
      <c r="G28" s="898">
        <v>2580</v>
      </c>
      <c r="H28" s="703">
        <f t="shared" si="0"/>
        <v>1.5188734267122708E-4</v>
      </c>
      <c r="I28" s="704">
        <f t="shared" si="1"/>
        <v>3.0377468534245416E-5</v>
      </c>
    </row>
    <row r="29" spans="2:9">
      <c r="B29" s="598" t="s">
        <v>2595</v>
      </c>
      <c r="C29" s="604" t="s">
        <v>906</v>
      </c>
      <c r="D29" s="745">
        <v>2005</v>
      </c>
      <c r="E29" s="650" t="s">
        <v>890</v>
      </c>
      <c r="F29" s="897">
        <v>0.2</v>
      </c>
      <c r="G29" s="898">
        <v>1200</v>
      </c>
      <c r="H29" s="703">
        <f t="shared" si="0"/>
        <v>7.0645275661035853E-5</v>
      </c>
      <c r="I29" s="704">
        <f t="shared" si="1"/>
        <v>1.4129055132207171E-5</v>
      </c>
    </row>
    <row r="30" spans="2:9">
      <c r="B30" s="598" t="s">
        <v>2595</v>
      </c>
      <c r="C30" s="604" t="s">
        <v>906</v>
      </c>
      <c r="D30" s="745">
        <v>2009</v>
      </c>
      <c r="E30" s="650" t="s">
        <v>891</v>
      </c>
      <c r="F30" s="897">
        <v>0.2</v>
      </c>
      <c r="G30" s="898">
        <v>570</v>
      </c>
      <c r="H30" s="703">
        <f t="shared" si="0"/>
        <v>3.3556505938992024E-5</v>
      </c>
      <c r="I30" s="704">
        <f t="shared" si="1"/>
        <v>6.7113011877984054E-6</v>
      </c>
    </row>
    <row r="31" spans="2:9">
      <c r="B31" s="598" t="s">
        <v>2595</v>
      </c>
      <c r="C31" s="604" t="s">
        <v>906</v>
      </c>
      <c r="D31" s="745">
        <v>2010</v>
      </c>
      <c r="E31" s="650" t="s">
        <v>892</v>
      </c>
      <c r="F31" s="897">
        <v>0.2</v>
      </c>
      <c r="G31" s="898">
        <v>1165</v>
      </c>
      <c r="H31" s="703">
        <f t="shared" si="0"/>
        <v>6.858478845425564E-5</v>
      </c>
      <c r="I31" s="704">
        <f t="shared" si="1"/>
        <v>1.3716957690851129E-5</v>
      </c>
    </row>
    <row r="32" spans="2:9">
      <c r="B32" s="598" t="s">
        <v>2595</v>
      </c>
      <c r="C32" s="604" t="s">
        <v>906</v>
      </c>
      <c r="D32" s="745">
        <v>2010</v>
      </c>
      <c r="E32" s="650" t="s">
        <v>893</v>
      </c>
      <c r="F32" s="897">
        <v>0.2</v>
      </c>
      <c r="G32" s="898">
        <v>1600</v>
      </c>
      <c r="H32" s="703">
        <f t="shared" si="0"/>
        <v>9.4193700881381128E-5</v>
      </c>
      <c r="I32" s="704">
        <f t="shared" si="1"/>
        <v>1.8838740176276226E-5</v>
      </c>
    </row>
    <row r="33" spans="2:9">
      <c r="B33" s="598" t="s">
        <v>2595</v>
      </c>
      <c r="C33" s="604" t="s">
        <v>906</v>
      </c>
      <c r="D33" s="745">
        <v>2011</v>
      </c>
      <c r="E33" s="650" t="s">
        <v>894</v>
      </c>
      <c r="F33" s="897">
        <v>0.2</v>
      </c>
      <c r="G33" s="898">
        <v>1285.5999999999999</v>
      </c>
      <c r="H33" s="703">
        <f t="shared" si="0"/>
        <v>7.5684638658189731E-5</v>
      </c>
      <c r="I33" s="704">
        <f t="shared" si="1"/>
        <v>1.5136927731637947E-5</v>
      </c>
    </row>
    <row r="34" spans="2:9">
      <c r="B34" s="598" t="s">
        <v>2595</v>
      </c>
      <c r="C34" s="604" t="s">
        <v>906</v>
      </c>
      <c r="D34" s="745">
        <v>2011</v>
      </c>
      <c r="E34" s="650" t="s">
        <v>1121</v>
      </c>
      <c r="F34" s="897">
        <v>0.2</v>
      </c>
      <c r="G34" s="898">
        <v>799</v>
      </c>
      <c r="H34" s="703">
        <f t="shared" si="0"/>
        <v>4.7037979377639701E-5</v>
      </c>
      <c r="I34" s="704">
        <f t="shared" si="1"/>
        <v>9.4075958755279411E-6</v>
      </c>
    </row>
    <row r="35" spans="2:9">
      <c r="B35" s="598" t="s">
        <v>2595</v>
      </c>
      <c r="C35" s="604" t="s">
        <v>906</v>
      </c>
      <c r="D35" s="745">
        <v>2011</v>
      </c>
      <c r="E35" s="650" t="s">
        <v>1122</v>
      </c>
      <c r="F35" s="897">
        <v>0.2</v>
      </c>
      <c r="G35" s="898">
        <v>670</v>
      </c>
      <c r="H35" s="703">
        <f t="shared" si="0"/>
        <v>3.9443612244078347E-5</v>
      </c>
      <c r="I35" s="704">
        <f t="shared" si="1"/>
        <v>7.8887224488156704E-6</v>
      </c>
    </row>
    <row r="36" spans="2:9">
      <c r="B36" s="598" t="s">
        <v>2595</v>
      </c>
      <c r="C36" s="604" t="s">
        <v>906</v>
      </c>
      <c r="D36" s="745">
        <v>2011</v>
      </c>
      <c r="E36" s="650" t="s">
        <v>895</v>
      </c>
      <c r="F36" s="897">
        <v>0.2</v>
      </c>
      <c r="G36" s="898">
        <v>1850</v>
      </c>
      <c r="H36" s="703">
        <f t="shared" si="0"/>
        <v>1.0891146664409693E-4</v>
      </c>
      <c r="I36" s="704">
        <f t="shared" si="1"/>
        <v>2.1782293328819387E-5</v>
      </c>
    </row>
    <row r="37" spans="2:9">
      <c r="B37" s="598" t="s">
        <v>2595</v>
      </c>
      <c r="C37" s="604" t="s">
        <v>906</v>
      </c>
      <c r="D37" s="745">
        <v>2012</v>
      </c>
      <c r="E37" s="650" t="s">
        <v>1123</v>
      </c>
      <c r="F37" s="897">
        <v>0.2</v>
      </c>
      <c r="G37" s="898">
        <v>720</v>
      </c>
      <c r="H37" s="703">
        <f t="shared" si="0"/>
        <v>4.2387165396621508E-5</v>
      </c>
      <c r="I37" s="704">
        <f t="shared" si="1"/>
        <v>8.4774330793243016E-6</v>
      </c>
    </row>
    <row r="38" spans="2:9">
      <c r="B38" s="598" t="s">
        <v>2595</v>
      </c>
      <c r="C38" s="604" t="s">
        <v>906</v>
      </c>
      <c r="D38" s="745">
        <v>2014</v>
      </c>
      <c r="E38" s="650" t="s">
        <v>896</v>
      </c>
      <c r="F38" s="897">
        <v>0.2</v>
      </c>
      <c r="G38" s="898">
        <v>854.1</v>
      </c>
      <c r="H38" s="703">
        <f t="shared" si="0"/>
        <v>5.0281774951742265E-5</v>
      </c>
      <c r="I38" s="704">
        <f t="shared" si="1"/>
        <v>1.0056354990348454E-5</v>
      </c>
    </row>
    <row r="39" spans="2:9">
      <c r="B39" s="598" t="s">
        <v>2595</v>
      </c>
      <c r="C39" s="604" t="s">
        <v>906</v>
      </c>
      <c r="D39" s="745">
        <v>2014</v>
      </c>
      <c r="E39" s="650" t="s">
        <v>897</v>
      </c>
      <c r="F39" s="897">
        <v>0.2</v>
      </c>
      <c r="G39" s="898">
        <v>638.1</v>
      </c>
      <c r="H39" s="703">
        <f t="shared" si="0"/>
        <v>3.7565625332755816E-5</v>
      </c>
      <c r="I39" s="704">
        <f t="shared" si="1"/>
        <v>7.5131250665511637E-6</v>
      </c>
    </row>
    <row r="40" spans="2:9">
      <c r="B40" s="598" t="s">
        <v>2595</v>
      </c>
      <c r="C40" s="604" t="s">
        <v>906</v>
      </c>
      <c r="D40" s="745">
        <v>2014</v>
      </c>
      <c r="E40" s="650" t="s">
        <v>1124</v>
      </c>
      <c r="F40" s="897">
        <v>0.2</v>
      </c>
      <c r="G40" s="898">
        <v>914.75</v>
      </c>
      <c r="H40" s="703">
        <f t="shared" si="0"/>
        <v>5.3852304925777118E-5</v>
      </c>
      <c r="I40" s="704">
        <f t="shared" si="1"/>
        <v>1.0770460985155424E-5</v>
      </c>
    </row>
    <row r="41" spans="2:9">
      <c r="B41" s="598" t="s">
        <v>2595</v>
      </c>
      <c r="C41" s="604" t="s">
        <v>906</v>
      </c>
      <c r="D41" s="745">
        <v>2014</v>
      </c>
      <c r="E41" s="650" t="s">
        <v>898</v>
      </c>
      <c r="F41" s="897">
        <v>0.2</v>
      </c>
      <c r="G41" s="898">
        <v>1180.48</v>
      </c>
      <c r="H41" s="703">
        <f t="shared" si="0"/>
        <v>6.9496112510283005E-5</v>
      </c>
      <c r="I41" s="704">
        <f t="shared" si="1"/>
        <v>1.3899222502056602E-5</v>
      </c>
    </row>
    <row r="42" spans="2:9">
      <c r="B42" s="598" t="s">
        <v>2595</v>
      </c>
      <c r="C42" s="604" t="s">
        <v>906</v>
      </c>
      <c r="D42" s="745">
        <v>2015</v>
      </c>
      <c r="E42" s="650" t="s">
        <v>899</v>
      </c>
      <c r="F42" s="897">
        <v>0.2</v>
      </c>
      <c r="G42" s="898">
        <v>679.5</v>
      </c>
      <c r="H42" s="703">
        <f t="shared" si="0"/>
        <v>4.0002887343061551E-5</v>
      </c>
      <c r="I42" s="704">
        <f t="shared" si="1"/>
        <v>8.0005774686123109E-6</v>
      </c>
    </row>
    <row r="43" spans="2:9">
      <c r="B43" s="598" t="s">
        <v>2595</v>
      </c>
      <c r="C43" s="604" t="s">
        <v>906</v>
      </c>
      <c r="D43" s="745">
        <v>2015</v>
      </c>
      <c r="E43" s="650" t="s">
        <v>1125</v>
      </c>
      <c r="F43" s="897">
        <v>0.2</v>
      </c>
      <c r="G43" s="898">
        <v>1356.8</v>
      </c>
      <c r="H43" s="703">
        <f t="shared" si="0"/>
        <v>7.9876258347411192E-5</v>
      </c>
      <c r="I43" s="704">
        <f t="shared" si="1"/>
        <v>1.597525166948224E-5</v>
      </c>
    </row>
    <row r="44" spans="2:9">
      <c r="B44" s="598" t="s">
        <v>2595</v>
      </c>
      <c r="C44" s="604" t="s">
        <v>906</v>
      </c>
      <c r="D44" s="745">
        <v>2015</v>
      </c>
      <c r="E44" s="650" t="s">
        <v>900</v>
      </c>
      <c r="F44" s="897">
        <v>0.2</v>
      </c>
      <c r="G44" s="898">
        <v>654.91999999999996</v>
      </c>
      <c r="H44" s="703">
        <f t="shared" si="0"/>
        <v>3.8555836613271328E-5</v>
      </c>
      <c r="I44" s="704">
        <f t="shared" si="1"/>
        <v>7.7111673226542667E-6</v>
      </c>
    </row>
    <row r="45" spans="2:9">
      <c r="B45" s="598" t="s">
        <v>2595</v>
      </c>
      <c r="C45" s="604" t="s">
        <v>906</v>
      </c>
      <c r="D45" s="745">
        <v>2015</v>
      </c>
      <c r="E45" s="650" t="s">
        <v>1126</v>
      </c>
      <c r="F45" s="897">
        <v>0.2</v>
      </c>
      <c r="G45" s="898">
        <v>1038</v>
      </c>
      <c r="H45" s="703">
        <f t="shared" si="0"/>
        <v>6.1108163446796013E-5</v>
      </c>
      <c r="I45" s="704">
        <f t="shared" si="1"/>
        <v>1.2221632689359203E-5</v>
      </c>
    </row>
    <row r="46" spans="2:9">
      <c r="B46" s="598" t="s">
        <v>2595</v>
      </c>
      <c r="C46" s="604" t="s">
        <v>906</v>
      </c>
      <c r="D46" s="745">
        <v>2015</v>
      </c>
      <c r="E46" s="650" t="s">
        <v>1127</v>
      </c>
      <c r="F46" s="897">
        <v>0.2</v>
      </c>
      <c r="G46" s="898">
        <v>4184</v>
      </c>
      <c r="H46" s="703">
        <f t="shared" si="0"/>
        <v>2.4631652780481163E-4</v>
      </c>
      <c r="I46" s="704">
        <f t="shared" si="1"/>
        <v>4.9263305560962328E-5</v>
      </c>
    </row>
    <row r="47" spans="2:9">
      <c r="B47" s="598" t="s">
        <v>2595</v>
      </c>
      <c r="C47" s="604" t="s">
        <v>906</v>
      </c>
      <c r="D47" s="745">
        <v>2015</v>
      </c>
      <c r="E47" s="650" t="s">
        <v>1128</v>
      </c>
      <c r="F47" s="897">
        <v>0.2</v>
      </c>
      <c r="G47" s="898">
        <v>500</v>
      </c>
      <c r="H47" s="703">
        <f t="shared" si="0"/>
        <v>2.9435531525431604E-5</v>
      </c>
      <c r="I47" s="704">
        <f t="shared" si="1"/>
        <v>5.8871063050863214E-6</v>
      </c>
    </row>
    <row r="48" spans="2:9">
      <c r="B48" s="598" t="s">
        <v>2595</v>
      </c>
      <c r="C48" s="604" t="s">
        <v>906</v>
      </c>
      <c r="D48" s="745">
        <v>2016</v>
      </c>
      <c r="E48" s="650" t="s">
        <v>1129</v>
      </c>
      <c r="F48" s="897">
        <v>0.2</v>
      </c>
      <c r="G48" s="898">
        <v>749</v>
      </c>
      <c r="H48" s="703">
        <f t="shared" si="0"/>
        <v>4.4094426225096539E-5</v>
      </c>
      <c r="I48" s="704">
        <f t="shared" si="1"/>
        <v>8.8188852450193082E-6</v>
      </c>
    </row>
    <row r="49" spans="2:9">
      <c r="B49" s="598" t="s">
        <v>2595</v>
      </c>
      <c r="C49" s="604" t="s">
        <v>906</v>
      </c>
      <c r="D49" s="745">
        <v>2016</v>
      </c>
      <c r="E49" s="650" t="s">
        <v>1130</v>
      </c>
      <c r="F49" s="897"/>
      <c r="G49" s="898">
        <v>548.44000000000005</v>
      </c>
      <c r="H49" s="703">
        <f t="shared" si="0"/>
        <v>3.228724581961542E-5</v>
      </c>
      <c r="I49" s="704">
        <f t="shared" si="1"/>
        <v>0</v>
      </c>
    </row>
    <row r="50" spans="2:9">
      <c r="B50" s="598" t="s">
        <v>2595</v>
      </c>
      <c r="C50" s="604" t="s">
        <v>906</v>
      </c>
      <c r="D50" s="745">
        <v>2016</v>
      </c>
      <c r="E50" s="650" t="s">
        <v>1131</v>
      </c>
      <c r="F50" s="897"/>
      <c r="G50" s="898">
        <v>2000</v>
      </c>
      <c r="H50" s="703">
        <f t="shared" si="0"/>
        <v>1.1774212610172642E-4</v>
      </c>
      <c r="I50" s="704">
        <f t="shared" si="1"/>
        <v>0</v>
      </c>
    </row>
    <row r="51" spans="2:9">
      <c r="B51" s="598" t="s">
        <v>2595</v>
      </c>
      <c r="C51" s="604" t="s">
        <v>906</v>
      </c>
      <c r="D51" s="745">
        <v>2016</v>
      </c>
      <c r="E51" s="650" t="s">
        <v>1132</v>
      </c>
      <c r="F51" s="897">
        <v>0.2</v>
      </c>
      <c r="G51" s="898">
        <v>2890</v>
      </c>
      <c r="H51" s="703">
        <f t="shared" si="0"/>
        <v>1.7013737221699467E-4</v>
      </c>
      <c r="I51" s="704">
        <f t="shared" si="1"/>
        <v>3.4027474443398934E-5</v>
      </c>
    </row>
    <row r="52" spans="2:9">
      <c r="B52" s="598" t="s">
        <v>2595</v>
      </c>
      <c r="C52" s="604" t="s">
        <v>906</v>
      </c>
      <c r="D52" s="745">
        <v>2016</v>
      </c>
      <c r="E52" s="650" t="s">
        <v>1133</v>
      </c>
      <c r="F52" s="897">
        <v>0.2</v>
      </c>
      <c r="G52" s="898">
        <v>2519</v>
      </c>
      <c r="H52" s="703">
        <f t="shared" si="0"/>
        <v>1.4829620782512442E-4</v>
      </c>
      <c r="I52" s="704">
        <f t="shared" si="1"/>
        <v>2.9659241565024885E-5</v>
      </c>
    </row>
    <row r="53" spans="2:9">
      <c r="B53" s="598" t="s">
        <v>2595</v>
      </c>
      <c r="C53" s="604" t="s">
        <v>906</v>
      </c>
      <c r="D53" s="745">
        <v>2017</v>
      </c>
      <c r="E53" s="650" t="s">
        <v>1134</v>
      </c>
      <c r="F53" s="897">
        <v>0.2</v>
      </c>
      <c r="G53" s="898">
        <v>694</v>
      </c>
      <c r="H53" s="703">
        <f t="shared" si="0"/>
        <v>4.0856517757299067E-5</v>
      </c>
      <c r="I53" s="704">
        <f t="shared" si="1"/>
        <v>8.1713035514598134E-6</v>
      </c>
    </row>
    <row r="54" spans="2:9">
      <c r="B54" s="598" t="s">
        <v>2595</v>
      </c>
      <c r="C54" s="604" t="s">
        <v>906</v>
      </c>
      <c r="D54" s="745">
        <v>2017</v>
      </c>
      <c r="E54" s="650" t="s">
        <v>1134</v>
      </c>
      <c r="F54" s="897">
        <v>0.2</v>
      </c>
      <c r="G54" s="898">
        <v>694</v>
      </c>
      <c r="H54" s="703">
        <f t="shared" si="0"/>
        <v>4.0856517757299067E-5</v>
      </c>
      <c r="I54" s="704">
        <f t="shared" si="1"/>
        <v>8.1713035514598134E-6</v>
      </c>
    </row>
    <row r="55" spans="2:9">
      <c r="B55" s="598" t="s">
        <v>2595</v>
      </c>
      <c r="C55" s="604" t="s">
        <v>906</v>
      </c>
      <c r="D55" s="745">
        <v>2017</v>
      </c>
      <c r="E55" s="650" t="s">
        <v>1135</v>
      </c>
      <c r="F55" s="897">
        <v>0.2</v>
      </c>
      <c r="G55" s="898">
        <v>600</v>
      </c>
      <c r="H55" s="703">
        <f t="shared" si="0"/>
        <v>3.5322637830517927E-5</v>
      </c>
      <c r="I55" s="704">
        <f t="shared" si="1"/>
        <v>7.0645275661035855E-6</v>
      </c>
    </row>
    <row r="56" spans="2:9">
      <c r="B56" s="598" t="s">
        <v>2595</v>
      </c>
      <c r="C56" s="604" t="s">
        <v>906</v>
      </c>
      <c r="D56" s="745">
        <v>2017</v>
      </c>
      <c r="E56" s="650" t="s">
        <v>1135</v>
      </c>
      <c r="F56" s="897">
        <v>0.2</v>
      </c>
      <c r="G56" s="898">
        <v>600</v>
      </c>
      <c r="H56" s="703">
        <f t="shared" si="0"/>
        <v>3.5322637830517927E-5</v>
      </c>
      <c r="I56" s="704">
        <f t="shared" si="1"/>
        <v>7.0645275661035855E-6</v>
      </c>
    </row>
    <row r="57" spans="2:9">
      <c r="B57" s="598" t="s">
        <v>2595</v>
      </c>
      <c r="C57" s="604" t="s">
        <v>906</v>
      </c>
      <c r="D57" s="745">
        <v>2017</v>
      </c>
      <c r="E57" s="650" t="s">
        <v>1136</v>
      </c>
      <c r="F57" s="897">
        <v>0.2</v>
      </c>
      <c r="G57" s="898">
        <v>1995</v>
      </c>
      <c r="H57" s="703">
        <f t="shared" si="0"/>
        <v>1.174477707864721E-4</v>
      </c>
      <c r="I57" s="704">
        <f t="shared" si="1"/>
        <v>2.3489554157294422E-5</v>
      </c>
    </row>
    <row r="58" spans="2:9">
      <c r="B58" s="598" t="s">
        <v>2595</v>
      </c>
      <c r="C58" s="604" t="s">
        <v>906</v>
      </c>
      <c r="D58" s="745">
        <v>2017</v>
      </c>
      <c r="E58" s="650" t="s">
        <v>1137</v>
      </c>
      <c r="F58" s="897">
        <v>0.2</v>
      </c>
      <c r="G58" s="898">
        <v>3416</v>
      </c>
      <c r="H58" s="703">
        <f t="shared" si="0"/>
        <v>2.0110355138174872E-4</v>
      </c>
      <c r="I58" s="704">
        <f t="shared" si="1"/>
        <v>4.0220710276349744E-5</v>
      </c>
    </row>
    <row r="59" spans="2:9">
      <c r="B59" s="598" t="s">
        <v>2595</v>
      </c>
      <c r="C59" s="604" t="s">
        <v>906</v>
      </c>
      <c r="D59" s="745">
        <v>2018</v>
      </c>
      <c r="E59" s="650" t="s">
        <v>1138</v>
      </c>
      <c r="F59" s="897">
        <v>0.2</v>
      </c>
      <c r="G59" s="898">
        <v>531.97</v>
      </c>
      <c r="H59" s="703">
        <f t="shared" si="0"/>
        <v>3.1317639411167702E-5</v>
      </c>
      <c r="I59" s="704">
        <f t="shared" si="1"/>
        <v>6.2635278822335409E-6</v>
      </c>
    </row>
    <row r="60" spans="2:9">
      <c r="B60" s="598" t="s">
        <v>2595</v>
      </c>
      <c r="C60" s="604" t="s">
        <v>906</v>
      </c>
      <c r="D60" s="745">
        <v>2018</v>
      </c>
      <c r="E60" s="650" t="s">
        <v>1139</v>
      </c>
      <c r="F60" s="897">
        <v>0.2</v>
      </c>
      <c r="G60" s="898">
        <v>384.43</v>
      </c>
      <c r="H60" s="703">
        <f t="shared" si="0"/>
        <v>2.2631802768643342E-5</v>
      </c>
      <c r="I60" s="704">
        <f t="shared" si="1"/>
        <v>4.5263605537286685E-6</v>
      </c>
    </row>
    <row r="61" spans="2:9">
      <c r="B61" s="598" t="s">
        <v>2595</v>
      </c>
      <c r="C61" s="604" t="s">
        <v>906</v>
      </c>
      <c r="D61" s="745">
        <v>2018</v>
      </c>
      <c r="E61" s="650" t="s">
        <v>1140</v>
      </c>
      <c r="F61" s="897">
        <v>0.2</v>
      </c>
      <c r="G61" s="898">
        <v>955</v>
      </c>
      <c r="H61" s="703">
        <f t="shared" si="0"/>
        <v>5.6221865213574359E-5</v>
      </c>
      <c r="I61" s="704">
        <f t="shared" si="1"/>
        <v>1.1244373042714872E-5</v>
      </c>
    </row>
    <row r="62" spans="2:9">
      <c r="B62" s="598" t="s">
        <v>2595</v>
      </c>
      <c r="C62" s="604" t="s">
        <v>906</v>
      </c>
      <c r="D62" s="745">
        <v>2018</v>
      </c>
      <c r="E62" s="650" t="s">
        <v>1141</v>
      </c>
      <c r="F62" s="897">
        <v>0.2</v>
      </c>
      <c r="G62" s="898">
        <v>935</v>
      </c>
      <c r="H62" s="703">
        <f t="shared" si="0"/>
        <v>5.50444439525571E-5</v>
      </c>
      <c r="I62" s="704">
        <f t="shared" si="1"/>
        <v>1.1008888790511421E-5</v>
      </c>
    </row>
    <row r="63" spans="2:9">
      <c r="B63" s="598" t="s">
        <v>2595</v>
      </c>
      <c r="C63" s="604" t="s">
        <v>906</v>
      </c>
      <c r="D63" s="745">
        <v>2018</v>
      </c>
      <c r="E63" s="650" t="s">
        <v>1142</v>
      </c>
      <c r="F63" s="897">
        <v>0.2</v>
      </c>
      <c r="G63" s="898">
        <v>757.37</v>
      </c>
      <c r="H63" s="703">
        <f t="shared" si="0"/>
        <v>4.4587177022832264E-5</v>
      </c>
      <c r="I63" s="704">
        <f t="shared" si="1"/>
        <v>8.9174354045664538E-6</v>
      </c>
    </row>
    <row r="64" spans="2:9">
      <c r="B64" s="598" t="s">
        <v>2595</v>
      </c>
      <c r="C64" s="604" t="s">
        <v>906</v>
      </c>
      <c r="D64" s="745">
        <v>2018</v>
      </c>
      <c r="E64" s="650" t="s">
        <v>1143</v>
      </c>
      <c r="F64" s="897">
        <v>0.2</v>
      </c>
      <c r="G64" s="898">
        <v>290</v>
      </c>
      <c r="H64" s="703">
        <f t="shared" si="0"/>
        <v>1.707260828475033E-5</v>
      </c>
      <c r="I64" s="704">
        <f t="shared" si="1"/>
        <v>3.4145216569500663E-6</v>
      </c>
    </row>
    <row r="65" spans="2:9">
      <c r="B65" s="598" t="s">
        <v>2595</v>
      </c>
      <c r="C65" s="604" t="s">
        <v>906</v>
      </c>
      <c r="D65" s="745">
        <v>2018</v>
      </c>
      <c r="E65" s="650" t="s">
        <v>1144</v>
      </c>
      <c r="F65" s="897">
        <v>0.2</v>
      </c>
      <c r="G65" s="898">
        <v>550</v>
      </c>
      <c r="H65" s="703">
        <f t="shared" si="0"/>
        <v>3.2379084677974765E-5</v>
      </c>
      <c r="I65" s="704">
        <f t="shared" si="1"/>
        <v>6.4758169355949534E-6</v>
      </c>
    </row>
    <row r="66" spans="2:9">
      <c r="B66" s="598" t="s">
        <v>2595</v>
      </c>
      <c r="C66" s="604" t="s">
        <v>906</v>
      </c>
      <c r="D66" s="745">
        <v>2018</v>
      </c>
      <c r="E66" s="650" t="s">
        <v>1145</v>
      </c>
      <c r="F66" s="897">
        <v>0.2</v>
      </c>
      <c r="G66" s="898">
        <v>515.55999999999995</v>
      </c>
      <c r="H66" s="703">
        <f t="shared" si="0"/>
        <v>3.035156526650303E-5</v>
      </c>
      <c r="I66" s="704">
        <f t="shared" si="1"/>
        <v>6.070313053300606E-6</v>
      </c>
    </row>
    <row r="67" spans="2:9">
      <c r="B67" s="598" t="s">
        <v>2595</v>
      </c>
      <c r="C67" s="604" t="s">
        <v>906</v>
      </c>
      <c r="D67" s="745">
        <v>2018</v>
      </c>
      <c r="E67" s="650" t="s">
        <v>1146</v>
      </c>
      <c r="F67" s="897">
        <v>0.2</v>
      </c>
      <c r="G67" s="898">
        <v>370</v>
      </c>
      <c r="H67" s="703">
        <f t="shared" si="0"/>
        <v>2.1782293328819387E-5</v>
      </c>
      <c r="I67" s="704">
        <f t="shared" si="1"/>
        <v>4.3564586657638772E-6</v>
      </c>
    </row>
    <row r="68" spans="2:9">
      <c r="B68" s="598" t="s">
        <v>2595</v>
      </c>
      <c r="C68" s="604" t="s">
        <v>906</v>
      </c>
      <c r="D68" s="745">
        <v>2018</v>
      </c>
      <c r="E68" s="650" t="s">
        <v>1147</v>
      </c>
      <c r="F68" s="897">
        <v>0.2</v>
      </c>
      <c r="G68" s="898">
        <v>1829</v>
      </c>
      <c r="H68" s="703">
        <f t="shared" si="0"/>
        <v>1.076751743200288E-4</v>
      </c>
      <c r="I68" s="704">
        <f t="shared" si="1"/>
        <v>2.1535034864005762E-5</v>
      </c>
    </row>
    <row r="69" spans="2:9">
      <c r="B69" s="598" t="s">
        <v>2595</v>
      </c>
      <c r="C69" s="604" t="s">
        <v>906</v>
      </c>
      <c r="D69" s="745">
        <v>2019</v>
      </c>
      <c r="E69" s="650" t="s">
        <v>1148</v>
      </c>
      <c r="F69" s="897">
        <v>0.2</v>
      </c>
      <c r="G69" s="898">
        <v>850</v>
      </c>
      <c r="H69" s="703">
        <f t="shared" ref="H69:H132" si="2">+G69/$G$1080</f>
        <v>5.0040403593233725E-5</v>
      </c>
      <c r="I69" s="704">
        <f t="shared" ref="I69:I132" si="3">+H69*F69</f>
        <v>1.0008080718646746E-5</v>
      </c>
    </row>
    <row r="70" spans="2:9">
      <c r="B70" s="598" t="s">
        <v>2595</v>
      </c>
      <c r="C70" s="604" t="s">
        <v>906</v>
      </c>
      <c r="D70" s="745">
        <v>2019</v>
      </c>
      <c r="E70" s="650" t="s">
        <v>1149</v>
      </c>
      <c r="F70" s="897">
        <v>0.2</v>
      </c>
      <c r="G70" s="898">
        <v>989.05</v>
      </c>
      <c r="H70" s="703">
        <f t="shared" si="2"/>
        <v>5.8226424910456255E-5</v>
      </c>
      <c r="I70" s="704">
        <f t="shared" si="3"/>
        <v>1.1645284982091251E-5</v>
      </c>
    </row>
    <row r="71" spans="2:9">
      <c r="B71" s="598" t="s">
        <v>2595</v>
      </c>
      <c r="C71" s="604" t="s">
        <v>906</v>
      </c>
      <c r="D71" s="745">
        <v>2019</v>
      </c>
      <c r="E71" s="650" t="s">
        <v>1150</v>
      </c>
      <c r="F71" s="897">
        <v>0.2</v>
      </c>
      <c r="G71" s="898">
        <v>1215.05</v>
      </c>
      <c r="H71" s="703">
        <f t="shared" si="2"/>
        <v>7.1531285159951333E-5</v>
      </c>
      <c r="I71" s="704">
        <f t="shared" si="3"/>
        <v>1.4306257031990267E-5</v>
      </c>
    </row>
    <row r="72" spans="2:9">
      <c r="B72" s="598" t="s">
        <v>2595</v>
      </c>
      <c r="C72" s="604" t="s">
        <v>906</v>
      </c>
      <c r="D72" s="745">
        <v>2020</v>
      </c>
      <c r="E72" s="650" t="s">
        <v>1151</v>
      </c>
      <c r="F72" s="897">
        <v>0.2</v>
      </c>
      <c r="G72" s="898">
        <v>5200</v>
      </c>
      <c r="H72" s="703">
        <f t="shared" si="2"/>
        <v>3.0612952786448865E-4</v>
      </c>
      <c r="I72" s="704">
        <f t="shared" si="3"/>
        <v>6.1225905572897727E-5</v>
      </c>
    </row>
    <row r="73" spans="2:9">
      <c r="B73" s="598" t="s">
        <v>2595</v>
      </c>
      <c r="C73" s="604" t="s">
        <v>906</v>
      </c>
      <c r="D73" s="745">
        <v>2020</v>
      </c>
      <c r="E73" s="650" t="s">
        <v>1152</v>
      </c>
      <c r="F73" s="897">
        <v>0.2</v>
      </c>
      <c r="G73" s="898">
        <v>1720</v>
      </c>
      <c r="H73" s="703">
        <f t="shared" si="2"/>
        <v>1.0125822844748471E-4</v>
      </c>
      <c r="I73" s="704">
        <f t="shared" si="3"/>
        <v>2.0251645689496943E-5</v>
      </c>
    </row>
    <row r="74" spans="2:9">
      <c r="B74" s="598" t="s">
        <v>2595</v>
      </c>
      <c r="C74" s="604" t="s">
        <v>906</v>
      </c>
      <c r="D74" s="745">
        <v>2020</v>
      </c>
      <c r="E74" s="650" t="s">
        <v>1153</v>
      </c>
      <c r="F74" s="897">
        <v>0.2</v>
      </c>
      <c r="G74" s="898">
        <v>860</v>
      </c>
      <c r="H74" s="703">
        <f t="shared" si="2"/>
        <v>5.0629114223742355E-5</v>
      </c>
      <c r="I74" s="704">
        <f t="shared" si="3"/>
        <v>1.0125822844748471E-5</v>
      </c>
    </row>
    <row r="75" spans="2:9">
      <c r="B75" s="598" t="s">
        <v>2595</v>
      </c>
      <c r="C75" s="604" t="s">
        <v>906</v>
      </c>
      <c r="D75" s="745">
        <v>2020</v>
      </c>
      <c r="E75" s="650" t="s">
        <v>1154</v>
      </c>
      <c r="F75" s="897">
        <v>0.2</v>
      </c>
      <c r="G75" s="898">
        <v>411.47</v>
      </c>
      <c r="H75" s="703">
        <f t="shared" si="2"/>
        <v>2.4223676313538686E-5</v>
      </c>
      <c r="I75" s="704">
        <f t="shared" si="3"/>
        <v>4.8447352627077373E-6</v>
      </c>
    </row>
    <row r="76" spans="2:9">
      <c r="B76" s="598" t="s">
        <v>2595</v>
      </c>
      <c r="C76" s="604" t="s">
        <v>906</v>
      </c>
      <c r="D76" s="745">
        <v>2020</v>
      </c>
      <c r="E76" s="650" t="s">
        <v>1155</v>
      </c>
      <c r="F76" s="897">
        <v>0.2</v>
      </c>
      <c r="G76" s="898">
        <v>4975</v>
      </c>
      <c r="H76" s="703">
        <f t="shared" si="2"/>
        <v>2.9288353867804447E-4</v>
      </c>
      <c r="I76" s="704">
        <f t="shared" si="3"/>
        <v>5.8576707735608897E-5</v>
      </c>
    </row>
    <row r="77" spans="2:9">
      <c r="B77" s="598" t="s">
        <v>2595</v>
      </c>
      <c r="C77" s="604" t="s">
        <v>906</v>
      </c>
      <c r="D77" s="745">
        <v>2020</v>
      </c>
      <c r="E77" s="650" t="s">
        <v>1156</v>
      </c>
      <c r="F77" s="897">
        <v>0.2</v>
      </c>
      <c r="G77" s="898">
        <v>818.85</v>
      </c>
      <c r="H77" s="703">
        <f t="shared" si="2"/>
        <v>4.8206569979199335E-5</v>
      </c>
      <c r="I77" s="704">
        <f t="shared" si="3"/>
        <v>9.6413139958398674E-6</v>
      </c>
    </row>
    <row r="78" spans="2:9">
      <c r="B78" s="598" t="s">
        <v>2595</v>
      </c>
      <c r="C78" s="604" t="s">
        <v>906</v>
      </c>
      <c r="D78" s="745">
        <v>2021</v>
      </c>
      <c r="E78" s="650" t="s">
        <v>1157</v>
      </c>
      <c r="F78" s="897">
        <v>0.2</v>
      </c>
      <c r="G78" s="898">
        <v>766.5</v>
      </c>
      <c r="H78" s="703">
        <f t="shared" si="2"/>
        <v>4.5124669828486646E-5</v>
      </c>
      <c r="I78" s="704">
        <f t="shared" si="3"/>
        <v>9.0249339656973292E-6</v>
      </c>
    </row>
    <row r="79" spans="2:9">
      <c r="B79" s="598" t="s">
        <v>2595</v>
      </c>
      <c r="C79" s="604" t="s">
        <v>906</v>
      </c>
      <c r="D79" s="745">
        <v>2021</v>
      </c>
      <c r="E79" s="650" t="s">
        <v>1158</v>
      </c>
      <c r="F79" s="897">
        <v>0.2</v>
      </c>
      <c r="G79" s="898">
        <v>233</v>
      </c>
      <c r="H79" s="703">
        <f t="shared" si="2"/>
        <v>1.3716957690851127E-5</v>
      </c>
      <c r="I79" s="704">
        <f t="shared" si="3"/>
        <v>2.7433915381702255E-6</v>
      </c>
    </row>
    <row r="80" spans="2:9">
      <c r="B80" s="598" t="s">
        <v>2595</v>
      </c>
      <c r="C80" s="604" t="s">
        <v>906</v>
      </c>
      <c r="D80" s="745">
        <v>2021</v>
      </c>
      <c r="E80" s="650" t="s">
        <v>1159</v>
      </c>
      <c r="F80" s="897">
        <v>0.2</v>
      </c>
      <c r="G80" s="898">
        <v>1455</v>
      </c>
      <c r="H80" s="703">
        <f t="shared" si="2"/>
        <v>8.565739673900597E-5</v>
      </c>
      <c r="I80" s="704">
        <f t="shared" si="3"/>
        <v>1.7131479347801194E-5</v>
      </c>
    </row>
    <row r="81" spans="2:9">
      <c r="B81" s="598" t="s">
        <v>2595</v>
      </c>
      <c r="C81" s="604" t="s">
        <v>906</v>
      </c>
      <c r="D81" s="745">
        <v>2021</v>
      </c>
      <c r="E81" s="650" t="s">
        <v>1160</v>
      </c>
      <c r="F81" s="897">
        <v>0.2</v>
      </c>
      <c r="G81" s="898">
        <v>1475</v>
      </c>
      <c r="H81" s="703">
        <f t="shared" si="2"/>
        <v>8.6834818000023229E-5</v>
      </c>
      <c r="I81" s="704">
        <f t="shared" si="3"/>
        <v>1.7366963600004645E-5</v>
      </c>
    </row>
    <row r="82" spans="2:9">
      <c r="B82" s="598" t="s">
        <v>2595</v>
      </c>
      <c r="C82" s="604" t="s">
        <v>906</v>
      </c>
      <c r="D82" s="745">
        <v>2021</v>
      </c>
      <c r="E82" s="650" t="s">
        <v>1161</v>
      </c>
      <c r="F82" s="897">
        <v>0.2</v>
      </c>
      <c r="G82" s="898">
        <v>890</v>
      </c>
      <c r="H82" s="703">
        <f t="shared" si="2"/>
        <v>5.239524611526825E-5</v>
      </c>
      <c r="I82" s="704">
        <f t="shared" si="3"/>
        <v>1.0479049223053651E-5</v>
      </c>
    </row>
    <row r="83" spans="2:9">
      <c r="B83" s="598" t="s">
        <v>2595</v>
      </c>
      <c r="C83" s="604" t="s">
        <v>906</v>
      </c>
      <c r="D83" s="745">
        <v>2022</v>
      </c>
      <c r="E83" s="650" t="s">
        <v>2537</v>
      </c>
      <c r="F83" s="897">
        <v>0.2</v>
      </c>
      <c r="G83" s="898">
        <v>1016</v>
      </c>
      <c r="H83" s="703">
        <f t="shared" si="2"/>
        <v>5.981300005967702E-5</v>
      </c>
      <c r="I83" s="704">
        <f t="shared" si="3"/>
        <v>1.1962600011935405E-5</v>
      </c>
    </row>
    <row r="84" spans="2:9">
      <c r="B84" s="598" t="s">
        <v>2595</v>
      </c>
      <c r="C84" s="604" t="s">
        <v>906</v>
      </c>
      <c r="D84" s="745">
        <v>2022</v>
      </c>
      <c r="E84" s="650" t="s">
        <v>2538</v>
      </c>
      <c r="F84" s="897">
        <v>0.2</v>
      </c>
      <c r="G84" s="898">
        <v>2340</v>
      </c>
      <c r="H84" s="703">
        <f t="shared" si="2"/>
        <v>1.3775828753901992E-4</v>
      </c>
      <c r="I84" s="704">
        <f t="shared" si="3"/>
        <v>2.7551657507803985E-5</v>
      </c>
    </row>
    <row r="85" spans="2:9">
      <c r="B85" s="598" t="s">
        <v>2595</v>
      </c>
      <c r="C85" s="604" t="s">
        <v>906</v>
      </c>
      <c r="D85" s="745">
        <v>2022</v>
      </c>
      <c r="E85" s="650" t="s">
        <v>2539</v>
      </c>
      <c r="F85" s="897">
        <v>0.2</v>
      </c>
      <c r="G85" s="898">
        <v>1470</v>
      </c>
      <c r="H85" s="703">
        <f t="shared" si="2"/>
        <v>8.6540462684768911E-5</v>
      </c>
      <c r="I85" s="704">
        <f t="shared" si="3"/>
        <v>1.7308092536953782E-5</v>
      </c>
    </row>
    <row r="86" spans="2:9">
      <c r="B86" s="598" t="s">
        <v>2595</v>
      </c>
      <c r="C86" s="604" t="s">
        <v>906</v>
      </c>
      <c r="D86" s="745">
        <v>2022</v>
      </c>
      <c r="E86" s="650" t="s">
        <v>2540</v>
      </c>
      <c r="F86" s="897">
        <v>0.2</v>
      </c>
      <c r="G86" s="898">
        <v>11700</v>
      </c>
      <c r="H86" s="703">
        <f t="shared" si="2"/>
        <v>6.8879143769509947E-4</v>
      </c>
      <c r="I86" s="704">
        <f t="shared" si="3"/>
        <v>1.3775828753901989E-4</v>
      </c>
    </row>
    <row r="87" spans="2:9">
      <c r="B87" s="598" t="s">
        <v>2595</v>
      </c>
      <c r="C87" s="604" t="s">
        <v>906</v>
      </c>
      <c r="D87" s="745">
        <v>2022</v>
      </c>
      <c r="E87" s="650" t="s">
        <v>2541</v>
      </c>
      <c r="F87" s="897">
        <v>0.2</v>
      </c>
      <c r="G87" s="898">
        <v>2140</v>
      </c>
      <c r="H87" s="703">
        <f t="shared" si="2"/>
        <v>1.2598407492884727E-4</v>
      </c>
      <c r="I87" s="704">
        <f t="shared" si="3"/>
        <v>2.5196814985769457E-5</v>
      </c>
    </row>
    <row r="88" spans="2:9">
      <c r="B88" s="598" t="s">
        <v>2595</v>
      </c>
      <c r="C88" s="604" t="s">
        <v>906</v>
      </c>
      <c r="D88" s="745">
        <v>2022</v>
      </c>
      <c r="E88" s="650" t="s">
        <v>2542</v>
      </c>
      <c r="F88" s="897">
        <v>0.2</v>
      </c>
      <c r="G88" s="898">
        <v>1500</v>
      </c>
      <c r="H88" s="703">
        <f t="shared" si="2"/>
        <v>8.8306594576294806E-5</v>
      </c>
      <c r="I88" s="704">
        <f t="shared" si="3"/>
        <v>1.7661318915258963E-5</v>
      </c>
    </row>
    <row r="89" spans="2:9">
      <c r="B89" s="598" t="s">
        <v>2595</v>
      </c>
      <c r="C89" s="604" t="s">
        <v>907</v>
      </c>
      <c r="D89" s="745">
        <v>2014</v>
      </c>
      <c r="E89" s="650" t="s">
        <v>1162</v>
      </c>
      <c r="F89" s="897">
        <v>0.2</v>
      </c>
      <c r="G89" s="898">
        <v>1252.8</v>
      </c>
      <c r="H89" s="703">
        <f t="shared" si="2"/>
        <v>7.3753667790121428E-5</v>
      </c>
      <c r="I89" s="704">
        <f t="shared" si="3"/>
        <v>1.4750733558024287E-5</v>
      </c>
    </row>
    <row r="90" spans="2:9">
      <c r="B90" s="598" t="s">
        <v>2595</v>
      </c>
      <c r="C90" s="604" t="s">
        <v>907</v>
      </c>
      <c r="D90" s="745">
        <v>2015</v>
      </c>
      <c r="E90" s="650" t="s">
        <v>901</v>
      </c>
      <c r="F90" s="897">
        <v>0.2</v>
      </c>
      <c r="G90" s="898">
        <v>349</v>
      </c>
      <c r="H90" s="703">
        <f t="shared" si="2"/>
        <v>2.0546001004751257E-5</v>
      </c>
      <c r="I90" s="704">
        <f t="shared" si="3"/>
        <v>4.1092002009502518E-6</v>
      </c>
    </row>
    <row r="91" spans="2:9">
      <c r="B91" s="598" t="s">
        <v>2595</v>
      </c>
      <c r="C91" s="604" t="s">
        <v>907</v>
      </c>
      <c r="D91" s="745">
        <v>2015</v>
      </c>
      <c r="E91" s="650" t="s">
        <v>902</v>
      </c>
      <c r="F91" s="897">
        <v>0.2</v>
      </c>
      <c r="G91" s="898">
        <v>626.4</v>
      </c>
      <c r="H91" s="703">
        <f t="shared" si="2"/>
        <v>3.6876833895060714E-5</v>
      </c>
      <c r="I91" s="704">
        <f t="shared" si="3"/>
        <v>7.3753667790121435E-6</v>
      </c>
    </row>
    <row r="92" spans="2:9">
      <c r="B92" s="598" t="s">
        <v>2595</v>
      </c>
      <c r="C92" s="604" t="s">
        <v>907</v>
      </c>
      <c r="D92" s="745">
        <v>2015</v>
      </c>
      <c r="E92" s="650" t="s">
        <v>903</v>
      </c>
      <c r="F92" s="897">
        <v>0.2</v>
      </c>
      <c r="G92" s="898">
        <v>400.9</v>
      </c>
      <c r="H92" s="703">
        <f t="shared" si="2"/>
        <v>2.3601409177091057E-5</v>
      </c>
      <c r="I92" s="704">
        <f t="shared" si="3"/>
        <v>4.7202818354182121E-6</v>
      </c>
    </row>
    <row r="93" spans="2:9">
      <c r="B93" s="598" t="s">
        <v>2595</v>
      </c>
      <c r="C93" s="604" t="s">
        <v>907</v>
      </c>
      <c r="D93" s="745">
        <v>2016</v>
      </c>
      <c r="E93" s="650" t="s">
        <v>1163</v>
      </c>
      <c r="F93" s="897">
        <v>0.2</v>
      </c>
      <c r="G93" s="898">
        <v>431.39</v>
      </c>
      <c r="H93" s="703">
        <f t="shared" si="2"/>
        <v>2.5396387889511877E-5</v>
      </c>
      <c r="I93" s="704">
        <f t="shared" si="3"/>
        <v>5.0792775779023756E-6</v>
      </c>
    </row>
    <row r="94" spans="2:9">
      <c r="B94" s="598" t="s">
        <v>2595</v>
      </c>
      <c r="C94" s="604" t="s">
        <v>907</v>
      </c>
      <c r="D94" s="745">
        <v>2016</v>
      </c>
      <c r="E94" s="650" t="s">
        <v>1164</v>
      </c>
      <c r="F94" s="897">
        <v>0.2</v>
      </c>
      <c r="G94" s="898">
        <v>1879.2</v>
      </c>
      <c r="H94" s="703">
        <f t="shared" si="2"/>
        <v>1.1063050168518214E-4</v>
      </c>
      <c r="I94" s="704">
        <f t="shared" si="3"/>
        <v>2.2126100337036431E-5</v>
      </c>
    </row>
    <row r="95" spans="2:9">
      <c r="B95" s="598" t="s">
        <v>2595</v>
      </c>
      <c r="C95" s="604" t="s">
        <v>907</v>
      </c>
      <c r="D95" s="745">
        <v>2017</v>
      </c>
      <c r="E95" s="650" t="s">
        <v>904</v>
      </c>
      <c r="F95" s="897">
        <v>0.2</v>
      </c>
      <c r="G95" s="898">
        <v>581.89</v>
      </c>
      <c r="H95" s="703">
        <f t="shared" si="2"/>
        <v>3.4256482878666792E-5</v>
      </c>
      <c r="I95" s="704">
        <f t="shared" si="3"/>
        <v>6.8512965757333585E-6</v>
      </c>
    </row>
    <row r="96" spans="2:9">
      <c r="B96" s="598" t="s">
        <v>2595</v>
      </c>
      <c r="C96" s="650" t="s">
        <v>907</v>
      </c>
      <c r="D96" s="1260">
        <v>2017</v>
      </c>
      <c r="E96" s="650" t="s">
        <v>905</v>
      </c>
      <c r="F96" s="897">
        <v>0.2</v>
      </c>
      <c r="G96" s="898">
        <v>407.16</v>
      </c>
      <c r="H96" s="703">
        <f t="shared" si="2"/>
        <v>2.3969942031789466E-5</v>
      </c>
      <c r="I96" s="704">
        <f t="shared" si="3"/>
        <v>4.7939884063578933E-6</v>
      </c>
    </row>
    <row r="97" spans="2:9">
      <c r="B97" s="598" t="s">
        <v>2595</v>
      </c>
      <c r="C97" s="650" t="s">
        <v>907</v>
      </c>
      <c r="D97" s="1260">
        <v>2018</v>
      </c>
      <c r="E97" s="650" t="s">
        <v>1165</v>
      </c>
      <c r="F97" s="897">
        <v>0.2</v>
      </c>
      <c r="G97" s="898">
        <v>362.1</v>
      </c>
      <c r="H97" s="703">
        <f t="shared" si="2"/>
        <v>2.131721193071757E-5</v>
      </c>
      <c r="I97" s="704">
        <f t="shared" si="3"/>
        <v>4.2634423861435144E-6</v>
      </c>
    </row>
    <row r="98" spans="2:9">
      <c r="B98" s="598" t="s">
        <v>2595</v>
      </c>
      <c r="C98" s="650" t="s">
        <v>907</v>
      </c>
      <c r="D98" s="1260">
        <v>2021</v>
      </c>
      <c r="E98" s="650" t="s">
        <v>1166</v>
      </c>
      <c r="F98" s="897">
        <v>0.2</v>
      </c>
      <c r="G98" s="898">
        <v>880.51</v>
      </c>
      <c r="H98" s="703">
        <f t="shared" si="2"/>
        <v>5.1836559726915563E-5</v>
      </c>
      <c r="I98" s="704">
        <f t="shared" si="3"/>
        <v>1.0367311945383113E-5</v>
      </c>
    </row>
    <row r="99" spans="2:9">
      <c r="B99" s="598" t="s">
        <v>2595</v>
      </c>
      <c r="C99" s="650" t="s">
        <v>907</v>
      </c>
      <c r="D99" s="1260">
        <v>2021</v>
      </c>
      <c r="E99" s="650" t="s">
        <v>1167</v>
      </c>
      <c r="F99" s="897">
        <v>0.2</v>
      </c>
      <c r="G99" s="898">
        <v>1248.52</v>
      </c>
      <c r="H99" s="703">
        <f t="shared" si="2"/>
        <v>7.3501699640263733E-5</v>
      </c>
      <c r="I99" s="704">
        <f t="shared" si="3"/>
        <v>1.4700339928052747E-5</v>
      </c>
    </row>
    <row r="100" spans="2:9">
      <c r="B100" s="598" t="s">
        <v>2595</v>
      </c>
      <c r="C100" s="650" t="s">
        <v>907</v>
      </c>
      <c r="D100" s="1260">
        <v>2018</v>
      </c>
      <c r="E100" s="650" t="s">
        <v>1168</v>
      </c>
      <c r="F100" s="897">
        <v>0.2</v>
      </c>
      <c r="G100" s="898">
        <v>3276.01</v>
      </c>
      <c r="H100" s="703">
        <f t="shared" si="2"/>
        <v>1.9286219126525838E-4</v>
      </c>
      <c r="I100" s="704">
        <f t="shared" si="3"/>
        <v>3.8572438253051677E-5</v>
      </c>
    </row>
    <row r="101" spans="2:9">
      <c r="B101" s="598" t="s">
        <v>2595</v>
      </c>
      <c r="C101" s="650" t="s">
        <v>2590</v>
      </c>
      <c r="D101" s="1260">
        <v>2007</v>
      </c>
      <c r="E101" s="650" t="s">
        <v>1169</v>
      </c>
      <c r="F101" s="897"/>
      <c r="G101" s="898">
        <v>9500</v>
      </c>
      <c r="H101" s="703">
        <f t="shared" si="2"/>
        <v>5.5927509898320046E-4</v>
      </c>
      <c r="I101" s="704">
        <f t="shared" si="3"/>
        <v>0</v>
      </c>
    </row>
    <row r="102" spans="2:9">
      <c r="B102" s="598" t="s">
        <v>2595</v>
      </c>
      <c r="C102" s="650" t="s">
        <v>2590</v>
      </c>
      <c r="D102" s="1260">
        <v>2007</v>
      </c>
      <c r="E102" s="650" t="s">
        <v>1169</v>
      </c>
      <c r="F102" s="897"/>
      <c r="G102" s="898">
        <v>10000</v>
      </c>
      <c r="H102" s="703">
        <f t="shared" si="2"/>
        <v>5.8871063050863206E-4</v>
      </c>
      <c r="I102" s="704">
        <f t="shared" si="3"/>
        <v>0</v>
      </c>
    </row>
    <row r="103" spans="2:9">
      <c r="B103" s="598" t="s">
        <v>2595</v>
      </c>
      <c r="C103" s="650" t="s">
        <v>2590</v>
      </c>
      <c r="D103" s="1260">
        <v>2007</v>
      </c>
      <c r="E103" s="650" t="s">
        <v>1169</v>
      </c>
      <c r="F103" s="897"/>
      <c r="G103" s="898">
        <v>6000</v>
      </c>
      <c r="H103" s="703">
        <f t="shared" si="2"/>
        <v>3.5322637830517922E-4</v>
      </c>
      <c r="I103" s="704">
        <f t="shared" si="3"/>
        <v>0</v>
      </c>
    </row>
    <row r="104" spans="2:9">
      <c r="B104" s="598" t="s">
        <v>2595</v>
      </c>
      <c r="C104" s="650" t="s">
        <v>2590</v>
      </c>
      <c r="D104" s="1260">
        <v>2007</v>
      </c>
      <c r="E104" s="650" t="s">
        <v>1169</v>
      </c>
      <c r="F104" s="897"/>
      <c r="G104" s="898">
        <v>2000</v>
      </c>
      <c r="H104" s="703">
        <f t="shared" si="2"/>
        <v>1.1774212610172642E-4</v>
      </c>
      <c r="I104" s="704">
        <f t="shared" si="3"/>
        <v>0</v>
      </c>
    </row>
    <row r="105" spans="2:9">
      <c r="B105" s="598" t="s">
        <v>2595</v>
      </c>
      <c r="C105" s="650" t="s">
        <v>2590</v>
      </c>
      <c r="D105" s="1260">
        <v>2011</v>
      </c>
      <c r="E105" s="650" t="s">
        <v>1170</v>
      </c>
      <c r="F105" s="897"/>
      <c r="G105" s="898">
        <v>1020</v>
      </c>
      <c r="H105" s="703">
        <f t="shared" si="2"/>
        <v>6.0048484311880468E-5</v>
      </c>
      <c r="I105" s="704">
        <f t="shared" si="3"/>
        <v>0</v>
      </c>
    </row>
    <row r="106" spans="2:9">
      <c r="B106" s="598" t="s">
        <v>2595</v>
      </c>
      <c r="C106" s="650" t="s">
        <v>2590</v>
      </c>
      <c r="D106" s="1260">
        <v>2014</v>
      </c>
      <c r="E106" s="650" t="s">
        <v>1171</v>
      </c>
      <c r="F106" s="897"/>
      <c r="G106" s="898">
        <v>3120</v>
      </c>
      <c r="H106" s="703">
        <f t="shared" si="2"/>
        <v>1.8367771671869319E-4</v>
      </c>
      <c r="I106" s="704">
        <f t="shared" si="3"/>
        <v>0</v>
      </c>
    </row>
    <row r="107" spans="2:9">
      <c r="B107" s="598" t="s">
        <v>2595</v>
      </c>
      <c r="C107" s="650" t="s">
        <v>2590</v>
      </c>
      <c r="D107" s="1260">
        <v>2014</v>
      </c>
      <c r="E107" s="650"/>
      <c r="F107" s="897"/>
      <c r="G107" s="898">
        <v>3120</v>
      </c>
      <c r="H107" s="703">
        <f t="shared" si="2"/>
        <v>1.8367771671869319E-4</v>
      </c>
      <c r="I107" s="704">
        <f t="shared" si="3"/>
        <v>0</v>
      </c>
    </row>
    <row r="108" spans="2:9">
      <c r="B108" s="598" t="s">
        <v>2595</v>
      </c>
      <c r="C108" s="650" t="s">
        <v>2590</v>
      </c>
      <c r="D108" s="1260">
        <v>2014</v>
      </c>
      <c r="E108" s="650" t="s">
        <v>1172</v>
      </c>
      <c r="F108" s="897"/>
      <c r="G108" s="898">
        <v>12000</v>
      </c>
      <c r="H108" s="703">
        <f t="shared" si="2"/>
        <v>7.0645275661035845E-4</v>
      </c>
      <c r="I108" s="704">
        <f t="shared" si="3"/>
        <v>0</v>
      </c>
    </row>
    <row r="109" spans="2:9">
      <c r="B109" s="598" t="s">
        <v>2595</v>
      </c>
      <c r="C109" s="650" t="s">
        <v>2590</v>
      </c>
      <c r="D109" s="1260">
        <v>2014</v>
      </c>
      <c r="E109" s="650"/>
      <c r="F109" s="897"/>
      <c r="G109" s="898">
        <v>9000</v>
      </c>
      <c r="H109" s="703">
        <f t="shared" si="2"/>
        <v>5.2983956745776886E-4</v>
      </c>
      <c r="I109" s="704">
        <f t="shared" si="3"/>
        <v>0</v>
      </c>
    </row>
    <row r="110" spans="2:9">
      <c r="B110" s="598" t="s">
        <v>2595</v>
      </c>
      <c r="C110" s="650" t="s">
        <v>2590</v>
      </c>
      <c r="D110" s="1260">
        <v>2014</v>
      </c>
      <c r="E110" s="650"/>
      <c r="F110" s="897"/>
      <c r="G110" s="898">
        <v>1639.35</v>
      </c>
      <c r="H110" s="703">
        <f t="shared" si="2"/>
        <v>9.6510277212432597E-5</v>
      </c>
      <c r="I110" s="704">
        <f t="shared" si="3"/>
        <v>0</v>
      </c>
    </row>
    <row r="111" spans="2:9">
      <c r="B111" s="598" t="s">
        <v>2595</v>
      </c>
      <c r="C111" s="650" t="s">
        <v>2590</v>
      </c>
      <c r="D111" s="1260">
        <v>2015</v>
      </c>
      <c r="E111" s="650" t="s">
        <v>1173</v>
      </c>
      <c r="F111" s="897"/>
      <c r="G111" s="898">
        <v>10000</v>
      </c>
      <c r="H111" s="703">
        <f t="shared" si="2"/>
        <v>5.8871063050863206E-4</v>
      </c>
      <c r="I111" s="704">
        <f t="shared" si="3"/>
        <v>0</v>
      </c>
    </row>
    <row r="112" spans="2:9">
      <c r="B112" s="598" t="s">
        <v>2595</v>
      </c>
      <c r="C112" s="650" t="s">
        <v>2590</v>
      </c>
      <c r="D112" s="1260">
        <v>2015</v>
      </c>
      <c r="E112" s="650"/>
      <c r="F112" s="897"/>
      <c r="G112" s="898">
        <v>10800</v>
      </c>
      <c r="H112" s="703">
        <f t="shared" si="2"/>
        <v>6.3580748094932264E-4</v>
      </c>
      <c r="I112" s="704">
        <f t="shared" si="3"/>
        <v>0</v>
      </c>
    </row>
    <row r="113" spans="2:9">
      <c r="B113" s="598" t="s">
        <v>2595</v>
      </c>
      <c r="C113" s="650" t="s">
        <v>2590</v>
      </c>
      <c r="D113" s="1260">
        <v>2015</v>
      </c>
      <c r="E113" s="650" t="s">
        <v>1174</v>
      </c>
      <c r="F113" s="897"/>
      <c r="G113" s="898">
        <v>2000</v>
      </c>
      <c r="H113" s="703">
        <f t="shared" si="2"/>
        <v>1.1774212610172642E-4</v>
      </c>
      <c r="I113" s="704">
        <f t="shared" si="3"/>
        <v>0</v>
      </c>
    </row>
    <row r="114" spans="2:9">
      <c r="B114" s="598" t="s">
        <v>2595</v>
      </c>
      <c r="C114" s="650" t="s">
        <v>2591</v>
      </c>
      <c r="D114" s="1260">
        <v>2013</v>
      </c>
      <c r="E114" s="650" t="s">
        <v>1175</v>
      </c>
      <c r="F114" s="897"/>
      <c r="G114" s="898">
        <v>2770.78</v>
      </c>
      <c r="H114" s="703">
        <f t="shared" si="2"/>
        <v>1.6311876408007077E-4</v>
      </c>
      <c r="I114" s="704">
        <f t="shared" si="3"/>
        <v>0</v>
      </c>
    </row>
    <row r="115" spans="2:9">
      <c r="B115" s="598" t="s">
        <v>2595</v>
      </c>
      <c r="C115" s="650" t="s">
        <v>2591</v>
      </c>
      <c r="D115" s="1260">
        <v>2013</v>
      </c>
      <c r="E115" s="650"/>
      <c r="F115" s="897"/>
      <c r="G115" s="898">
        <v>17065.07</v>
      </c>
      <c r="H115" s="703">
        <f t="shared" si="2"/>
        <v>1.0046388119373942E-3</v>
      </c>
      <c r="I115" s="704">
        <f t="shared" si="3"/>
        <v>0</v>
      </c>
    </row>
    <row r="116" spans="2:9">
      <c r="B116" s="598" t="s">
        <v>2595</v>
      </c>
      <c r="C116" s="650" t="s">
        <v>2591</v>
      </c>
      <c r="D116" s="1260">
        <v>2015</v>
      </c>
      <c r="E116" s="650" t="s">
        <v>1176</v>
      </c>
      <c r="F116" s="897"/>
      <c r="G116" s="898">
        <v>33000</v>
      </c>
      <c r="H116" s="703">
        <f t="shared" si="2"/>
        <v>1.9427450806784859E-3</v>
      </c>
      <c r="I116" s="704">
        <f t="shared" si="3"/>
        <v>0</v>
      </c>
    </row>
    <row r="117" spans="2:9">
      <c r="B117" s="598" t="s">
        <v>2595</v>
      </c>
      <c r="C117" s="650" t="s">
        <v>2591</v>
      </c>
      <c r="D117" s="1260">
        <v>2016</v>
      </c>
      <c r="E117" s="650"/>
      <c r="F117" s="897"/>
      <c r="G117" s="898">
        <v>33421.300000000003</v>
      </c>
      <c r="H117" s="703">
        <f t="shared" si="2"/>
        <v>1.9675474595418148E-3</v>
      </c>
      <c r="I117" s="704">
        <f t="shared" si="3"/>
        <v>0</v>
      </c>
    </row>
    <row r="118" spans="2:9">
      <c r="B118" s="598" t="s">
        <v>2595</v>
      </c>
      <c r="C118" s="650" t="s">
        <v>2591</v>
      </c>
      <c r="D118" s="1260">
        <v>2016</v>
      </c>
      <c r="E118" s="650"/>
      <c r="F118" s="897"/>
      <c r="G118" s="898">
        <v>19497.099999999999</v>
      </c>
      <c r="H118" s="703">
        <f t="shared" si="2"/>
        <v>1.1478150034089848E-3</v>
      </c>
      <c r="I118" s="704">
        <f t="shared" si="3"/>
        <v>0</v>
      </c>
    </row>
    <row r="119" spans="2:9">
      <c r="B119" s="598" t="s">
        <v>2595</v>
      </c>
      <c r="C119" s="650" t="s">
        <v>2591</v>
      </c>
      <c r="D119" s="1260">
        <v>2016</v>
      </c>
      <c r="E119" s="650"/>
      <c r="F119" s="897"/>
      <c r="G119" s="898">
        <v>32190.02</v>
      </c>
      <c r="H119" s="703">
        <f t="shared" si="2"/>
        <v>1.8950606970285476E-3</v>
      </c>
      <c r="I119" s="704">
        <f t="shared" si="3"/>
        <v>0</v>
      </c>
    </row>
    <row r="120" spans="2:9">
      <c r="B120" s="598" t="s">
        <v>2595</v>
      </c>
      <c r="C120" s="650" t="s">
        <v>2591</v>
      </c>
      <c r="D120" s="1260">
        <v>2016</v>
      </c>
      <c r="E120" s="650"/>
      <c r="F120" s="897"/>
      <c r="G120" s="898">
        <v>46910.47</v>
      </c>
      <c r="H120" s="703">
        <f t="shared" si="2"/>
        <v>2.7616692371156271E-3</v>
      </c>
      <c r="I120" s="704">
        <f t="shared" si="3"/>
        <v>0</v>
      </c>
    </row>
    <row r="121" spans="2:9">
      <c r="B121" s="598" t="s">
        <v>2595</v>
      </c>
      <c r="C121" s="650" t="s">
        <v>2591</v>
      </c>
      <c r="D121" s="1260">
        <v>2016</v>
      </c>
      <c r="E121" s="650"/>
      <c r="F121" s="897"/>
      <c r="G121" s="898">
        <v>82652.52</v>
      </c>
      <c r="H121" s="703">
        <f t="shared" si="2"/>
        <v>4.8658417162327321E-3</v>
      </c>
      <c r="I121" s="704">
        <f t="shared" si="3"/>
        <v>0</v>
      </c>
    </row>
    <row r="122" spans="2:9">
      <c r="B122" s="598" t="s">
        <v>2595</v>
      </c>
      <c r="C122" s="650" t="s">
        <v>2591</v>
      </c>
      <c r="D122" s="1260">
        <v>2016</v>
      </c>
      <c r="E122" s="650"/>
      <c r="F122" s="897"/>
      <c r="G122" s="898">
        <v>53690.63</v>
      </c>
      <c r="H122" s="703">
        <f t="shared" si="2"/>
        <v>3.1608244639705673E-3</v>
      </c>
      <c r="I122" s="704">
        <f t="shared" si="3"/>
        <v>0</v>
      </c>
    </row>
    <row r="123" spans="2:9">
      <c r="B123" s="598" t="s">
        <v>2595</v>
      </c>
      <c r="C123" s="604" t="s">
        <v>2591</v>
      </c>
      <c r="D123" s="745">
        <v>2018</v>
      </c>
      <c r="E123" s="650"/>
      <c r="F123" s="897"/>
      <c r="G123" s="898">
        <v>6637.97</v>
      </c>
      <c r="H123" s="703">
        <f t="shared" si="2"/>
        <v>3.9078435039973844E-4</v>
      </c>
      <c r="I123" s="704">
        <f t="shared" si="3"/>
        <v>0</v>
      </c>
    </row>
    <row r="124" spans="2:9">
      <c r="B124" s="598" t="s">
        <v>2595</v>
      </c>
      <c r="C124" s="604" t="s">
        <v>2591</v>
      </c>
      <c r="D124" s="745">
        <v>2021</v>
      </c>
      <c r="E124" s="650"/>
      <c r="F124" s="897"/>
      <c r="G124" s="898">
        <v>118000.01</v>
      </c>
      <c r="H124" s="703">
        <f t="shared" si="2"/>
        <v>6.9467860287124889E-3</v>
      </c>
      <c r="I124" s="704">
        <f t="shared" si="3"/>
        <v>0</v>
      </c>
    </row>
    <row r="125" spans="2:9">
      <c r="B125" s="598" t="s">
        <v>2595</v>
      </c>
      <c r="C125" s="604" t="s">
        <v>1110</v>
      </c>
      <c r="D125" s="745">
        <v>2013</v>
      </c>
      <c r="E125" s="650" t="s">
        <v>1223</v>
      </c>
      <c r="F125" s="897"/>
      <c r="G125" s="898">
        <v>1041.32</v>
      </c>
      <c r="H125" s="703">
        <f t="shared" si="2"/>
        <v>6.1303615376124873E-5</v>
      </c>
      <c r="I125" s="704">
        <f t="shared" si="3"/>
        <v>0</v>
      </c>
    </row>
    <row r="126" spans="2:9">
      <c r="B126" s="598" t="s">
        <v>2595</v>
      </c>
      <c r="C126" s="604" t="s">
        <v>1110</v>
      </c>
      <c r="D126" s="745">
        <v>2013</v>
      </c>
      <c r="E126" s="650"/>
      <c r="F126" s="897"/>
      <c r="G126" s="898">
        <v>2246</v>
      </c>
      <c r="H126" s="703">
        <f t="shared" si="2"/>
        <v>1.3222440761223876E-4</v>
      </c>
      <c r="I126" s="704">
        <f t="shared" si="3"/>
        <v>0</v>
      </c>
    </row>
    <row r="127" spans="2:9">
      <c r="B127" s="598" t="s">
        <v>2595</v>
      </c>
      <c r="C127" s="604" t="s">
        <v>1105</v>
      </c>
      <c r="D127" s="745">
        <v>2010</v>
      </c>
      <c r="E127" s="650" t="s">
        <v>1244</v>
      </c>
      <c r="F127" s="897">
        <v>0.1</v>
      </c>
      <c r="G127" s="898">
        <v>8000</v>
      </c>
      <c r="H127" s="703">
        <f t="shared" si="2"/>
        <v>4.7096850440690567E-4</v>
      </c>
      <c r="I127" s="704">
        <f t="shared" si="3"/>
        <v>4.7096850440690571E-5</v>
      </c>
    </row>
    <row r="128" spans="2:9">
      <c r="B128" s="598" t="s">
        <v>2595</v>
      </c>
      <c r="C128" s="604" t="s">
        <v>1105</v>
      </c>
      <c r="D128" s="745">
        <v>2011</v>
      </c>
      <c r="E128" s="650" t="s">
        <v>1245</v>
      </c>
      <c r="F128" s="897">
        <v>0.1</v>
      </c>
      <c r="G128" s="898">
        <v>15000</v>
      </c>
      <c r="H128" s="703">
        <f t="shared" si="2"/>
        <v>8.8306594576294814E-4</v>
      </c>
      <c r="I128" s="704">
        <f t="shared" si="3"/>
        <v>8.830659457629482E-5</v>
      </c>
    </row>
    <row r="129" spans="2:9">
      <c r="B129" s="598" t="s">
        <v>2595</v>
      </c>
      <c r="C129" s="604" t="s">
        <v>1105</v>
      </c>
      <c r="D129" s="745">
        <v>2011</v>
      </c>
      <c r="E129" s="650" t="s">
        <v>1246</v>
      </c>
      <c r="F129" s="897">
        <v>0.1</v>
      </c>
      <c r="G129" s="898">
        <v>1900</v>
      </c>
      <c r="H129" s="703">
        <f t="shared" si="2"/>
        <v>1.118550197966401E-4</v>
      </c>
      <c r="I129" s="704">
        <f t="shared" si="3"/>
        <v>1.118550197966401E-5</v>
      </c>
    </row>
    <row r="130" spans="2:9">
      <c r="B130" s="598" t="s">
        <v>2595</v>
      </c>
      <c r="C130" s="604" t="s">
        <v>1105</v>
      </c>
      <c r="D130" s="745">
        <v>2011</v>
      </c>
      <c r="E130" s="650" t="s">
        <v>1247</v>
      </c>
      <c r="F130" s="897">
        <v>0.1</v>
      </c>
      <c r="G130" s="898">
        <v>1850</v>
      </c>
      <c r="H130" s="703">
        <f t="shared" si="2"/>
        <v>1.0891146664409693E-4</v>
      </c>
      <c r="I130" s="704">
        <f t="shared" si="3"/>
        <v>1.0891146664409693E-5</v>
      </c>
    </row>
    <row r="131" spans="2:9">
      <c r="B131" s="598" t="s">
        <v>2595</v>
      </c>
      <c r="C131" s="604" t="s">
        <v>1105</v>
      </c>
      <c r="D131" s="745">
        <v>2012</v>
      </c>
      <c r="E131" s="650" t="s">
        <v>1248</v>
      </c>
      <c r="F131" s="897">
        <v>0.1</v>
      </c>
      <c r="G131" s="898">
        <v>3400</v>
      </c>
      <c r="H131" s="703">
        <f t="shared" si="2"/>
        <v>2.001616143729349E-4</v>
      </c>
      <c r="I131" s="704">
        <f t="shared" si="3"/>
        <v>2.0016161437293491E-5</v>
      </c>
    </row>
    <row r="132" spans="2:9">
      <c r="B132" s="598" t="s">
        <v>2595</v>
      </c>
      <c r="C132" s="604" t="s">
        <v>1105</v>
      </c>
      <c r="D132" s="745">
        <v>2012</v>
      </c>
      <c r="E132" s="650" t="s">
        <v>1249</v>
      </c>
      <c r="F132" s="897">
        <v>0.1</v>
      </c>
      <c r="G132" s="898">
        <v>3000</v>
      </c>
      <c r="H132" s="703">
        <f t="shared" si="2"/>
        <v>1.7661318915258961E-4</v>
      </c>
      <c r="I132" s="704">
        <f t="shared" si="3"/>
        <v>1.7661318915258963E-5</v>
      </c>
    </row>
    <row r="133" spans="2:9">
      <c r="B133" s="598" t="s">
        <v>2595</v>
      </c>
      <c r="C133" s="604" t="s">
        <v>1105</v>
      </c>
      <c r="D133" s="745">
        <v>2012</v>
      </c>
      <c r="E133" s="650" t="s">
        <v>1250</v>
      </c>
      <c r="F133" s="897">
        <v>0.1</v>
      </c>
      <c r="G133" s="898">
        <v>1500</v>
      </c>
      <c r="H133" s="703">
        <f t="shared" ref="H133:H196" si="4">+G133/$G$1080</f>
        <v>8.8306594576294806E-5</v>
      </c>
      <c r="I133" s="704">
        <f t="shared" ref="I133:I196" si="5">+H133*F133</f>
        <v>8.8306594576294816E-6</v>
      </c>
    </row>
    <row r="134" spans="2:9">
      <c r="B134" s="598" t="s">
        <v>2595</v>
      </c>
      <c r="C134" s="604" t="s">
        <v>1105</v>
      </c>
      <c r="D134" s="745">
        <v>2012</v>
      </c>
      <c r="E134" s="650" t="s">
        <v>1251</v>
      </c>
      <c r="F134" s="897">
        <v>0.1</v>
      </c>
      <c r="G134" s="898">
        <v>1500</v>
      </c>
      <c r="H134" s="703">
        <f t="shared" si="4"/>
        <v>8.8306594576294806E-5</v>
      </c>
      <c r="I134" s="704">
        <f t="shared" si="5"/>
        <v>8.8306594576294816E-6</v>
      </c>
    </row>
    <row r="135" spans="2:9">
      <c r="B135" s="598" t="s">
        <v>2595</v>
      </c>
      <c r="C135" s="604" t="s">
        <v>1105</v>
      </c>
      <c r="D135" s="745">
        <v>2012</v>
      </c>
      <c r="E135" s="650" t="s">
        <v>1252</v>
      </c>
      <c r="F135" s="897">
        <v>0.1</v>
      </c>
      <c r="G135" s="898">
        <v>1500</v>
      </c>
      <c r="H135" s="703">
        <f t="shared" si="4"/>
        <v>8.8306594576294806E-5</v>
      </c>
      <c r="I135" s="704">
        <f t="shared" si="5"/>
        <v>8.8306594576294816E-6</v>
      </c>
    </row>
    <row r="136" spans="2:9">
      <c r="B136" s="598" t="s">
        <v>2595</v>
      </c>
      <c r="C136" s="604" t="s">
        <v>1105</v>
      </c>
      <c r="D136" s="745">
        <v>2012</v>
      </c>
      <c r="E136" s="650" t="s">
        <v>1253</v>
      </c>
      <c r="F136" s="897">
        <v>0.1</v>
      </c>
      <c r="G136" s="898">
        <v>5356.72</v>
      </c>
      <c r="H136" s="703">
        <f t="shared" si="4"/>
        <v>3.1535580086581997E-4</v>
      </c>
      <c r="I136" s="704">
        <f t="shared" si="5"/>
        <v>3.1535580086581996E-5</v>
      </c>
    </row>
    <row r="137" spans="2:9">
      <c r="B137" s="598" t="s">
        <v>2595</v>
      </c>
      <c r="C137" s="604" t="s">
        <v>1105</v>
      </c>
      <c r="D137" s="745">
        <v>2012</v>
      </c>
      <c r="E137" s="650" t="s">
        <v>1254</v>
      </c>
      <c r="F137" s="897">
        <v>0.1</v>
      </c>
      <c r="G137" s="898">
        <v>2500</v>
      </c>
      <c r="H137" s="703">
        <f t="shared" si="4"/>
        <v>1.4717765762715801E-4</v>
      </c>
      <c r="I137" s="704">
        <f t="shared" si="5"/>
        <v>1.4717765762715802E-5</v>
      </c>
    </row>
    <row r="138" spans="2:9">
      <c r="B138" s="598" t="s">
        <v>2595</v>
      </c>
      <c r="C138" s="604" t="s">
        <v>1105</v>
      </c>
      <c r="D138" s="745">
        <v>2012</v>
      </c>
      <c r="E138" s="650" t="s">
        <v>1255</v>
      </c>
      <c r="F138" s="897">
        <v>0.1</v>
      </c>
      <c r="G138" s="898">
        <v>1800</v>
      </c>
      <c r="H138" s="703">
        <f t="shared" si="4"/>
        <v>1.0596791349155377E-4</v>
      </c>
      <c r="I138" s="704">
        <f t="shared" si="5"/>
        <v>1.0596791349155379E-5</v>
      </c>
    </row>
    <row r="139" spans="2:9">
      <c r="B139" s="598" t="s">
        <v>2595</v>
      </c>
      <c r="C139" s="604" t="s">
        <v>1105</v>
      </c>
      <c r="D139" s="745">
        <v>2012</v>
      </c>
      <c r="E139" s="650" t="s">
        <v>1256</v>
      </c>
      <c r="F139" s="897">
        <v>0.1</v>
      </c>
      <c r="G139" s="898">
        <v>8002.58</v>
      </c>
      <c r="H139" s="703">
        <f t="shared" si="4"/>
        <v>4.7112039174957684E-4</v>
      </c>
      <c r="I139" s="704">
        <f t="shared" si="5"/>
        <v>4.711203917495769E-5</v>
      </c>
    </row>
    <row r="140" spans="2:9">
      <c r="B140" s="598" t="s">
        <v>2595</v>
      </c>
      <c r="C140" s="604" t="s">
        <v>1105</v>
      </c>
      <c r="D140" s="745">
        <v>2012</v>
      </c>
      <c r="E140" s="650" t="s">
        <v>1257</v>
      </c>
      <c r="F140" s="897">
        <v>0.1</v>
      </c>
      <c r="G140" s="898">
        <v>2778</v>
      </c>
      <c r="H140" s="703">
        <f t="shared" si="4"/>
        <v>1.63543813155298E-4</v>
      </c>
      <c r="I140" s="704">
        <f t="shared" si="5"/>
        <v>1.63543813155298E-5</v>
      </c>
    </row>
    <row r="141" spans="2:9">
      <c r="B141" s="598" t="s">
        <v>2595</v>
      </c>
      <c r="C141" s="604" t="s">
        <v>1105</v>
      </c>
      <c r="D141" s="745">
        <v>2012</v>
      </c>
      <c r="E141" s="650"/>
      <c r="F141" s="897">
        <v>0.1</v>
      </c>
      <c r="G141" s="898">
        <v>1800</v>
      </c>
      <c r="H141" s="703">
        <f t="shared" si="4"/>
        <v>1.0596791349155377E-4</v>
      </c>
      <c r="I141" s="704">
        <f t="shared" si="5"/>
        <v>1.0596791349155379E-5</v>
      </c>
    </row>
    <row r="142" spans="2:9">
      <c r="B142" s="598" t="s">
        <v>2595</v>
      </c>
      <c r="C142" s="604" t="s">
        <v>1105</v>
      </c>
      <c r="D142" s="745">
        <v>2012</v>
      </c>
      <c r="E142" s="650"/>
      <c r="F142" s="897">
        <v>0.1</v>
      </c>
      <c r="G142" s="898">
        <v>1010</v>
      </c>
      <c r="H142" s="703">
        <f t="shared" si="4"/>
        <v>5.9459773681371838E-5</v>
      </c>
      <c r="I142" s="704">
        <f t="shared" si="5"/>
        <v>5.9459773681371842E-6</v>
      </c>
    </row>
    <row r="143" spans="2:9">
      <c r="B143" s="598" t="s">
        <v>2595</v>
      </c>
      <c r="C143" s="604" t="s">
        <v>1105</v>
      </c>
      <c r="D143" s="745">
        <v>2012</v>
      </c>
      <c r="E143" s="650"/>
      <c r="F143" s="897">
        <v>0.1</v>
      </c>
      <c r="G143" s="898">
        <v>650</v>
      </c>
      <c r="H143" s="703">
        <f t="shared" si="4"/>
        <v>3.8266190983061081E-5</v>
      </c>
      <c r="I143" s="704">
        <f t="shared" si="5"/>
        <v>3.8266190983061079E-6</v>
      </c>
    </row>
    <row r="144" spans="2:9">
      <c r="B144" s="598" t="s">
        <v>2595</v>
      </c>
      <c r="C144" s="604" t="s">
        <v>1105</v>
      </c>
      <c r="D144" s="745">
        <v>2012</v>
      </c>
      <c r="E144" s="650"/>
      <c r="F144" s="897">
        <v>0.1</v>
      </c>
      <c r="G144" s="898">
        <v>140</v>
      </c>
      <c r="H144" s="703">
        <f t="shared" si="4"/>
        <v>8.2419488271208487E-6</v>
      </c>
      <c r="I144" s="704">
        <f t="shared" si="5"/>
        <v>8.2419488271208487E-7</v>
      </c>
    </row>
    <row r="145" spans="2:9">
      <c r="B145" s="598" t="s">
        <v>2595</v>
      </c>
      <c r="C145" s="604" t="s">
        <v>1105</v>
      </c>
      <c r="D145" s="745">
        <v>2013</v>
      </c>
      <c r="E145" s="650" t="s">
        <v>1258</v>
      </c>
      <c r="F145" s="897">
        <v>0.1</v>
      </c>
      <c r="G145" s="898">
        <v>6700</v>
      </c>
      <c r="H145" s="703">
        <f t="shared" si="4"/>
        <v>3.9443612244078349E-4</v>
      </c>
      <c r="I145" s="704">
        <f t="shared" si="5"/>
        <v>3.9443612244078353E-5</v>
      </c>
    </row>
    <row r="146" spans="2:9">
      <c r="B146" s="598" t="s">
        <v>2595</v>
      </c>
      <c r="C146" s="604" t="s">
        <v>1105</v>
      </c>
      <c r="D146" s="745">
        <v>2013</v>
      </c>
      <c r="E146" s="650" t="s">
        <v>1259</v>
      </c>
      <c r="F146" s="897">
        <v>0.1</v>
      </c>
      <c r="G146" s="898">
        <v>6700</v>
      </c>
      <c r="H146" s="703">
        <f t="shared" si="4"/>
        <v>3.9443612244078349E-4</v>
      </c>
      <c r="I146" s="704">
        <f t="shared" si="5"/>
        <v>3.9443612244078353E-5</v>
      </c>
    </row>
    <row r="147" spans="2:9">
      <c r="B147" s="598" t="s">
        <v>2595</v>
      </c>
      <c r="C147" s="604" t="s">
        <v>1105</v>
      </c>
      <c r="D147" s="745">
        <v>2013</v>
      </c>
      <c r="E147" s="650" t="s">
        <v>1260</v>
      </c>
      <c r="F147" s="897">
        <v>0.1</v>
      </c>
      <c r="G147" s="898">
        <v>2200</v>
      </c>
      <c r="H147" s="703">
        <f t="shared" si="4"/>
        <v>1.2951633871189906E-4</v>
      </c>
      <c r="I147" s="704">
        <f t="shared" si="5"/>
        <v>1.2951633871189907E-5</v>
      </c>
    </row>
    <row r="148" spans="2:9">
      <c r="B148" s="598" t="s">
        <v>2595</v>
      </c>
      <c r="C148" s="604" t="s">
        <v>1105</v>
      </c>
      <c r="D148" s="745">
        <v>2013</v>
      </c>
      <c r="E148" s="650" t="s">
        <v>1261</v>
      </c>
      <c r="F148" s="897">
        <v>0.1</v>
      </c>
      <c r="G148" s="898">
        <v>1100</v>
      </c>
      <c r="H148" s="703">
        <f t="shared" si="4"/>
        <v>6.4758169355949531E-5</v>
      </c>
      <c r="I148" s="704">
        <f t="shared" si="5"/>
        <v>6.4758169355949534E-6</v>
      </c>
    </row>
    <row r="149" spans="2:9">
      <c r="B149" s="598" t="s">
        <v>2595</v>
      </c>
      <c r="C149" s="604" t="s">
        <v>1105</v>
      </c>
      <c r="D149" s="745">
        <v>2013</v>
      </c>
      <c r="E149" s="650" t="s">
        <v>1262</v>
      </c>
      <c r="F149" s="897">
        <v>0.1</v>
      </c>
      <c r="G149" s="898">
        <v>1600</v>
      </c>
      <c r="H149" s="703">
        <f t="shared" si="4"/>
        <v>9.4193700881381128E-5</v>
      </c>
      <c r="I149" s="704">
        <f t="shared" si="5"/>
        <v>9.4193700881381128E-6</v>
      </c>
    </row>
    <row r="150" spans="2:9">
      <c r="B150" s="598" t="s">
        <v>2595</v>
      </c>
      <c r="C150" s="604" t="s">
        <v>1105</v>
      </c>
      <c r="D150" s="745">
        <v>2013</v>
      </c>
      <c r="E150" s="650" t="s">
        <v>1263</v>
      </c>
      <c r="F150" s="897">
        <v>0.1</v>
      </c>
      <c r="G150" s="898">
        <v>3500</v>
      </c>
      <c r="H150" s="703">
        <f t="shared" si="4"/>
        <v>2.0604872067802121E-4</v>
      </c>
      <c r="I150" s="704">
        <f t="shared" si="5"/>
        <v>2.0604872067802121E-5</v>
      </c>
    </row>
    <row r="151" spans="2:9">
      <c r="B151" s="598" t="s">
        <v>2595</v>
      </c>
      <c r="C151" s="604" t="s">
        <v>1105</v>
      </c>
      <c r="D151" s="745">
        <v>2014</v>
      </c>
      <c r="E151" s="650" t="s">
        <v>1264</v>
      </c>
      <c r="F151" s="897">
        <v>0.1</v>
      </c>
      <c r="G151" s="898">
        <v>1000</v>
      </c>
      <c r="H151" s="703">
        <f t="shared" si="4"/>
        <v>5.8871063050863209E-5</v>
      </c>
      <c r="I151" s="704">
        <f t="shared" si="5"/>
        <v>5.8871063050863214E-6</v>
      </c>
    </row>
    <row r="152" spans="2:9">
      <c r="B152" s="598" t="s">
        <v>2595</v>
      </c>
      <c r="C152" s="604" t="s">
        <v>1105</v>
      </c>
      <c r="D152" s="745">
        <v>2014</v>
      </c>
      <c r="E152" s="650" t="s">
        <v>1265</v>
      </c>
      <c r="F152" s="897">
        <v>0.1</v>
      </c>
      <c r="G152" s="898">
        <v>8000</v>
      </c>
      <c r="H152" s="703">
        <f t="shared" si="4"/>
        <v>4.7096850440690567E-4</v>
      </c>
      <c r="I152" s="704">
        <f t="shared" si="5"/>
        <v>4.7096850440690571E-5</v>
      </c>
    </row>
    <row r="153" spans="2:9">
      <c r="B153" s="598" t="s">
        <v>2595</v>
      </c>
      <c r="C153" s="604" t="s">
        <v>1105</v>
      </c>
      <c r="D153" s="745">
        <v>2014</v>
      </c>
      <c r="E153" s="650" t="s">
        <v>1266</v>
      </c>
      <c r="F153" s="897">
        <v>0.1</v>
      </c>
      <c r="G153" s="898">
        <v>8003.1</v>
      </c>
      <c r="H153" s="703">
        <f t="shared" si="4"/>
        <v>4.7115100470236334E-4</v>
      </c>
      <c r="I153" s="704">
        <f t="shared" si="5"/>
        <v>4.7115100470236337E-5</v>
      </c>
    </row>
    <row r="154" spans="2:9">
      <c r="B154" s="598" t="s">
        <v>2595</v>
      </c>
      <c r="C154" s="604" t="s">
        <v>1105</v>
      </c>
      <c r="D154" s="745">
        <v>2014</v>
      </c>
      <c r="E154" s="650" t="s">
        <v>1267</v>
      </c>
      <c r="F154" s="897">
        <v>0.1</v>
      </c>
      <c r="G154" s="898">
        <v>17016.5</v>
      </c>
      <c r="H154" s="703">
        <f t="shared" si="4"/>
        <v>1.0017794444050138E-3</v>
      </c>
      <c r="I154" s="704">
        <f t="shared" si="5"/>
        <v>1.0017794444050139E-4</v>
      </c>
    </row>
    <row r="155" spans="2:9">
      <c r="B155" s="598" t="s">
        <v>2595</v>
      </c>
      <c r="C155" s="604" t="s">
        <v>1105</v>
      </c>
      <c r="D155" s="745">
        <v>2014</v>
      </c>
      <c r="E155" s="650" t="s">
        <v>1268</v>
      </c>
      <c r="F155" s="897">
        <v>0.1</v>
      </c>
      <c r="G155" s="898">
        <v>500</v>
      </c>
      <c r="H155" s="703">
        <f t="shared" si="4"/>
        <v>2.9435531525431604E-5</v>
      </c>
      <c r="I155" s="704">
        <f t="shared" si="5"/>
        <v>2.9435531525431607E-6</v>
      </c>
    </row>
    <row r="156" spans="2:9">
      <c r="B156" s="598" t="s">
        <v>2595</v>
      </c>
      <c r="C156" s="604" t="s">
        <v>1105</v>
      </c>
      <c r="D156" s="745">
        <v>2014</v>
      </c>
      <c r="E156" s="650" t="s">
        <v>1269</v>
      </c>
      <c r="F156" s="897">
        <v>0.1</v>
      </c>
      <c r="G156" s="898">
        <v>500</v>
      </c>
      <c r="H156" s="703">
        <f t="shared" si="4"/>
        <v>2.9435531525431604E-5</v>
      </c>
      <c r="I156" s="704">
        <f t="shared" si="5"/>
        <v>2.9435531525431607E-6</v>
      </c>
    </row>
    <row r="157" spans="2:9">
      <c r="B157" s="598" t="s">
        <v>2595</v>
      </c>
      <c r="C157" s="604" t="s">
        <v>1105</v>
      </c>
      <c r="D157" s="745">
        <v>2014</v>
      </c>
      <c r="E157" s="650" t="s">
        <v>1270</v>
      </c>
      <c r="F157" s="897">
        <v>0.1</v>
      </c>
      <c r="G157" s="898">
        <v>300</v>
      </c>
      <c r="H157" s="703">
        <f t="shared" si="4"/>
        <v>1.7661318915258963E-5</v>
      </c>
      <c r="I157" s="704">
        <f t="shared" si="5"/>
        <v>1.7661318915258964E-6</v>
      </c>
    </row>
    <row r="158" spans="2:9">
      <c r="B158" s="598" t="s">
        <v>2595</v>
      </c>
      <c r="C158" s="604" t="s">
        <v>1105</v>
      </c>
      <c r="D158" s="745">
        <v>2014</v>
      </c>
      <c r="E158" s="650" t="s">
        <v>1271</v>
      </c>
      <c r="F158" s="897">
        <v>0.1</v>
      </c>
      <c r="G158" s="898">
        <v>1440</v>
      </c>
      <c r="H158" s="703">
        <f t="shared" si="4"/>
        <v>8.4774330793243016E-5</v>
      </c>
      <c r="I158" s="704">
        <f t="shared" si="5"/>
        <v>8.4774330793243016E-6</v>
      </c>
    </row>
    <row r="159" spans="2:9">
      <c r="B159" s="598" t="s">
        <v>2595</v>
      </c>
      <c r="C159" s="604" t="s">
        <v>1105</v>
      </c>
      <c r="D159" s="745">
        <v>2014</v>
      </c>
      <c r="E159" s="650" t="s">
        <v>1272</v>
      </c>
      <c r="F159" s="897">
        <v>0.1</v>
      </c>
      <c r="G159" s="898">
        <v>674</v>
      </c>
      <c r="H159" s="703">
        <f t="shared" si="4"/>
        <v>3.9679096496281801E-5</v>
      </c>
      <c r="I159" s="704">
        <f t="shared" si="5"/>
        <v>3.9679096496281803E-6</v>
      </c>
    </row>
    <row r="160" spans="2:9">
      <c r="B160" s="598" t="s">
        <v>2595</v>
      </c>
      <c r="C160" s="604" t="s">
        <v>1105</v>
      </c>
      <c r="D160" s="745">
        <v>2014</v>
      </c>
      <c r="E160" s="650" t="s">
        <v>1273</v>
      </c>
      <c r="F160" s="897">
        <v>0.1</v>
      </c>
      <c r="G160" s="898">
        <v>14000</v>
      </c>
      <c r="H160" s="703">
        <f t="shared" si="4"/>
        <v>8.2419488271208484E-4</v>
      </c>
      <c r="I160" s="704">
        <f t="shared" si="5"/>
        <v>8.2419488271208484E-5</v>
      </c>
    </row>
    <row r="161" spans="2:9">
      <c r="B161" s="598" t="s">
        <v>2595</v>
      </c>
      <c r="C161" s="604" t="s">
        <v>1105</v>
      </c>
      <c r="D161" s="745">
        <v>2015</v>
      </c>
      <c r="E161" s="650" t="s">
        <v>1274</v>
      </c>
      <c r="F161" s="897">
        <v>0.1</v>
      </c>
      <c r="G161" s="898">
        <v>911.2</v>
      </c>
      <c r="H161" s="703">
        <f t="shared" si="4"/>
        <v>5.3643312651946556E-5</v>
      </c>
      <c r="I161" s="704">
        <f t="shared" si="5"/>
        <v>5.3643312651946556E-6</v>
      </c>
    </row>
    <row r="162" spans="2:9">
      <c r="B162" s="598" t="s">
        <v>2595</v>
      </c>
      <c r="C162" s="604" t="s">
        <v>1105</v>
      </c>
      <c r="D162" s="745">
        <v>2015</v>
      </c>
      <c r="E162" s="650" t="s">
        <v>1275</v>
      </c>
      <c r="F162" s="897">
        <v>0.1</v>
      </c>
      <c r="G162" s="898">
        <v>525</v>
      </c>
      <c r="H162" s="703">
        <f t="shared" si="4"/>
        <v>3.0907308101703182E-5</v>
      </c>
      <c r="I162" s="704">
        <f t="shared" si="5"/>
        <v>3.0907308101703185E-6</v>
      </c>
    </row>
    <row r="163" spans="2:9">
      <c r="B163" s="598" t="s">
        <v>2595</v>
      </c>
      <c r="C163" s="604" t="s">
        <v>1105</v>
      </c>
      <c r="D163" s="745">
        <v>2015</v>
      </c>
      <c r="E163" s="650" t="s">
        <v>1276</v>
      </c>
      <c r="F163" s="897">
        <v>0.1</v>
      </c>
      <c r="G163" s="898">
        <v>6000</v>
      </c>
      <c r="H163" s="703">
        <f t="shared" si="4"/>
        <v>3.5322637830517922E-4</v>
      </c>
      <c r="I163" s="704">
        <f t="shared" si="5"/>
        <v>3.5322637830517927E-5</v>
      </c>
    </row>
    <row r="164" spans="2:9">
      <c r="B164" s="598" t="s">
        <v>2595</v>
      </c>
      <c r="C164" s="604" t="s">
        <v>1105</v>
      </c>
      <c r="D164" s="745">
        <v>2015</v>
      </c>
      <c r="E164" s="650" t="s">
        <v>1277</v>
      </c>
      <c r="F164" s="897">
        <v>0.1</v>
      </c>
      <c r="G164" s="898">
        <v>1789.75</v>
      </c>
      <c r="H164" s="703">
        <f t="shared" si="4"/>
        <v>1.0536448509528243E-4</v>
      </c>
      <c r="I164" s="704">
        <f t="shared" si="5"/>
        <v>1.0536448509528244E-5</v>
      </c>
    </row>
    <row r="165" spans="2:9">
      <c r="B165" s="598" t="s">
        <v>2595</v>
      </c>
      <c r="C165" s="604" t="s">
        <v>1105</v>
      </c>
      <c r="D165" s="745">
        <v>2015</v>
      </c>
      <c r="E165" s="650" t="s">
        <v>1278</v>
      </c>
      <c r="F165" s="897">
        <v>0.1</v>
      </c>
      <c r="G165" s="898">
        <v>16500</v>
      </c>
      <c r="H165" s="703">
        <f t="shared" si="4"/>
        <v>9.7137254033924294E-4</v>
      </c>
      <c r="I165" s="704">
        <f t="shared" si="5"/>
        <v>9.7137254033924296E-5</v>
      </c>
    </row>
    <row r="166" spans="2:9">
      <c r="B166" s="598" t="s">
        <v>2595</v>
      </c>
      <c r="C166" s="604" t="s">
        <v>1105</v>
      </c>
      <c r="D166" s="745">
        <v>2017</v>
      </c>
      <c r="E166" s="650" t="s">
        <v>1279</v>
      </c>
      <c r="F166" s="897">
        <v>0.1</v>
      </c>
      <c r="G166" s="898">
        <v>1800</v>
      </c>
      <c r="H166" s="703">
        <f t="shared" si="4"/>
        <v>1.0596791349155377E-4</v>
      </c>
      <c r="I166" s="704">
        <f t="shared" si="5"/>
        <v>1.0596791349155379E-5</v>
      </c>
    </row>
    <row r="167" spans="2:9">
      <c r="B167" s="598" t="s">
        <v>2595</v>
      </c>
      <c r="C167" s="604" t="s">
        <v>1105</v>
      </c>
      <c r="D167" s="745">
        <v>2017</v>
      </c>
      <c r="E167" s="650" t="s">
        <v>1280</v>
      </c>
      <c r="F167" s="897">
        <v>0.1</v>
      </c>
      <c r="G167" s="898">
        <v>7000</v>
      </c>
      <c r="H167" s="703">
        <f t="shared" si="4"/>
        <v>4.1209744135604242E-4</v>
      </c>
      <c r="I167" s="704">
        <f t="shared" si="5"/>
        <v>4.1209744135604242E-5</v>
      </c>
    </row>
    <row r="168" spans="2:9">
      <c r="B168" s="598" t="s">
        <v>2595</v>
      </c>
      <c r="C168" s="604" t="s">
        <v>1105</v>
      </c>
      <c r="D168" s="745">
        <v>2017</v>
      </c>
      <c r="E168" s="650" t="s">
        <v>1281</v>
      </c>
      <c r="F168" s="897">
        <v>0.1</v>
      </c>
      <c r="G168" s="898">
        <v>6500</v>
      </c>
      <c r="H168" s="703">
        <f t="shared" si="4"/>
        <v>3.8266190983061082E-4</v>
      </c>
      <c r="I168" s="704">
        <f t="shared" si="5"/>
        <v>3.8266190983061088E-5</v>
      </c>
    </row>
    <row r="169" spans="2:9">
      <c r="B169" s="598" t="s">
        <v>2595</v>
      </c>
      <c r="C169" s="604" t="s">
        <v>1105</v>
      </c>
      <c r="D169" s="745">
        <v>2017</v>
      </c>
      <c r="E169" s="650" t="s">
        <v>1282</v>
      </c>
      <c r="F169" s="897">
        <v>0.1</v>
      </c>
      <c r="G169" s="898">
        <v>2529.08</v>
      </c>
      <c r="H169" s="703">
        <f t="shared" si="4"/>
        <v>1.4888962814067712E-4</v>
      </c>
      <c r="I169" s="704">
        <f t="shared" si="5"/>
        <v>1.4888962814067713E-5</v>
      </c>
    </row>
    <row r="170" spans="2:9">
      <c r="B170" s="598" t="s">
        <v>2595</v>
      </c>
      <c r="C170" s="604" t="s">
        <v>1105</v>
      </c>
      <c r="D170" s="745">
        <v>2017</v>
      </c>
      <c r="E170" s="650" t="s">
        <v>1282</v>
      </c>
      <c r="F170" s="897">
        <v>0.1</v>
      </c>
      <c r="G170" s="898">
        <v>2529.09</v>
      </c>
      <c r="H170" s="703">
        <f t="shared" si="4"/>
        <v>1.4889021685130763E-4</v>
      </c>
      <c r="I170" s="704">
        <f t="shared" si="5"/>
        <v>1.4889021685130763E-5</v>
      </c>
    </row>
    <row r="171" spans="2:9">
      <c r="B171" s="598" t="s">
        <v>2595</v>
      </c>
      <c r="C171" s="604" t="s">
        <v>1105</v>
      </c>
      <c r="D171" s="745">
        <v>2017</v>
      </c>
      <c r="E171" s="650" t="s">
        <v>1283</v>
      </c>
      <c r="F171" s="897">
        <v>0.1</v>
      </c>
      <c r="G171" s="898">
        <v>11261.7</v>
      </c>
      <c r="H171" s="703">
        <f t="shared" si="4"/>
        <v>6.6298825075990621E-4</v>
      </c>
      <c r="I171" s="704">
        <f t="shared" si="5"/>
        <v>6.6298825075990624E-5</v>
      </c>
    </row>
    <row r="172" spans="2:9">
      <c r="B172" s="598" t="s">
        <v>2595</v>
      </c>
      <c r="C172" s="604" t="s">
        <v>1105</v>
      </c>
      <c r="D172" s="745">
        <v>2019</v>
      </c>
      <c r="E172" s="650" t="s">
        <v>1284</v>
      </c>
      <c r="F172" s="897">
        <v>0.1</v>
      </c>
      <c r="G172" s="898">
        <v>14500</v>
      </c>
      <c r="H172" s="703">
        <f t="shared" si="4"/>
        <v>8.5363041423751644E-4</v>
      </c>
      <c r="I172" s="704">
        <f t="shared" si="5"/>
        <v>8.5363041423751652E-5</v>
      </c>
    </row>
    <row r="173" spans="2:9">
      <c r="B173" s="598" t="s">
        <v>2595</v>
      </c>
      <c r="C173" s="604" t="s">
        <v>1105</v>
      </c>
      <c r="D173" s="745">
        <v>2021</v>
      </c>
      <c r="E173" s="650" t="s">
        <v>1285</v>
      </c>
      <c r="F173" s="897">
        <v>0.1</v>
      </c>
      <c r="G173" s="898">
        <v>7000</v>
      </c>
      <c r="H173" s="703">
        <f t="shared" si="4"/>
        <v>4.1209744135604242E-4</v>
      </c>
      <c r="I173" s="704">
        <f t="shared" si="5"/>
        <v>4.1209744135604242E-5</v>
      </c>
    </row>
    <row r="174" spans="2:9">
      <c r="B174" s="598" t="s">
        <v>2595</v>
      </c>
      <c r="C174" s="604" t="s">
        <v>1105</v>
      </c>
      <c r="D174" s="745">
        <v>2021</v>
      </c>
      <c r="E174" s="650" t="s">
        <v>1286</v>
      </c>
      <c r="F174" s="897">
        <v>1</v>
      </c>
      <c r="G174" s="898">
        <v>2700</v>
      </c>
      <c r="H174" s="703">
        <f t="shared" si="4"/>
        <v>1.5895187023733066E-4</v>
      </c>
      <c r="I174" s="704">
        <f t="shared" si="5"/>
        <v>1.5895187023733066E-4</v>
      </c>
    </row>
    <row r="175" spans="2:9">
      <c r="B175" s="598" t="s">
        <v>2595</v>
      </c>
      <c r="C175" s="604" t="s">
        <v>1105</v>
      </c>
      <c r="D175" s="745">
        <v>2021</v>
      </c>
      <c r="E175" s="650" t="s">
        <v>1287</v>
      </c>
      <c r="F175" s="897">
        <v>1</v>
      </c>
      <c r="G175" s="898">
        <v>2700</v>
      </c>
      <c r="H175" s="703">
        <f t="shared" si="4"/>
        <v>1.5895187023733066E-4</v>
      </c>
      <c r="I175" s="704">
        <f t="shared" si="5"/>
        <v>1.5895187023733066E-4</v>
      </c>
    </row>
    <row r="176" spans="2:9">
      <c r="B176" s="598" t="s">
        <v>2595</v>
      </c>
      <c r="C176" s="604" t="s">
        <v>1105</v>
      </c>
      <c r="D176" s="745">
        <v>2021</v>
      </c>
      <c r="E176" s="650" t="s">
        <v>1288</v>
      </c>
      <c r="F176" s="897">
        <v>0.1</v>
      </c>
      <c r="G176" s="898">
        <v>1000</v>
      </c>
      <c r="H176" s="703">
        <f t="shared" si="4"/>
        <v>5.8871063050863209E-5</v>
      </c>
      <c r="I176" s="704">
        <f t="shared" si="5"/>
        <v>5.8871063050863214E-6</v>
      </c>
    </row>
    <row r="177" spans="2:9">
      <c r="B177" s="598" t="s">
        <v>2595</v>
      </c>
      <c r="C177" s="604" t="s">
        <v>1105</v>
      </c>
      <c r="D177" s="745">
        <v>2021</v>
      </c>
      <c r="E177" s="650" t="s">
        <v>1289</v>
      </c>
      <c r="F177" s="897">
        <v>0.1</v>
      </c>
      <c r="G177" s="898">
        <v>500</v>
      </c>
      <c r="H177" s="703">
        <f t="shared" si="4"/>
        <v>2.9435531525431604E-5</v>
      </c>
      <c r="I177" s="704">
        <f t="shared" si="5"/>
        <v>2.9435531525431607E-6</v>
      </c>
    </row>
    <row r="178" spans="2:9">
      <c r="B178" s="598" t="s">
        <v>2595</v>
      </c>
      <c r="C178" s="604" t="s">
        <v>1105</v>
      </c>
      <c r="D178" s="745">
        <v>2021</v>
      </c>
      <c r="E178" s="650" t="s">
        <v>1290</v>
      </c>
      <c r="F178" s="897">
        <v>0.1</v>
      </c>
      <c r="G178" s="898">
        <v>180</v>
      </c>
      <c r="H178" s="703">
        <f t="shared" si="4"/>
        <v>1.0596791349155377E-5</v>
      </c>
      <c r="I178" s="704">
        <f t="shared" si="5"/>
        <v>1.0596791349155377E-6</v>
      </c>
    </row>
    <row r="179" spans="2:9">
      <c r="B179" s="598" t="s">
        <v>2595</v>
      </c>
      <c r="C179" s="604" t="s">
        <v>1105</v>
      </c>
      <c r="D179" s="745">
        <v>2021</v>
      </c>
      <c r="E179" s="650" t="s">
        <v>1291</v>
      </c>
      <c r="F179" s="897">
        <v>0.1</v>
      </c>
      <c r="G179" s="898">
        <v>190</v>
      </c>
      <c r="H179" s="703">
        <f t="shared" si="4"/>
        <v>1.118550197966401E-5</v>
      </c>
      <c r="I179" s="704">
        <f t="shared" si="5"/>
        <v>1.1185501979664011E-6</v>
      </c>
    </row>
    <row r="180" spans="2:9">
      <c r="B180" s="598" t="s">
        <v>2595</v>
      </c>
      <c r="C180" s="604" t="s">
        <v>1105</v>
      </c>
      <c r="D180" s="745">
        <v>2021</v>
      </c>
      <c r="E180" s="650" t="s">
        <v>1292</v>
      </c>
      <c r="F180" s="897">
        <v>0.1</v>
      </c>
      <c r="G180" s="898">
        <v>655.73</v>
      </c>
      <c r="H180" s="703">
        <f t="shared" si="4"/>
        <v>3.8603522174342532E-5</v>
      </c>
      <c r="I180" s="704">
        <f t="shared" si="5"/>
        <v>3.8603522174342536E-6</v>
      </c>
    </row>
    <row r="181" spans="2:9">
      <c r="B181" s="598" t="s">
        <v>2595</v>
      </c>
      <c r="C181" s="604" t="s">
        <v>1105</v>
      </c>
      <c r="D181" s="745">
        <v>2021</v>
      </c>
      <c r="E181" s="650" t="s">
        <v>1293</v>
      </c>
      <c r="F181" s="897">
        <v>0.1</v>
      </c>
      <c r="G181" s="898">
        <v>2000</v>
      </c>
      <c r="H181" s="703">
        <f t="shared" si="4"/>
        <v>1.1774212610172642E-4</v>
      </c>
      <c r="I181" s="704">
        <f t="shared" si="5"/>
        <v>1.1774212610172643E-5</v>
      </c>
    </row>
    <row r="182" spans="2:9">
      <c r="B182" s="598" t="s">
        <v>2595</v>
      </c>
      <c r="C182" s="604" t="s">
        <v>1105</v>
      </c>
      <c r="D182" s="745">
        <v>2021</v>
      </c>
      <c r="E182" s="650" t="s">
        <v>1294</v>
      </c>
      <c r="F182" s="897">
        <v>0.1</v>
      </c>
      <c r="G182" s="898">
        <v>1800</v>
      </c>
      <c r="H182" s="703">
        <f t="shared" si="4"/>
        <v>1.0596791349155377E-4</v>
      </c>
      <c r="I182" s="704">
        <f t="shared" si="5"/>
        <v>1.0596791349155379E-5</v>
      </c>
    </row>
    <row r="183" spans="2:9">
      <c r="B183" s="598" t="s">
        <v>2595</v>
      </c>
      <c r="C183" s="604" t="s">
        <v>1105</v>
      </c>
      <c r="D183" s="745">
        <v>2021</v>
      </c>
      <c r="E183" s="650" t="s">
        <v>1295</v>
      </c>
      <c r="F183" s="897">
        <v>0.1</v>
      </c>
      <c r="G183" s="898">
        <v>2450</v>
      </c>
      <c r="H183" s="703">
        <f t="shared" si="4"/>
        <v>1.4423410447461486E-4</v>
      </c>
      <c r="I183" s="704">
        <f t="shared" si="5"/>
        <v>1.4423410447461487E-5</v>
      </c>
    </row>
    <row r="184" spans="2:9">
      <c r="B184" s="598" t="s">
        <v>2595</v>
      </c>
      <c r="C184" s="604" t="s">
        <v>1105</v>
      </c>
      <c r="D184" s="745">
        <v>2021</v>
      </c>
      <c r="E184" s="650" t="s">
        <v>1296</v>
      </c>
      <c r="F184" s="897">
        <v>0.1</v>
      </c>
      <c r="G184" s="898">
        <v>2940</v>
      </c>
      <c r="H184" s="703">
        <f t="shared" si="4"/>
        <v>1.7308092536953782E-4</v>
      </c>
      <c r="I184" s="704">
        <f t="shared" si="5"/>
        <v>1.7308092536953782E-5</v>
      </c>
    </row>
    <row r="185" spans="2:9">
      <c r="B185" s="598" t="s">
        <v>2595</v>
      </c>
      <c r="C185" s="604" t="s">
        <v>1105</v>
      </c>
      <c r="D185" s="745">
        <v>2021</v>
      </c>
      <c r="E185" s="650" t="s">
        <v>1297</v>
      </c>
      <c r="F185" s="897">
        <v>0.1</v>
      </c>
      <c r="G185" s="898">
        <v>3200</v>
      </c>
      <c r="H185" s="703">
        <f t="shared" si="4"/>
        <v>1.8838740176276226E-4</v>
      </c>
      <c r="I185" s="704">
        <f t="shared" si="5"/>
        <v>1.8838740176276226E-5</v>
      </c>
    </row>
    <row r="186" spans="2:9">
      <c r="B186" s="598" t="s">
        <v>2595</v>
      </c>
      <c r="C186" s="604" t="s">
        <v>1105</v>
      </c>
      <c r="D186" s="745">
        <v>2021</v>
      </c>
      <c r="E186" s="650" t="s">
        <v>1298</v>
      </c>
      <c r="F186" s="897">
        <v>1</v>
      </c>
      <c r="G186" s="898">
        <v>975.01</v>
      </c>
      <c r="H186" s="703">
        <f t="shared" si="4"/>
        <v>5.7399875185222135E-5</v>
      </c>
      <c r="I186" s="704">
        <f t="shared" si="5"/>
        <v>5.7399875185222135E-5</v>
      </c>
    </row>
    <row r="187" spans="2:9">
      <c r="B187" s="598" t="s">
        <v>2595</v>
      </c>
      <c r="C187" s="604" t="s">
        <v>1105</v>
      </c>
      <c r="D187" s="745">
        <v>2021</v>
      </c>
      <c r="E187" s="650" t="s">
        <v>1299</v>
      </c>
      <c r="F187" s="897">
        <v>0.1</v>
      </c>
      <c r="G187" s="898">
        <v>12454.8</v>
      </c>
      <c r="H187" s="703">
        <f t="shared" si="4"/>
        <v>7.33227316085891E-4</v>
      </c>
      <c r="I187" s="704">
        <f t="shared" si="5"/>
        <v>7.33227316085891E-5</v>
      </c>
    </row>
    <row r="188" spans="2:9">
      <c r="B188" s="598" t="s">
        <v>2595</v>
      </c>
      <c r="C188" s="604" t="s">
        <v>1105</v>
      </c>
      <c r="D188" s="745">
        <v>2021</v>
      </c>
      <c r="E188" s="650" t="s">
        <v>1300</v>
      </c>
      <c r="F188" s="897">
        <v>0.1</v>
      </c>
      <c r="G188" s="898">
        <v>7850</v>
      </c>
      <c r="H188" s="703">
        <f t="shared" si="4"/>
        <v>4.6213784494927618E-4</v>
      </c>
      <c r="I188" s="704">
        <f t="shared" si="5"/>
        <v>4.6213784494927623E-5</v>
      </c>
    </row>
    <row r="189" spans="2:9">
      <c r="B189" s="598" t="s">
        <v>2595</v>
      </c>
      <c r="C189" s="604" t="s">
        <v>1105</v>
      </c>
      <c r="D189" s="745">
        <v>2022</v>
      </c>
      <c r="E189" s="650" t="s">
        <v>2544</v>
      </c>
      <c r="F189" s="897">
        <v>0.1</v>
      </c>
      <c r="G189" s="898">
        <v>21400</v>
      </c>
      <c r="H189" s="703">
        <f t="shared" si="4"/>
        <v>1.2598407492884725E-3</v>
      </c>
      <c r="I189" s="704">
        <f t="shared" si="5"/>
        <v>1.2598407492884727E-4</v>
      </c>
    </row>
    <row r="190" spans="2:9">
      <c r="B190" s="598" t="s">
        <v>2595</v>
      </c>
      <c r="C190" s="604" t="s">
        <v>1105</v>
      </c>
      <c r="D190" s="745">
        <v>2022</v>
      </c>
      <c r="E190" s="650" t="s">
        <v>2545</v>
      </c>
      <c r="F190" s="897">
        <v>0.1</v>
      </c>
      <c r="G190" s="898">
        <v>2395</v>
      </c>
      <c r="H190" s="703">
        <f t="shared" si="4"/>
        <v>1.4099619600681739E-4</v>
      </c>
      <c r="I190" s="704">
        <f t="shared" si="5"/>
        <v>1.4099619600681739E-5</v>
      </c>
    </row>
    <row r="191" spans="2:9">
      <c r="B191" s="598" t="s">
        <v>2595</v>
      </c>
      <c r="C191" s="604" t="s">
        <v>1105</v>
      </c>
      <c r="D191" s="745">
        <v>2022</v>
      </c>
      <c r="E191" s="650" t="s">
        <v>2546</v>
      </c>
      <c r="F191" s="897">
        <v>0.1</v>
      </c>
      <c r="G191" s="898">
        <v>60000</v>
      </c>
      <c r="H191" s="703">
        <f t="shared" si="4"/>
        <v>3.5322637830517926E-3</v>
      </c>
      <c r="I191" s="704">
        <f t="shared" si="5"/>
        <v>3.5322637830517928E-4</v>
      </c>
    </row>
    <row r="192" spans="2:9">
      <c r="B192" s="598" t="s">
        <v>2595</v>
      </c>
      <c r="C192" s="604" t="s">
        <v>1105</v>
      </c>
      <c r="D192" s="745">
        <v>2022</v>
      </c>
      <c r="E192" s="650" t="s">
        <v>2547</v>
      </c>
      <c r="F192" s="897">
        <v>0.1</v>
      </c>
      <c r="G192" s="898">
        <v>4000</v>
      </c>
      <c r="H192" s="703">
        <f t="shared" si="4"/>
        <v>2.3548425220345283E-4</v>
      </c>
      <c r="I192" s="704">
        <f t="shared" si="5"/>
        <v>2.3548425220345286E-5</v>
      </c>
    </row>
    <row r="193" spans="2:9">
      <c r="B193" s="598" t="s">
        <v>2595</v>
      </c>
      <c r="C193" s="604" t="s">
        <v>1105</v>
      </c>
      <c r="D193" s="745">
        <v>2022</v>
      </c>
      <c r="E193" s="650"/>
      <c r="F193" s="897">
        <v>0.1</v>
      </c>
      <c r="G193" s="898">
        <v>4600</v>
      </c>
      <c r="H193" s="703">
        <f t="shared" si="4"/>
        <v>2.7080689003397074E-4</v>
      </c>
      <c r="I193" s="704">
        <f t="shared" si="5"/>
        <v>2.7080689003397076E-5</v>
      </c>
    </row>
    <row r="194" spans="2:9">
      <c r="B194" s="598" t="s">
        <v>2595</v>
      </c>
      <c r="C194" s="604" t="s">
        <v>1105</v>
      </c>
      <c r="D194" s="745">
        <v>2022</v>
      </c>
      <c r="E194" s="650"/>
      <c r="F194" s="897">
        <v>0.1</v>
      </c>
      <c r="G194" s="898">
        <v>3090</v>
      </c>
      <c r="H194" s="703">
        <f t="shared" si="4"/>
        <v>1.8191158482716731E-4</v>
      </c>
      <c r="I194" s="704">
        <f t="shared" si="5"/>
        <v>1.8191158482716733E-5</v>
      </c>
    </row>
    <row r="195" spans="2:9">
      <c r="B195" s="598" t="s">
        <v>2595</v>
      </c>
      <c r="C195" s="604" t="s">
        <v>1105</v>
      </c>
      <c r="D195" s="745">
        <v>2022</v>
      </c>
      <c r="E195" s="650"/>
      <c r="F195" s="897">
        <v>0.1</v>
      </c>
      <c r="G195" s="898">
        <v>1000</v>
      </c>
      <c r="H195" s="703">
        <f t="shared" si="4"/>
        <v>5.8871063050863209E-5</v>
      </c>
      <c r="I195" s="704">
        <f t="shared" si="5"/>
        <v>5.8871063050863214E-6</v>
      </c>
    </row>
    <row r="196" spans="2:9">
      <c r="B196" s="598" t="s">
        <v>2595</v>
      </c>
      <c r="C196" s="604" t="s">
        <v>1105</v>
      </c>
      <c r="D196" s="745">
        <v>2022</v>
      </c>
      <c r="E196" s="650" t="s">
        <v>2548</v>
      </c>
      <c r="F196" s="897">
        <v>0.1</v>
      </c>
      <c r="G196" s="898">
        <v>2500</v>
      </c>
      <c r="H196" s="703">
        <f t="shared" si="4"/>
        <v>1.4717765762715801E-4</v>
      </c>
      <c r="I196" s="704">
        <f t="shared" si="5"/>
        <v>1.4717765762715802E-5</v>
      </c>
    </row>
    <row r="197" spans="2:9">
      <c r="B197" s="598" t="s">
        <v>2595</v>
      </c>
      <c r="C197" s="604" t="s">
        <v>1107</v>
      </c>
      <c r="D197" s="745">
        <v>1999</v>
      </c>
      <c r="E197" s="650" t="s">
        <v>1301</v>
      </c>
      <c r="F197" s="897">
        <v>0.4</v>
      </c>
      <c r="G197" s="898">
        <v>852.15</v>
      </c>
      <c r="H197" s="703">
        <f t="shared" ref="H197:H260" si="6">+G197/$G$1080</f>
        <v>5.0166976378793077E-5</v>
      </c>
      <c r="I197" s="704">
        <f t="shared" ref="I197:I260" si="7">+H197*F197</f>
        <v>2.0066790551517231E-5</v>
      </c>
    </row>
    <row r="198" spans="2:9">
      <c r="B198" s="598" t="s">
        <v>2595</v>
      </c>
      <c r="C198" s="604" t="s">
        <v>1107</v>
      </c>
      <c r="D198" s="745">
        <v>2000</v>
      </c>
      <c r="E198" s="650" t="s">
        <v>1302</v>
      </c>
      <c r="F198" s="897">
        <v>0.4</v>
      </c>
      <c r="G198" s="898">
        <v>852.15</v>
      </c>
      <c r="H198" s="703">
        <f t="shared" si="6"/>
        <v>5.0166976378793077E-5</v>
      </c>
      <c r="I198" s="704">
        <f t="shared" si="7"/>
        <v>2.0066790551517231E-5</v>
      </c>
    </row>
    <row r="199" spans="2:9">
      <c r="B199" s="598" t="s">
        <v>2595</v>
      </c>
      <c r="C199" s="604" t="s">
        <v>1107</v>
      </c>
      <c r="D199" s="745">
        <v>2000</v>
      </c>
      <c r="E199" s="650" t="s">
        <v>1303</v>
      </c>
      <c r="F199" s="897">
        <v>0.4</v>
      </c>
      <c r="G199" s="898">
        <v>1084.56</v>
      </c>
      <c r="H199" s="703">
        <f t="shared" si="6"/>
        <v>6.3849200142444194E-5</v>
      </c>
      <c r="I199" s="704">
        <f t="shared" si="7"/>
        <v>2.5539680056977678E-5</v>
      </c>
    </row>
    <row r="200" spans="2:9">
      <c r="B200" s="598" t="s">
        <v>2595</v>
      </c>
      <c r="C200" s="604" t="s">
        <v>1107</v>
      </c>
      <c r="D200" s="745">
        <v>2000</v>
      </c>
      <c r="E200" s="650" t="s">
        <v>1304</v>
      </c>
      <c r="F200" s="897">
        <v>0.4</v>
      </c>
      <c r="G200" s="898">
        <v>1717.22</v>
      </c>
      <c r="H200" s="703">
        <f t="shared" si="6"/>
        <v>1.0109456689220331E-4</v>
      </c>
      <c r="I200" s="704">
        <f t="shared" si="7"/>
        <v>4.0437826756881325E-5</v>
      </c>
    </row>
    <row r="201" spans="2:9">
      <c r="B201" s="598" t="s">
        <v>2595</v>
      </c>
      <c r="C201" s="604" t="s">
        <v>1107</v>
      </c>
      <c r="D201" s="745">
        <v>2001</v>
      </c>
      <c r="E201" s="650" t="s">
        <v>1305</v>
      </c>
      <c r="F201" s="897">
        <v>0.4</v>
      </c>
      <c r="G201" s="898">
        <v>2220.7600000000002</v>
      </c>
      <c r="H201" s="703">
        <f t="shared" si="6"/>
        <v>1.30738501980835E-4</v>
      </c>
      <c r="I201" s="704">
        <f t="shared" si="7"/>
        <v>5.2295400792334E-5</v>
      </c>
    </row>
    <row r="202" spans="2:9">
      <c r="B202" s="598" t="s">
        <v>2595</v>
      </c>
      <c r="C202" s="604" t="s">
        <v>1107</v>
      </c>
      <c r="D202" s="745">
        <v>2002</v>
      </c>
      <c r="E202" s="650" t="s">
        <v>1306</v>
      </c>
      <c r="F202" s="897">
        <v>0.4</v>
      </c>
      <c r="G202" s="898">
        <v>658.84</v>
      </c>
      <c r="H202" s="703">
        <f t="shared" si="6"/>
        <v>3.8786611180430719E-5</v>
      </c>
      <c r="I202" s="704">
        <f t="shared" si="7"/>
        <v>1.5514644472172288E-5</v>
      </c>
    </row>
    <row r="203" spans="2:9">
      <c r="B203" s="598" t="s">
        <v>2595</v>
      </c>
      <c r="C203" s="604" t="s">
        <v>1107</v>
      </c>
      <c r="D203" s="745">
        <v>2002</v>
      </c>
      <c r="E203" s="650" t="s">
        <v>1307</v>
      </c>
      <c r="F203" s="897">
        <v>0.4</v>
      </c>
      <c r="G203" s="898">
        <v>1190</v>
      </c>
      <c r="H203" s="703">
        <f t="shared" si="6"/>
        <v>7.0056565030527217E-5</v>
      </c>
      <c r="I203" s="704">
        <f t="shared" si="7"/>
        <v>2.8022626012210887E-5</v>
      </c>
    </row>
    <row r="204" spans="2:9">
      <c r="B204" s="598" t="s">
        <v>2595</v>
      </c>
      <c r="C204" s="604" t="s">
        <v>1107</v>
      </c>
      <c r="D204" s="745">
        <v>2003</v>
      </c>
      <c r="E204" s="650" t="s">
        <v>1308</v>
      </c>
      <c r="F204" s="897">
        <v>0.4</v>
      </c>
      <c r="G204" s="898">
        <v>4114.68</v>
      </c>
      <c r="H204" s="703">
        <f t="shared" si="6"/>
        <v>2.4223558571412584E-4</v>
      </c>
      <c r="I204" s="704">
        <f t="shared" si="7"/>
        <v>9.689423428565034E-5</v>
      </c>
    </row>
    <row r="205" spans="2:9">
      <c r="B205" s="598" t="s">
        <v>2595</v>
      </c>
      <c r="C205" s="604" t="s">
        <v>1107</v>
      </c>
      <c r="D205" s="745">
        <v>2003</v>
      </c>
      <c r="E205" s="650" t="s">
        <v>1309</v>
      </c>
      <c r="F205" s="897">
        <v>0.4</v>
      </c>
      <c r="G205" s="898">
        <v>2181.52</v>
      </c>
      <c r="H205" s="703">
        <f t="shared" si="6"/>
        <v>1.2842840146671909E-4</v>
      </c>
      <c r="I205" s="704">
        <f t="shared" si="7"/>
        <v>5.1371360586687638E-5</v>
      </c>
    </row>
    <row r="206" spans="2:9">
      <c r="B206" s="598" t="s">
        <v>2595</v>
      </c>
      <c r="C206" s="604" t="s">
        <v>1107</v>
      </c>
      <c r="D206" s="745">
        <v>2003</v>
      </c>
      <c r="E206" s="650" t="s">
        <v>1310</v>
      </c>
      <c r="F206" s="897">
        <v>0.4</v>
      </c>
      <c r="G206" s="898">
        <v>3000</v>
      </c>
      <c r="H206" s="703">
        <f t="shared" si="6"/>
        <v>1.7661318915258961E-4</v>
      </c>
      <c r="I206" s="704">
        <f t="shared" si="7"/>
        <v>7.0645275661035853E-5</v>
      </c>
    </row>
    <row r="207" spans="2:9">
      <c r="B207" s="598" t="s">
        <v>2595</v>
      </c>
      <c r="C207" s="604" t="s">
        <v>1107</v>
      </c>
      <c r="D207" s="745">
        <v>2003</v>
      </c>
      <c r="E207" s="650" t="s">
        <v>1311</v>
      </c>
      <c r="F207" s="897">
        <v>0.4</v>
      </c>
      <c r="G207" s="898">
        <v>3000</v>
      </c>
      <c r="H207" s="703">
        <f t="shared" si="6"/>
        <v>1.7661318915258961E-4</v>
      </c>
      <c r="I207" s="704">
        <f t="shared" si="7"/>
        <v>7.0645275661035853E-5</v>
      </c>
    </row>
    <row r="208" spans="2:9">
      <c r="B208" s="598" t="s">
        <v>2595</v>
      </c>
      <c r="C208" s="604" t="s">
        <v>1107</v>
      </c>
      <c r="D208" s="745">
        <v>2003</v>
      </c>
      <c r="E208" s="650" t="s">
        <v>1312</v>
      </c>
      <c r="F208" s="897">
        <v>0.4</v>
      </c>
      <c r="G208" s="898">
        <v>1800</v>
      </c>
      <c r="H208" s="703">
        <f t="shared" si="6"/>
        <v>1.0596791349155377E-4</v>
      </c>
      <c r="I208" s="704">
        <f t="shared" si="7"/>
        <v>4.2387165396621515E-5</v>
      </c>
    </row>
    <row r="209" spans="2:9">
      <c r="B209" s="598" t="s">
        <v>2595</v>
      </c>
      <c r="C209" s="604" t="s">
        <v>1107</v>
      </c>
      <c r="D209" s="745">
        <v>2004</v>
      </c>
      <c r="E209" s="650" t="s">
        <v>1313</v>
      </c>
      <c r="F209" s="897">
        <v>0.4</v>
      </c>
      <c r="G209" s="898">
        <v>3000</v>
      </c>
      <c r="H209" s="703">
        <f t="shared" si="6"/>
        <v>1.7661318915258961E-4</v>
      </c>
      <c r="I209" s="704">
        <f t="shared" si="7"/>
        <v>7.0645275661035853E-5</v>
      </c>
    </row>
    <row r="210" spans="2:9">
      <c r="B210" s="598" t="s">
        <v>2595</v>
      </c>
      <c r="C210" s="604" t="s">
        <v>1107</v>
      </c>
      <c r="D210" s="745">
        <v>2004</v>
      </c>
      <c r="E210" s="650" t="s">
        <v>1314</v>
      </c>
      <c r="F210" s="897">
        <v>0.4</v>
      </c>
      <c r="G210" s="898">
        <v>3000</v>
      </c>
      <c r="H210" s="703">
        <f t="shared" si="6"/>
        <v>1.7661318915258961E-4</v>
      </c>
      <c r="I210" s="704">
        <f t="shared" si="7"/>
        <v>7.0645275661035853E-5</v>
      </c>
    </row>
    <row r="211" spans="2:9">
      <c r="B211" s="598" t="s">
        <v>2595</v>
      </c>
      <c r="C211" s="604" t="s">
        <v>1107</v>
      </c>
      <c r="D211" s="745">
        <v>2004</v>
      </c>
      <c r="E211" s="650" t="s">
        <v>1315</v>
      </c>
      <c r="F211" s="897">
        <v>0.4</v>
      </c>
      <c r="G211" s="898">
        <v>3000</v>
      </c>
      <c r="H211" s="703">
        <f t="shared" si="6"/>
        <v>1.7661318915258961E-4</v>
      </c>
      <c r="I211" s="704">
        <f t="shared" si="7"/>
        <v>7.0645275661035853E-5</v>
      </c>
    </row>
    <row r="212" spans="2:9">
      <c r="B212" s="598" t="s">
        <v>2595</v>
      </c>
      <c r="C212" s="604" t="s">
        <v>1107</v>
      </c>
      <c r="D212" s="745">
        <v>2004</v>
      </c>
      <c r="E212" s="650" t="s">
        <v>1316</v>
      </c>
      <c r="F212" s="897">
        <v>0.4</v>
      </c>
      <c r="G212" s="898">
        <v>1280</v>
      </c>
      <c r="H212" s="703">
        <f t="shared" si="6"/>
        <v>7.5354960705104903E-5</v>
      </c>
      <c r="I212" s="704">
        <f t="shared" si="7"/>
        <v>3.0141984282041961E-5</v>
      </c>
    </row>
    <row r="213" spans="2:9">
      <c r="B213" s="598" t="s">
        <v>2595</v>
      </c>
      <c r="C213" s="604" t="s">
        <v>1107</v>
      </c>
      <c r="D213" s="745">
        <v>2004</v>
      </c>
      <c r="E213" s="650" t="s">
        <v>1317</v>
      </c>
      <c r="F213" s="897">
        <v>0.4</v>
      </c>
      <c r="G213" s="898">
        <v>3500</v>
      </c>
      <c r="H213" s="703">
        <f t="shared" si="6"/>
        <v>2.0604872067802121E-4</v>
      </c>
      <c r="I213" s="704">
        <f t="shared" si="7"/>
        <v>8.2419488271208484E-5</v>
      </c>
    </row>
    <row r="214" spans="2:9">
      <c r="B214" s="598" t="s">
        <v>2595</v>
      </c>
      <c r="C214" s="604" t="s">
        <v>1107</v>
      </c>
      <c r="D214" s="745">
        <v>2004</v>
      </c>
      <c r="E214" s="650" t="s">
        <v>1318</v>
      </c>
      <c r="F214" s="897">
        <v>0.4</v>
      </c>
      <c r="G214" s="898">
        <v>1180</v>
      </c>
      <c r="H214" s="703">
        <f t="shared" si="6"/>
        <v>6.9467854400018581E-5</v>
      </c>
      <c r="I214" s="704">
        <f t="shared" si="7"/>
        <v>2.7787141760007433E-5</v>
      </c>
    </row>
    <row r="215" spans="2:9">
      <c r="B215" s="598" t="s">
        <v>2595</v>
      </c>
      <c r="C215" s="604" t="s">
        <v>1107</v>
      </c>
      <c r="D215" s="745">
        <v>2004</v>
      </c>
      <c r="E215" s="650" t="s">
        <v>1319</v>
      </c>
      <c r="F215" s="897">
        <v>0.4</v>
      </c>
      <c r="G215" s="898">
        <v>2000</v>
      </c>
      <c r="H215" s="703">
        <f t="shared" si="6"/>
        <v>1.1774212610172642E-4</v>
      </c>
      <c r="I215" s="704">
        <f t="shared" si="7"/>
        <v>4.7096850440690571E-5</v>
      </c>
    </row>
    <row r="216" spans="2:9">
      <c r="B216" s="598" t="s">
        <v>2595</v>
      </c>
      <c r="C216" s="604" t="s">
        <v>1107</v>
      </c>
      <c r="D216" s="745">
        <v>2004</v>
      </c>
      <c r="E216" s="650" t="s">
        <v>1320</v>
      </c>
      <c r="F216" s="897">
        <v>0.4</v>
      </c>
      <c r="G216" s="898">
        <v>2500</v>
      </c>
      <c r="H216" s="703">
        <f t="shared" si="6"/>
        <v>1.4717765762715801E-4</v>
      </c>
      <c r="I216" s="704">
        <f t="shared" si="7"/>
        <v>5.8871063050863209E-5</v>
      </c>
    </row>
    <row r="217" spans="2:9">
      <c r="B217" s="598" t="s">
        <v>2595</v>
      </c>
      <c r="C217" s="604" t="s">
        <v>1107</v>
      </c>
      <c r="D217" s="745">
        <v>2004</v>
      </c>
      <c r="E217" s="650" t="s">
        <v>1321</v>
      </c>
      <c r="F217" s="897">
        <v>0.4</v>
      </c>
      <c r="G217" s="898">
        <v>3000</v>
      </c>
      <c r="H217" s="703">
        <f t="shared" si="6"/>
        <v>1.7661318915258961E-4</v>
      </c>
      <c r="I217" s="704">
        <f t="shared" si="7"/>
        <v>7.0645275661035853E-5</v>
      </c>
    </row>
    <row r="218" spans="2:9">
      <c r="B218" s="598" t="s">
        <v>2595</v>
      </c>
      <c r="C218" s="604" t="s">
        <v>1107</v>
      </c>
      <c r="D218" s="745">
        <v>2004</v>
      </c>
      <c r="E218" s="650" t="s">
        <v>1322</v>
      </c>
      <c r="F218" s="897">
        <v>0.4</v>
      </c>
      <c r="G218" s="898">
        <v>2500</v>
      </c>
      <c r="H218" s="703">
        <f t="shared" si="6"/>
        <v>1.4717765762715801E-4</v>
      </c>
      <c r="I218" s="704">
        <f t="shared" si="7"/>
        <v>5.8871063050863209E-5</v>
      </c>
    </row>
    <row r="219" spans="2:9">
      <c r="B219" s="598" t="s">
        <v>2595</v>
      </c>
      <c r="C219" s="604" t="s">
        <v>1107</v>
      </c>
      <c r="D219" s="745">
        <v>2004</v>
      </c>
      <c r="E219" s="650" t="s">
        <v>1323</v>
      </c>
      <c r="F219" s="897">
        <v>0.4</v>
      </c>
      <c r="G219" s="898">
        <v>1200</v>
      </c>
      <c r="H219" s="703">
        <f t="shared" si="6"/>
        <v>7.0645275661035853E-5</v>
      </c>
      <c r="I219" s="704">
        <f t="shared" si="7"/>
        <v>2.8258110264414342E-5</v>
      </c>
    </row>
    <row r="220" spans="2:9">
      <c r="B220" s="598" t="s">
        <v>2595</v>
      </c>
      <c r="C220" s="604" t="s">
        <v>1107</v>
      </c>
      <c r="D220" s="745">
        <v>2005</v>
      </c>
      <c r="E220" s="650" t="s">
        <v>1324</v>
      </c>
      <c r="F220" s="897">
        <v>0.4</v>
      </c>
      <c r="G220" s="898">
        <v>720</v>
      </c>
      <c r="H220" s="703">
        <f t="shared" si="6"/>
        <v>4.2387165396621508E-5</v>
      </c>
      <c r="I220" s="704">
        <f t="shared" si="7"/>
        <v>1.6954866158648603E-5</v>
      </c>
    </row>
    <row r="221" spans="2:9">
      <c r="B221" s="598" t="s">
        <v>2595</v>
      </c>
      <c r="C221" s="604" t="s">
        <v>1107</v>
      </c>
      <c r="D221" s="745">
        <v>2005</v>
      </c>
      <c r="E221" s="650" t="s">
        <v>1325</v>
      </c>
      <c r="F221" s="897">
        <v>0.4</v>
      </c>
      <c r="G221" s="898">
        <v>2050</v>
      </c>
      <c r="H221" s="703">
        <f t="shared" si="6"/>
        <v>1.2068567925426957E-4</v>
      </c>
      <c r="I221" s="704">
        <f t="shared" si="7"/>
        <v>4.827427170170783E-5</v>
      </c>
    </row>
    <row r="222" spans="2:9">
      <c r="B222" s="598" t="s">
        <v>2595</v>
      </c>
      <c r="C222" s="604" t="s">
        <v>1107</v>
      </c>
      <c r="D222" s="745">
        <v>2012</v>
      </c>
      <c r="E222" s="650"/>
      <c r="F222" s="897">
        <v>0.4</v>
      </c>
      <c r="G222" s="898">
        <v>1085</v>
      </c>
      <c r="H222" s="703">
        <f t="shared" si="6"/>
        <v>6.3875103410186576E-5</v>
      </c>
      <c r="I222" s="704">
        <f t="shared" si="7"/>
        <v>2.5550041364074632E-5</v>
      </c>
    </row>
    <row r="223" spans="2:9">
      <c r="B223" s="598" t="s">
        <v>2595</v>
      </c>
      <c r="C223" s="604" t="s">
        <v>1107</v>
      </c>
      <c r="D223" s="745">
        <v>2005</v>
      </c>
      <c r="E223" s="650" t="s">
        <v>1326</v>
      </c>
      <c r="F223" s="897">
        <v>0.4</v>
      </c>
      <c r="G223" s="898">
        <v>5500</v>
      </c>
      <c r="H223" s="703">
        <f t="shared" si="6"/>
        <v>3.2379084677974763E-4</v>
      </c>
      <c r="I223" s="704">
        <f t="shared" si="7"/>
        <v>1.2951633871189906E-4</v>
      </c>
    </row>
    <row r="224" spans="2:9">
      <c r="B224" s="598" t="s">
        <v>2595</v>
      </c>
      <c r="C224" s="604" t="s">
        <v>1107</v>
      </c>
      <c r="D224" s="745">
        <v>2005</v>
      </c>
      <c r="E224" s="650" t="s">
        <v>1327</v>
      </c>
      <c r="F224" s="897">
        <v>0.4</v>
      </c>
      <c r="G224" s="898">
        <v>1174.0999999999999</v>
      </c>
      <c r="H224" s="703">
        <f t="shared" si="6"/>
        <v>6.9120515128018491E-5</v>
      </c>
      <c r="I224" s="704">
        <f t="shared" si="7"/>
        <v>2.7648206051207398E-5</v>
      </c>
    </row>
    <row r="225" spans="2:9">
      <c r="B225" s="598" t="s">
        <v>2595</v>
      </c>
      <c r="C225" s="604" t="s">
        <v>1107</v>
      </c>
      <c r="D225" s="745">
        <v>2005</v>
      </c>
      <c r="E225" s="650" t="s">
        <v>1328</v>
      </c>
      <c r="F225" s="897">
        <v>0.4</v>
      </c>
      <c r="G225" s="898">
        <v>1400</v>
      </c>
      <c r="H225" s="703">
        <f t="shared" si="6"/>
        <v>8.2419488271208484E-5</v>
      </c>
      <c r="I225" s="704">
        <f t="shared" si="7"/>
        <v>3.2967795308483395E-5</v>
      </c>
    </row>
    <row r="226" spans="2:9">
      <c r="B226" s="598" t="s">
        <v>2595</v>
      </c>
      <c r="C226" s="604" t="s">
        <v>1107</v>
      </c>
      <c r="D226" s="745">
        <v>2005</v>
      </c>
      <c r="E226" s="650" t="s">
        <v>1328</v>
      </c>
      <c r="F226" s="897">
        <v>0.4</v>
      </c>
      <c r="G226" s="898">
        <v>1400</v>
      </c>
      <c r="H226" s="703">
        <f t="shared" si="6"/>
        <v>8.2419488271208484E-5</v>
      </c>
      <c r="I226" s="704">
        <f t="shared" si="7"/>
        <v>3.2967795308483395E-5</v>
      </c>
    </row>
    <row r="227" spans="2:9">
      <c r="B227" s="598" t="s">
        <v>2595</v>
      </c>
      <c r="C227" s="604" t="s">
        <v>1107</v>
      </c>
      <c r="D227" s="745">
        <v>2005</v>
      </c>
      <c r="E227" s="650" t="s">
        <v>1328</v>
      </c>
      <c r="F227" s="897">
        <v>0.4</v>
      </c>
      <c r="G227" s="898">
        <v>1400</v>
      </c>
      <c r="H227" s="703">
        <f t="shared" si="6"/>
        <v>8.2419488271208484E-5</v>
      </c>
      <c r="I227" s="704">
        <f t="shared" si="7"/>
        <v>3.2967795308483395E-5</v>
      </c>
    </row>
    <row r="228" spans="2:9">
      <c r="B228" s="598" t="s">
        <v>2595</v>
      </c>
      <c r="C228" s="604" t="s">
        <v>1107</v>
      </c>
      <c r="D228" s="745">
        <v>2005</v>
      </c>
      <c r="E228" s="650" t="s">
        <v>1328</v>
      </c>
      <c r="F228" s="897">
        <v>0.4</v>
      </c>
      <c r="G228" s="898">
        <v>1400</v>
      </c>
      <c r="H228" s="703">
        <f t="shared" si="6"/>
        <v>8.2419488271208484E-5</v>
      </c>
      <c r="I228" s="704">
        <f t="shared" si="7"/>
        <v>3.2967795308483395E-5</v>
      </c>
    </row>
    <row r="229" spans="2:9">
      <c r="B229" s="598" t="s">
        <v>2595</v>
      </c>
      <c r="C229" s="604" t="s">
        <v>1107</v>
      </c>
      <c r="D229" s="745">
        <v>2005</v>
      </c>
      <c r="E229" s="650" t="s">
        <v>1328</v>
      </c>
      <c r="F229" s="897">
        <v>0.4</v>
      </c>
      <c r="G229" s="898">
        <v>1400</v>
      </c>
      <c r="H229" s="703">
        <f t="shared" si="6"/>
        <v>8.2419488271208484E-5</v>
      </c>
      <c r="I229" s="704">
        <f t="shared" si="7"/>
        <v>3.2967795308483395E-5</v>
      </c>
    </row>
    <row r="230" spans="2:9">
      <c r="B230" s="598" t="s">
        <v>2595</v>
      </c>
      <c r="C230" s="604" t="s">
        <v>1107</v>
      </c>
      <c r="D230" s="745">
        <v>2005</v>
      </c>
      <c r="E230" s="650" t="s">
        <v>1329</v>
      </c>
      <c r="F230" s="897">
        <v>0.4</v>
      </c>
      <c r="G230" s="898">
        <v>2400</v>
      </c>
      <c r="H230" s="703">
        <f t="shared" si="6"/>
        <v>1.4129055132207171E-4</v>
      </c>
      <c r="I230" s="704">
        <f t="shared" si="7"/>
        <v>5.6516220528828684E-5</v>
      </c>
    </row>
    <row r="231" spans="2:9">
      <c r="B231" s="598" t="s">
        <v>2595</v>
      </c>
      <c r="C231" s="604" t="s">
        <v>1107</v>
      </c>
      <c r="D231" s="745">
        <v>2005</v>
      </c>
      <c r="E231" s="650" t="s">
        <v>1330</v>
      </c>
      <c r="F231" s="897">
        <v>0.4</v>
      </c>
      <c r="G231" s="898">
        <v>900</v>
      </c>
      <c r="H231" s="703">
        <f t="shared" si="6"/>
        <v>5.2983956745776886E-5</v>
      </c>
      <c r="I231" s="704">
        <f t="shared" si="7"/>
        <v>2.1193582698310757E-5</v>
      </c>
    </row>
    <row r="232" spans="2:9">
      <c r="B232" s="598" t="s">
        <v>2595</v>
      </c>
      <c r="C232" s="604" t="s">
        <v>1107</v>
      </c>
      <c r="D232" s="745">
        <v>2005</v>
      </c>
      <c r="E232" s="650" t="s">
        <v>1331</v>
      </c>
      <c r="F232" s="897">
        <v>0.4</v>
      </c>
      <c r="G232" s="898">
        <v>480</v>
      </c>
      <c r="H232" s="703">
        <f t="shared" si="6"/>
        <v>2.8258110264414339E-5</v>
      </c>
      <c r="I232" s="704">
        <f t="shared" si="7"/>
        <v>1.1303244105765735E-5</v>
      </c>
    </row>
    <row r="233" spans="2:9">
      <c r="B233" s="598" t="s">
        <v>2595</v>
      </c>
      <c r="C233" s="604" t="s">
        <v>1107</v>
      </c>
      <c r="D233" s="745">
        <v>2005</v>
      </c>
      <c r="E233" s="650" t="s">
        <v>1332</v>
      </c>
      <c r="F233" s="897">
        <v>0.4</v>
      </c>
      <c r="G233" s="898">
        <v>530</v>
      </c>
      <c r="H233" s="703">
        <f t="shared" si="6"/>
        <v>3.12016634169575E-5</v>
      </c>
      <c r="I233" s="704">
        <f t="shared" si="7"/>
        <v>1.2480665366783001E-5</v>
      </c>
    </row>
    <row r="234" spans="2:9">
      <c r="B234" s="598" t="s">
        <v>2595</v>
      </c>
      <c r="C234" s="604" t="s">
        <v>1107</v>
      </c>
      <c r="D234" s="745">
        <v>2005</v>
      </c>
      <c r="E234" s="650" t="s">
        <v>1333</v>
      </c>
      <c r="F234" s="897">
        <v>0.4</v>
      </c>
      <c r="G234" s="898">
        <v>392</v>
      </c>
      <c r="H234" s="703">
        <f t="shared" si="6"/>
        <v>2.3077456715938376E-5</v>
      </c>
      <c r="I234" s="704">
        <f t="shared" si="7"/>
        <v>9.2309826863753519E-6</v>
      </c>
    </row>
    <row r="235" spans="2:9">
      <c r="B235" s="598" t="s">
        <v>2595</v>
      </c>
      <c r="C235" s="604" t="s">
        <v>1107</v>
      </c>
      <c r="D235" s="745">
        <v>2005</v>
      </c>
      <c r="E235" s="650" t="s">
        <v>1334</v>
      </c>
      <c r="F235" s="897">
        <v>0.4</v>
      </c>
      <c r="G235" s="898">
        <v>208</v>
      </c>
      <c r="H235" s="703">
        <f t="shared" si="6"/>
        <v>1.2245181114579547E-5</v>
      </c>
      <c r="I235" s="704">
        <f t="shared" si="7"/>
        <v>4.898072445831819E-6</v>
      </c>
    </row>
    <row r="236" spans="2:9">
      <c r="B236" s="598" t="s">
        <v>2595</v>
      </c>
      <c r="C236" s="604" t="s">
        <v>1107</v>
      </c>
      <c r="D236" s="745">
        <v>2005</v>
      </c>
      <c r="E236" s="650" t="s">
        <v>1335</v>
      </c>
      <c r="F236" s="897">
        <v>0.4</v>
      </c>
      <c r="G236" s="898">
        <v>2600</v>
      </c>
      <c r="H236" s="703">
        <f t="shared" si="6"/>
        <v>1.5306476393224432E-4</v>
      </c>
      <c r="I236" s="704">
        <f t="shared" si="7"/>
        <v>6.1225905572897727E-5</v>
      </c>
    </row>
    <row r="237" spans="2:9">
      <c r="B237" s="598" t="s">
        <v>2595</v>
      </c>
      <c r="C237" s="604" t="s">
        <v>1107</v>
      </c>
      <c r="D237" s="745">
        <v>2005</v>
      </c>
      <c r="E237" s="650" t="s">
        <v>1336</v>
      </c>
      <c r="F237" s="897">
        <v>0.4</v>
      </c>
      <c r="G237" s="898">
        <v>2680</v>
      </c>
      <c r="H237" s="703">
        <f t="shared" si="6"/>
        <v>1.5777444897631339E-4</v>
      </c>
      <c r="I237" s="704">
        <f t="shared" si="7"/>
        <v>6.3109779590525363E-5</v>
      </c>
    </row>
    <row r="238" spans="2:9">
      <c r="B238" s="598" t="s">
        <v>2595</v>
      </c>
      <c r="C238" s="604" t="s">
        <v>1107</v>
      </c>
      <c r="D238" s="745">
        <v>2005</v>
      </c>
      <c r="E238" s="650" t="s">
        <v>1337</v>
      </c>
      <c r="F238" s="897">
        <v>0.4</v>
      </c>
      <c r="G238" s="898">
        <v>1537.5</v>
      </c>
      <c r="H238" s="703">
        <f t="shared" si="6"/>
        <v>9.0514259440702179E-5</v>
      </c>
      <c r="I238" s="704">
        <f t="shared" si="7"/>
        <v>3.6205703776280874E-5</v>
      </c>
    </row>
    <row r="239" spans="2:9">
      <c r="B239" s="598" t="s">
        <v>2595</v>
      </c>
      <c r="C239" s="604" t="s">
        <v>1107</v>
      </c>
      <c r="D239" s="745">
        <v>2005</v>
      </c>
      <c r="E239" s="650" t="s">
        <v>1338</v>
      </c>
      <c r="F239" s="897">
        <v>0.4</v>
      </c>
      <c r="G239" s="898">
        <v>3700</v>
      </c>
      <c r="H239" s="703">
        <f t="shared" si="6"/>
        <v>2.1782293328819385E-4</v>
      </c>
      <c r="I239" s="704">
        <f t="shared" si="7"/>
        <v>8.7129173315277547E-5</v>
      </c>
    </row>
    <row r="240" spans="2:9">
      <c r="B240" s="598" t="s">
        <v>2595</v>
      </c>
      <c r="C240" s="604" t="s">
        <v>1107</v>
      </c>
      <c r="D240" s="745">
        <v>2006</v>
      </c>
      <c r="E240" s="650" t="s">
        <v>1339</v>
      </c>
      <c r="F240" s="897">
        <v>0.4</v>
      </c>
      <c r="G240" s="898">
        <v>625</v>
      </c>
      <c r="H240" s="703">
        <f t="shared" si="6"/>
        <v>3.6794414406789504E-5</v>
      </c>
      <c r="I240" s="704">
        <f t="shared" si="7"/>
        <v>1.4717765762715802E-5</v>
      </c>
    </row>
    <row r="241" spans="2:9">
      <c r="B241" s="598" t="s">
        <v>2595</v>
      </c>
      <c r="C241" s="604" t="s">
        <v>1107</v>
      </c>
      <c r="D241" s="745">
        <v>2006</v>
      </c>
      <c r="E241" s="650" t="s">
        <v>1340</v>
      </c>
      <c r="F241" s="897">
        <v>0.4</v>
      </c>
      <c r="G241" s="898">
        <v>1450</v>
      </c>
      <c r="H241" s="703">
        <f t="shared" si="6"/>
        <v>8.5363041423751652E-5</v>
      </c>
      <c r="I241" s="704">
        <f t="shared" si="7"/>
        <v>3.4145216569500661E-5</v>
      </c>
    </row>
    <row r="242" spans="2:9">
      <c r="B242" s="598" t="s">
        <v>2595</v>
      </c>
      <c r="C242" s="604" t="s">
        <v>1107</v>
      </c>
      <c r="D242" s="745">
        <v>2006</v>
      </c>
      <c r="E242" s="650" t="s">
        <v>1341</v>
      </c>
      <c r="F242" s="897">
        <v>0.4</v>
      </c>
      <c r="G242" s="898">
        <v>2600</v>
      </c>
      <c r="H242" s="703">
        <f t="shared" si="6"/>
        <v>1.5306476393224432E-4</v>
      </c>
      <c r="I242" s="704">
        <f t="shared" si="7"/>
        <v>6.1225905572897727E-5</v>
      </c>
    </row>
    <row r="243" spans="2:9">
      <c r="B243" s="598" t="s">
        <v>2595</v>
      </c>
      <c r="C243" s="604" t="s">
        <v>1107</v>
      </c>
      <c r="D243" s="745">
        <v>2006</v>
      </c>
      <c r="E243" s="650" t="s">
        <v>1342</v>
      </c>
      <c r="F243" s="897">
        <v>0.4</v>
      </c>
      <c r="G243" s="898">
        <v>552.58000000000004</v>
      </c>
      <c r="H243" s="703">
        <f t="shared" si="6"/>
        <v>3.2530972020645995E-5</v>
      </c>
      <c r="I243" s="704">
        <f t="shared" si="7"/>
        <v>1.3012388808258399E-5</v>
      </c>
    </row>
    <row r="244" spans="2:9">
      <c r="B244" s="598" t="s">
        <v>2595</v>
      </c>
      <c r="C244" s="604" t="s">
        <v>1107</v>
      </c>
      <c r="D244" s="745">
        <v>2006</v>
      </c>
      <c r="E244" s="650" t="s">
        <v>1343</v>
      </c>
      <c r="F244" s="897">
        <v>0.4</v>
      </c>
      <c r="G244" s="898">
        <v>3850</v>
      </c>
      <c r="H244" s="703">
        <f t="shared" si="6"/>
        <v>2.2665359274582334E-4</v>
      </c>
      <c r="I244" s="704">
        <f t="shared" si="7"/>
        <v>9.0661437098329338E-5</v>
      </c>
    </row>
    <row r="245" spans="2:9">
      <c r="B245" s="598" t="s">
        <v>2595</v>
      </c>
      <c r="C245" s="604" t="s">
        <v>1107</v>
      </c>
      <c r="D245" s="745">
        <v>2006</v>
      </c>
      <c r="E245" s="650" t="s">
        <v>1343</v>
      </c>
      <c r="F245" s="897">
        <v>0.4</v>
      </c>
      <c r="G245" s="898">
        <v>3850</v>
      </c>
      <c r="H245" s="703">
        <f t="shared" si="6"/>
        <v>2.2665359274582334E-4</v>
      </c>
      <c r="I245" s="704">
        <f t="shared" si="7"/>
        <v>9.0661437098329338E-5</v>
      </c>
    </row>
    <row r="246" spans="2:9">
      <c r="B246" s="598" t="s">
        <v>2595</v>
      </c>
      <c r="C246" s="604" t="s">
        <v>1107</v>
      </c>
      <c r="D246" s="745">
        <v>2006</v>
      </c>
      <c r="E246" s="650" t="s">
        <v>1344</v>
      </c>
      <c r="F246" s="897">
        <v>0.4</v>
      </c>
      <c r="G246" s="898">
        <v>1550</v>
      </c>
      <c r="H246" s="703">
        <f t="shared" si="6"/>
        <v>9.1250147728837974E-5</v>
      </c>
      <c r="I246" s="704">
        <f t="shared" si="7"/>
        <v>3.6500059091535192E-5</v>
      </c>
    </row>
    <row r="247" spans="2:9">
      <c r="B247" s="598" t="s">
        <v>2595</v>
      </c>
      <c r="C247" s="604" t="s">
        <v>1107</v>
      </c>
      <c r="D247" s="745">
        <v>2006</v>
      </c>
      <c r="E247" s="650" t="s">
        <v>1345</v>
      </c>
      <c r="F247" s="897">
        <v>0.4</v>
      </c>
      <c r="G247" s="898">
        <v>2600</v>
      </c>
      <c r="H247" s="703">
        <f t="shared" si="6"/>
        <v>1.5306476393224432E-4</v>
      </c>
      <c r="I247" s="704">
        <f t="shared" si="7"/>
        <v>6.1225905572897727E-5</v>
      </c>
    </row>
    <row r="248" spans="2:9">
      <c r="B248" s="598" t="s">
        <v>2595</v>
      </c>
      <c r="C248" s="604" t="s">
        <v>1107</v>
      </c>
      <c r="D248" s="745">
        <v>2006</v>
      </c>
      <c r="E248" s="650" t="s">
        <v>1346</v>
      </c>
      <c r="F248" s="897">
        <v>0.4</v>
      </c>
      <c r="G248" s="898">
        <v>7300</v>
      </c>
      <c r="H248" s="703">
        <f t="shared" si="6"/>
        <v>4.297587602713014E-4</v>
      </c>
      <c r="I248" s="704">
        <f t="shared" si="7"/>
        <v>1.7190350410852058E-4</v>
      </c>
    </row>
    <row r="249" spans="2:9">
      <c r="B249" s="598" t="s">
        <v>2595</v>
      </c>
      <c r="C249" s="604" t="s">
        <v>1107</v>
      </c>
      <c r="D249" s="745">
        <v>2006</v>
      </c>
      <c r="E249" s="650" t="s">
        <v>1346</v>
      </c>
      <c r="F249" s="897">
        <v>0.4</v>
      </c>
      <c r="G249" s="898">
        <v>3900</v>
      </c>
      <c r="H249" s="703">
        <f t="shared" si="6"/>
        <v>2.295971458983665E-4</v>
      </c>
      <c r="I249" s="704">
        <f t="shared" si="7"/>
        <v>9.183885835934661E-5</v>
      </c>
    </row>
    <row r="250" spans="2:9">
      <c r="B250" s="598" t="s">
        <v>2595</v>
      </c>
      <c r="C250" s="604" t="s">
        <v>1107</v>
      </c>
      <c r="D250" s="745">
        <v>2006</v>
      </c>
      <c r="E250" s="650" t="s">
        <v>1347</v>
      </c>
      <c r="F250" s="897">
        <v>0.4</v>
      </c>
      <c r="G250" s="898">
        <v>1450</v>
      </c>
      <c r="H250" s="703">
        <f t="shared" si="6"/>
        <v>8.5363041423751652E-5</v>
      </c>
      <c r="I250" s="704">
        <f t="shared" si="7"/>
        <v>3.4145216569500661E-5</v>
      </c>
    </row>
    <row r="251" spans="2:9">
      <c r="B251" s="598" t="s">
        <v>2595</v>
      </c>
      <c r="C251" s="604" t="s">
        <v>1107</v>
      </c>
      <c r="D251" s="745">
        <v>2006</v>
      </c>
      <c r="E251" s="650" t="s">
        <v>1348</v>
      </c>
      <c r="F251" s="897">
        <v>0.4</v>
      </c>
      <c r="G251" s="898">
        <v>3000</v>
      </c>
      <c r="H251" s="703">
        <f t="shared" si="6"/>
        <v>1.7661318915258961E-4</v>
      </c>
      <c r="I251" s="704">
        <f t="shared" si="7"/>
        <v>7.0645275661035853E-5</v>
      </c>
    </row>
    <row r="252" spans="2:9">
      <c r="B252" s="598" t="s">
        <v>2595</v>
      </c>
      <c r="C252" s="604" t="s">
        <v>1107</v>
      </c>
      <c r="D252" s="745">
        <v>2006</v>
      </c>
      <c r="E252" s="650" t="s">
        <v>1349</v>
      </c>
      <c r="F252" s="897">
        <v>0.4</v>
      </c>
      <c r="G252" s="898">
        <v>1200</v>
      </c>
      <c r="H252" s="703">
        <f t="shared" si="6"/>
        <v>7.0645275661035853E-5</v>
      </c>
      <c r="I252" s="704">
        <f t="shared" si="7"/>
        <v>2.8258110264414342E-5</v>
      </c>
    </row>
    <row r="253" spans="2:9">
      <c r="B253" s="598" t="s">
        <v>2595</v>
      </c>
      <c r="C253" s="604" t="s">
        <v>1107</v>
      </c>
      <c r="D253" s="745">
        <v>2006</v>
      </c>
      <c r="E253" s="650" t="s">
        <v>1350</v>
      </c>
      <c r="F253" s="897">
        <v>0.4</v>
      </c>
      <c r="G253" s="898">
        <v>610</v>
      </c>
      <c r="H253" s="703">
        <f t="shared" si="6"/>
        <v>3.5911348461026556E-5</v>
      </c>
      <c r="I253" s="704">
        <f t="shared" si="7"/>
        <v>1.4364539384410624E-5</v>
      </c>
    </row>
    <row r="254" spans="2:9">
      <c r="B254" s="598" t="s">
        <v>2595</v>
      </c>
      <c r="C254" s="604" t="s">
        <v>1107</v>
      </c>
      <c r="D254" s="745">
        <v>2006</v>
      </c>
      <c r="E254" s="650" t="s">
        <v>1349</v>
      </c>
      <c r="F254" s="897">
        <v>0.4</v>
      </c>
      <c r="G254" s="898">
        <v>1200</v>
      </c>
      <c r="H254" s="703">
        <f t="shared" si="6"/>
        <v>7.0645275661035853E-5</v>
      </c>
      <c r="I254" s="704">
        <f t="shared" si="7"/>
        <v>2.8258110264414342E-5</v>
      </c>
    </row>
    <row r="255" spans="2:9">
      <c r="B255" s="598" t="s">
        <v>2595</v>
      </c>
      <c r="C255" s="604" t="s">
        <v>1107</v>
      </c>
      <c r="D255" s="745">
        <v>2006</v>
      </c>
      <c r="E255" s="650" t="s">
        <v>1349</v>
      </c>
      <c r="F255" s="897">
        <v>0.4</v>
      </c>
      <c r="G255" s="898">
        <v>1200</v>
      </c>
      <c r="H255" s="703">
        <f t="shared" si="6"/>
        <v>7.0645275661035853E-5</v>
      </c>
      <c r="I255" s="704">
        <f t="shared" si="7"/>
        <v>2.8258110264414342E-5</v>
      </c>
    </row>
    <row r="256" spans="2:9">
      <c r="B256" s="598" t="s">
        <v>2595</v>
      </c>
      <c r="C256" s="604" t="s">
        <v>1107</v>
      </c>
      <c r="D256" s="745">
        <v>2006</v>
      </c>
      <c r="E256" s="650" t="s">
        <v>1351</v>
      </c>
      <c r="F256" s="897">
        <v>0.4</v>
      </c>
      <c r="G256" s="898">
        <v>2200</v>
      </c>
      <c r="H256" s="703">
        <f t="shared" si="6"/>
        <v>1.2951633871189906E-4</v>
      </c>
      <c r="I256" s="704">
        <f t="shared" si="7"/>
        <v>5.1806535484759627E-5</v>
      </c>
    </row>
    <row r="257" spans="2:9">
      <c r="B257" s="598" t="s">
        <v>2595</v>
      </c>
      <c r="C257" s="604" t="s">
        <v>1107</v>
      </c>
      <c r="D257" s="745">
        <v>2006</v>
      </c>
      <c r="E257" s="650" t="s">
        <v>1352</v>
      </c>
      <c r="F257" s="897">
        <v>0.4</v>
      </c>
      <c r="G257" s="898">
        <v>4800</v>
      </c>
      <c r="H257" s="703">
        <f t="shared" si="6"/>
        <v>2.8258110264414341E-4</v>
      </c>
      <c r="I257" s="704">
        <f t="shared" si="7"/>
        <v>1.1303244105765737E-4</v>
      </c>
    </row>
    <row r="258" spans="2:9">
      <c r="B258" s="598" t="s">
        <v>2595</v>
      </c>
      <c r="C258" s="604" t="s">
        <v>1107</v>
      </c>
      <c r="D258" s="745">
        <v>2006</v>
      </c>
      <c r="E258" s="650" t="s">
        <v>1353</v>
      </c>
      <c r="F258" s="897">
        <v>0.4</v>
      </c>
      <c r="G258" s="898">
        <v>3900</v>
      </c>
      <c r="H258" s="703">
        <f t="shared" si="6"/>
        <v>2.295971458983665E-4</v>
      </c>
      <c r="I258" s="704">
        <f t="shared" si="7"/>
        <v>9.183885835934661E-5</v>
      </c>
    </row>
    <row r="259" spans="2:9">
      <c r="B259" s="598" t="s">
        <v>2595</v>
      </c>
      <c r="C259" s="604" t="s">
        <v>1107</v>
      </c>
      <c r="D259" s="745">
        <v>2007</v>
      </c>
      <c r="E259" s="650" t="s">
        <v>1354</v>
      </c>
      <c r="F259" s="897">
        <v>0.4</v>
      </c>
      <c r="G259" s="898">
        <v>1150</v>
      </c>
      <c r="H259" s="703">
        <f t="shared" si="6"/>
        <v>6.7701722508492685E-5</v>
      </c>
      <c r="I259" s="704">
        <f t="shared" si="7"/>
        <v>2.7080689003397076E-5</v>
      </c>
    </row>
    <row r="260" spans="2:9">
      <c r="B260" s="598" t="s">
        <v>2595</v>
      </c>
      <c r="C260" s="604" t="s">
        <v>1107</v>
      </c>
      <c r="D260" s="745">
        <v>2007</v>
      </c>
      <c r="E260" s="650" t="s">
        <v>1355</v>
      </c>
      <c r="F260" s="897">
        <v>0.4</v>
      </c>
      <c r="G260" s="898">
        <v>700</v>
      </c>
      <c r="H260" s="703">
        <f t="shared" si="6"/>
        <v>4.1209744135604242E-5</v>
      </c>
      <c r="I260" s="704">
        <f t="shared" si="7"/>
        <v>1.6483897654241697E-5</v>
      </c>
    </row>
    <row r="261" spans="2:9">
      <c r="B261" s="598" t="s">
        <v>2595</v>
      </c>
      <c r="C261" s="604" t="s">
        <v>1107</v>
      </c>
      <c r="D261" s="745">
        <v>2007</v>
      </c>
      <c r="E261" s="650" t="s">
        <v>1356</v>
      </c>
      <c r="F261" s="897">
        <v>0.4</v>
      </c>
      <c r="G261" s="898">
        <v>590</v>
      </c>
      <c r="H261" s="703">
        <f t="shared" ref="H261:H324" si="8">+G261/$G$1080</f>
        <v>3.473392720000929E-5</v>
      </c>
      <c r="I261" s="704">
        <f t="shared" ref="I261:I324" si="9">+H261*F261</f>
        <v>1.3893570880003716E-5</v>
      </c>
    </row>
    <row r="262" spans="2:9">
      <c r="B262" s="598" t="s">
        <v>2595</v>
      </c>
      <c r="C262" s="604" t="s">
        <v>1107</v>
      </c>
      <c r="D262" s="745">
        <v>2007</v>
      </c>
      <c r="E262" s="650" t="s">
        <v>1357</v>
      </c>
      <c r="F262" s="897">
        <v>0.4</v>
      </c>
      <c r="G262" s="898">
        <v>790</v>
      </c>
      <c r="H262" s="703">
        <f t="shared" si="8"/>
        <v>4.6508139810181935E-5</v>
      </c>
      <c r="I262" s="704">
        <f t="shared" si="9"/>
        <v>1.8603255924072775E-5</v>
      </c>
    </row>
    <row r="263" spans="2:9">
      <c r="B263" s="598" t="s">
        <v>2595</v>
      </c>
      <c r="C263" s="604" t="s">
        <v>1107</v>
      </c>
      <c r="D263" s="745">
        <v>2007</v>
      </c>
      <c r="E263" s="650" t="s">
        <v>1358</v>
      </c>
      <c r="F263" s="897">
        <v>0.4</v>
      </c>
      <c r="G263" s="898">
        <v>1250</v>
      </c>
      <c r="H263" s="703">
        <f t="shared" si="8"/>
        <v>7.3588828813579007E-5</v>
      </c>
      <c r="I263" s="704">
        <f t="shared" si="9"/>
        <v>2.9435531525431604E-5</v>
      </c>
    </row>
    <row r="264" spans="2:9">
      <c r="B264" s="598" t="s">
        <v>2595</v>
      </c>
      <c r="C264" s="604" t="s">
        <v>1107</v>
      </c>
      <c r="D264" s="745">
        <v>2007</v>
      </c>
      <c r="E264" s="650" t="s">
        <v>1359</v>
      </c>
      <c r="F264" s="897">
        <v>0.4</v>
      </c>
      <c r="G264" s="898">
        <v>925</v>
      </c>
      <c r="H264" s="703">
        <f t="shared" si="8"/>
        <v>5.4455733322048464E-5</v>
      </c>
      <c r="I264" s="704">
        <f t="shared" si="9"/>
        <v>2.1782293328819387E-5</v>
      </c>
    </row>
    <row r="265" spans="2:9">
      <c r="B265" s="598" t="s">
        <v>2595</v>
      </c>
      <c r="C265" s="604" t="s">
        <v>1107</v>
      </c>
      <c r="D265" s="745">
        <v>2007</v>
      </c>
      <c r="E265" s="650" t="s">
        <v>1360</v>
      </c>
      <c r="F265" s="897">
        <v>0.4</v>
      </c>
      <c r="G265" s="898">
        <v>1900</v>
      </c>
      <c r="H265" s="703">
        <f t="shared" si="8"/>
        <v>1.118550197966401E-4</v>
      </c>
      <c r="I265" s="704">
        <f t="shared" si="9"/>
        <v>4.4742007918656039E-5</v>
      </c>
    </row>
    <row r="266" spans="2:9">
      <c r="B266" s="598" t="s">
        <v>2595</v>
      </c>
      <c r="C266" s="604" t="s">
        <v>1107</v>
      </c>
      <c r="D266" s="745">
        <v>2007</v>
      </c>
      <c r="E266" s="650" t="s">
        <v>1361</v>
      </c>
      <c r="F266" s="897">
        <v>0.4</v>
      </c>
      <c r="G266" s="898">
        <v>5206.3100000000004</v>
      </c>
      <c r="H266" s="703">
        <f t="shared" si="8"/>
        <v>3.0650100427233963E-4</v>
      </c>
      <c r="I266" s="704">
        <f t="shared" si="9"/>
        <v>1.2260040170893586E-4</v>
      </c>
    </row>
    <row r="267" spans="2:9">
      <c r="B267" s="598" t="s">
        <v>2595</v>
      </c>
      <c r="C267" s="604" t="s">
        <v>1107</v>
      </c>
      <c r="D267" s="745">
        <v>2007</v>
      </c>
      <c r="E267" s="650" t="s">
        <v>1362</v>
      </c>
      <c r="F267" s="897">
        <v>0.4</v>
      </c>
      <c r="G267" s="898">
        <v>3800</v>
      </c>
      <c r="H267" s="703">
        <f t="shared" si="8"/>
        <v>2.2371003959328019E-4</v>
      </c>
      <c r="I267" s="704">
        <f t="shared" si="9"/>
        <v>8.9484015837312079E-5</v>
      </c>
    </row>
    <row r="268" spans="2:9">
      <c r="B268" s="598" t="s">
        <v>2595</v>
      </c>
      <c r="C268" s="604" t="s">
        <v>1107</v>
      </c>
      <c r="D268" s="745">
        <v>2007</v>
      </c>
      <c r="E268" s="650" t="s">
        <v>1363</v>
      </c>
      <c r="F268" s="897">
        <v>0.4</v>
      </c>
      <c r="G268" s="898">
        <v>1528</v>
      </c>
      <c r="H268" s="703">
        <f t="shared" si="8"/>
        <v>8.9954984341718974E-5</v>
      </c>
      <c r="I268" s="704">
        <f t="shared" si="9"/>
        <v>3.598199373668759E-5</v>
      </c>
    </row>
    <row r="269" spans="2:9">
      <c r="B269" s="598" t="s">
        <v>2595</v>
      </c>
      <c r="C269" s="604" t="s">
        <v>1107</v>
      </c>
      <c r="D269" s="745">
        <v>2007</v>
      </c>
      <c r="E269" s="650" t="s">
        <v>1364</v>
      </c>
      <c r="F269" s="897">
        <v>0.4</v>
      </c>
      <c r="G269" s="898">
        <v>2808</v>
      </c>
      <c r="H269" s="703">
        <f t="shared" si="8"/>
        <v>1.6530994504682388E-4</v>
      </c>
      <c r="I269" s="704">
        <f t="shared" si="9"/>
        <v>6.6123978018729551E-5</v>
      </c>
    </row>
    <row r="270" spans="2:9">
      <c r="B270" s="598" t="s">
        <v>2595</v>
      </c>
      <c r="C270" s="604" t="s">
        <v>1107</v>
      </c>
      <c r="D270" s="745">
        <v>2007</v>
      </c>
      <c r="E270" s="650" t="s">
        <v>1365</v>
      </c>
      <c r="F270" s="897">
        <v>0.4</v>
      </c>
      <c r="G270" s="898">
        <v>3250</v>
      </c>
      <c r="H270" s="703">
        <f t="shared" si="8"/>
        <v>1.9133095491530541E-4</v>
      </c>
      <c r="I270" s="704">
        <f t="shared" si="9"/>
        <v>7.6532381966122175E-5</v>
      </c>
    </row>
    <row r="271" spans="2:9">
      <c r="B271" s="598" t="s">
        <v>2595</v>
      </c>
      <c r="C271" s="604" t="s">
        <v>1107</v>
      </c>
      <c r="D271" s="745">
        <v>2007</v>
      </c>
      <c r="E271" s="650" t="s">
        <v>1366</v>
      </c>
      <c r="F271" s="897">
        <v>0.4</v>
      </c>
      <c r="G271" s="898">
        <v>2901</v>
      </c>
      <c r="H271" s="703">
        <f t="shared" si="8"/>
        <v>1.7078495391055417E-4</v>
      </c>
      <c r="I271" s="704">
        <f t="shared" si="9"/>
        <v>6.8313981564221675E-5</v>
      </c>
    </row>
    <row r="272" spans="2:9">
      <c r="B272" s="598" t="s">
        <v>2595</v>
      </c>
      <c r="C272" s="604" t="s">
        <v>1107</v>
      </c>
      <c r="D272" s="745">
        <v>2012</v>
      </c>
      <c r="E272" s="650"/>
      <c r="F272" s="897">
        <v>0.4</v>
      </c>
      <c r="G272" s="898">
        <v>616.79999999999995</v>
      </c>
      <c r="H272" s="703">
        <f t="shared" si="8"/>
        <v>3.6311671689772425E-5</v>
      </c>
      <c r="I272" s="704">
        <f t="shared" si="9"/>
        <v>1.4524668675908971E-5</v>
      </c>
    </row>
    <row r="273" spans="2:9">
      <c r="B273" s="598" t="s">
        <v>2595</v>
      </c>
      <c r="C273" s="604" t="s">
        <v>1107</v>
      </c>
      <c r="D273" s="745">
        <v>2013</v>
      </c>
      <c r="E273" s="650"/>
      <c r="F273" s="897">
        <v>0.4</v>
      </c>
      <c r="G273" s="898">
        <v>2900</v>
      </c>
      <c r="H273" s="703">
        <f t="shared" si="8"/>
        <v>1.707260828475033E-4</v>
      </c>
      <c r="I273" s="704">
        <f t="shared" si="9"/>
        <v>6.8290433139001322E-5</v>
      </c>
    </row>
    <row r="274" spans="2:9">
      <c r="B274" s="598" t="s">
        <v>2595</v>
      </c>
      <c r="C274" s="604" t="s">
        <v>1107</v>
      </c>
      <c r="D274" s="745">
        <v>2007</v>
      </c>
      <c r="E274" s="650" t="s">
        <v>1367</v>
      </c>
      <c r="F274" s="897">
        <v>0.4</v>
      </c>
      <c r="G274" s="898">
        <v>1200</v>
      </c>
      <c r="H274" s="703">
        <f t="shared" si="8"/>
        <v>7.0645275661035853E-5</v>
      </c>
      <c r="I274" s="704">
        <f t="shared" si="9"/>
        <v>2.8258110264414342E-5</v>
      </c>
    </row>
    <row r="275" spans="2:9">
      <c r="B275" s="598" t="s">
        <v>2595</v>
      </c>
      <c r="C275" s="604" t="s">
        <v>1107</v>
      </c>
      <c r="D275" s="745">
        <v>2007</v>
      </c>
      <c r="E275" s="650" t="s">
        <v>1368</v>
      </c>
      <c r="F275" s="897">
        <v>0.4</v>
      </c>
      <c r="G275" s="898">
        <v>3750</v>
      </c>
      <c r="H275" s="703">
        <f t="shared" si="8"/>
        <v>2.2076648644073704E-4</v>
      </c>
      <c r="I275" s="704">
        <f t="shared" si="9"/>
        <v>8.830659457629482E-5</v>
      </c>
    </row>
    <row r="276" spans="2:9">
      <c r="B276" s="598" t="s">
        <v>2595</v>
      </c>
      <c r="C276" s="604" t="s">
        <v>1107</v>
      </c>
      <c r="D276" s="745">
        <v>2007</v>
      </c>
      <c r="E276" s="650" t="s">
        <v>1369</v>
      </c>
      <c r="F276" s="897">
        <v>0.4</v>
      </c>
      <c r="G276" s="898">
        <v>7000</v>
      </c>
      <c r="H276" s="703">
        <f t="shared" si="8"/>
        <v>4.1209744135604242E-4</v>
      </c>
      <c r="I276" s="704">
        <f t="shared" si="9"/>
        <v>1.6483897654241697E-4</v>
      </c>
    </row>
    <row r="277" spans="2:9">
      <c r="B277" s="598" t="s">
        <v>2595</v>
      </c>
      <c r="C277" s="604" t="s">
        <v>1107</v>
      </c>
      <c r="D277" s="745">
        <v>2008</v>
      </c>
      <c r="E277" s="650" t="s">
        <v>1370</v>
      </c>
      <c r="F277" s="897">
        <v>0.4</v>
      </c>
      <c r="G277" s="898">
        <v>3250</v>
      </c>
      <c r="H277" s="703">
        <f t="shared" si="8"/>
        <v>1.9133095491530541E-4</v>
      </c>
      <c r="I277" s="704">
        <f t="shared" si="9"/>
        <v>7.6532381966122175E-5</v>
      </c>
    </row>
    <row r="278" spans="2:9">
      <c r="B278" s="598" t="s">
        <v>2595</v>
      </c>
      <c r="C278" s="604" t="s">
        <v>1107</v>
      </c>
      <c r="D278" s="745">
        <v>2008</v>
      </c>
      <c r="E278" s="650" t="s">
        <v>1371</v>
      </c>
      <c r="F278" s="897">
        <v>0.4</v>
      </c>
      <c r="G278" s="898">
        <v>7800</v>
      </c>
      <c r="H278" s="703">
        <f t="shared" si="8"/>
        <v>4.59194291796733E-4</v>
      </c>
      <c r="I278" s="704">
        <f t="shared" si="9"/>
        <v>1.8367771671869322E-4</v>
      </c>
    </row>
    <row r="279" spans="2:9">
      <c r="B279" s="598" t="s">
        <v>2595</v>
      </c>
      <c r="C279" s="604" t="s">
        <v>1107</v>
      </c>
      <c r="D279" s="745">
        <v>2008</v>
      </c>
      <c r="E279" s="650" t="s">
        <v>1372</v>
      </c>
      <c r="F279" s="897">
        <v>0.4</v>
      </c>
      <c r="G279" s="898">
        <v>1300</v>
      </c>
      <c r="H279" s="703">
        <f t="shared" si="8"/>
        <v>7.6532381966122162E-5</v>
      </c>
      <c r="I279" s="704">
        <f t="shared" si="9"/>
        <v>3.0612952786448863E-5</v>
      </c>
    </row>
    <row r="280" spans="2:9">
      <c r="B280" s="598" t="s">
        <v>2595</v>
      </c>
      <c r="C280" s="604" t="s">
        <v>1107</v>
      </c>
      <c r="D280" s="745">
        <v>2008</v>
      </c>
      <c r="E280" s="650" t="s">
        <v>1372</v>
      </c>
      <c r="F280" s="897">
        <v>0.4</v>
      </c>
      <c r="G280" s="898">
        <v>1300</v>
      </c>
      <c r="H280" s="703">
        <f t="shared" si="8"/>
        <v>7.6532381966122162E-5</v>
      </c>
      <c r="I280" s="704">
        <f t="shared" si="9"/>
        <v>3.0612952786448863E-5</v>
      </c>
    </row>
    <row r="281" spans="2:9">
      <c r="B281" s="598" t="s">
        <v>2595</v>
      </c>
      <c r="C281" s="604" t="s">
        <v>1107</v>
      </c>
      <c r="D281" s="745">
        <v>2008</v>
      </c>
      <c r="E281" s="650" t="s">
        <v>1373</v>
      </c>
      <c r="F281" s="897">
        <v>0.4</v>
      </c>
      <c r="G281" s="898">
        <v>856.12</v>
      </c>
      <c r="H281" s="703">
        <f t="shared" si="8"/>
        <v>5.0400694499105006E-5</v>
      </c>
      <c r="I281" s="704">
        <f t="shared" si="9"/>
        <v>2.0160277799642004E-5</v>
      </c>
    </row>
    <row r="282" spans="2:9">
      <c r="B282" s="598" t="s">
        <v>2595</v>
      </c>
      <c r="C282" s="604" t="s">
        <v>1107</v>
      </c>
      <c r="D282" s="745">
        <v>2008</v>
      </c>
      <c r="E282" s="650" t="s">
        <v>1374</v>
      </c>
      <c r="F282" s="897">
        <v>0.4</v>
      </c>
      <c r="G282" s="898">
        <v>1000</v>
      </c>
      <c r="H282" s="703">
        <f t="shared" si="8"/>
        <v>5.8871063050863209E-5</v>
      </c>
      <c r="I282" s="704">
        <f t="shared" si="9"/>
        <v>2.3548425220345286E-5</v>
      </c>
    </row>
    <row r="283" spans="2:9">
      <c r="B283" s="598" t="s">
        <v>2595</v>
      </c>
      <c r="C283" s="604" t="s">
        <v>1107</v>
      </c>
      <c r="D283" s="745">
        <v>2008</v>
      </c>
      <c r="E283" s="650" t="s">
        <v>1375</v>
      </c>
      <c r="F283" s="897">
        <v>0.4</v>
      </c>
      <c r="G283" s="898">
        <v>3200</v>
      </c>
      <c r="H283" s="703">
        <f t="shared" si="8"/>
        <v>1.8838740176276226E-4</v>
      </c>
      <c r="I283" s="704">
        <f t="shared" si="9"/>
        <v>7.5354960705104903E-5</v>
      </c>
    </row>
    <row r="284" spans="2:9">
      <c r="B284" s="598" t="s">
        <v>2595</v>
      </c>
      <c r="C284" s="604" t="s">
        <v>1107</v>
      </c>
      <c r="D284" s="745">
        <v>2008</v>
      </c>
      <c r="E284" s="650" t="s">
        <v>1376</v>
      </c>
      <c r="F284" s="897">
        <v>0.4</v>
      </c>
      <c r="G284" s="898">
        <v>4000</v>
      </c>
      <c r="H284" s="703">
        <f t="shared" si="8"/>
        <v>2.3548425220345283E-4</v>
      </c>
      <c r="I284" s="704">
        <f t="shared" si="9"/>
        <v>9.4193700881381142E-5</v>
      </c>
    </row>
    <row r="285" spans="2:9">
      <c r="B285" s="598" t="s">
        <v>2595</v>
      </c>
      <c r="C285" s="604" t="s">
        <v>1107</v>
      </c>
      <c r="D285" s="745">
        <v>2008</v>
      </c>
      <c r="E285" s="650" t="s">
        <v>1377</v>
      </c>
      <c r="F285" s="897">
        <v>0.4</v>
      </c>
      <c r="G285" s="898">
        <v>5000</v>
      </c>
      <c r="H285" s="703">
        <f t="shared" si="8"/>
        <v>2.9435531525431603E-4</v>
      </c>
      <c r="I285" s="704">
        <f t="shared" si="9"/>
        <v>1.1774212610172642E-4</v>
      </c>
    </row>
    <row r="286" spans="2:9">
      <c r="B286" s="598" t="s">
        <v>2595</v>
      </c>
      <c r="C286" s="604" t="s">
        <v>1107</v>
      </c>
      <c r="D286" s="745">
        <v>2008</v>
      </c>
      <c r="E286" s="650" t="s">
        <v>1378</v>
      </c>
      <c r="F286" s="897">
        <v>0.4</v>
      </c>
      <c r="G286" s="898">
        <v>1370</v>
      </c>
      <c r="H286" s="703">
        <f t="shared" si="8"/>
        <v>8.0653356379682589E-5</v>
      </c>
      <c r="I286" s="704">
        <f t="shared" si="9"/>
        <v>3.2261342551873038E-5</v>
      </c>
    </row>
    <row r="287" spans="2:9">
      <c r="B287" s="598" t="s">
        <v>2595</v>
      </c>
      <c r="C287" s="604" t="s">
        <v>1107</v>
      </c>
      <c r="D287" s="745">
        <v>2008</v>
      </c>
      <c r="E287" s="650" t="s">
        <v>1379</v>
      </c>
      <c r="F287" s="897">
        <v>0.4</v>
      </c>
      <c r="G287" s="898">
        <v>1443</v>
      </c>
      <c r="H287" s="703">
        <f t="shared" si="8"/>
        <v>8.4950943982395606E-5</v>
      </c>
      <c r="I287" s="704">
        <f t="shared" si="9"/>
        <v>3.3980377592958247E-5</v>
      </c>
    </row>
    <row r="288" spans="2:9">
      <c r="B288" s="598" t="s">
        <v>2595</v>
      </c>
      <c r="C288" s="604" t="s">
        <v>1107</v>
      </c>
      <c r="D288" s="745">
        <v>2008</v>
      </c>
      <c r="E288" s="650" t="s">
        <v>1380</v>
      </c>
      <c r="F288" s="897">
        <v>0.4</v>
      </c>
      <c r="G288" s="898">
        <v>6250</v>
      </c>
      <c r="H288" s="703">
        <f t="shared" si="8"/>
        <v>3.6794414406789502E-4</v>
      </c>
      <c r="I288" s="704">
        <f t="shared" si="9"/>
        <v>1.4717765762715801E-4</v>
      </c>
    </row>
    <row r="289" spans="2:9">
      <c r="B289" s="598" t="s">
        <v>2595</v>
      </c>
      <c r="C289" s="604" t="s">
        <v>1107</v>
      </c>
      <c r="D289" s="745">
        <v>2008</v>
      </c>
      <c r="E289" s="650" t="s">
        <v>1381</v>
      </c>
      <c r="F289" s="897">
        <v>0.4</v>
      </c>
      <c r="G289" s="898">
        <v>1050</v>
      </c>
      <c r="H289" s="703">
        <f t="shared" si="8"/>
        <v>6.1814616203406363E-5</v>
      </c>
      <c r="I289" s="704">
        <f t="shared" si="9"/>
        <v>2.4725846481362548E-5</v>
      </c>
    </row>
    <row r="290" spans="2:9">
      <c r="B290" s="598" t="s">
        <v>2595</v>
      </c>
      <c r="C290" s="604" t="s">
        <v>1107</v>
      </c>
      <c r="D290" s="745">
        <v>2008</v>
      </c>
      <c r="E290" s="650" t="s">
        <v>1382</v>
      </c>
      <c r="F290" s="897">
        <v>0.4</v>
      </c>
      <c r="G290" s="898">
        <v>4100</v>
      </c>
      <c r="H290" s="703">
        <f t="shared" si="8"/>
        <v>2.4137135850853914E-4</v>
      </c>
      <c r="I290" s="704">
        <f t="shared" si="9"/>
        <v>9.654854340341566E-5</v>
      </c>
    </row>
    <row r="291" spans="2:9">
      <c r="B291" s="598" t="s">
        <v>2595</v>
      </c>
      <c r="C291" s="604" t="s">
        <v>1107</v>
      </c>
      <c r="D291" s="745">
        <v>2008</v>
      </c>
      <c r="E291" s="650" t="s">
        <v>1383</v>
      </c>
      <c r="F291" s="897">
        <v>0.4</v>
      </c>
      <c r="G291" s="898">
        <v>700</v>
      </c>
      <c r="H291" s="703">
        <f t="shared" si="8"/>
        <v>4.1209744135604242E-5</v>
      </c>
      <c r="I291" s="704">
        <f t="shared" si="9"/>
        <v>1.6483897654241697E-5</v>
      </c>
    </row>
    <row r="292" spans="2:9">
      <c r="B292" s="598" t="s">
        <v>2595</v>
      </c>
      <c r="C292" s="604" t="s">
        <v>1107</v>
      </c>
      <c r="D292" s="745">
        <v>2008</v>
      </c>
      <c r="E292" s="650" t="s">
        <v>1384</v>
      </c>
      <c r="F292" s="897">
        <v>0.4</v>
      </c>
      <c r="G292" s="898">
        <v>5000</v>
      </c>
      <c r="H292" s="703">
        <f t="shared" si="8"/>
        <v>2.9435531525431603E-4</v>
      </c>
      <c r="I292" s="704">
        <f t="shared" si="9"/>
        <v>1.1774212610172642E-4</v>
      </c>
    </row>
    <row r="293" spans="2:9">
      <c r="B293" s="598" t="s">
        <v>2595</v>
      </c>
      <c r="C293" s="604" t="s">
        <v>1107</v>
      </c>
      <c r="D293" s="745">
        <v>2008</v>
      </c>
      <c r="E293" s="650" t="s">
        <v>1385</v>
      </c>
      <c r="F293" s="897">
        <v>0.4</v>
      </c>
      <c r="G293" s="898">
        <v>8200</v>
      </c>
      <c r="H293" s="703">
        <f t="shared" si="8"/>
        <v>4.8274271701707829E-4</v>
      </c>
      <c r="I293" s="704">
        <f t="shared" si="9"/>
        <v>1.9309708680683132E-4</v>
      </c>
    </row>
    <row r="294" spans="2:9">
      <c r="B294" s="598" t="s">
        <v>2595</v>
      </c>
      <c r="C294" s="604" t="s">
        <v>1107</v>
      </c>
      <c r="D294" s="745">
        <v>2008</v>
      </c>
      <c r="E294" s="650" t="s">
        <v>1382</v>
      </c>
      <c r="F294" s="897">
        <v>0.4</v>
      </c>
      <c r="G294" s="898">
        <v>4100</v>
      </c>
      <c r="H294" s="703">
        <f t="shared" si="8"/>
        <v>2.4137135850853914E-4</v>
      </c>
      <c r="I294" s="704">
        <f t="shared" si="9"/>
        <v>9.654854340341566E-5</v>
      </c>
    </row>
    <row r="295" spans="2:9">
      <c r="B295" s="598" t="s">
        <v>2595</v>
      </c>
      <c r="C295" s="604" t="s">
        <v>1107</v>
      </c>
      <c r="D295" s="745">
        <v>2008</v>
      </c>
      <c r="E295" s="650" t="s">
        <v>1386</v>
      </c>
      <c r="F295" s="897">
        <v>0.4</v>
      </c>
      <c r="G295" s="898">
        <v>9000</v>
      </c>
      <c r="H295" s="703">
        <f t="shared" si="8"/>
        <v>5.2983956745776886E-4</v>
      </c>
      <c r="I295" s="704">
        <f t="shared" si="9"/>
        <v>2.1193582698310755E-4</v>
      </c>
    </row>
    <row r="296" spans="2:9">
      <c r="B296" s="598" t="s">
        <v>2595</v>
      </c>
      <c r="C296" s="604" t="s">
        <v>1107</v>
      </c>
      <c r="D296" s="745">
        <v>2008</v>
      </c>
      <c r="E296" s="650" t="s">
        <v>1387</v>
      </c>
      <c r="F296" s="897">
        <v>0.4</v>
      </c>
      <c r="G296" s="898">
        <v>2850</v>
      </c>
      <c r="H296" s="703">
        <f t="shared" si="8"/>
        <v>1.6778252969496015E-4</v>
      </c>
      <c r="I296" s="704">
        <f t="shared" si="9"/>
        <v>6.7113011877984062E-5</v>
      </c>
    </row>
    <row r="297" spans="2:9">
      <c r="B297" s="598" t="s">
        <v>2595</v>
      </c>
      <c r="C297" s="604" t="s">
        <v>1107</v>
      </c>
      <c r="D297" s="745">
        <v>2008</v>
      </c>
      <c r="E297" s="650" t="s">
        <v>1388</v>
      </c>
      <c r="F297" s="897">
        <v>0.4</v>
      </c>
      <c r="G297" s="898">
        <v>1684.36</v>
      </c>
      <c r="H297" s="703">
        <f t="shared" si="8"/>
        <v>9.9160063760351944E-5</v>
      </c>
      <c r="I297" s="704">
        <f t="shared" si="9"/>
        <v>3.9664025504140783E-5</v>
      </c>
    </row>
    <row r="298" spans="2:9">
      <c r="B298" s="598" t="s">
        <v>2595</v>
      </c>
      <c r="C298" s="604" t="s">
        <v>1107</v>
      </c>
      <c r="D298" s="745">
        <v>2009</v>
      </c>
      <c r="E298" s="650" t="s">
        <v>1389</v>
      </c>
      <c r="F298" s="897">
        <v>0.4</v>
      </c>
      <c r="G298" s="898">
        <v>1900</v>
      </c>
      <c r="H298" s="703">
        <f t="shared" si="8"/>
        <v>1.118550197966401E-4</v>
      </c>
      <c r="I298" s="704">
        <f t="shared" si="9"/>
        <v>4.4742007918656039E-5</v>
      </c>
    </row>
    <row r="299" spans="2:9">
      <c r="B299" s="598" t="s">
        <v>2595</v>
      </c>
      <c r="C299" s="604" t="s">
        <v>1107</v>
      </c>
      <c r="D299" s="745">
        <v>2009</v>
      </c>
      <c r="E299" s="650" t="s">
        <v>1390</v>
      </c>
      <c r="F299" s="897">
        <v>0.4</v>
      </c>
      <c r="G299" s="898">
        <v>886.5</v>
      </c>
      <c r="H299" s="703">
        <f t="shared" si="8"/>
        <v>5.2189197394590234E-5</v>
      </c>
      <c r="I299" s="704">
        <f t="shared" si="9"/>
        <v>2.0875678957836096E-5</v>
      </c>
    </row>
    <row r="300" spans="2:9">
      <c r="B300" s="598" t="s">
        <v>2595</v>
      </c>
      <c r="C300" s="604" t="s">
        <v>1107</v>
      </c>
      <c r="D300" s="745">
        <v>2009</v>
      </c>
      <c r="E300" s="650" t="s">
        <v>1391</v>
      </c>
      <c r="F300" s="897">
        <v>0.4</v>
      </c>
      <c r="G300" s="898">
        <v>713</v>
      </c>
      <c r="H300" s="703">
        <f t="shared" si="8"/>
        <v>4.1975067955265469E-5</v>
      </c>
      <c r="I300" s="704">
        <f t="shared" si="9"/>
        <v>1.6790027182106189E-5</v>
      </c>
    </row>
    <row r="301" spans="2:9">
      <c r="B301" s="598" t="s">
        <v>2595</v>
      </c>
      <c r="C301" s="604" t="s">
        <v>1107</v>
      </c>
      <c r="D301" s="745">
        <v>2009</v>
      </c>
      <c r="E301" s="650" t="s">
        <v>1392</v>
      </c>
      <c r="F301" s="897">
        <v>0.4</v>
      </c>
      <c r="G301" s="898">
        <v>827.5</v>
      </c>
      <c r="H301" s="703">
        <f t="shared" si="8"/>
        <v>4.87158046745893E-5</v>
      </c>
      <c r="I301" s="704">
        <f t="shared" si="9"/>
        <v>1.9486321869835722E-5</v>
      </c>
    </row>
    <row r="302" spans="2:9">
      <c r="B302" s="598" t="s">
        <v>2595</v>
      </c>
      <c r="C302" s="604" t="s">
        <v>1107</v>
      </c>
      <c r="D302" s="745">
        <v>2009</v>
      </c>
      <c r="E302" s="650" t="s">
        <v>1393</v>
      </c>
      <c r="F302" s="897">
        <v>0.4</v>
      </c>
      <c r="G302" s="898">
        <v>801</v>
      </c>
      <c r="H302" s="703">
        <f t="shared" si="8"/>
        <v>4.7155721503741428E-5</v>
      </c>
      <c r="I302" s="704">
        <f t="shared" si="9"/>
        <v>1.8862288601496572E-5</v>
      </c>
    </row>
    <row r="303" spans="2:9">
      <c r="B303" s="598" t="s">
        <v>2595</v>
      </c>
      <c r="C303" s="604" t="s">
        <v>1107</v>
      </c>
      <c r="D303" s="745">
        <v>2009</v>
      </c>
      <c r="E303" s="650" t="s">
        <v>1394</v>
      </c>
      <c r="F303" s="897">
        <v>0.4</v>
      </c>
      <c r="G303" s="898">
        <v>520</v>
      </c>
      <c r="H303" s="703">
        <f t="shared" si="8"/>
        <v>3.061295278644887E-5</v>
      </c>
      <c r="I303" s="704">
        <f t="shared" si="9"/>
        <v>1.2245181114579548E-5</v>
      </c>
    </row>
    <row r="304" spans="2:9">
      <c r="B304" s="598" t="s">
        <v>2595</v>
      </c>
      <c r="C304" s="604" t="s">
        <v>1107</v>
      </c>
      <c r="D304" s="745">
        <v>2009</v>
      </c>
      <c r="E304" s="650" t="s">
        <v>1395</v>
      </c>
      <c r="F304" s="897">
        <v>0.4</v>
      </c>
      <c r="G304" s="898">
        <v>2880</v>
      </c>
      <c r="H304" s="703">
        <f t="shared" si="8"/>
        <v>1.6954866158648603E-4</v>
      </c>
      <c r="I304" s="704">
        <f t="shared" si="9"/>
        <v>6.7819464634594412E-5</v>
      </c>
    </row>
    <row r="305" spans="2:9">
      <c r="B305" s="598" t="s">
        <v>2595</v>
      </c>
      <c r="C305" s="604" t="s">
        <v>1107</v>
      </c>
      <c r="D305" s="745">
        <v>2009</v>
      </c>
      <c r="E305" s="650" t="s">
        <v>1396</v>
      </c>
      <c r="F305" s="897">
        <v>0.4</v>
      </c>
      <c r="G305" s="898">
        <v>1050</v>
      </c>
      <c r="H305" s="703">
        <f t="shared" si="8"/>
        <v>6.1814616203406363E-5</v>
      </c>
      <c r="I305" s="704">
        <f t="shared" si="9"/>
        <v>2.4725846481362548E-5</v>
      </c>
    </row>
    <row r="306" spans="2:9">
      <c r="B306" s="598" t="s">
        <v>2595</v>
      </c>
      <c r="C306" s="604" t="s">
        <v>1107</v>
      </c>
      <c r="D306" s="745">
        <v>2009</v>
      </c>
      <c r="E306" s="650" t="s">
        <v>1397</v>
      </c>
      <c r="F306" s="897">
        <v>0.4</v>
      </c>
      <c r="G306" s="898">
        <v>760</v>
      </c>
      <c r="H306" s="703">
        <f t="shared" si="8"/>
        <v>4.4742007918656039E-5</v>
      </c>
      <c r="I306" s="704">
        <f t="shared" si="9"/>
        <v>1.7896803167462418E-5</v>
      </c>
    </row>
    <row r="307" spans="2:9">
      <c r="B307" s="598" t="s">
        <v>2595</v>
      </c>
      <c r="C307" s="604" t="s">
        <v>1107</v>
      </c>
      <c r="D307" s="745">
        <v>2009</v>
      </c>
      <c r="E307" s="650" t="s">
        <v>1398</v>
      </c>
      <c r="F307" s="897">
        <v>0.4</v>
      </c>
      <c r="G307" s="898">
        <v>3700</v>
      </c>
      <c r="H307" s="703">
        <f t="shared" si="8"/>
        <v>2.1782293328819385E-4</v>
      </c>
      <c r="I307" s="704">
        <f t="shared" si="9"/>
        <v>8.7129173315277547E-5</v>
      </c>
    </row>
    <row r="308" spans="2:9">
      <c r="B308" s="598" t="s">
        <v>2595</v>
      </c>
      <c r="C308" s="604" t="s">
        <v>1107</v>
      </c>
      <c r="D308" s="745">
        <v>2009</v>
      </c>
      <c r="E308" s="650" t="s">
        <v>1398</v>
      </c>
      <c r="F308" s="897">
        <v>0.4</v>
      </c>
      <c r="G308" s="898">
        <v>3700</v>
      </c>
      <c r="H308" s="703">
        <f t="shared" si="8"/>
        <v>2.1782293328819385E-4</v>
      </c>
      <c r="I308" s="704">
        <f t="shared" si="9"/>
        <v>8.7129173315277547E-5</v>
      </c>
    </row>
    <row r="309" spans="2:9">
      <c r="B309" s="598" t="s">
        <v>2595</v>
      </c>
      <c r="C309" s="604" t="s">
        <v>1107</v>
      </c>
      <c r="D309" s="745">
        <v>2009</v>
      </c>
      <c r="E309" s="650" t="s">
        <v>1399</v>
      </c>
      <c r="F309" s="897">
        <v>0.4</v>
      </c>
      <c r="G309" s="898">
        <v>8000</v>
      </c>
      <c r="H309" s="703">
        <f t="shared" si="8"/>
        <v>4.7096850440690567E-4</v>
      </c>
      <c r="I309" s="704">
        <f t="shared" si="9"/>
        <v>1.8838740176276228E-4</v>
      </c>
    </row>
    <row r="310" spans="2:9">
      <c r="B310" s="598" t="s">
        <v>2595</v>
      </c>
      <c r="C310" s="604" t="s">
        <v>1107</v>
      </c>
      <c r="D310" s="745">
        <v>2009</v>
      </c>
      <c r="E310" s="650" t="s">
        <v>1400</v>
      </c>
      <c r="F310" s="897">
        <v>0.4</v>
      </c>
      <c r="G310" s="898">
        <v>2450</v>
      </c>
      <c r="H310" s="703">
        <f t="shared" si="8"/>
        <v>1.4423410447461486E-4</v>
      </c>
      <c r="I310" s="704">
        <f t="shared" si="9"/>
        <v>5.769364178984595E-5</v>
      </c>
    </row>
    <row r="311" spans="2:9">
      <c r="B311" s="598" t="s">
        <v>2595</v>
      </c>
      <c r="C311" s="604" t="s">
        <v>1107</v>
      </c>
      <c r="D311" s="745">
        <v>2009</v>
      </c>
      <c r="E311" s="650" t="s">
        <v>1401</v>
      </c>
      <c r="F311" s="897">
        <v>0.4</v>
      </c>
      <c r="G311" s="898">
        <v>4000</v>
      </c>
      <c r="H311" s="703">
        <f t="shared" si="8"/>
        <v>2.3548425220345283E-4</v>
      </c>
      <c r="I311" s="704">
        <f t="shared" si="9"/>
        <v>9.4193700881381142E-5</v>
      </c>
    </row>
    <row r="312" spans="2:9">
      <c r="B312" s="598" t="s">
        <v>2595</v>
      </c>
      <c r="C312" s="604" t="s">
        <v>1107</v>
      </c>
      <c r="D312" s="745">
        <v>2009</v>
      </c>
      <c r="E312" s="650" t="s">
        <v>1402</v>
      </c>
      <c r="F312" s="897">
        <v>0.4</v>
      </c>
      <c r="G312" s="898">
        <v>3000</v>
      </c>
      <c r="H312" s="703">
        <f t="shared" si="8"/>
        <v>1.7661318915258961E-4</v>
      </c>
      <c r="I312" s="704">
        <f t="shared" si="9"/>
        <v>7.0645275661035853E-5</v>
      </c>
    </row>
    <row r="313" spans="2:9">
      <c r="B313" s="598" t="s">
        <v>2595</v>
      </c>
      <c r="C313" s="604" t="s">
        <v>1107</v>
      </c>
      <c r="D313" s="745">
        <v>2009</v>
      </c>
      <c r="E313" s="650" t="s">
        <v>1403</v>
      </c>
      <c r="F313" s="897">
        <v>0.4</v>
      </c>
      <c r="G313" s="898">
        <v>960</v>
      </c>
      <c r="H313" s="703">
        <f t="shared" si="8"/>
        <v>5.6516220528828677E-5</v>
      </c>
      <c r="I313" s="704">
        <f t="shared" si="9"/>
        <v>2.2606488211531471E-5</v>
      </c>
    </row>
    <row r="314" spans="2:9">
      <c r="B314" s="598" t="s">
        <v>2595</v>
      </c>
      <c r="C314" s="604" t="s">
        <v>1107</v>
      </c>
      <c r="D314" s="745">
        <v>2009</v>
      </c>
      <c r="E314" s="650" t="s">
        <v>1404</v>
      </c>
      <c r="F314" s="897">
        <v>0.4</v>
      </c>
      <c r="G314" s="898">
        <v>3000</v>
      </c>
      <c r="H314" s="703">
        <f t="shared" si="8"/>
        <v>1.7661318915258961E-4</v>
      </c>
      <c r="I314" s="704">
        <f t="shared" si="9"/>
        <v>7.0645275661035853E-5</v>
      </c>
    </row>
    <row r="315" spans="2:9">
      <c r="B315" s="598" t="s">
        <v>2595</v>
      </c>
      <c r="C315" s="604" t="s">
        <v>1107</v>
      </c>
      <c r="D315" s="745">
        <v>2009</v>
      </c>
      <c r="E315" s="650" t="s">
        <v>1405</v>
      </c>
      <c r="F315" s="897">
        <v>0.4</v>
      </c>
      <c r="G315" s="898">
        <v>2000</v>
      </c>
      <c r="H315" s="703">
        <f t="shared" si="8"/>
        <v>1.1774212610172642E-4</v>
      </c>
      <c r="I315" s="704">
        <f t="shared" si="9"/>
        <v>4.7096850440690571E-5</v>
      </c>
    </row>
    <row r="316" spans="2:9">
      <c r="B316" s="598" t="s">
        <v>2595</v>
      </c>
      <c r="C316" s="604" t="s">
        <v>1107</v>
      </c>
      <c r="D316" s="745">
        <v>2009</v>
      </c>
      <c r="E316" s="650" t="s">
        <v>1406</v>
      </c>
      <c r="F316" s="897">
        <v>0.4</v>
      </c>
      <c r="G316" s="898">
        <v>1950</v>
      </c>
      <c r="H316" s="703">
        <f t="shared" si="8"/>
        <v>1.1479857294918325E-4</v>
      </c>
      <c r="I316" s="704">
        <f t="shared" si="9"/>
        <v>4.5919429179673305E-5</v>
      </c>
    </row>
    <row r="317" spans="2:9">
      <c r="B317" s="598" t="s">
        <v>2595</v>
      </c>
      <c r="C317" s="604" t="s">
        <v>1107</v>
      </c>
      <c r="D317" s="745">
        <v>2009</v>
      </c>
      <c r="E317" s="650" t="s">
        <v>1407</v>
      </c>
      <c r="F317" s="897">
        <v>0.4</v>
      </c>
      <c r="G317" s="898">
        <v>6145.04</v>
      </c>
      <c r="H317" s="703">
        <f t="shared" si="8"/>
        <v>3.6176503729007641E-4</v>
      </c>
      <c r="I317" s="704">
        <f t="shared" si="9"/>
        <v>1.4470601491603058E-4</v>
      </c>
    </row>
    <row r="318" spans="2:9">
      <c r="B318" s="598" t="s">
        <v>2595</v>
      </c>
      <c r="C318" s="604" t="s">
        <v>1107</v>
      </c>
      <c r="D318" s="745">
        <v>2009</v>
      </c>
      <c r="E318" s="650" t="s">
        <v>1408</v>
      </c>
      <c r="F318" s="897">
        <v>0.4</v>
      </c>
      <c r="G318" s="898">
        <v>3300</v>
      </c>
      <c r="H318" s="703">
        <f t="shared" si="8"/>
        <v>1.9427450806784859E-4</v>
      </c>
      <c r="I318" s="704">
        <f t="shared" si="9"/>
        <v>7.7709803227139448E-5</v>
      </c>
    </row>
    <row r="319" spans="2:9">
      <c r="B319" s="598" t="s">
        <v>2595</v>
      </c>
      <c r="C319" s="604" t="s">
        <v>1107</v>
      </c>
      <c r="D319" s="745">
        <v>2009</v>
      </c>
      <c r="E319" s="650" t="s">
        <v>1409</v>
      </c>
      <c r="F319" s="897">
        <v>0.4</v>
      </c>
      <c r="G319" s="898">
        <v>40000</v>
      </c>
      <c r="H319" s="703">
        <f t="shared" si="8"/>
        <v>2.3548425220345282E-3</v>
      </c>
      <c r="I319" s="704">
        <f t="shared" si="9"/>
        <v>9.4193700881381134E-4</v>
      </c>
    </row>
    <row r="320" spans="2:9">
      <c r="B320" s="598" t="s">
        <v>2595</v>
      </c>
      <c r="C320" s="604" t="s">
        <v>1107</v>
      </c>
      <c r="D320" s="745">
        <v>2009</v>
      </c>
      <c r="E320" s="650" t="s">
        <v>1410</v>
      </c>
      <c r="F320" s="897">
        <v>0.4</v>
      </c>
      <c r="G320" s="898">
        <v>5000</v>
      </c>
      <c r="H320" s="703">
        <f t="shared" si="8"/>
        <v>2.9435531525431603E-4</v>
      </c>
      <c r="I320" s="704">
        <f t="shared" si="9"/>
        <v>1.1774212610172642E-4</v>
      </c>
    </row>
    <row r="321" spans="2:9">
      <c r="B321" s="598" t="s">
        <v>2595</v>
      </c>
      <c r="C321" s="604" t="s">
        <v>1107</v>
      </c>
      <c r="D321" s="745">
        <v>2009</v>
      </c>
      <c r="E321" s="650" t="s">
        <v>1411</v>
      </c>
      <c r="F321" s="897">
        <v>0.4</v>
      </c>
      <c r="G321" s="898">
        <v>4300</v>
      </c>
      <c r="H321" s="703">
        <f t="shared" si="8"/>
        <v>2.5314557111871176E-4</v>
      </c>
      <c r="I321" s="704">
        <f t="shared" si="9"/>
        <v>1.0125822844748471E-4</v>
      </c>
    </row>
    <row r="322" spans="2:9">
      <c r="B322" s="598" t="s">
        <v>2595</v>
      </c>
      <c r="C322" s="604" t="s">
        <v>1107</v>
      </c>
      <c r="D322" s="745">
        <v>2009</v>
      </c>
      <c r="E322" s="650" t="s">
        <v>1412</v>
      </c>
      <c r="F322" s="897">
        <v>0.4</v>
      </c>
      <c r="G322" s="898">
        <v>510.75</v>
      </c>
      <c r="H322" s="703">
        <f t="shared" si="8"/>
        <v>3.0068395453228382E-5</v>
      </c>
      <c r="I322" s="704">
        <f t="shared" si="9"/>
        <v>1.2027358181291354E-5</v>
      </c>
    </row>
    <row r="323" spans="2:9">
      <c r="B323" s="598" t="s">
        <v>2595</v>
      </c>
      <c r="C323" s="604" t="s">
        <v>1107</v>
      </c>
      <c r="D323" s="745">
        <v>2009</v>
      </c>
      <c r="E323" s="650" t="s">
        <v>1413</v>
      </c>
      <c r="F323" s="897">
        <v>0.4</v>
      </c>
      <c r="G323" s="898">
        <v>1600</v>
      </c>
      <c r="H323" s="703">
        <f t="shared" si="8"/>
        <v>9.4193700881381128E-5</v>
      </c>
      <c r="I323" s="704">
        <f t="shared" si="9"/>
        <v>3.7677480352552451E-5</v>
      </c>
    </row>
    <row r="324" spans="2:9">
      <c r="B324" s="598" t="s">
        <v>2595</v>
      </c>
      <c r="C324" s="604" t="s">
        <v>1107</v>
      </c>
      <c r="D324" s="745">
        <v>2009</v>
      </c>
      <c r="E324" s="650" t="s">
        <v>1413</v>
      </c>
      <c r="F324" s="897">
        <v>0.4</v>
      </c>
      <c r="G324" s="898">
        <v>1600</v>
      </c>
      <c r="H324" s="703">
        <f t="shared" si="8"/>
        <v>9.4193700881381128E-5</v>
      </c>
      <c r="I324" s="704">
        <f t="shared" si="9"/>
        <v>3.7677480352552451E-5</v>
      </c>
    </row>
    <row r="325" spans="2:9">
      <c r="B325" s="598" t="s">
        <v>2595</v>
      </c>
      <c r="C325" s="604" t="s">
        <v>1107</v>
      </c>
      <c r="D325" s="745">
        <v>2009</v>
      </c>
      <c r="E325" s="650" t="s">
        <v>1414</v>
      </c>
      <c r="F325" s="897">
        <v>0.4</v>
      </c>
      <c r="G325" s="898">
        <v>4100</v>
      </c>
      <c r="H325" s="703">
        <f t="shared" ref="H325:H388" si="10">+G325/$G$1080</f>
        <v>2.4137135850853914E-4</v>
      </c>
      <c r="I325" s="704">
        <f t="shared" ref="I325:I388" si="11">+H325*F325</f>
        <v>9.654854340341566E-5</v>
      </c>
    </row>
    <row r="326" spans="2:9">
      <c r="B326" s="598" t="s">
        <v>2595</v>
      </c>
      <c r="C326" s="604" t="s">
        <v>1107</v>
      </c>
      <c r="D326" s="745">
        <v>2010</v>
      </c>
      <c r="E326" s="650" t="s">
        <v>1415</v>
      </c>
      <c r="F326" s="897">
        <v>0.4</v>
      </c>
      <c r="G326" s="898">
        <v>2400</v>
      </c>
      <c r="H326" s="703">
        <f t="shared" si="10"/>
        <v>1.4129055132207171E-4</v>
      </c>
      <c r="I326" s="704">
        <f t="shared" si="11"/>
        <v>5.6516220528828684E-5</v>
      </c>
    </row>
    <row r="327" spans="2:9">
      <c r="B327" s="598" t="s">
        <v>2595</v>
      </c>
      <c r="C327" s="604" t="s">
        <v>1107</v>
      </c>
      <c r="D327" s="745">
        <v>2010</v>
      </c>
      <c r="E327" s="650" t="s">
        <v>1416</v>
      </c>
      <c r="F327" s="897">
        <v>0.4</v>
      </c>
      <c r="G327" s="898">
        <v>7000</v>
      </c>
      <c r="H327" s="703">
        <f t="shared" si="10"/>
        <v>4.1209744135604242E-4</v>
      </c>
      <c r="I327" s="704">
        <f t="shared" si="11"/>
        <v>1.6483897654241697E-4</v>
      </c>
    </row>
    <row r="328" spans="2:9">
      <c r="B328" s="598" t="s">
        <v>2595</v>
      </c>
      <c r="C328" s="604" t="s">
        <v>1107</v>
      </c>
      <c r="D328" s="745">
        <v>2010</v>
      </c>
      <c r="E328" s="650" t="s">
        <v>873</v>
      </c>
      <c r="F328" s="897">
        <v>0.4</v>
      </c>
      <c r="G328" s="898">
        <v>4750</v>
      </c>
      <c r="H328" s="703">
        <f t="shared" si="10"/>
        <v>2.7963754949160023E-4</v>
      </c>
      <c r="I328" s="704">
        <f t="shared" si="11"/>
        <v>1.118550197966401E-4</v>
      </c>
    </row>
    <row r="329" spans="2:9">
      <c r="B329" s="598" t="s">
        <v>2595</v>
      </c>
      <c r="C329" s="604" t="s">
        <v>1107</v>
      </c>
      <c r="D329" s="745">
        <v>2010</v>
      </c>
      <c r="E329" s="650" t="s">
        <v>1417</v>
      </c>
      <c r="F329" s="897">
        <v>0.4</v>
      </c>
      <c r="G329" s="898">
        <v>700</v>
      </c>
      <c r="H329" s="703">
        <f t="shared" si="10"/>
        <v>4.1209744135604242E-5</v>
      </c>
      <c r="I329" s="704">
        <f t="shared" si="11"/>
        <v>1.6483897654241697E-5</v>
      </c>
    </row>
    <row r="330" spans="2:9">
      <c r="B330" s="598" t="s">
        <v>2595</v>
      </c>
      <c r="C330" s="604" t="s">
        <v>1107</v>
      </c>
      <c r="D330" s="745">
        <v>2010</v>
      </c>
      <c r="E330" s="650" t="s">
        <v>1418</v>
      </c>
      <c r="F330" s="897">
        <v>0.4</v>
      </c>
      <c r="G330" s="898">
        <v>1680</v>
      </c>
      <c r="H330" s="703">
        <f t="shared" si="10"/>
        <v>9.8903385925450192E-5</v>
      </c>
      <c r="I330" s="704">
        <f t="shared" si="11"/>
        <v>3.9561354370180081E-5</v>
      </c>
    </row>
    <row r="331" spans="2:9">
      <c r="B331" s="598" t="s">
        <v>2595</v>
      </c>
      <c r="C331" s="604" t="s">
        <v>1107</v>
      </c>
      <c r="D331" s="745">
        <v>2010</v>
      </c>
      <c r="E331" s="650" t="s">
        <v>1308</v>
      </c>
      <c r="F331" s="897">
        <v>0.4</v>
      </c>
      <c r="G331" s="898">
        <v>6950</v>
      </c>
      <c r="H331" s="703">
        <f t="shared" si="10"/>
        <v>4.0915388820349929E-4</v>
      </c>
      <c r="I331" s="704">
        <f t="shared" si="11"/>
        <v>1.6366155528139972E-4</v>
      </c>
    </row>
    <row r="332" spans="2:9">
      <c r="B332" s="598" t="s">
        <v>2595</v>
      </c>
      <c r="C332" s="604" t="s">
        <v>1107</v>
      </c>
      <c r="D332" s="745">
        <v>2010</v>
      </c>
      <c r="E332" s="650" t="s">
        <v>1419</v>
      </c>
      <c r="F332" s="897">
        <v>0.4</v>
      </c>
      <c r="G332" s="898">
        <v>2100</v>
      </c>
      <c r="H332" s="703">
        <f t="shared" si="10"/>
        <v>1.2362923240681273E-4</v>
      </c>
      <c r="I332" s="704">
        <f t="shared" si="11"/>
        <v>4.9451692962725096E-5</v>
      </c>
    </row>
    <row r="333" spans="2:9">
      <c r="B333" s="598" t="s">
        <v>2595</v>
      </c>
      <c r="C333" s="604" t="s">
        <v>1107</v>
      </c>
      <c r="D333" s="745">
        <v>2010</v>
      </c>
      <c r="E333" s="650" t="s">
        <v>1420</v>
      </c>
      <c r="F333" s="897">
        <v>0.4</v>
      </c>
      <c r="G333" s="898">
        <v>1800</v>
      </c>
      <c r="H333" s="703">
        <f t="shared" si="10"/>
        <v>1.0596791349155377E-4</v>
      </c>
      <c r="I333" s="704">
        <f t="shared" si="11"/>
        <v>4.2387165396621515E-5</v>
      </c>
    </row>
    <row r="334" spans="2:9">
      <c r="B334" s="598" t="s">
        <v>2595</v>
      </c>
      <c r="C334" s="604" t="s">
        <v>1107</v>
      </c>
      <c r="D334" s="745">
        <v>2010</v>
      </c>
      <c r="E334" s="650" t="s">
        <v>1421</v>
      </c>
      <c r="F334" s="897">
        <v>0.4</v>
      </c>
      <c r="G334" s="898">
        <v>2550</v>
      </c>
      <c r="H334" s="703">
        <f t="shared" si="10"/>
        <v>1.5012121077970117E-4</v>
      </c>
      <c r="I334" s="704">
        <f t="shared" si="11"/>
        <v>6.0048484311880468E-5</v>
      </c>
    </row>
    <row r="335" spans="2:9">
      <c r="B335" s="598" t="s">
        <v>2595</v>
      </c>
      <c r="C335" s="604" t="s">
        <v>1107</v>
      </c>
      <c r="D335" s="745">
        <v>2010</v>
      </c>
      <c r="E335" s="650" t="s">
        <v>1422</v>
      </c>
      <c r="F335" s="897">
        <v>0.4</v>
      </c>
      <c r="G335" s="898">
        <v>3500</v>
      </c>
      <c r="H335" s="703">
        <f t="shared" si="10"/>
        <v>2.0604872067802121E-4</v>
      </c>
      <c r="I335" s="704">
        <f t="shared" si="11"/>
        <v>8.2419488271208484E-5</v>
      </c>
    </row>
    <row r="336" spans="2:9">
      <c r="B336" s="598" t="s">
        <v>2595</v>
      </c>
      <c r="C336" s="604" t="s">
        <v>1107</v>
      </c>
      <c r="D336" s="745">
        <v>2010</v>
      </c>
      <c r="E336" s="650" t="s">
        <v>1423</v>
      </c>
      <c r="F336" s="897">
        <v>0.4</v>
      </c>
      <c r="G336" s="898">
        <v>2480</v>
      </c>
      <c r="H336" s="703">
        <f t="shared" si="10"/>
        <v>1.4600023636614074E-4</v>
      </c>
      <c r="I336" s="704">
        <f t="shared" si="11"/>
        <v>5.84000945464563E-5</v>
      </c>
    </row>
    <row r="337" spans="2:9">
      <c r="B337" s="598" t="s">
        <v>2595</v>
      </c>
      <c r="C337" s="604" t="s">
        <v>1107</v>
      </c>
      <c r="D337" s="745">
        <v>2010</v>
      </c>
      <c r="E337" s="650" t="s">
        <v>1415</v>
      </c>
      <c r="F337" s="897">
        <v>0.4</v>
      </c>
      <c r="G337" s="898">
        <v>2300</v>
      </c>
      <c r="H337" s="703">
        <f t="shared" si="10"/>
        <v>1.3540344501698537E-4</v>
      </c>
      <c r="I337" s="704">
        <f t="shared" si="11"/>
        <v>5.4161378006794152E-5</v>
      </c>
    </row>
    <row r="338" spans="2:9">
      <c r="B338" s="598" t="s">
        <v>2595</v>
      </c>
      <c r="C338" s="604" t="s">
        <v>1107</v>
      </c>
      <c r="D338" s="745">
        <v>2010</v>
      </c>
      <c r="E338" s="650" t="s">
        <v>1424</v>
      </c>
      <c r="F338" s="897">
        <v>0.4</v>
      </c>
      <c r="G338" s="898">
        <v>1293.47</v>
      </c>
      <c r="H338" s="703">
        <f t="shared" si="10"/>
        <v>7.614795392440003E-5</v>
      </c>
      <c r="I338" s="704">
        <f t="shared" si="11"/>
        <v>3.0459181569760015E-5</v>
      </c>
    </row>
    <row r="339" spans="2:9">
      <c r="B339" s="598" t="s">
        <v>2595</v>
      </c>
      <c r="C339" s="604" t="s">
        <v>1107</v>
      </c>
      <c r="D339" s="745">
        <v>2010</v>
      </c>
      <c r="E339" s="650" t="s">
        <v>1425</v>
      </c>
      <c r="F339" s="897">
        <v>0.4</v>
      </c>
      <c r="G339" s="898">
        <v>1500</v>
      </c>
      <c r="H339" s="703">
        <f t="shared" si="10"/>
        <v>8.8306594576294806E-5</v>
      </c>
      <c r="I339" s="704">
        <f t="shared" si="11"/>
        <v>3.5322637830517927E-5</v>
      </c>
    </row>
    <row r="340" spans="2:9">
      <c r="B340" s="598" t="s">
        <v>2595</v>
      </c>
      <c r="C340" s="604" t="s">
        <v>1107</v>
      </c>
      <c r="D340" s="745">
        <v>2010</v>
      </c>
      <c r="E340" s="650" t="s">
        <v>1426</v>
      </c>
      <c r="F340" s="897">
        <v>0.4</v>
      </c>
      <c r="G340" s="898">
        <v>1350</v>
      </c>
      <c r="H340" s="703">
        <f t="shared" si="10"/>
        <v>7.947593511866533E-5</v>
      </c>
      <c r="I340" s="704">
        <f t="shared" si="11"/>
        <v>3.1790374047466136E-5</v>
      </c>
    </row>
    <row r="341" spans="2:9">
      <c r="B341" s="598" t="s">
        <v>2595</v>
      </c>
      <c r="C341" s="604" t="s">
        <v>1107</v>
      </c>
      <c r="D341" s="745">
        <v>2010</v>
      </c>
      <c r="E341" s="650" t="s">
        <v>1426</v>
      </c>
      <c r="F341" s="897">
        <v>0.4</v>
      </c>
      <c r="G341" s="898">
        <v>1350</v>
      </c>
      <c r="H341" s="703">
        <f t="shared" si="10"/>
        <v>7.947593511866533E-5</v>
      </c>
      <c r="I341" s="704">
        <f t="shared" si="11"/>
        <v>3.1790374047466136E-5</v>
      </c>
    </row>
    <row r="342" spans="2:9">
      <c r="B342" s="598" t="s">
        <v>2595</v>
      </c>
      <c r="C342" s="604" t="s">
        <v>1107</v>
      </c>
      <c r="D342" s="745">
        <v>2010</v>
      </c>
      <c r="E342" s="650" t="s">
        <v>1426</v>
      </c>
      <c r="F342" s="897">
        <v>0.4</v>
      </c>
      <c r="G342" s="898">
        <v>1350</v>
      </c>
      <c r="H342" s="703">
        <f t="shared" si="10"/>
        <v>7.947593511866533E-5</v>
      </c>
      <c r="I342" s="704">
        <f t="shared" si="11"/>
        <v>3.1790374047466136E-5</v>
      </c>
    </row>
    <row r="343" spans="2:9">
      <c r="B343" s="598" t="s">
        <v>2595</v>
      </c>
      <c r="C343" s="604" t="s">
        <v>1107</v>
      </c>
      <c r="D343" s="745">
        <v>2010</v>
      </c>
      <c r="E343" s="650" t="s">
        <v>1427</v>
      </c>
      <c r="F343" s="897">
        <v>0.4</v>
      </c>
      <c r="G343" s="898">
        <v>3900</v>
      </c>
      <c r="H343" s="703">
        <f t="shared" si="10"/>
        <v>2.295971458983665E-4</v>
      </c>
      <c r="I343" s="704">
        <f t="shared" si="11"/>
        <v>9.183885835934661E-5</v>
      </c>
    </row>
    <row r="344" spans="2:9">
      <c r="B344" s="598" t="s">
        <v>2595</v>
      </c>
      <c r="C344" s="604" t="s">
        <v>1107</v>
      </c>
      <c r="D344" s="745">
        <v>2010</v>
      </c>
      <c r="E344" s="650" t="s">
        <v>1428</v>
      </c>
      <c r="F344" s="897">
        <v>0.4</v>
      </c>
      <c r="G344" s="898">
        <v>2000</v>
      </c>
      <c r="H344" s="703">
        <f t="shared" si="10"/>
        <v>1.1774212610172642E-4</v>
      </c>
      <c r="I344" s="704">
        <f t="shared" si="11"/>
        <v>4.7096850440690571E-5</v>
      </c>
    </row>
    <row r="345" spans="2:9">
      <c r="B345" s="598" t="s">
        <v>2595</v>
      </c>
      <c r="C345" s="604" t="s">
        <v>1107</v>
      </c>
      <c r="D345" s="745">
        <v>2010</v>
      </c>
      <c r="E345" s="650" t="s">
        <v>1428</v>
      </c>
      <c r="F345" s="897">
        <v>0.4</v>
      </c>
      <c r="G345" s="898">
        <v>2000</v>
      </c>
      <c r="H345" s="703">
        <f t="shared" si="10"/>
        <v>1.1774212610172642E-4</v>
      </c>
      <c r="I345" s="704">
        <f t="shared" si="11"/>
        <v>4.7096850440690571E-5</v>
      </c>
    </row>
    <row r="346" spans="2:9">
      <c r="B346" s="598" t="s">
        <v>2595</v>
      </c>
      <c r="C346" s="604" t="s">
        <v>1107</v>
      </c>
      <c r="D346" s="745">
        <v>2010</v>
      </c>
      <c r="E346" s="650" t="s">
        <v>1429</v>
      </c>
      <c r="F346" s="897">
        <v>0.4</v>
      </c>
      <c r="G346" s="898">
        <v>1400</v>
      </c>
      <c r="H346" s="703">
        <f t="shared" si="10"/>
        <v>8.2419488271208484E-5</v>
      </c>
      <c r="I346" s="704">
        <f t="shared" si="11"/>
        <v>3.2967795308483395E-5</v>
      </c>
    </row>
    <row r="347" spans="2:9">
      <c r="B347" s="598" t="s">
        <v>2595</v>
      </c>
      <c r="C347" s="604" t="s">
        <v>1107</v>
      </c>
      <c r="D347" s="745">
        <v>2011</v>
      </c>
      <c r="E347" s="650" t="s">
        <v>1430</v>
      </c>
      <c r="F347" s="897">
        <v>0.4</v>
      </c>
      <c r="G347" s="898">
        <v>3400</v>
      </c>
      <c r="H347" s="703">
        <f t="shared" si="10"/>
        <v>2.001616143729349E-4</v>
      </c>
      <c r="I347" s="704">
        <f t="shared" si="11"/>
        <v>8.0064645749173966E-5</v>
      </c>
    </row>
    <row r="348" spans="2:9">
      <c r="B348" s="598" t="s">
        <v>2595</v>
      </c>
      <c r="C348" s="604" t="s">
        <v>1107</v>
      </c>
      <c r="D348" s="745">
        <v>2011</v>
      </c>
      <c r="E348" s="650" t="s">
        <v>1431</v>
      </c>
      <c r="F348" s="897">
        <v>0.4</v>
      </c>
      <c r="G348" s="898">
        <v>2604</v>
      </c>
      <c r="H348" s="703">
        <f t="shared" si="10"/>
        <v>1.5330024818444778E-4</v>
      </c>
      <c r="I348" s="704">
        <f t="shared" si="11"/>
        <v>6.1320099273779114E-5</v>
      </c>
    </row>
    <row r="349" spans="2:9">
      <c r="B349" s="598" t="s">
        <v>2595</v>
      </c>
      <c r="C349" s="604" t="s">
        <v>1107</v>
      </c>
      <c r="D349" s="745">
        <v>2011</v>
      </c>
      <c r="E349" s="650" t="s">
        <v>1432</v>
      </c>
      <c r="F349" s="897">
        <v>0.4</v>
      </c>
      <c r="G349" s="898">
        <v>5500</v>
      </c>
      <c r="H349" s="703">
        <f t="shared" si="10"/>
        <v>3.2379084677974763E-4</v>
      </c>
      <c r="I349" s="704">
        <f t="shared" si="11"/>
        <v>1.2951633871189906E-4</v>
      </c>
    </row>
    <row r="350" spans="2:9">
      <c r="B350" s="598" t="s">
        <v>2595</v>
      </c>
      <c r="C350" s="604" t="s">
        <v>1107</v>
      </c>
      <c r="D350" s="745">
        <v>2011</v>
      </c>
      <c r="E350" s="650" t="s">
        <v>1433</v>
      </c>
      <c r="F350" s="897">
        <v>0.4</v>
      </c>
      <c r="G350" s="898">
        <v>4080</v>
      </c>
      <c r="H350" s="703">
        <f t="shared" si="10"/>
        <v>2.4019393724752187E-4</v>
      </c>
      <c r="I350" s="704">
        <f t="shared" si="11"/>
        <v>9.6077574899008751E-5</v>
      </c>
    </row>
    <row r="351" spans="2:9">
      <c r="B351" s="598" t="s">
        <v>2595</v>
      </c>
      <c r="C351" s="604" t="s">
        <v>1107</v>
      </c>
      <c r="D351" s="745">
        <v>2011</v>
      </c>
      <c r="E351" s="650" t="s">
        <v>1434</v>
      </c>
      <c r="F351" s="897">
        <v>0.4</v>
      </c>
      <c r="G351" s="898">
        <v>788</v>
      </c>
      <c r="H351" s="703">
        <f t="shared" si="10"/>
        <v>4.6390397684080207E-5</v>
      </c>
      <c r="I351" s="704">
        <f t="shared" si="11"/>
        <v>1.8556159073632084E-5</v>
      </c>
    </row>
    <row r="352" spans="2:9">
      <c r="B352" s="598" t="s">
        <v>2595</v>
      </c>
      <c r="C352" s="604" t="s">
        <v>1107</v>
      </c>
      <c r="D352" s="745">
        <v>2011</v>
      </c>
      <c r="E352" s="650" t="s">
        <v>1435</v>
      </c>
      <c r="F352" s="897">
        <v>0.4</v>
      </c>
      <c r="G352" s="898">
        <v>1000</v>
      </c>
      <c r="H352" s="703">
        <f t="shared" si="10"/>
        <v>5.8871063050863209E-5</v>
      </c>
      <c r="I352" s="704">
        <f t="shared" si="11"/>
        <v>2.3548425220345286E-5</v>
      </c>
    </row>
    <row r="353" spans="2:9">
      <c r="B353" s="598" t="s">
        <v>2595</v>
      </c>
      <c r="C353" s="604" t="s">
        <v>1107</v>
      </c>
      <c r="D353" s="745">
        <v>2011</v>
      </c>
      <c r="E353" s="650" t="s">
        <v>1436</v>
      </c>
      <c r="F353" s="897">
        <v>0.4</v>
      </c>
      <c r="G353" s="898">
        <v>3289</v>
      </c>
      <c r="H353" s="703">
        <f t="shared" si="10"/>
        <v>1.9362692637428909E-4</v>
      </c>
      <c r="I353" s="704">
        <f t="shared" si="11"/>
        <v>7.745077054971564E-5</v>
      </c>
    </row>
    <row r="354" spans="2:9">
      <c r="B354" s="598" t="s">
        <v>2595</v>
      </c>
      <c r="C354" s="604" t="s">
        <v>1107</v>
      </c>
      <c r="D354" s="745">
        <v>2011</v>
      </c>
      <c r="E354" s="650" t="s">
        <v>1437</v>
      </c>
      <c r="F354" s="897">
        <v>0.4</v>
      </c>
      <c r="G354" s="898">
        <v>4250</v>
      </c>
      <c r="H354" s="703">
        <f t="shared" si="10"/>
        <v>2.5020201796616863E-4</v>
      </c>
      <c r="I354" s="704">
        <f t="shared" si="11"/>
        <v>1.0008080718646746E-4</v>
      </c>
    </row>
    <row r="355" spans="2:9">
      <c r="B355" s="598" t="s">
        <v>2595</v>
      </c>
      <c r="C355" s="604" t="s">
        <v>1107</v>
      </c>
      <c r="D355" s="745">
        <v>2011</v>
      </c>
      <c r="E355" s="650" t="s">
        <v>1438</v>
      </c>
      <c r="F355" s="897">
        <v>0.4</v>
      </c>
      <c r="G355" s="898">
        <v>2400</v>
      </c>
      <c r="H355" s="703">
        <f t="shared" si="10"/>
        <v>1.4129055132207171E-4</v>
      </c>
      <c r="I355" s="704">
        <f t="shared" si="11"/>
        <v>5.6516220528828684E-5</v>
      </c>
    </row>
    <row r="356" spans="2:9">
      <c r="B356" s="598" t="s">
        <v>2595</v>
      </c>
      <c r="C356" s="604" t="s">
        <v>1107</v>
      </c>
      <c r="D356" s="745">
        <v>2011</v>
      </c>
      <c r="E356" s="650" t="s">
        <v>1439</v>
      </c>
      <c r="F356" s="897">
        <v>0.4</v>
      </c>
      <c r="G356" s="898">
        <v>2200</v>
      </c>
      <c r="H356" s="703">
        <f t="shared" si="10"/>
        <v>1.2951633871189906E-4</v>
      </c>
      <c r="I356" s="704">
        <f t="shared" si="11"/>
        <v>5.1806535484759627E-5</v>
      </c>
    </row>
    <row r="357" spans="2:9">
      <c r="B357" s="598" t="s">
        <v>2595</v>
      </c>
      <c r="C357" s="604" t="s">
        <v>1107</v>
      </c>
      <c r="D357" s="745">
        <v>2011</v>
      </c>
      <c r="E357" s="650" t="s">
        <v>1440</v>
      </c>
      <c r="F357" s="897">
        <v>0.4</v>
      </c>
      <c r="G357" s="898">
        <v>5200</v>
      </c>
      <c r="H357" s="703">
        <f t="shared" si="10"/>
        <v>3.0612952786448865E-4</v>
      </c>
      <c r="I357" s="704">
        <f t="shared" si="11"/>
        <v>1.2245181114579545E-4</v>
      </c>
    </row>
    <row r="358" spans="2:9">
      <c r="B358" s="598" t="s">
        <v>2595</v>
      </c>
      <c r="C358" s="604" t="s">
        <v>1107</v>
      </c>
      <c r="D358" s="745">
        <v>2011</v>
      </c>
      <c r="E358" s="650" t="s">
        <v>1441</v>
      </c>
      <c r="F358" s="897">
        <v>0.4</v>
      </c>
      <c r="G358" s="898">
        <v>4042</v>
      </c>
      <c r="H358" s="703">
        <f t="shared" si="10"/>
        <v>2.3795683685158908E-4</v>
      </c>
      <c r="I358" s="704">
        <f t="shared" si="11"/>
        <v>9.518273474063564E-5</v>
      </c>
    </row>
    <row r="359" spans="2:9">
      <c r="B359" s="598" t="s">
        <v>2595</v>
      </c>
      <c r="C359" s="604" t="s">
        <v>1107</v>
      </c>
      <c r="D359" s="745">
        <v>2011</v>
      </c>
      <c r="E359" s="650" t="s">
        <v>1442</v>
      </c>
      <c r="F359" s="897">
        <v>0.4</v>
      </c>
      <c r="G359" s="898">
        <v>1190</v>
      </c>
      <c r="H359" s="703">
        <f t="shared" si="10"/>
        <v>7.0056565030527217E-5</v>
      </c>
      <c r="I359" s="704">
        <f t="shared" si="11"/>
        <v>2.8022626012210887E-5</v>
      </c>
    </row>
    <row r="360" spans="2:9">
      <c r="B360" s="598" t="s">
        <v>2595</v>
      </c>
      <c r="C360" s="604" t="s">
        <v>1107</v>
      </c>
      <c r="D360" s="745">
        <v>2011</v>
      </c>
      <c r="E360" s="650" t="s">
        <v>1443</v>
      </c>
      <c r="F360" s="897">
        <v>0.4</v>
      </c>
      <c r="G360" s="898">
        <v>3391</v>
      </c>
      <c r="H360" s="703">
        <f t="shared" si="10"/>
        <v>1.9963177480547713E-4</v>
      </c>
      <c r="I360" s="704">
        <f t="shared" si="11"/>
        <v>7.9852709922190851E-5</v>
      </c>
    </row>
    <row r="361" spans="2:9">
      <c r="B361" s="598" t="s">
        <v>2595</v>
      </c>
      <c r="C361" s="604" t="s">
        <v>1107</v>
      </c>
      <c r="D361" s="745">
        <v>2011</v>
      </c>
      <c r="E361" s="650" t="s">
        <v>1444</v>
      </c>
      <c r="F361" s="897">
        <v>0.4</v>
      </c>
      <c r="G361" s="898">
        <v>8500</v>
      </c>
      <c r="H361" s="703">
        <f t="shared" si="10"/>
        <v>5.0040403593233727E-4</v>
      </c>
      <c r="I361" s="704">
        <f t="shared" si="11"/>
        <v>2.0016161437293493E-4</v>
      </c>
    </row>
    <row r="362" spans="2:9">
      <c r="B362" s="598" t="s">
        <v>2595</v>
      </c>
      <c r="C362" s="604" t="s">
        <v>1107</v>
      </c>
      <c r="D362" s="745">
        <v>2011</v>
      </c>
      <c r="E362" s="650" t="s">
        <v>1445</v>
      </c>
      <c r="F362" s="897">
        <v>0.4</v>
      </c>
      <c r="G362" s="898">
        <v>4350</v>
      </c>
      <c r="H362" s="703">
        <f t="shared" si="10"/>
        <v>2.5608912427125494E-4</v>
      </c>
      <c r="I362" s="704">
        <f t="shared" si="11"/>
        <v>1.0243564970850198E-4</v>
      </c>
    </row>
    <row r="363" spans="2:9">
      <c r="B363" s="598" t="s">
        <v>2595</v>
      </c>
      <c r="C363" s="604" t="s">
        <v>1107</v>
      </c>
      <c r="D363" s="745">
        <v>2011</v>
      </c>
      <c r="E363" s="650" t="s">
        <v>1446</v>
      </c>
      <c r="F363" s="897">
        <v>0.4</v>
      </c>
      <c r="G363" s="898">
        <v>3168.39</v>
      </c>
      <c r="H363" s="703">
        <f t="shared" si="10"/>
        <v>1.8652648745972448E-4</v>
      </c>
      <c r="I363" s="704">
        <f t="shared" si="11"/>
        <v>7.4610594983889799E-5</v>
      </c>
    </row>
    <row r="364" spans="2:9">
      <c r="B364" s="598" t="s">
        <v>2595</v>
      </c>
      <c r="C364" s="604" t="s">
        <v>1107</v>
      </c>
      <c r="D364" s="745">
        <v>2011</v>
      </c>
      <c r="E364" s="650" t="s">
        <v>1447</v>
      </c>
      <c r="F364" s="897">
        <v>0.4</v>
      </c>
      <c r="G364" s="898">
        <v>1200</v>
      </c>
      <c r="H364" s="703">
        <f t="shared" si="10"/>
        <v>7.0645275661035853E-5</v>
      </c>
      <c r="I364" s="704">
        <f t="shared" si="11"/>
        <v>2.8258110264414342E-5</v>
      </c>
    </row>
    <row r="365" spans="2:9">
      <c r="B365" s="598" t="s">
        <v>2595</v>
      </c>
      <c r="C365" s="604" t="s">
        <v>1107</v>
      </c>
      <c r="D365" s="745">
        <v>2011</v>
      </c>
      <c r="E365" s="650" t="s">
        <v>1448</v>
      </c>
      <c r="F365" s="897">
        <v>0.4</v>
      </c>
      <c r="G365" s="898">
        <v>2350</v>
      </c>
      <c r="H365" s="703">
        <f t="shared" si="10"/>
        <v>1.3834699816952852E-4</v>
      </c>
      <c r="I365" s="704">
        <f t="shared" si="11"/>
        <v>5.5338799267811411E-5</v>
      </c>
    </row>
    <row r="366" spans="2:9">
      <c r="B366" s="598" t="s">
        <v>2595</v>
      </c>
      <c r="C366" s="604" t="s">
        <v>1107</v>
      </c>
      <c r="D366" s="745">
        <v>2011</v>
      </c>
      <c r="E366" s="650" t="s">
        <v>1449</v>
      </c>
      <c r="F366" s="897">
        <v>0.4</v>
      </c>
      <c r="G366" s="898">
        <v>3300</v>
      </c>
      <c r="H366" s="703">
        <f t="shared" si="10"/>
        <v>1.9427450806784859E-4</v>
      </c>
      <c r="I366" s="704">
        <f t="shared" si="11"/>
        <v>7.7709803227139448E-5</v>
      </c>
    </row>
    <row r="367" spans="2:9">
      <c r="B367" s="598" t="s">
        <v>2595</v>
      </c>
      <c r="C367" s="604" t="s">
        <v>1107</v>
      </c>
      <c r="D367" s="745">
        <v>2011</v>
      </c>
      <c r="E367" s="650" t="s">
        <v>1450</v>
      </c>
      <c r="F367" s="897">
        <v>0.4</v>
      </c>
      <c r="G367" s="898">
        <v>3000</v>
      </c>
      <c r="H367" s="703">
        <f t="shared" si="10"/>
        <v>1.7661318915258961E-4</v>
      </c>
      <c r="I367" s="704">
        <f t="shared" si="11"/>
        <v>7.0645275661035853E-5</v>
      </c>
    </row>
    <row r="368" spans="2:9">
      <c r="B368" s="598" t="s">
        <v>2595</v>
      </c>
      <c r="C368" s="604" t="s">
        <v>1107</v>
      </c>
      <c r="D368" s="745">
        <v>2011</v>
      </c>
      <c r="E368" s="650" t="s">
        <v>1451</v>
      </c>
      <c r="F368" s="897">
        <v>0.4</v>
      </c>
      <c r="G368" s="898">
        <v>2400</v>
      </c>
      <c r="H368" s="703">
        <f t="shared" si="10"/>
        <v>1.4129055132207171E-4</v>
      </c>
      <c r="I368" s="704">
        <f t="shared" si="11"/>
        <v>5.6516220528828684E-5</v>
      </c>
    </row>
    <row r="369" spans="2:9">
      <c r="B369" s="598" t="s">
        <v>2595</v>
      </c>
      <c r="C369" s="604" t="s">
        <v>1107</v>
      </c>
      <c r="D369" s="745">
        <v>2012</v>
      </c>
      <c r="E369" s="650" t="s">
        <v>1452</v>
      </c>
      <c r="F369" s="897">
        <v>0.4</v>
      </c>
      <c r="G369" s="898">
        <v>1100</v>
      </c>
      <c r="H369" s="703">
        <f t="shared" si="10"/>
        <v>6.4758169355949531E-5</v>
      </c>
      <c r="I369" s="704">
        <f t="shared" si="11"/>
        <v>2.5903267742379814E-5</v>
      </c>
    </row>
    <row r="370" spans="2:9">
      <c r="B370" s="598" t="s">
        <v>2595</v>
      </c>
      <c r="C370" s="604" t="s">
        <v>1107</v>
      </c>
      <c r="D370" s="745">
        <v>2012</v>
      </c>
      <c r="E370" s="650" t="s">
        <v>1453</v>
      </c>
      <c r="F370" s="897">
        <v>0.4</v>
      </c>
      <c r="G370" s="898">
        <v>1200</v>
      </c>
      <c r="H370" s="703">
        <f t="shared" si="10"/>
        <v>7.0645275661035853E-5</v>
      </c>
      <c r="I370" s="704">
        <f t="shared" si="11"/>
        <v>2.8258110264414342E-5</v>
      </c>
    </row>
    <row r="371" spans="2:9">
      <c r="B371" s="598" t="s">
        <v>2595</v>
      </c>
      <c r="C371" s="604" t="s">
        <v>1107</v>
      </c>
      <c r="D371" s="745">
        <v>2012</v>
      </c>
      <c r="E371" s="650" t="s">
        <v>1454</v>
      </c>
      <c r="F371" s="897">
        <v>0.4</v>
      </c>
      <c r="G371" s="898">
        <v>2000</v>
      </c>
      <c r="H371" s="703">
        <f t="shared" si="10"/>
        <v>1.1774212610172642E-4</v>
      </c>
      <c r="I371" s="704">
        <f t="shared" si="11"/>
        <v>4.7096850440690571E-5</v>
      </c>
    </row>
    <row r="372" spans="2:9">
      <c r="B372" s="598" t="s">
        <v>2595</v>
      </c>
      <c r="C372" s="604" t="s">
        <v>1107</v>
      </c>
      <c r="D372" s="745">
        <v>2012</v>
      </c>
      <c r="E372" s="650" t="s">
        <v>1455</v>
      </c>
      <c r="F372" s="897">
        <v>0.4</v>
      </c>
      <c r="G372" s="898">
        <v>2000</v>
      </c>
      <c r="H372" s="703">
        <f t="shared" si="10"/>
        <v>1.1774212610172642E-4</v>
      </c>
      <c r="I372" s="704">
        <f t="shared" si="11"/>
        <v>4.7096850440690571E-5</v>
      </c>
    </row>
    <row r="373" spans="2:9">
      <c r="B373" s="598" t="s">
        <v>2595</v>
      </c>
      <c r="C373" s="604" t="s">
        <v>1107</v>
      </c>
      <c r="D373" s="745">
        <v>2012</v>
      </c>
      <c r="E373" s="650" t="s">
        <v>1456</v>
      </c>
      <c r="F373" s="897">
        <v>0.4</v>
      </c>
      <c r="G373" s="898">
        <v>600</v>
      </c>
      <c r="H373" s="703">
        <f t="shared" si="10"/>
        <v>3.5322637830517927E-5</v>
      </c>
      <c r="I373" s="704">
        <f t="shared" si="11"/>
        <v>1.4129055132207171E-5</v>
      </c>
    </row>
    <row r="374" spans="2:9">
      <c r="B374" s="598" t="s">
        <v>2595</v>
      </c>
      <c r="C374" s="604" t="s">
        <v>1107</v>
      </c>
      <c r="D374" s="745">
        <v>2012</v>
      </c>
      <c r="E374" s="650" t="s">
        <v>1457</v>
      </c>
      <c r="F374" s="897">
        <v>0.4</v>
      </c>
      <c r="G374" s="898">
        <v>600</v>
      </c>
      <c r="H374" s="703">
        <f t="shared" si="10"/>
        <v>3.5322637830517927E-5</v>
      </c>
      <c r="I374" s="704">
        <f t="shared" si="11"/>
        <v>1.4129055132207171E-5</v>
      </c>
    </row>
    <row r="375" spans="2:9">
      <c r="B375" s="598" t="s">
        <v>2595</v>
      </c>
      <c r="C375" s="604" t="s">
        <v>1107</v>
      </c>
      <c r="D375" s="745">
        <v>2012</v>
      </c>
      <c r="E375" s="650" t="s">
        <v>1458</v>
      </c>
      <c r="F375" s="897">
        <v>0.4</v>
      </c>
      <c r="G375" s="898">
        <v>1000</v>
      </c>
      <c r="H375" s="703">
        <f t="shared" si="10"/>
        <v>5.8871063050863209E-5</v>
      </c>
      <c r="I375" s="704">
        <f t="shared" si="11"/>
        <v>2.3548425220345286E-5</v>
      </c>
    </row>
    <row r="376" spans="2:9">
      <c r="B376" s="598" t="s">
        <v>2595</v>
      </c>
      <c r="C376" s="604" t="s">
        <v>1107</v>
      </c>
      <c r="D376" s="745">
        <v>2012</v>
      </c>
      <c r="E376" s="650" t="s">
        <v>1459</v>
      </c>
      <c r="F376" s="897">
        <v>0.4</v>
      </c>
      <c r="G376" s="898">
        <v>2000</v>
      </c>
      <c r="H376" s="703">
        <f t="shared" si="10"/>
        <v>1.1774212610172642E-4</v>
      </c>
      <c r="I376" s="704">
        <f t="shared" si="11"/>
        <v>4.7096850440690571E-5</v>
      </c>
    </row>
    <row r="377" spans="2:9">
      <c r="B377" s="598" t="s">
        <v>2595</v>
      </c>
      <c r="C377" s="604" t="s">
        <v>1107</v>
      </c>
      <c r="D377" s="745">
        <v>2012</v>
      </c>
      <c r="E377" s="650" t="s">
        <v>1460</v>
      </c>
      <c r="F377" s="897">
        <v>0.4</v>
      </c>
      <c r="G377" s="898">
        <v>1100</v>
      </c>
      <c r="H377" s="703">
        <f t="shared" si="10"/>
        <v>6.4758169355949531E-5</v>
      </c>
      <c r="I377" s="704">
        <f t="shared" si="11"/>
        <v>2.5903267742379814E-5</v>
      </c>
    </row>
    <row r="378" spans="2:9">
      <c r="B378" s="598" t="s">
        <v>2595</v>
      </c>
      <c r="C378" s="604" t="s">
        <v>1107</v>
      </c>
      <c r="D378" s="745">
        <v>2012</v>
      </c>
      <c r="E378" s="650" t="s">
        <v>1461</v>
      </c>
      <c r="F378" s="897">
        <v>0.4</v>
      </c>
      <c r="G378" s="898">
        <v>1100</v>
      </c>
      <c r="H378" s="703">
        <f t="shared" si="10"/>
        <v>6.4758169355949531E-5</v>
      </c>
      <c r="I378" s="704">
        <f t="shared" si="11"/>
        <v>2.5903267742379814E-5</v>
      </c>
    </row>
    <row r="379" spans="2:9">
      <c r="B379" s="598" t="s">
        <v>2595</v>
      </c>
      <c r="C379" s="604" t="s">
        <v>1107</v>
      </c>
      <c r="D379" s="745">
        <v>2012</v>
      </c>
      <c r="E379" s="650" t="s">
        <v>1462</v>
      </c>
      <c r="F379" s="897">
        <v>0.4</v>
      </c>
      <c r="G379" s="898">
        <v>1100</v>
      </c>
      <c r="H379" s="703">
        <f t="shared" si="10"/>
        <v>6.4758169355949531E-5</v>
      </c>
      <c r="I379" s="704">
        <f t="shared" si="11"/>
        <v>2.5903267742379814E-5</v>
      </c>
    </row>
    <row r="380" spans="2:9">
      <c r="B380" s="598" t="s">
        <v>2595</v>
      </c>
      <c r="C380" s="604" t="s">
        <v>1107</v>
      </c>
      <c r="D380" s="745">
        <v>2012</v>
      </c>
      <c r="E380" s="650" t="s">
        <v>1463</v>
      </c>
      <c r="F380" s="897">
        <v>0.4</v>
      </c>
      <c r="G380" s="898">
        <v>600</v>
      </c>
      <c r="H380" s="703">
        <f t="shared" si="10"/>
        <v>3.5322637830517927E-5</v>
      </c>
      <c r="I380" s="704">
        <f t="shared" si="11"/>
        <v>1.4129055132207171E-5</v>
      </c>
    </row>
    <row r="381" spans="2:9">
      <c r="B381" s="598" t="s">
        <v>2595</v>
      </c>
      <c r="C381" s="604" t="s">
        <v>1107</v>
      </c>
      <c r="D381" s="745">
        <v>2012</v>
      </c>
      <c r="E381" s="650" t="s">
        <v>1464</v>
      </c>
      <c r="F381" s="897">
        <v>0.4</v>
      </c>
      <c r="G381" s="898">
        <v>600</v>
      </c>
      <c r="H381" s="703">
        <f t="shared" si="10"/>
        <v>3.5322637830517927E-5</v>
      </c>
      <c r="I381" s="704">
        <f t="shared" si="11"/>
        <v>1.4129055132207171E-5</v>
      </c>
    </row>
    <row r="382" spans="2:9">
      <c r="B382" s="598" t="s">
        <v>2595</v>
      </c>
      <c r="C382" s="604" t="s">
        <v>1107</v>
      </c>
      <c r="D382" s="745">
        <v>2012</v>
      </c>
      <c r="E382" s="650" t="s">
        <v>1465</v>
      </c>
      <c r="F382" s="897">
        <v>0.4</v>
      </c>
      <c r="G382" s="898">
        <v>1100</v>
      </c>
      <c r="H382" s="703">
        <f t="shared" si="10"/>
        <v>6.4758169355949531E-5</v>
      </c>
      <c r="I382" s="704">
        <f t="shared" si="11"/>
        <v>2.5903267742379814E-5</v>
      </c>
    </row>
    <row r="383" spans="2:9">
      <c r="B383" s="598" t="s">
        <v>2595</v>
      </c>
      <c r="C383" s="604" t="s">
        <v>1107</v>
      </c>
      <c r="D383" s="745">
        <v>2012</v>
      </c>
      <c r="E383" s="650" t="s">
        <v>1466</v>
      </c>
      <c r="F383" s="897">
        <v>0.4</v>
      </c>
      <c r="G383" s="898">
        <v>1200</v>
      </c>
      <c r="H383" s="703">
        <f t="shared" si="10"/>
        <v>7.0645275661035853E-5</v>
      </c>
      <c r="I383" s="704">
        <f t="shared" si="11"/>
        <v>2.8258110264414342E-5</v>
      </c>
    </row>
    <row r="384" spans="2:9">
      <c r="B384" s="598" t="s">
        <v>2595</v>
      </c>
      <c r="C384" s="604" t="s">
        <v>1107</v>
      </c>
      <c r="D384" s="745">
        <v>2012</v>
      </c>
      <c r="E384" s="650" t="s">
        <v>1467</v>
      </c>
      <c r="F384" s="897">
        <v>0.4</v>
      </c>
      <c r="G384" s="898">
        <v>600</v>
      </c>
      <c r="H384" s="703">
        <f t="shared" si="10"/>
        <v>3.5322637830517927E-5</v>
      </c>
      <c r="I384" s="704">
        <f t="shared" si="11"/>
        <v>1.4129055132207171E-5</v>
      </c>
    </row>
    <row r="385" spans="2:9">
      <c r="B385" s="598" t="s">
        <v>2595</v>
      </c>
      <c r="C385" s="604" t="s">
        <v>1107</v>
      </c>
      <c r="D385" s="745">
        <v>2012</v>
      </c>
      <c r="E385" s="650" t="s">
        <v>1468</v>
      </c>
      <c r="F385" s="897">
        <v>0.4</v>
      </c>
      <c r="G385" s="898">
        <v>1500</v>
      </c>
      <c r="H385" s="703">
        <f t="shared" si="10"/>
        <v>8.8306594576294806E-5</v>
      </c>
      <c r="I385" s="704">
        <f t="shared" si="11"/>
        <v>3.5322637830517927E-5</v>
      </c>
    </row>
    <row r="386" spans="2:9">
      <c r="B386" s="598" t="s">
        <v>2595</v>
      </c>
      <c r="C386" s="604" t="s">
        <v>1107</v>
      </c>
      <c r="D386" s="745">
        <v>2012</v>
      </c>
      <c r="E386" s="650" t="s">
        <v>1469</v>
      </c>
      <c r="F386" s="897">
        <v>0.4</v>
      </c>
      <c r="G386" s="898">
        <v>700</v>
      </c>
      <c r="H386" s="703">
        <f t="shared" si="10"/>
        <v>4.1209744135604242E-5</v>
      </c>
      <c r="I386" s="704">
        <f t="shared" si="11"/>
        <v>1.6483897654241697E-5</v>
      </c>
    </row>
    <row r="387" spans="2:9">
      <c r="B387" s="598" t="s">
        <v>2595</v>
      </c>
      <c r="C387" s="604" t="s">
        <v>1107</v>
      </c>
      <c r="D387" s="745">
        <v>2012</v>
      </c>
      <c r="E387" s="650" t="s">
        <v>1470</v>
      </c>
      <c r="F387" s="897">
        <v>0.4</v>
      </c>
      <c r="G387" s="898">
        <v>14810</v>
      </c>
      <c r="H387" s="703">
        <f t="shared" si="10"/>
        <v>8.7188044378328411E-4</v>
      </c>
      <c r="I387" s="704">
        <f t="shared" si="11"/>
        <v>3.4875217751331364E-4</v>
      </c>
    </row>
    <row r="388" spans="2:9">
      <c r="B388" s="598" t="s">
        <v>2595</v>
      </c>
      <c r="C388" s="604" t="s">
        <v>1107</v>
      </c>
      <c r="D388" s="745">
        <v>2012</v>
      </c>
      <c r="E388" s="650"/>
      <c r="F388" s="897">
        <v>0.4</v>
      </c>
      <c r="G388" s="898">
        <v>12770</v>
      </c>
      <c r="H388" s="703">
        <f t="shared" si="10"/>
        <v>7.5178347515952317E-4</v>
      </c>
      <c r="I388" s="704">
        <f t="shared" si="11"/>
        <v>3.007133900638093E-4</v>
      </c>
    </row>
    <row r="389" spans="2:9">
      <c r="B389" s="598" t="s">
        <v>2595</v>
      </c>
      <c r="C389" s="604" t="s">
        <v>1107</v>
      </c>
      <c r="D389" s="745">
        <v>2012</v>
      </c>
      <c r="E389" s="650" t="s">
        <v>1471</v>
      </c>
      <c r="F389" s="897">
        <v>0.4</v>
      </c>
      <c r="G389" s="898">
        <v>4000</v>
      </c>
      <c r="H389" s="703">
        <f t="shared" ref="H389:H452" si="12">+G389/$G$1080</f>
        <v>2.3548425220345283E-4</v>
      </c>
      <c r="I389" s="704">
        <f t="shared" ref="I389:I452" si="13">+H389*F389</f>
        <v>9.4193700881381142E-5</v>
      </c>
    </row>
    <row r="390" spans="2:9">
      <c r="B390" s="598" t="s">
        <v>2595</v>
      </c>
      <c r="C390" s="604" t="s">
        <v>1107</v>
      </c>
      <c r="D390" s="745">
        <v>2012</v>
      </c>
      <c r="E390" s="650" t="s">
        <v>1472</v>
      </c>
      <c r="F390" s="897">
        <v>0.4</v>
      </c>
      <c r="G390" s="898">
        <v>1500</v>
      </c>
      <c r="H390" s="703">
        <f t="shared" si="12"/>
        <v>8.8306594576294806E-5</v>
      </c>
      <c r="I390" s="704">
        <f t="shared" si="13"/>
        <v>3.5322637830517927E-5</v>
      </c>
    </row>
    <row r="391" spans="2:9">
      <c r="B391" s="598" t="s">
        <v>2595</v>
      </c>
      <c r="C391" s="604" t="s">
        <v>1107</v>
      </c>
      <c r="D391" s="745">
        <v>2012</v>
      </c>
      <c r="E391" s="650" t="s">
        <v>1473</v>
      </c>
      <c r="F391" s="897">
        <v>0.4</v>
      </c>
      <c r="G391" s="898">
        <v>1200</v>
      </c>
      <c r="H391" s="703">
        <f t="shared" si="12"/>
        <v>7.0645275661035853E-5</v>
      </c>
      <c r="I391" s="704">
        <f t="shared" si="13"/>
        <v>2.8258110264414342E-5</v>
      </c>
    </row>
    <row r="392" spans="2:9">
      <c r="B392" s="598" t="s">
        <v>2595</v>
      </c>
      <c r="C392" s="604" t="s">
        <v>1107</v>
      </c>
      <c r="D392" s="745">
        <v>2012</v>
      </c>
      <c r="E392" s="650" t="s">
        <v>1474</v>
      </c>
      <c r="F392" s="897">
        <v>0.4</v>
      </c>
      <c r="G392" s="898">
        <v>620</v>
      </c>
      <c r="H392" s="703">
        <f t="shared" si="12"/>
        <v>3.6500059091535186E-5</v>
      </c>
      <c r="I392" s="704">
        <f t="shared" si="13"/>
        <v>1.4600023636614075E-5</v>
      </c>
    </row>
    <row r="393" spans="2:9">
      <c r="B393" s="598" t="s">
        <v>2595</v>
      </c>
      <c r="C393" s="604" t="s">
        <v>1107</v>
      </c>
      <c r="D393" s="745">
        <v>2012</v>
      </c>
      <c r="E393" s="650" t="s">
        <v>1475</v>
      </c>
      <c r="F393" s="897">
        <v>0.4</v>
      </c>
      <c r="G393" s="898">
        <v>4100</v>
      </c>
      <c r="H393" s="703">
        <f t="shared" si="12"/>
        <v>2.4137135850853914E-4</v>
      </c>
      <c r="I393" s="704">
        <f t="shared" si="13"/>
        <v>9.654854340341566E-5</v>
      </c>
    </row>
    <row r="394" spans="2:9">
      <c r="B394" s="598" t="s">
        <v>2595</v>
      </c>
      <c r="C394" s="604" t="s">
        <v>1107</v>
      </c>
      <c r="D394" s="745">
        <v>2012</v>
      </c>
      <c r="E394" s="650" t="s">
        <v>1476</v>
      </c>
      <c r="F394" s="897">
        <v>0.4</v>
      </c>
      <c r="G394" s="898">
        <v>1250</v>
      </c>
      <c r="H394" s="703">
        <f t="shared" si="12"/>
        <v>7.3588828813579007E-5</v>
      </c>
      <c r="I394" s="704">
        <f t="shared" si="13"/>
        <v>2.9435531525431604E-5</v>
      </c>
    </row>
    <row r="395" spans="2:9">
      <c r="B395" s="598" t="s">
        <v>2595</v>
      </c>
      <c r="C395" s="604" t="s">
        <v>1107</v>
      </c>
      <c r="D395" s="745">
        <v>2012</v>
      </c>
      <c r="E395" s="650" t="s">
        <v>1477</v>
      </c>
      <c r="F395" s="897">
        <v>0.4</v>
      </c>
      <c r="G395" s="898">
        <v>22580</v>
      </c>
      <c r="H395" s="703">
        <f t="shared" si="12"/>
        <v>1.3293086036884911E-3</v>
      </c>
      <c r="I395" s="704">
        <f t="shared" si="13"/>
        <v>5.317234414753965E-4</v>
      </c>
    </row>
    <row r="396" spans="2:9">
      <c r="B396" s="598" t="s">
        <v>2595</v>
      </c>
      <c r="C396" s="604" t="s">
        <v>1107</v>
      </c>
      <c r="D396" s="745">
        <v>2012</v>
      </c>
      <c r="E396" s="650" t="s">
        <v>1478</v>
      </c>
      <c r="F396" s="897">
        <v>0.4</v>
      </c>
      <c r="G396" s="898">
        <v>1931</v>
      </c>
      <c r="H396" s="703">
        <f t="shared" si="12"/>
        <v>1.1368002275121685E-4</v>
      </c>
      <c r="I396" s="704">
        <f t="shared" si="13"/>
        <v>4.5472009100486743E-5</v>
      </c>
    </row>
    <row r="397" spans="2:9">
      <c r="B397" s="598" t="s">
        <v>2595</v>
      </c>
      <c r="C397" s="604" t="s">
        <v>1107</v>
      </c>
      <c r="D397" s="745">
        <v>2012</v>
      </c>
      <c r="E397" s="650" t="s">
        <v>1479</v>
      </c>
      <c r="F397" s="897">
        <v>0.4</v>
      </c>
      <c r="G397" s="898">
        <v>3100</v>
      </c>
      <c r="H397" s="703">
        <f t="shared" si="12"/>
        <v>1.8250029545767595E-4</v>
      </c>
      <c r="I397" s="704">
        <f t="shared" si="13"/>
        <v>7.3000118183070385E-5</v>
      </c>
    </row>
    <row r="398" spans="2:9">
      <c r="B398" s="598" t="s">
        <v>2595</v>
      </c>
      <c r="C398" s="604" t="s">
        <v>1107</v>
      </c>
      <c r="D398" s="745">
        <v>2012</v>
      </c>
      <c r="E398" s="650" t="s">
        <v>1480</v>
      </c>
      <c r="F398" s="897">
        <v>0.4</v>
      </c>
      <c r="G398" s="898">
        <v>23500</v>
      </c>
      <c r="H398" s="703">
        <f t="shared" si="12"/>
        <v>1.3834699816952854E-3</v>
      </c>
      <c r="I398" s="704">
        <f t="shared" si="13"/>
        <v>5.5338799267811421E-4</v>
      </c>
    </row>
    <row r="399" spans="2:9">
      <c r="B399" s="598" t="s">
        <v>2595</v>
      </c>
      <c r="C399" s="604" t="s">
        <v>1107</v>
      </c>
      <c r="D399" s="745">
        <v>2012</v>
      </c>
      <c r="E399" s="650" t="s">
        <v>1481</v>
      </c>
      <c r="F399" s="897">
        <v>0.4</v>
      </c>
      <c r="G399" s="898">
        <v>14655</v>
      </c>
      <c r="H399" s="703">
        <f t="shared" si="12"/>
        <v>8.6275542901040033E-4</v>
      </c>
      <c r="I399" s="704">
        <f t="shared" si="13"/>
        <v>3.4510217160416015E-4</v>
      </c>
    </row>
    <row r="400" spans="2:9">
      <c r="B400" s="598" t="s">
        <v>2595</v>
      </c>
      <c r="C400" s="604" t="s">
        <v>1107</v>
      </c>
      <c r="D400" s="745">
        <v>2012</v>
      </c>
      <c r="E400" s="650" t="s">
        <v>1482</v>
      </c>
      <c r="F400" s="897">
        <v>0.4</v>
      </c>
      <c r="G400" s="898">
        <v>2435.25</v>
      </c>
      <c r="H400" s="703">
        <f t="shared" si="12"/>
        <v>1.4336575629461462E-4</v>
      </c>
      <c r="I400" s="704">
        <f t="shared" si="13"/>
        <v>5.7346302517845846E-5</v>
      </c>
    </row>
    <row r="401" spans="2:9">
      <c r="B401" s="598" t="s">
        <v>2595</v>
      </c>
      <c r="C401" s="604" t="s">
        <v>1107</v>
      </c>
      <c r="D401" s="745">
        <v>2012</v>
      </c>
      <c r="E401" s="650" t="s">
        <v>1483</v>
      </c>
      <c r="F401" s="897">
        <v>0.4</v>
      </c>
      <c r="G401" s="898">
        <v>681.06</v>
      </c>
      <c r="H401" s="703">
        <f t="shared" si="12"/>
        <v>4.0094726201420889E-5</v>
      </c>
      <c r="I401" s="704">
        <f t="shared" si="13"/>
        <v>1.6037890480568358E-5</v>
      </c>
    </row>
    <row r="402" spans="2:9">
      <c r="B402" s="598" t="s">
        <v>2595</v>
      </c>
      <c r="C402" s="604" t="s">
        <v>1107</v>
      </c>
      <c r="D402" s="745">
        <v>2012</v>
      </c>
      <c r="E402" s="650" t="s">
        <v>1484</v>
      </c>
      <c r="F402" s="897">
        <v>0.4</v>
      </c>
      <c r="G402" s="898">
        <v>13780</v>
      </c>
      <c r="H402" s="703">
        <f t="shared" si="12"/>
        <v>8.1124324884089495E-4</v>
      </c>
      <c r="I402" s="704">
        <f t="shared" si="13"/>
        <v>3.2449729953635799E-4</v>
      </c>
    </row>
    <row r="403" spans="2:9">
      <c r="B403" s="598" t="s">
        <v>2595</v>
      </c>
      <c r="C403" s="604" t="s">
        <v>1107</v>
      </c>
      <c r="D403" s="745">
        <v>2012</v>
      </c>
      <c r="E403" s="650"/>
      <c r="F403" s="897">
        <v>0.4</v>
      </c>
      <c r="G403" s="898">
        <v>10600</v>
      </c>
      <c r="H403" s="703">
        <f t="shared" si="12"/>
        <v>6.2403326833915002E-4</v>
      </c>
      <c r="I403" s="704">
        <f t="shared" si="13"/>
        <v>2.4961330733566E-4</v>
      </c>
    </row>
    <row r="404" spans="2:9">
      <c r="B404" s="598" t="s">
        <v>2595</v>
      </c>
      <c r="C404" s="604" t="s">
        <v>1107</v>
      </c>
      <c r="D404" s="745">
        <v>2012</v>
      </c>
      <c r="E404" s="650"/>
      <c r="F404" s="897">
        <v>0.4</v>
      </c>
      <c r="G404" s="898">
        <v>9540</v>
      </c>
      <c r="H404" s="703">
        <f t="shared" si="12"/>
        <v>5.6162994150523501E-4</v>
      </c>
      <c r="I404" s="704">
        <f t="shared" si="13"/>
        <v>2.2465197660209401E-4</v>
      </c>
    </row>
    <row r="405" spans="2:9">
      <c r="B405" s="598" t="s">
        <v>2595</v>
      </c>
      <c r="C405" s="604" t="s">
        <v>1107</v>
      </c>
      <c r="D405" s="745">
        <v>2012</v>
      </c>
      <c r="E405" s="650" t="s">
        <v>1485</v>
      </c>
      <c r="F405" s="897">
        <v>0.4</v>
      </c>
      <c r="G405" s="898">
        <v>30000</v>
      </c>
      <c r="H405" s="703">
        <f t="shared" si="12"/>
        <v>1.7661318915258963E-3</v>
      </c>
      <c r="I405" s="704">
        <f t="shared" si="13"/>
        <v>7.0645275661035856E-4</v>
      </c>
    </row>
    <row r="406" spans="2:9">
      <c r="B406" s="598" t="s">
        <v>2595</v>
      </c>
      <c r="C406" s="604" t="s">
        <v>1107</v>
      </c>
      <c r="D406" s="745">
        <v>2012</v>
      </c>
      <c r="E406" s="650" t="s">
        <v>1486</v>
      </c>
      <c r="F406" s="897">
        <v>0.4</v>
      </c>
      <c r="G406" s="898">
        <v>7000</v>
      </c>
      <c r="H406" s="703">
        <f t="shared" si="12"/>
        <v>4.1209744135604242E-4</v>
      </c>
      <c r="I406" s="704">
        <f t="shared" si="13"/>
        <v>1.6483897654241697E-4</v>
      </c>
    </row>
    <row r="407" spans="2:9">
      <c r="B407" s="598" t="s">
        <v>2595</v>
      </c>
      <c r="C407" s="604" t="s">
        <v>1107</v>
      </c>
      <c r="D407" s="745">
        <v>2012</v>
      </c>
      <c r="E407" s="650" t="s">
        <v>1487</v>
      </c>
      <c r="F407" s="897">
        <v>0.4</v>
      </c>
      <c r="G407" s="898">
        <v>1000</v>
      </c>
      <c r="H407" s="703">
        <f t="shared" si="12"/>
        <v>5.8871063050863209E-5</v>
      </c>
      <c r="I407" s="704">
        <f t="shared" si="13"/>
        <v>2.3548425220345286E-5</v>
      </c>
    </row>
    <row r="408" spans="2:9">
      <c r="B408" s="598" t="s">
        <v>2595</v>
      </c>
      <c r="C408" s="604" t="s">
        <v>1107</v>
      </c>
      <c r="D408" s="745">
        <v>2012</v>
      </c>
      <c r="E408" s="650" t="s">
        <v>1488</v>
      </c>
      <c r="F408" s="897">
        <v>0.4</v>
      </c>
      <c r="G408" s="898">
        <v>750</v>
      </c>
      <c r="H408" s="703">
        <f t="shared" si="12"/>
        <v>4.4153297288147403E-5</v>
      </c>
      <c r="I408" s="704">
        <f t="shared" si="13"/>
        <v>1.7661318915258963E-5</v>
      </c>
    </row>
    <row r="409" spans="2:9">
      <c r="B409" s="598" t="s">
        <v>2595</v>
      </c>
      <c r="C409" s="604" t="s">
        <v>1107</v>
      </c>
      <c r="D409" s="745">
        <v>2012</v>
      </c>
      <c r="E409" s="650" t="s">
        <v>1489</v>
      </c>
      <c r="F409" s="897">
        <v>0.4</v>
      </c>
      <c r="G409" s="898">
        <v>2350</v>
      </c>
      <c r="H409" s="703">
        <f t="shared" si="12"/>
        <v>1.3834699816952852E-4</v>
      </c>
      <c r="I409" s="704">
        <f t="shared" si="13"/>
        <v>5.5338799267811411E-5</v>
      </c>
    </row>
    <row r="410" spans="2:9">
      <c r="B410" s="598" t="s">
        <v>2595</v>
      </c>
      <c r="C410" s="604" t="s">
        <v>1107</v>
      </c>
      <c r="D410" s="745">
        <v>2012</v>
      </c>
      <c r="E410" s="650" t="s">
        <v>1490</v>
      </c>
      <c r="F410" s="897">
        <v>0.4</v>
      </c>
      <c r="G410" s="898">
        <v>3300</v>
      </c>
      <c r="H410" s="703">
        <f t="shared" si="12"/>
        <v>1.9427450806784859E-4</v>
      </c>
      <c r="I410" s="704">
        <f t="shared" si="13"/>
        <v>7.7709803227139448E-5</v>
      </c>
    </row>
    <row r="411" spans="2:9">
      <c r="B411" s="598" t="s">
        <v>2595</v>
      </c>
      <c r="C411" s="604" t="s">
        <v>1107</v>
      </c>
      <c r="D411" s="745">
        <v>2012</v>
      </c>
      <c r="E411" s="650" t="s">
        <v>1491</v>
      </c>
      <c r="F411" s="897">
        <v>0.4</v>
      </c>
      <c r="G411" s="898">
        <v>9700</v>
      </c>
      <c r="H411" s="703">
        <f t="shared" si="12"/>
        <v>5.7104931159337308E-4</v>
      </c>
      <c r="I411" s="704">
        <f t="shared" si="13"/>
        <v>2.2841972463734925E-4</v>
      </c>
    </row>
    <row r="412" spans="2:9">
      <c r="B412" s="598" t="s">
        <v>2595</v>
      </c>
      <c r="C412" s="604" t="s">
        <v>1107</v>
      </c>
      <c r="D412" s="745">
        <v>2012</v>
      </c>
      <c r="E412" s="650"/>
      <c r="F412" s="897">
        <v>0.4</v>
      </c>
      <c r="G412" s="898">
        <v>9832.68</v>
      </c>
      <c r="H412" s="703">
        <f t="shared" si="12"/>
        <v>5.7886032423896169E-4</v>
      </c>
      <c r="I412" s="704">
        <f t="shared" si="13"/>
        <v>2.3154412969558468E-4</v>
      </c>
    </row>
    <row r="413" spans="2:9">
      <c r="B413" s="598" t="s">
        <v>2595</v>
      </c>
      <c r="C413" s="604" t="s">
        <v>1107</v>
      </c>
      <c r="D413" s="745">
        <v>2012</v>
      </c>
      <c r="E413" s="650"/>
      <c r="F413" s="897">
        <v>0.4</v>
      </c>
      <c r="G413" s="898">
        <v>2720</v>
      </c>
      <c r="H413" s="703">
        <f t="shared" si="12"/>
        <v>1.6012929149834793E-4</v>
      </c>
      <c r="I413" s="704">
        <f t="shared" si="13"/>
        <v>6.4051716599339181E-5</v>
      </c>
    </row>
    <row r="414" spans="2:9">
      <c r="B414" s="598" t="s">
        <v>2595</v>
      </c>
      <c r="C414" s="604" t="s">
        <v>1107</v>
      </c>
      <c r="D414" s="745">
        <v>2012</v>
      </c>
      <c r="E414" s="650"/>
      <c r="F414" s="897">
        <v>0.4</v>
      </c>
      <c r="G414" s="898">
        <v>1960</v>
      </c>
      <c r="H414" s="703">
        <f t="shared" si="12"/>
        <v>1.1538728357969189E-4</v>
      </c>
      <c r="I414" s="704">
        <f t="shared" si="13"/>
        <v>4.615491343187676E-5</v>
      </c>
    </row>
    <row r="415" spans="2:9">
      <c r="B415" s="598" t="s">
        <v>2595</v>
      </c>
      <c r="C415" s="604" t="s">
        <v>1107</v>
      </c>
      <c r="D415" s="745">
        <v>2012</v>
      </c>
      <c r="E415" s="650" t="s">
        <v>1492</v>
      </c>
      <c r="F415" s="897">
        <v>0.4</v>
      </c>
      <c r="G415" s="898">
        <v>4367.42</v>
      </c>
      <c r="H415" s="703">
        <f t="shared" si="12"/>
        <v>2.5711465818960098E-4</v>
      </c>
      <c r="I415" s="704">
        <f t="shared" si="13"/>
        <v>1.028458632758404E-4</v>
      </c>
    </row>
    <row r="416" spans="2:9">
      <c r="B416" s="598" t="s">
        <v>2595</v>
      </c>
      <c r="C416" s="604" t="s">
        <v>1107</v>
      </c>
      <c r="D416" s="745">
        <v>2012</v>
      </c>
      <c r="E416" s="650" t="s">
        <v>1493</v>
      </c>
      <c r="F416" s="897">
        <v>0.4</v>
      </c>
      <c r="G416" s="898">
        <v>5280</v>
      </c>
      <c r="H416" s="703">
        <f t="shared" si="12"/>
        <v>3.1083921290855774E-4</v>
      </c>
      <c r="I416" s="704">
        <f t="shared" si="13"/>
        <v>1.2433568516342309E-4</v>
      </c>
    </row>
    <row r="417" spans="2:9">
      <c r="B417" s="598" t="s">
        <v>2595</v>
      </c>
      <c r="C417" s="604" t="s">
        <v>1107</v>
      </c>
      <c r="D417" s="745">
        <v>2012</v>
      </c>
      <c r="E417" s="650"/>
      <c r="F417" s="897">
        <v>0.4</v>
      </c>
      <c r="G417" s="898">
        <v>1650</v>
      </c>
      <c r="H417" s="703">
        <f t="shared" si="12"/>
        <v>9.7137254033924296E-5</v>
      </c>
      <c r="I417" s="704">
        <f t="shared" si="13"/>
        <v>3.8854901613569724E-5</v>
      </c>
    </row>
    <row r="418" spans="2:9">
      <c r="B418" s="598" t="s">
        <v>2595</v>
      </c>
      <c r="C418" s="604" t="s">
        <v>1107</v>
      </c>
      <c r="D418" s="745">
        <v>2012</v>
      </c>
      <c r="E418" s="650"/>
      <c r="F418" s="897">
        <v>0.4</v>
      </c>
      <c r="G418" s="898">
        <v>1200</v>
      </c>
      <c r="H418" s="703">
        <f t="shared" si="12"/>
        <v>7.0645275661035853E-5</v>
      </c>
      <c r="I418" s="704">
        <f t="shared" si="13"/>
        <v>2.8258110264414342E-5</v>
      </c>
    </row>
    <row r="419" spans="2:9">
      <c r="B419" s="598" t="s">
        <v>2595</v>
      </c>
      <c r="C419" s="604" t="s">
        <v>1107</v>
      </c>
      <c r="D419" s="745">
        <v>2012</v>
      </c>
      <c r="E419" s="650"/>
      <c r="F419" s="897">
        <v>0.4</v>
      </c>
      <c r="G419" s="898">
        <v>2000</v>
      </c>
      <c r="H419" s="703">
        <f t="shared" si="12"/>
        <v>1.1774212610172642E-4</v>
      </c>
      <c r="I419" s="704">
        <f t="shared" si="13"/>
        <v>4.7096850440690571E-5</v>
      </c>
    </row>
    <row r="420" spans="2:9">
      <c r="B420" s="598" t="s">
        <v>2595</v>
      </c>
      <c r="C420" s="604" t="s">
        <v>1107</v>
      </c>
      <c r="D420" s="745">
        <v>2012</v>
      </c>
      <c r="E420" s="650"/>
      <c r="F420" s="897">
        <v>0.4</v>
      </c>
      <c r="G420" s="898">
        <v>1050</v>
      </c>
      <c r="H420" s="703">
        <f t="shared" si="12"/>
        <v>6.1814616203406363E-5</v>
      </c>
      <c r="I420" s="704">
        <f t="shared" si="13"/>
        <v>2.4725846481362548E-5</v>
      </c>
    </row>
    <row r="421" spans="2:9">
      <c r="B421" s="598" t="s">
        <v>2595</v>
      </c>
      <c r="C421" s="604" t="s">
        <v>1107</v>
      </c>
      <c r="D421" s="745">
        <v>2012</v>
      </c>
      <c r="E421" s="650"/>
      <c r="F421" s="897">
        <v>0.4</v>
      </c>
      <c r="G421" s="898">
        <v>7750</v>
      </c>
      <c r="H421" s="703">
        <f t="shared" si="12"/>
        <v>4.5625073864418987E-4</v>
      </c>
      <c r="I421" s="704">
        <f t="shared" si="13"/>
        <v>1.8250029545767595E-4</v>
      </c>
    </row>
    <row r="422" spans="2:9">
      <c r="B422" s="598" t="s">
        <v>2595</v>
      </c>
      <c r="C422" s="604" t="s">
        <v>1107</v>
      </c>
      <c r="D422" s="745">
        <v>2012</v>
      </c>
      <c r="E422" s="650" t="s">
        <v>1494</v>
      </c>
      <c r="F422" s="897">
        <v>0.4</v>
      </c>
      <c r="G422" s="898">
        <v>15900</v>
      </c>
      <c r="H422" s="703">
        <f t="shared" si="12"/>
        <v>9.3604990250872498E-4</v>
      </c>
      <c r="I422" s="704">
        <f t="shared" si="13"/>
        <v>3.7441996100349002E-4</v>
      </c>
    </row>
    <row r="423" spans="2:9">
      <c r="B423" s="598" t="s">
        <v>2595</v>
      </c>
      <c r="C423" s="604" t="s">
        <v>1107</v>
      </c>
      <c r="D423" s="745">
        <v>2012</v>
      </c>
      <c r="E423" s="650" t="s">
        <v>1495</v>
      </c>
      <c r="F423" s="897">
        <v>0.4</v>
      </c>
      <c r="G423" s="898">
        <v>1426.04</v>
      </c>
      <c r="H423" s="703">
        <f t="shared" si="12"/>
        <v>8.3952490753052967E-5</v>
      </c>
      <c r="I423" s="704">
        <f t="shared" si="13"/>
        <v>3.3580996301221191E-5</v>
      </c>
    </row>
    <row r="424" spans="2:9">
      <c r="B424" s="598" t="s">
        <v>2595</v>
      </c>
      <c r="C424" s="604" t="s">
        <v>1107</v>
      </c>
      <c r="D424" s="745">
        <v>2012</v>
      </c>
      <c r="E424" s="650"/>
      <c r="F424" s="897">
        <v>0.4</v>
      </c>
      <c r="G424" s="898">
        <v>1835.2</v>
      </c>
      <c r="H424" s="703">
        <f t="shared" si="12"/>
        <v>1.0804017491094416E-4</v>
      </c>
      <c r="I424" s="704">
        <f t="shared" si="13"/>
        <v>4.3216069964377663E-5</v>
      </c>
    </row>
    <row r="425" spans="2:9">
      <c r="B425" s="598" t="s">
        <v>2595</v>
      </c>
      <c r="C425" s="604" t="s">
        <v>1107</v>
      </c>
      <c r="D425" s="745">
        <v>2012</v>
      </c>
      <c r="E425" s="650"/>
      <c r="F425" s="897">
        <v>0.4</v>
      </c>
      <c r="G425" s="898">
        <v>591.57000000000005</v>
      </c>
      <c r="H425" s="703">
        <f t="shared" si="12"/>
        <v>3.4826354768999153E-5</v>
      </c>
      <c r="I425" s="704">
        <f t="shared" si="13"/>
        <v>1.3930541907599662E-5</v>
      </c>
    </row>
    <row r="426" spans="2:9">
      <c r="B426" s="598" t="s">
        <v>2595</v>
      </c>
      <c r="C426" s="604" t="s">
        <v>1107</v>
      </c>
      <c r="D426" s="745">
        <v>2012</v>
      </c>
      <c r="E426" s="650" t="s">
        <v>1496</v>
      </c>
      <c r="F426" s="897">
        <v>0.4</v>
      </c>
      <c r="G426" s="898">
        <v>1405.45</v>
      </c>
      <c r="H426" s="703">
        <f t="shared" si="12"/>
        <v>8.2740335564835695E-5</v>
      </c>
      <c r="I426" s="704">
        <f t="shared" si="13"/>
        <v>3.3096134225934278E-5</v>
      </c>
    </row>
    <row r="427" spans="2:9">
      <c r="B427" s="598" t="s">
        <v>2595</v>
      </c>
      <c r="C427" s="604" t="s">
        <v>1107</v>
      </c>
      <c r="D427" s="745">
        <v>2012</v>
      </c>
      <c r="E427" s="650" t="s">
        <v>1497</v>
      </c>
      <c r="F427" s="897">
        <v>0.4</v>
      </c>
      <c r="G427" s="898">
        <v>651</v>
      </c>
      <c r="H427" s="703">
        <f t="shared" si="12"/>
        <v>3.8325062046111945E-5</v>
      </c>
      <c r="I427" s="704">
        <f t="shared" si="13"/>
        <v>1.5330024818444778E-5</v>
      </c>
    </row>
    <row r="428" spans="2:9">
      <c r="B428" s="598" t="s">
        <v>2595</v>
      </c>
      <c r="C428" s="604" t="s">
        <v>1107</v>
      </c>
      <c r="D428" s="745">
        <v>2013</v>
      </c>
      <c r="E428" s="650" t="s">
        <v>1498</v>
      </c>
      <c r="F428" s="897">
        <v>0.4</v>
      </c>
      <c r="G428" s="898">
        <v>741.59</v>
      </c>
      <c r="H428" s="703">
        <f t="shared" si="12"/>
        <v>4.3658191647889644E-5</v>
      </c>
      <c r="I428" s="704">
        <f t="shared" si="13"/>
        <v>1.7463276659155859E-5</v>
      </c>
    </row>
    <row r="429" spans="2:9">
      <c r="B429" s="598" t="s">
        <v>2595</v>
      </c>
      <c r="C429" s="604" t="s">
        <v>1107</v>
      </c>
      <c r="D429" s="745">
        <v>2013</v>
      </c>
      <c r="E429" s="650" t="s">
        <v>1499</v>
      </c>
      <c r="F429" s="897">
        <v>0.4</v>
      </c>
      <c r="G429" s="898">
        <v>1799</v>
      </c>
      <c r="H429" s="703">
        <f t="shared" si="12"/>
        <v>1.0590904242850291E-4</v>
      </c>
      <c r="I429" s="704">
        <f t="shared" si="13"/>
        <v>4.2363616971401168E-5</v>
      </c>
    </row>
    <row r="430" spans="2:9">
      <c r="B430" s="598" t="s">
        <v>2595</v>
      </c>
      <c r="C430" s="604" t="s">
        <v>1107</v>
      </c>
      <c r="D430" s="745">
        <v>2013</v>
      </c>
      <c r="E430" s="650" t="s">
        <v>1500</v>
      </c>
      <c r="F430" s="897">
        <v>0.4</v>
      </c>
      <c r="G430" s="898">
        <v>2792.5</v>
      </c>
      <c r="H430" s="703">
        <f t="shared" si="12"/>
        <v>1.643974435695355E-4</v>
      </c>
      <c r="I430" s="704">
        <f t="shared" si="13"/>
        <v>6.5758977427814199E-5</v>
      </c>
    </row>
    <row r="431" spans="2:9">
      <c r="B431" s="598" t="s">
        <v>2595</v>
      </c>
      <c r="C431" s="604" t="s">
        <v>1107</v>
      </c>
      <c r="D431" s="745">
        <v>2013</v>
      </c>
      <c r="E431" s="650"/>
      <c r="F431" s="897">
        <v>0.4</v>
      </c>
      <c r="G431" s="898">
        <v>1402.5</v>
      </c>
      <c r="H431" s="703">
        <f t="shared" si="12"/>
        <v>8.2566665928835643E-5</v>
      </c>
      <c r="I431" s="704">
        <f t="shared" si="13"/>
        <v>3.3026666371534259E-5</v>
      </c>
    </row>
    <row r="432" spans="2:9">
      <c r="B432" s="598" t="s">
        <v>2595</v>
      </c>
      <c r="C432" s="604" t="s">
        <v>1107</v>
      </c>
      <c r="D432" s="745">
        <v>2013</v>
      </c>
      <c r="E432" s="650" t="s">
        <v>1501</v>
      </c>
      <c r="F432" s="897">
        <v>0.4</v>
      </c>
      <c r="G432" s="898">
        <v>577</v>
      </c>
      <c r="H432" s="703">
        <f t="shared" si="12"/>
        <v>3.396860338034807E-5</v>
      </c>
      <c r="I432" s="704">
        <f t="shared" si="13"/>
        <v>1.3587441352139228E-5</v>
      </c>
    </row>
    <row r="433" spans="2:9">
      <c r="B433" s="598" t="s">
        <v>2595</v>
      </c>
      <c r="C433" s="604" t="s">
        <v>1107</v>
      </c>
      <c r="D433" s="745">
        <v>2013</v>
      </c>
      <c r="E433" s="650" t="s">
        <v>1502</v>
      </c>
      <c r="F433" s="897">
        <v>0.4</v>
      </c>
      <c r="G433" s="898">
        <v>5175</v>
      </c>
      <c r="H433" s="703">
        <f t="shared" si="12"/>
        <v>3.0465775128821708E-4</v>
      </c>
      <c r="I433" s="704">
        <f t="shared" si="13"/>
        <v>1.2186310051528684E-4</v>
      </c>
    </row>
    <row r="434" spans="2:9">
      <c r="B434" s="598" t="s">
        <v>2595</v>
      </c>
      <c r="C434" s="604" t="s">
        <v>1107</v>
      </c>
      <c r="D434" s="745">
        <v>2013</v>
      </c>
      <c r="E434" s="650" t="s">
        <v>1503</v>
      </c>
      <c r="F434" s="897">
        <v>0.4</v>
      </c>
      <c r="G434" s="898">
        <v>5175</v>
      </c>
      <c r="H434" s="703">
        <f t="shared" si="12"/>
        <v>3.0465775128821708E-4</v>
      </c>
      <c r="I434" s="704">
        <f t="shared" si="13"/>
        <v>1.2186310051528684E-4</v>
      </c>
    </row>
    <row r="435" spans="2:9">
      <c r="B435" s="598" t="s">
        <v>2595</v>
      </c>
      <c r="C435" s="604" t="s">
        <v>1107</v>
      </c>
      <c r="D435" s="745">
        <v>2013</v>
      </c>
      <c r="E435" s="650" t="s">
        <v>1504</v>
      </c>
      <c r="F435" s="897">
        <v>0.4</v>
      </c>
      <c r="G435" s="898">
        <v>897</v>
      </c>
      <c r="H435" s="703">
        <f t="shared" si="12"/>
        <v>5.2807343556624296E-5</v>
      </c>
      <c r="I435" s="704">
        <f t="shared" si="13"/>
        <v>2.112293742264972E-5</v>
      </c>
    </row>
    <row r="436" spans="2:9">
      <c r="B436" s="598" t="s">
        <v>2595</v>
      </c>
      <c r="C436" s="604" t="s">
        <v>1107</v>
      </c>
      <c r="D436" s="745">
        <v>2013</v>
      </c>
      <c r="E436" s="650" t="s">
        <v>1505</v>
      </c>
      <c r="F436" s="897">
        <v>0.4</v>
      </c>
      <c r="G436" s="898">
        <v>1897</v>
      </c>
      <c r="H436" s="703">
        <f t="shared" si="12"/>
        <v>1.116784066074875E-4</v>
      </c>
      <c r="I436" s="704">
        <f t="shared" si="13"/>
        <v>4.4671362642995006E-5</v>
      </c>
    </row>
    <row r="437" spans="2:9">
      <c r="B437" s="598" t="s">
        <v>2595</v>
      </c>
      <c r="C437" s="604" t="s">
        <v>1107</v>
      </c>
      <c r="D437" s="745">
        <v>2013</v>
      </c>
      <c r="E437" s="650" t="s">
        <v>1506</v>
      </c>
      <c r="F437" s="897">
        <v>0.4</v>
      </c>
      <c r="G437" s="898">
        <v>3840</v>
      </c>
      <c r="H437" s="703">
        <f t="shared" si="12"/>
        <v>2.2606488211531471E-4</v>
      </c>
      <c r="I437" s="704">
        <f t="shared" si="13"/>
        <v>9.0425952846125883E-5</v>
      </c>
    </row>
    <row r="438" spans="2:9">
      <c r="B438" s="598" t="s">
        <v>2595</v>
      </c>
      <c r="C438" s="604" t="s">
        <v>1107</v>
      </c>
      <c r="D438" s="745">
        <v>2013</v>
      </c>
      <c r="E438" s="650"/>
      <c r="F438" s="897">
        <v>0.4</v>
      </c>
      <c r="G438" s="898">
        <v>3840</v>
      </c>
      <c r="H438" s="703">
        <f t="shared" si="12"/>
        <v>2.2606488211531471E-4</v>
      </c>
      <c r="I438" s="704">
        <f t="shared" si="13"/>
        <v>9.0425952846125883E-5</v>
      </c>
    </row>
    <row r="439" spans="2:9">
      <c r="B439" s="598" t="s">
        <v>2595</v>
      </c>
      <c r="C439" s="604" t="s">
        <v>1107</v>
      </c>
      <c r="D439" s="745">
        <v>2013</v>
      </c>
      <c r="E439" s="650"/>
      <c r="F439" s="897">
        <v>0.4</v>
      </c>
      <c r="G439" s="898">
        <v>768</v>
      </c>
      <c r="H439" s="703">
        <f t="shared" si="12"/>
        <v>4.5212976423062942E-5</v>
      </c>
      <c r="I439" s="704">
        <f t="shared" si="13"/>
        <v>1.8085190569225179E-5</v>
      </c>
    </row>
    <row r="440" spans="2:9">
      <c r="B440" s="598" t="s">
        <v>2595</v>
      </c>
      <c r="C440" s="604" t="s">
        <v>1107</v>
      </c>
      <c r="D440" s="745">
        <v>2013</v>
      </c>
      <c r="E440" s="650"/>
      <c r="F440" s="897">
        <v>0.4</v>
      </c>
      <c r="G440" s="898">
        <v>4200</v>
      </c>
      <c r="H440" s="703">
        <f t="shared" si="12"/>
        <v>2.4725846481362545E-4</v>
      </c>
      <c r="I440" s="704">
        <f t="shared" si="13"/>
        <v>9.8903385925450192E-5</v>
      </c>
    </row>
    <row r="441" spans="2:9">
      <c r="B441" s="598" t="s">
        <v>2595</v>
      </c>
      <c r="C441" s="604" t="s">
        <v>1107</v>
      </c>
      <c r="D441" s="745">
        <v>2013</v>
      </c>
      <c r="E441" s="650"/>
      <c r="F441" s="897">
        <v>0.4</v>
      </c>
      <c r="G441" s="898">
        <v>4000</v>
      </c>
      <c r="H441" s="703">
        <f t="shared" si="12"/>
        <v>2.3548425220345283E-4</v>
      </c>
      <c r="I441" s="704">
        <f t="shared" si="13"/>
        <v>9.4193700881381142E-5</v>
      </c>
    </row>
    <row r="442" spans="2:9">
      <c r="B442" s="598" t="s">
        <v>2595</v>
      </c>
      <c r="C442" s="604" t="s">
        <v>1107</v>
      </c>
      <c r="D442" s="745">
        <v>2013</v>
      </c>
      <c r="E442" s="650"/>
      <c r="F442" s="897">
        <v>0.4</v>
      </c>
      <c r="G442" s="898">
        <v>4000</v>
      </c>
      <c r="H442" s="703">
        <f t="shared" si="12"/>
        <v>2.3548425220345283E-4</v>
      </c>
      <c r="I442" s="704">
        <f t="shared" si="13"/>
        <v>9.4193700881381142E-5</v>
      </c>
    </row>
    <row r="443" spans="2:9">
      <c r="B443" s="598" t="s">
        <v>2595</v>
      </c>
      <c r="C443" s="604" t="s">
        <v>1107</v>
      </c>
      <c r="D443" s="745">
        <v>2013</v>
      </c>
      <c r="E443" s="650" t="s">
        <v>1507</v>
      </c>
      <c r="F443" s="897">
        <v>0.4</v>
      </c>
      <c r="G443" s="898">
        <v>1402.5</v>
      </c>
      <c r="H443" s="703">
        <f t="shared" si="12"/>
        <v>8.2566665928835643E-5</v>
      </c>
      <c r="I443" s="704">
        <f t="shared" si="13"/>
        <v>3.3026666371534259E-5</v>
      </c>
    </row>
    <row r="444" spans="2:9">
      <c r="B444" s="598" t="s">
        <v>2595</v>
      </c>
      <c r="C444" s="604" t="s">
        <v>1107</v>
      </c>
      <c r="D444" s="745">
        <v>2013</v>
      </c>
      <c r="E444" s="650" t="s">
        <v>1508</v>
      </c>
      <c r="F444" s="897">
        <v>0.4</v>
      </c>
      <c r="G444" s="898">
        <v>15000</v>
      </c>
      <c r="H444" s="703">
        <f t="shared" si="12"/>
        <v>8.8306594576294814E-4</v>
      </c>
      <c r="I444" s="704">
        <f t="shared" si="13"/>
        <v>3.5322637830517928E-4</v>
      </c>
    </row>
    <row r="445" spans="2:9">
      <c r="B445" s="598" t="s">
        <v>2595</v>
      </c>
      <c r="C445" s="604" t="s">
        <v>1107</v>
      </c>
      <c r="D445" s="745">
        <v>2014</v>
      </c>
      <c r="E445" s="650"/>
      <c r="F445" s="897">
        <v>0.4</v>
      </c>
      <c r="G445" s="898">
        <v>11500</v>
      </c>
      <c r="H445" s="703">
        <f t="shared" si="12"/>
        <v>6.7701722508492685E-4</v>
      </c>
      <c r="I445" s="704">
        <f t="shared" si="13"/>
        <v>2.7080689003397074E-4</v>
      </c>
    </row>
    <row r="446" spans="2:9">
      <c r="B446" s="598" t="s">
        <v>2595</v>
      </c>
      <c r="C446" s="604" t="s">
        <v>1107</v>
      </c>
      <c r="D446" s="745">
        <v>2013</v>
      </c>
      <c r="E446" s="650" t="s">
        <v>1509</v>
      </c>
      <c r="F446" s="897">
        <v>0.4</v>
      </c>
      <c r="G446" s="898">
        <v>1498</v>
      </c>
      <c r="H446" s="703">
        <f t="shared" si="12"/>
        <v>8.8188852450193079E-5</v>
      </c>
      <c r="I446" s="704">
        <f t="shared" si="13"/>
        <v>3.5275540980077233E-5</v>
      </c>
    </row>
    <row r="447" spans="2:9">
      <c r="B447" s="598" t="s">
        <v>2595</v>
      </c>
      <c r="C447" s="604" t="s">
        <v>1107</v>
      </c>
      <c r="D447" s="745">
        <v>2013</v>
      </c>
      <c r="E447" s="650" t="s">
        <v>1510</v>
      </c>
      <c r="F447" s="897">
        <v>0.4</v>
      </c>
      <c r="G447" s="898">
        <v>2200</v>
      </c>
      <c r="H447" s="703">
        <f t="shared" si="12"/>
        <v>1.2951633871189906E-4</v>
      </c>
      <c r="I447" s="704">
        <f t="shared" si="13"/>
        <v>5.1806535484759627E-5</v>
      </c>
    </row>
    <row r="448" spans="2:9">
      <c r="B448" s="598" t="s">
        <v>2595</v>
      </c>
      <c r="C448" s="604" t="s">
        <v>1107</v>
      </c>
      <c r="D448" s="745">
        <v>2013</v>
      </c>
      <c r="E448" s="650" t="s">
        <v>1511</v>
      </c>
      <c r="F448" s="897">
        <v>0.4</v>
      </c>
      <c r="G448" s="898">
        <v>29000</v>
      </c>
      <c r="H448" s="703">
        <f t="shared" si="12"/>
        <v>1.7072608284750329E-3</v>
      </c>
      <c r="I448" s="704">
        <f t="shared" si="13"/>
        <v>6.8290433139001322E-4</v>
      </c>
    </row>
    <row r="449" spans="2:9">
      <c r="B449" s="598" t="s">
        <v>2595</v>
      </c>
      <c r="C449" s="604" t="s">
        <v>1107</v>
      </c>
      <c r="D449" s="745">
        <v>2013</v>
      </c>
      <c r="E449" s="650" t="s">
        <v>1512</v>
      </c>
      <c r="F449" s="897">
        <v>0.4</v>
      </c>
      <c r="G449" s="898">
        <v>3000</v>
      </c>
      <c r="H449" s="703">
        <f t="shared" si="12"/>
        <v>1.7661318915258961E-4</v>
      </c>
      <c r="I449" s="704">
        <f t="shared" si="13"/>
        <v>7.0645275661035853E-5</v>
      </c>
    </row>
    <row r="450" spans="2:9">
      <c r="B450" s="598" t="s">
        <v>2595</v>
      </c>
      <c r="C450" s="604" t="s">
        <v>1107</v>
      </c>
      <c r="D450" s="745">
        <v>2013</v>
      </c>
      <c r="E450" s="650" t="s">
        <v>1513</v>
      </c>
      <c r="F450" s="897">
        <v>0.4</v>
      </c>
      <c r="G450" s="898">
        <v>5000</v>
      </c>
      <c r="H450" s="703">
        <f t="shared" si="12"/>
        <v>2.9435531525431603E-4</v>
      </c>
      <c r="I450" s="704">
        <f t="shared" si="13"/>
        <v>1.1774212610172642E-4</v>
      </c>
    </row>
    <row r="451" spans="2:9">
      <c r="B451" s="598" t="s">
        <v>2595</v>
      </c>
      <c r="C451" s="604" t="s">
        <v>1107</v>
      </c>
      <c r="D451" s="745">
        <v>2014</v>
      </c>
      <c r="E451" s="650"/>
      <c r="F451" s="897">
        <v>0.4</v>
      </c>
      <c r="G451" s="898">
        <v>3430</v>
      </c>
      <c r="H451" s="703">
        <f t="shared" si="12"/>
        <v>2.0192774626446081E-4</v>
      </c>
      <c r="I451" s="704">
        <f t="shared" si="13"/>
        <v>8.077109850578433E-5</v>
      </c>
    </row>
    <row r="452" spans="2:9">
      <c r="B452" s="598" t="s">
        <v>2595</v>
      </c>
      <c r="C452" s="604" t="s">
        <v>1107</v>
      </c>
      <c r="D452" s="745">
        <v>2013</v>
      </c>
      <c r="E452" s="650" t="s">
        <v>1514</v>
      </c>
      <c r="F452" s="897">
        <v>0.4</v>
      </c>
      <c r="G452" s="898">
        <v>5500</v>
      </c>
      <c r="H452" s="703">
        <f t="shared" si="12"/>
        <v>3.2379084677974763E-4</v>
      </c>
      <c r="I452" s="704">
        <f t="shared" si="13"/>
        <v>1.2951633871189906E-4</v>
      </c>
    </row>
    <row r="453" spans="2:9">
      <c r="B453" s="598" t="s">
        <v>2595</v>
      </c>
      <c r="C453" s="604" t="s">
        <v>1107</v>
      </c>
      <c r="D453" s="745">
        <v>2013</v>
      </c>
      <c r="E453" s="650" t="s">
        <v>1515</v>
      </c>
      <c r="F453" s="897">
        <v>0.4</v>
      </c>
      <c r="G453" s="898">
        <v>1301</v>
      </c>
      <c r="H453" s="703">
        <f t="shared" ref="H453:H516" si="14">+G453/$G$1080</f>
        <v>7.6591253029173025E-5</v>
      </c>
      <c r="I453" s="704">
        <f t="shared" ref="I453:I516" si="15">+H453*F453</f>
        <v>3.063650121166921E-5</v>
      </c>
    </row>
    <row r="454" spans="2:9">
      <c r="B454" s="598" t="s">
        <v>2595</v>
      </c>
      <c r="C454" s="604" t="s">
        <v>1107</v>
      </c>
      <c r="D454" s="745">
        <v>2013</v>
      </c>
      <c r="E454" s="650" t="s">
        <v>1516</v>
      </c>
      <c r="F454" s="897">
        <v>0.4</v>
      </c>
      <c r="G454" s="898">
        <v>534.1</v>
      </c>
      <c r="H454" s="703">
        <f t="shared" si="14"/>
        <v>3.1443034775466039E-5</v>
      </c>
      <c r="I454" s="704">
        <f t="shared" si="15"/>
        <v>1.2577213910186417E-5</v>
      </c>
    </row>
    <row r="455" spans="2:9">
      <c r="B455" s="598" t="s">
        <v>2595</v>
      </c>
      <c r="C455" s="604" t="s">
        <v>1107</v>
      </c>
      <c r="D455" s="745">
        <v>2013</v>
      </c>
      <c r="E455" s="650" t="s">
        <v>1517</v>
      </c>
      <c r="F455" s="897">
        <v>0.4</v>
      </c>
      <c r="G455" s="898">
        <v>1800</v>
      </c>
      <c r="H455" s="703">
        <f t="shared" si="14"/>
        <v>1.0596791349155377E-4</v>
      </c>
      <c r="I455" s="704">
        <f t="shared" si="15"/>
        <v>4.2387165396621515E-5</v>
      </c>
    </row>
    <row r="456" spans="2:9">
      <c r="B456" s="598" t="s">
        <v>2595</v>
      </c>
      <c r="C456" s="604" t="s">
        <v>1107</v>
      </c>
      <c r="D456" s="745">
        <v>2013</v>
      </c>
      <c r="E456" s="650" t="s">
        <v>1518</v>
      </c>
      <c r="F456" s="897">
        <v>0.4</v>
      </c>
      <c r="G456" s="898">
        <v>617.5</v>
      </c>
      <c r="H456" s="703">
        <f t="shared" si="14"/>
        <v>3.6352881433908027E-5</v>
      </c>
      <c r="I456" s="704">
        <f t="shared" si="15"/>
        <v>1.4541152573563211E-5</v>
      </c>
    </row>
    <row r="457" spans="2:9">
      <c r="B457" s="598" t="s">
        <v>2595</v>
      </c>
      <c r="C457" s="604" t="s">
        <v>1107</v>
      </c>
      <c r="D457" s="745">
        <v>2014</v>
      </c>
      <c r="E457" s="650" t="s">
        <v>1519</v>
      </c>
      <c r="F457" s="897">
        <v>0.4</v>
      </c>
      <c r="G457" s="898">
        <v>830</v>
      </c>
      <c r="H457" s="703">
        <f t="shared" si="14"/>
        <v>4.886298233221646E-5</v>
      </c>
      <c r="I457" s="704">
        <f t="shared" si="15"/>
        <v>1.9545192932886586E-5</v>
      </c>
    </row>
    <row r="458" spans="2:9">
      <c r="B458" s="598" t="s">
        <v>2595</v>
      </c>
      <c r="C458" s="604" t="s">
        <v>1107</v>
      </c>
      <c r="D458" s="745">
        <v>2014</v>
      </c>
      <c r="E458" s="650" t="s">
        <v>1520</v>
      </c>
      <c r="F458" s="897">
        <v>0.4</v>
      </c>
      <c r="G458" s="898">
        <v>840</v>
      </c>
      <c r="H458" s="703">
        <f t="shared" si="14"/>
        <v>4.9451692962725096E-5</v>
      </c>
      <c r="I458" s="704">
        <f t="shared" si="15"/>
        <v>1.978067718509004E-5</v>
      </c>
    </row>
    <row r="459" spans="2:9">
      <c r="B459" s="598" t="s">
        <v>2595</v>
      </c>
      <c r="C459" s="604" t="s">
        <v>1107</v>
      </c>
      <c r="D459" s="745">
        <v>2014</v>
      </c>
      <c r="E459" s="650" t="s">
        <v>1521</v>
      </c>
      <c r="F459" s="897">
        <v>0.4</v>
      </c>
      <c r="G459" s="898">
        <v>830</v>
      </c>
      <c r="H459" s="703">
        <f t="shared" si="14"/>
        <v>4.886298233221646E-5</v>
      </c>
      <c r="I459" s="704">
        <f t="shared" si="15"/>
        <v>1.9545192932886586E-5</v>
      </c>
    </row>
    <row r="460" spans="2:9">
      <c r="B460" s="598" t="s">
        <v>2595</v>
      </c>
      <c r="C460" s="604" t="s">
        <v>1107</v>
      </c>
      <c r="D460" s="745">
        <v>2014</v>
      </c>
      <c r="E460" s="650" t="s">
        <v>1522</v>
      </c>
      <c r="F460" s="897">
        <v>0.4</v>
      </c>
      <c r="G460" s="898">
        <v>1700</v>
      </c>
      <c r="H460" s="703">
        <f t="shared" si="14"/>
        <v>1.0008080718646745E-4</v>
      </c>
      <c r="I460" s="704">
        <f t="shared" si="15"/>
        <v>4.0032322874586983E-5</v>
      </c>
    </row>
    <row r="461" spans="2:9">
      <c r="B461" s="598" t="s">
        <v>2595</v>
      </c>
      <c r="C461" s="604" t="s">
        <v>1107</v>
      </c>
      <c r="D461" s="745">
        <v>2014</v>
      </c>
      <c r="E461" s="650" t="s">
        <v>1523</v>
      </c>
      <c r="F461" s="897">
        <v>0.4</v>
      </c>
      <c r="G461" s="898">
        <v>1700</v>
      </c>
      <c r="H461" s="703">
        <f t="shared" si="14"/>
        <v>1.0008080718646745E-4</v>
      </c>
      <c r="I461" s="704">
        <f t="shared" si="15"/>
        <v>4.0032322874586983E-5</v>
      </c>
    </row>
    <row r="462" spans="2:9">
      <c r="B462" s="598" t="s">
        <v>2595</v>
      </c>
      <c r="C462" s="604" t="s">
        <v>1107</v>
      </c>
      <c r="D462" s="745">
        <v>2014</v>
      </c>
      <c r="E462" s="650" t="s">
        <v>1524</v>
      </c>
      <c r="F462" s="897">
        <v>0.4</v>
      </c>
      <c r="G462" s="898">
        <v>3000</v>
      </c>
      <c r="H462" s="703">
        <f t="shared" si="14"/>
        <v>1.7661318915258961E-4</v>
      </c>
      <c r="I462" s="704">
        <f t="shared" si="15"/>
        <v>7.0645275661035853E-5</v>
      </c>
    </row>
    <row r="463" spans="2:9">
      <c r="B463" s="598" t="s">
        <v>2595</v>
      </c>
      <c r="C463" s="604" t="s">
        <v>1107</v>
      </c>
      <c r="D463" s="745">
        <v>2014</v>
      </c>
      <c r="E463" s="650" t="s">
        <v>1525</v>
      </c>
      <c r="F463" s="897">
        <v>0.4</v>
      </c>
      <c r="G463" s="898">
        <v>2000</v>
      </c>
      <c r="H463" s="703">
        <f t="shared" si="14"/>
        <v>1.1774212610172642E-4</v>
      </c>
      <c r="I463" s="704">
        <f t="shared" si="15"/>
        <v>4.7096850440690571E-5</v>
      </c>
    </row>
    <row r="464" spans="2:9">
      <c r="B464" s="598" t="s">
        <v>2595</v>
      </c>
      <c r="C464" s="604" t="s">
        <v>1107</v>
      </c>
      <c r="D464" s="745">
        <v>2014</v>
      </c>
      <c r="E464" s="650" t="s">
        <v>1526</v>
      </c>
      <c r="F464" s="897">
        <v>0.4</v>
      </c>
      <c r="G464" s="898">
        <v>1900</v>
      </c>
      <c r="H464" s="703">
        <f t="shared" si="14"/>
        <v>1.118550197966401E-4</v>
      </c>
      <c r="I464" s="704">
        <f t="shared" si="15"/>
        <v>4.4742007918656039E-5</v>
      </c>
    </row>
    <row r="465" spans="2:9">
      <c r="B465" s="598" t="s">
        <v>2595</v>
      </c>
      <c r="C465" s="604" t="s">
        <v>1107</v>
      </c>
      <c r="D465" s="745">
        <v>2014</v>
      </c>
      <c r="E465" s="650" t="s">
        <v>1527</v>
      </c>
      <c r="F465" s="897">
        <v>0.4</v>
      </c>
      <c r="G465" s="898">
        <v>1200</v>
      </c>
      <c r="H465" s="703">
        <f t="shared" si="14"/>
        <v>7.0645275661035853E-5</v>
      </c>
      <c r="I465" s="704">
        <f t="shared" si="15"/>
        <v>2.8258110264414342E-5</v>
      </c>
    </row>
    <row r="466" spans="2:9">
      <c r="B466" s="598" t="s">
        <v>2595</v>
      </c>
      <c r="C466" s="604" t="s">
        <v>1107</v>
      </c>
      <c r="D466" s="745">
        <v>2014</v>
      </c>
      <c r="E466" s="650" t="s">
        <v>1528</v>
      </c>
      <c r="F466" s="897">
        <v>0.4</v>
      </c>
      <c r="G466" s="898">
        <v>1500</v>
      </c>
      <c r="H466" s="703">
        <f t="shared" si="14"/>
        <v>8.8306594576294806E-5</v>
      </c>
      <c r="I466" s="704">
        <f t="shared" si="15"/>
        <v>3.5322637830517927E-5</v>
      </c>
    </row>
    <row r="467" spans="2:9">
      <c r="B467" s="598" t="s">
        <v>2595</v>
      </c>
      <c r="C467" s="604" t="s">
        <v>1107</v>
      </c>
      <c r="D467" s="745">
        <v>2014</v>
      </c>
      <c r="E467" s="650" t="s">
        <v>1529</v>
      </c>
      <c r="F467" s="897">
        <v>0.4</v>
      </c>
      <c r="G467" s="898">
        <v>1400</v>
      </c>
      <c r="H467" s="703">
        <f t="shared" si="14"/>
        <v>8.2419488271208484E-5</v>
      </c>
      <c r="I467" s="704">
        <f t="shared" si="15"/>
        <v>3.2967795308483395E-5</v>
      </c>
    </row>
    <row r="468" spans="2:9">
      <c r="B468" s="598" t="s">
        <v>2595</v>
      </c>
      <c r="C468" s="604" t="s">
        <v>1107</v>
      </c>
      <c r="D468" s="745">
        <v>2014</v>
      </c>
      <c r="E468" s="650" t="s">
        <v>1529</v>
      </c>
      <c r="F468" s="897">
        <v>0.4</v>
      </c>
      <c r="G468" s="898">
        <v>1400</v>
      </c>
      <c r="H468" s="703">
        <f t="shared" si="14"/>
        <v>8.2419488271208484E-5</v>
      </c>
      <c r="I468" s="704">
        <f t="shared" si="15"/>
        <v>3.2967795308483395E-5</v>
      </c>
    </row>
    <row r="469" spans="2:9">
      <c r="B469" s="598" t="s">
        <v>2595</v>
      </c>
      <c r="C469" s="604" t="s">
        <v>1107</v>
      </c>
      <c r="D469" s="745">
        <v>2014</v>
      </c>
      <c r="E469" s="650" t="s">
        <v>1530</v>
      </c>
      <c r="F469" s="897">
        <v>0.4</v>
      </c>
      <c r="G469" s="898">
        <v>9852</v>
      </c>
      <c r="H469" s="703">
        <f t="shared" si="14"/>
        <v>5.7999771317710435E-4</v>
      </c>
      <c r="I469" s="704">
        <f t="shared" si="15"/>
        <v>2.3199908527084175E-4</v>
      </c>
    </row>
    <row r="470" spans="2:9">
      <c r="B470" s="598" t="s">
        <v>2595</v>
      </c>
      <c r="C470" s="604" t="s">
        <v>1107</v>
      </c>
      <c r="D470" s="745">
        <v>2014</v>
      </c>
      <c r="E470" s="650" t="s">
        <v>1531</v>
      </c>
      <c r="F470" s="897">
        <v>0.4</v>
      </c>
      <c r="G470" s="898">
        <v>8200</v>
      </c>
      <c r="H470" s="703">
        <f t="shared" si="14"/>
        <v>4.8274271701707829E-4</v>
      </c>
      <c r="I470" s="704">
        <f t="shared" si="15"/>
        <v>1.9309708680683132E-4</v>
      </c>
    </row>
    <row r="471" spans="2:9">
      <c r="B471" s="598" t="s">
        <v>2595</v>
      </c>
      <c r="C471" s="604" t="s">
        <v>1107</v>
      </c>
      <c r="D471" s="745">
        <v>2014</v>
      </c>
      <c r="E471" s="650" t="s">
        <v>1532</v>
      </c>
      <c r="F471" s="897">
        <v>0.4</v>
      </c>
      <c r="G471" s="898">
        <v>643.80999999999995</v>
      </c>
      <c r="H471" s="703">
        <f t="shared" si="14"/>
        <v>3.790177910277624E-5</v>
      </c>
      <c r="I471" s="704">
        <f t="shared" si="15"/>
        <v>1.5160711641110497E-5</v>
      </c>
    </row>
    <row r="472" spans="2:9">
      <c r="B472" s="598" t="s">
        <v>2595</v>
      </c>
      <c r="C472" s="604" t="s">
        <v>1107</v>
      </c>
      <c r="D472" s="745">
        <v>2014</v>
      </c>
      <c r="E472" s="650" t="s">
        <v>1533</v>
      </c>
      <c r="F472" s="897">
        <v>0.4</v>
      </c>
      <c r="G472" s="898">
        <v>554.11</v>
      </c>
      <c r="H472" s="703">
        <f t="shared" si="14"/>
        <v>3.2621044747113809E-5</v>
      </c>
      <c r="I472" s="704">
        <f t="shared" si="15"/>
        <v>1.3048417898845524E-5</v>
      </c>
    </row>
    <row r="473" spans="2:9">
      <c r="B473" s="598" t="s">
        <v>2595</v>
      </c>
      <c r="C473" s="604" t="s">
        <v>1107</v>
      </c>
      <c r="D473" s="745">
        <v>2014</v>
      </c>
      <c r="E473" s="650" t="s">
        <v>1534</v>
      </c>
      <c r="F473" s="897">
        <v>0.4</v>
      </c>
      <c r="G473" s="898">
        <v>4000</v>
      </c>
      <c r="H473" s="703">
        <f t="shared" si="14"/>
        <v>2.3548425220345283E-4</v>
      </c>
      <c r="I473" s="704">
        <f t="shared" si="15"/>
        <v>9.4193700881381142E-5</v>
      </c>
    </row>
    <row r="474" spans="2:9">
      <c r="B474" s="598" t="s">
        <v>2595</v>
      </c>
      <c r="C474" s="604" t="s">
        <v>1107</v>
      </c>
      <c r="D474" s="745">
        <v>2014</v>
      </c>
      <c r="E474" s="650" t="s">
        <v>1535</v>
      </c>
      <c r="F474" s="897">
        <v>0.4</v>
      </c>
      <c r="G474" s="898">
        <v>3000</v>
      </c>
      <c r="H474" s="703">
        <f t="shared" si="14"/>
        <v>1.7661318915258961E-4</v>
      </c>
      <c r="I474" s="704">
        <f t="shared" si="15"/>
        <v>7.0645275661035853E-5</v>
      </c>
    </row>
    <row r="475" spans="2:9">
      <c r="B475" s="598" t="s">
        <v>2595</v>
      </c>
      <c r="C475" s="604" t="s">
        <v>1107</v>
      </c>
      <c r="D475" s="745">
        <v>2014</v>
      </c>
      <c r="E475" s="650" t="s">
        <v>1536</v>
      </c>
      <c r="F475" s="897">
        <v>0.4</v>
      </c>
      <c r="G475" s="898">
        <v>870.25</v>
      </c>
      <c r="H475" s="703">
        <f t="shared" si="14"/>
        <v>5.1232542620013707E-5</v>
      </c>
      <c r="I475" s="704">
        <f t="shared" si="15"/>
        <v>2.0493017048005486E-5</v>
      </c>
    </row>
    <row r="476" spans="2:9">
      <c r="B476" s="598" t="s">
        <v>2595</v>
      </c>
      <c r="C476" s="604" t="s">
        <v>1107</v>
      </c>
      <c r="D476" s="745">
        <v>2014</v>
      </c>
      <c r="E476" s="650" t="s">
        <v>1537</v>
      </c>
      <c r="F476" s="897">
        <v>0.4</v>
      </c>
      <c r="G476" s="898">
        <v>1500</v>
      </c>
      <c r="H476" s="703">
        <f t="shared" si="14"/>
        <v>8.8306594576294806E-5</v>
      </c>
      <c r="I476" s="704">
        <f t="shared" si="15"/>
        <v>3.5322637830517927E-5</v>
      </c>
    </row>
    <row r="477" spans="2:9">
      <c r="B477" s="598" t="s">
        <v>2595</v>
      </c>
      <c r="C477" s="604" t="s">
        <v>1107</v>
      </c>
      <c r="D477" s="745">
        <v>2014</v>
      </c>
      <c r="E477" s="650" t="s">
        <v>1538</v>
      </c>
      <c r="F477" s="897">
        <v>0.4</v>
      </c>
      <c r="G477" s="898">
        <v>1200</v>
      </c>
      <c r="H477" s="703">
        <f t="shared" si="14"/>
        <v>7.0645275661035853E-5</v>
      </c>
      <c r="I477" s="704">
        <f t="shared" si="15"/>
        <v>2.8258110264414342E-5</v>
      </c>
    </row>
    <row r="478" spans="2:9">
      <c r="B478" s="598" t="s">
        <v>2595</v>
      </c>
      <c r="C478" s="604" t="s">
        <v>1107</v>
      </c>
      <c r="D478" s="745">
        <v>2014</v>
      </c>
      <c r="E478" s="650" t="s">
        <v>1539</v>
      </c>
      <c r="F478" s="897">
        <v>0.4</v>
      </c>
      <c r="G478" s="898">
        <v>1200</v>
      </c>
      <c r="H478" s="703">
        <f t="shared" si="14"/>
        <v>7.0645275661035853E-5</v>
      </c>
      <c r="I478" s="704">
        <f t="shared" si="15"/>
        <v>2.8258110264414342E-5</v>
      </c>
    </row>
    <row r="479" spans="2:9">
      <c r="B479" s="598" t="s">
        <v>2595</v>
      </c>
      <c r="C479" s="604" t="s">
        <v>1107</v>
      </c>
      <c r="D479" s="745">
        <v>2014</v>
      </c>
      <c r="E479" s="650" t="s">
        <v>1540</v>
      </c>
      <c r="F479" s="897">
        <v>0.4</v>
      </c>
      <c r="G479" s="898">
        <v>1200</v>
      </c>
      <c r="H479" s="703">
        <f t="shared" si="14"/>
        <v>7.0645275661035853E-5</v>
      </c>
      <c r="I479" s="704">
        <f t="shared" si="15"/>
        <v>2.8258110264414342E-5</v>
      </c>
    </row>
    <row r="480" spans="2:9">
      <c r="B480" s="598" t="s">
        <v>2595</v>
      </c>
      <c r="C480" s="604" t="s">
        <v>1107</v>
      </c>
      <c r="D480" s="745">
        <v>2014</v>
      </c>
      <c r="E480" s="650" t="s">
        <v>1541</v>
      </c>
      <c r="F480" s="897">
        <v>0.4</v>
      </c>
      <c r="G480" s="898">
        <v>1191.44</v>
      </c>
      <c r="H480" s="703">
        <f t="shared" si="14"/>
        <v>7.0141339361320463E-5</v>
      </c>
      <c r="I480" s="704">
        <f t="shared" si="15"/>
        <v>2.8056535744528185E-5</v>
      </c>
    </row>
    <row r="481" spans="2:9">
      <c r="B481" s="598" t="s">
        <v>2595</v>
      </c>
      <c r="C481" s="604" t="s">
        <v>1107</v>
      </c>
      <c r="D481" s="745">
        <v>2014</v>
      </c>
      <c r="E481" s="650" t="s">
        <v>1542</v>
      </c>
      <c r="F481" s="897">
        <v>0.4</v>
      </c>
      <c r="G481" s="898">
        <v>950</v>
      </c>
      <c r="H481" s="703">
        <f t="shared" si="14"/>
        <v>5.5927509898320048E-5</v>
      </c>
      <c r="I481" s="704">
        <f t="shared" si="15"/>
        <v>2.237100395932802E-5</v>
      </c>
    </row>
    <row r="482" spans="2:9">
      <c r="B482" s="598" t="s">
        <v>2595</v>
      </c>
      <c r="C482" s="604" t="s">
        <v>1107</v>
      </c>
      <c r="D482" s="745">
        <v>2014</v>
      </c>
      <c r="E482" s="650" t="s">
        <v>1543</v>
      </c>
      <c r="F482" s="897">
        <v>0.4</v>
      </c>
      <c r="G482" s="898">
        <v>4000</v>
      </c>
      <c r="H482" s="703">
        <f t="shared" si="14"/>
        <v>2.3548425220345283E-4</v>
      </c>
      <c r="I482" s="704">
        <f t="shared" si="15"/>
        <v>9.4193700881381142E-5</v>
      </c>
    </row>
    <row r="483" spans="2:9">
      <c r="B483" s="598" t="s">
        <v>2595</v>
      </c>
      <c r="C483" s="604" t="s">
        <v>1107</v>
      </c>
      <c r="D483" s="745">
        <v>2014</v>
      </c>
      <c r="E483" s="650" t="s">
        <v>1544</v>
      </c>
      <c r="F483" s="897">
        <v>0.4</v>
      </c>
      <c r="G483" s="898">
        <v>1500</v>
      </c>
      <c r="H483" s="703">
        <f t="shared" si="14"/>
        <v>8.8306594576294806E-5</v>
      </c>
      <c r="I483" s="704">
        <f t="shared" si="15"/>
        <v>3.5322637830517927E-5</v>
      </c>
    </row>
    <row r="484" spans="2:9">
      <c r="B484" s="598" t="s">
        <v>2595</v>
      </c>
      <c r="C484" s="604" t="s">
        <v>1107</v>
      </c>
      <c r="D484" s="745">
        <v>2014</v>
      </c>
      <c r="E484" s="650" t="s">
        <v>1545</v>
      </c>
      <c r="F484" s="897">
        <v>0.4</v>
      </c>
      <c r="G484" s="898">
        <v>1100</v>
      </c>
      <c r="H484" s="703">
        <f t="shared" si="14"/>
        <v>6.4758169355949531E-5</v>
      </c>
      <c r="I484" s="704">
        <f t="shared" si="15"/>
        <v>2.5903267742379814E-5</v>
      </c>
    </row>
    <row r="485" spans="2:9">
      <c r="B485" s="598" t="s">
        <v>2595</v>
      </c>
      <c r="C485" s="604" t="s">
        <v>1107</v>
      </c>
      <c r="D485" s="745">
        <v>2014</v>
      </c>
      <c r="E485" s="650" t="s">
        <v>1546</v>
      </c>
      <c r="F485" s="897">
        <v>0.4</v>
      </c>
      <c r="G485" s="898">
        <v>2000</v>
      </c>
      <c r="H485" s="703">
        <f t="shared" si="14"/>
        <v>1.1774212610172642E-4</v>
      </c>
      <c r="I485" s="704">
        <f t="shared" si="15"/>
        <v>4.7096850440690571E-5</v>
      </c>
    </row>
    <row r="486" spans="2:9">
      <c r="B486" s="598" t="s">
        <v>2595</v>
      </c>
      <c r="C486" s="604" t="s">
        <v>1107</v>
      </c>
      <c r="D486" s="745">
        <v>2014</v>
      </c>
      <c r="E486" s="650" t="s">
        <v>1547</v>
      </c>
      <c r="F486" s="897">
        <v>0.4</v>
      </c>
      <c r="G486" s="898">
        <v>2000</v>
      </c>
      <c r="H486" s="703">
        <f t="shared" si="14"/>
        <v>1.1774212610172642E-4</v>
      </c>
      <c r="I486" s="704">
        <f t="shared" si="15"/>
        <v>4.7096850440690571E-5</v>
      </c>
    </row>
    <row r="487" spans="2:9">
      <c r="B487" s="598" t="s">
        <v>2595</v>
      </c>
      <c r="C487" s="604" t="s">
        <v>1107</v>
      </c>
      <c r="D487" s="745">
        <v>2014</v>
      </c>
      <c r="E487" s="650" t="s">
        <v>1548</v>
      </c>
      <c r="F487" s="897">
        <v>0.4</v>
      </c>
      <c r="G487" s="898">
        <v>2000</v>
      </c>
      <c r="H487" s="703">
        <f t="shared" si="14"/>
        <v>1.1774212610172642E-4</v>
      </c>
      <c r="I487" s="704">
        <f t="shared" si="15"/>
        <v>4.7096850440690571E-5</v>
      </c>
    </row>
    <row r="488" spans="2:9">
      <c r="B488" s="598" t="s">
        <v>2595</v>
      </c>
      <c r="C488" s="604" t="s">
        <v>1107</v>
      </c>
      <c r="D488" s="745">
        <v>2014</v>
      </c>
      <c r="E488" s="650" t="s">
        <v>1549</v>
      </c>
      <c r="F488" s="897">
        <v>0.4</v>
      </c>
      <c r="G488" s="898">
        <v>7180</v>
      </c>
      <c r="H488" s="703">
        <f t="shared" si="14"/>
        <v>4.2269423270519782E-4</v>
      </c>
      <c r="I488" s="704">
        <f t="shared" si="15"/>
        <v>1.6907769308207915E-4</v>
      </c>
    </row>
    <row r="489" spans="2:9">
      <c r="B489" s="598" t="s">
        <v>2595</v>
      </c>
      <c r="C489" s="604" t="s">
        <v>1107</v>
      </c>
      <c r="D489" s="745">
        <v>2014</v>
      </c>
      <c r="E489" s="650" t="s">
        <v>1550</v>
      </c>
      <c r="F489" s="897">
        <v>0.4</v>
      </c>
      <c r="G489" s="898">
        <v>2000</v>
      </c>
      <c r="H489" s="703">
        <f t="shared" si="14"/>
        <v>1.1774212610172642E-4</v>
      </c>
      <c r="I489" s="704">
        <f t="shared" si="15"/>
        <v>4.7096850440690571E-5</v>
      </c>
    </row>
    <row r="490" spans="2:9">
      <c r="B490" s="598" t="s">
        <v>2595</v>
      </c>
      <c r="C490" s="604" t="s">
        <v>1107</v>
      </c>
      <c r="D490" s="745">
        <v>2014</v>
      </c>
      <c r="E490" s="650" t="s">
        <v>1551</v>
      </c>
      <c r="F490" s="897">
        <v>0.4</v>
      </c>
      <c r="G490" s="898">
        <v>800</v>
      </c>
      <c r="H490" s="703">
        <f t="shared" si="14"/>
        <v>4.7096850440690564E-5</v>
      </c>
      <c r="I490" s="704">
        <f t="shared" si="15"/>
        <v>1.8838740176276226E-5</v>
      </c>
    </row>
    <row r="491" spans="2:9">
      <c r="B491" s="598" t="s">
        <v>2595</v>
      </c>
      <c r="C491" s="604" t="s">
        <v>1107</v>
      </c>
      <c r="D491" s="745">
        <v>2014</v>
      </c>
      <c r="E491" s="650" t="s">
        <v>1552</v>
      </c>
      <c r="F491" s="897">
        <v>0.4</v>
      </c>
      <c r="G491" s="898">
        <v>1800</v>
      </c>
      <c r="H491" s="703">
        <f t="shared" si="14"/>
        <v>1.0596791349155377E-4</v>
      </c>
      <c r="I491" s="704">
        <f t="shared" si="15"/>
        <v>4.2387165396621515E-5</v>
      </c>
    </row>
    <row r="492" spans="2:9">
      <c r="B492" s="598" t="s">
        <v>2595</v>
      </c>
      <c r="C492" s="604" t="s">
        <v>1107</v>
      </c>
      <c r="D492" s="745">
        <v>2014</v>
      </c>
      <c r="E492" s="650" t="s">
        <v>1553</v>
      </c>
      <c r="F492" s="897">
        <v>0.4</v>
      </c>
      <c r="G492" s="898">
        <v>1500</v>
      </c>
      <c r="H492" s="703">
        <f t="shared" si="14"/>
        <v>8.8306594576294806E-5</v>
      </c>
      <c r="I492" s="704">
        <f t="shared" si="15"/>
        <v>3.5322637830517927E-5</v>
      </c>
    </row>
    <row r="493" spans="2:9">
      <c r="B493" s="598" t="s">
        <v>2595</v>
      </c>
      <c r="C493" s="604" t="s">
        <v>1107</v>
      </c>
      <c r="D493" s="745">
        <v>2014</v>
      </c>
      <c r="E493" s="650" t="s">
        <v>1554</v>
      </c>
      <c r="F493" s="897">
        <v>0.4</v>
      </c>
      <c r="G493" s="898">
        <v>1880</v>
      </c>
      <c r="H493" s="703">
        <f t="shared" si="14"/>
        <v>1.1067759853562282E-4</v>
      </c>
      <c r="I493" s="704">
        <f t="shared" si="15"/>
        <v>4.427103941424913E-5</v>
      </c>
    </row>
    <row r="494" spans="2:9">
      <c r="B494" s="598" t="s">
        <v>2595</v>
      </c>
      <c r="C494" s="604" t="s">
        <v>1107</v>
      </c>
      <c r="D494" s="745">
        <v>2014</v>
      </c>
      <c r="E494" s="650" t="s">
        <v>1555</v>
      </c>
      <c r="F494" s="897">
        <v>0.4</v>
      </c>
      <c r="G494" s="898">
        <v>550</v>
      </c>
      <c r="H494" s="703">
        <f t="shared" si="14"/>
        <v>3.2379084677974765E-5</v>
      </c>
      <c r="I494" s="704">
        <f t="shared" si="15"/>
        <v>1.2951633871189907E-5</v>
      </c>
    </row>
    <row r="495" spans="2:9">
      <c r="B495" s="598" t="s">
        <v>2595</v>
      </c>
      <c r="C495" s="604" t="s">
        <v>1107</v>
      </c>
      <c r="D495" s="745">
        <v>2014</v>
      </c>
      <c r="E495" s="650" t="s">
        <v>1556</v>
      </c>
      <c r="F495" s="897">
        <v>0.4</v>
      </c>
      <c r="G495" s="898">
        <v>600</v>
      </c>
      <c r="H495" s="703">
        <f t="shared" si="14"/>
        <v>3.5322637830517927E-5</v>
      </c>
      <c r="I495" s="704">
        <f t="shared" si="15"/>
        <v>1.4129055132207171E-5</v>
      </c>
    </row>
    <row r="496" spans="2:9">
      <c r="B496" s="598" t="s">
        <v>2595</v>
      </c>
      <c r="C496" s="604" t="s">
        <v>1107</v>
      </c>
      <c r="D496" s="745">
        <v>2014</v>
      </c>
      <c r="E496" s="650" t="s">
        <v>1557</v>
      </c>
      <c r="F496" s="897">
        <v>0.4</v>
      </c>
      <c r="G496" s="898">
        <v>1250</v>
      </c>
      <c r="H496" s="703">
        <f t="shared" si="14"/>
        <v>7.3588828813579007E-5</v>
      </c>
      <c r="I496" s="704">
        <f t="shared" si="15"/>
        <v>2.9435531525431604E-5</v>
      </c>
    </row>
    <row r="497" spans="2:9">
      <c r="B497" s="598" t="s">
        <v>2595</v>
      </c>
      <c r="C497" s="604" t="s">
        <v>1107</v>
      </c>
      <c r="D497" s="745">
        <v>2014</v>
      </c>
      <c r="E497" s="650" t="s">
        <v>1558</v>
      </c>
      <c r="F497" s="897">
        <v>0.4</v>
      </c>
      <c r="G497" s="898">
        <v>600</v>
      </c>
      <c r="H497" s="703">
        <f t="shared" si="14"/>
        <v>3.5322637830517927E-5</v>
      </c>
      <c r="I497" s="704">
        <f t="shared" si="15"/>
        <v>1.4129055132207171E-5</v>
      </c>
    </row>
    <row r="498" spans="2:9">
      <c r="B498" s="598" t="s">
        <v>2595</v>
      </c>
      <c r="C498" s="604" t="s">
        <v>1107</v>
      </c>
      <c r="D498" s="745">
        <v>2014</v>
      </c>
      <c r="E498" s="650" t="s">
        <v>1559</v>
      </c>
      <c r="F498" s="897">
        <v>0.4</v>
      </c>
      <c r="G498" s="898">
        <v>1100</v>
      </c>
      <c r="H498" s="703">
        <f t="shared" si="14"/>
        <v>6.4758169355949531E-5</v>
      </c>
      <c r="I498" s="704">
        <f t="shared" si="15"/>
        <v>2.5903267742379814E-5</v>
      </c>
    </row>
    <row r="499" spans="2:9">
      <c r="B499" s="598" t="s">
        <v>2595</v>
      </c>
      <c r="C499" s="604" t="s">
        <v>1107</v>
      </c>
      <c r="D499" s="745">
        <v>2015</v>
      </c>
      <c r="E499" s="650" t="s">
        <v>1560</v>
      </c>
      <c r="F499" s="897">
        <v>0.4</v>
      </c>
      <c r="G499" s="898">
        <v>1110</v>
      </c>
      <c r="H499" s="703">
        <f t="shared" si="14"/>
        <v>6.5346879986458154E-5</v>
      </c>
      <c r="I499" s="704">
        <f t="shared" si="15"/>
        <v>2.6138751994583261E-5</v>
      </c>
    </row>
    <row r="500" spans="2:9">
      <c r="B500" s="598" t="s">
        <v>2595</v>
      </c>
      <c r="C500" s="604" t="s">
        <v>1107</v>
      </c>
      <c r="D500" s="745">
        <v>2015</v>
      </c>
      <c r="E500" s="650" t="s">
        <v>1561</v>
      </c>
      <c r="F500" s="897">
        <v>0.4</v>
      </c>
      <c r="G500" s="898">
        <v>1225</v>
      </c>
      <c r="H500" s="703">
        <f t="shared" si="14"/>
        <v>7.211705223730743E-5</v>
      </c>
      <c r="I500" s="704">
        <f t="shared" si="15"/>
        <v>2.8846820894922975E-5</v>
      </c>
    </row>
    <row r="501" spans="2:9">
      <c r="B501" s="598" t="s">
        <v>2595</v>
      </c>
      <c r="C501" s="604" t="s">
        <v>1107</v>
      </c>
      <c r="D501" s="745">
        <v>2015</v>
      </c>
      <c r="E501" s="650" t="s">
        <v>1562</v>
      </c>
      <c r="F501" s="897">
        <v>0.4</v>
      </c>
      <c r="G501" s="898">
        <v>1000</v>
      </c>
      <c r="H501" s="703">
        <f t="shared" si="14"/>
        <v>5.8871063050863209E-5</v>
      </c>
      <c r="I501" s="704">
        <f t="shared" si="15"/>
        <v>2.3548425220345286E-5</v>
      </c>
    </row>
    <row r="502" spans="2:9">
      <c r="B502" s="598" t="s">
        <v>2595</v>
      </c>
      <c r="C502" s="604" t="s">
        <v>1107</v>
      </c>
      <c r="D502" s="745">
        <v>2015</v>
      </c>
      <c r="E502" s="650" t="s">
        <v>1563</v>
      </c>
      <c r="F502" s="897">
        <v>0.4</v>
      </c>
      <c r="G502" s="898">
        <v>1000</v>
      </c>
      <c r="H502" s="703">
        <f t="shared" si="14"/>
        <v>5.8871063050863209E-5</v>
      </c>
      <c r="I502" s="704">
        <f t="shared" si="15"/>
        <v>2.3548425220345286E-5</v>
      </c>
    </row>
    <row r="503" spans="2:9">
      <c r="B503" s="598" t="s">
        <v>2595</v>
      </c>
      <c r="C503" s="604" t="s">
        <v>1107</v>
      </c>
      <c r="D503" s="745">
        <v>2015</v>
      </c>
      <c r="E503" s="650" t="s">
        <v>1564</v>
      </c>
      <c r="F503" s="897">
        <v>0.4</v>
      </c>
      <c r="G503" s="898">
        <v>1000</v>
      </c>
      <c r="H503" s="703">
        <f t="shared" si="14"/>
        <v>5.8871063050863209E-5</v>
      </c>
      <c r="I503" s="704">
        <f t="shared" si="15"/>
        <v>2.3548425220345286E-5</v>
      </c>
    </row>
    <row r="504" spans="2:9">
      <c r="B504" s="598" t="s">
        <v>2595</v>
      </c>
      <c r="C504" s="604" t="s">
        <v>1107</v>
      </c>
      <c r="D504" s="745">
        <v>2015</v>
      </c>
      <c r="E504" s="650" t="s">
        <v>1565</v>
      </c>
      <c r="F504" s="897">
        <v>0.4</v>
      </c>
      <c r="G504" s="898">
        <v>1143.4000000000001</v>
      </c>
      <c r="H504" s="703">
        <f t="shared" si="14"/>
        <v>6.7313173492356993E-5</v>
      </c>
      <c r="I504" s="704">
        <f t="shared" si="15"/>
        <v>2.69252693969428E-5</v>
      </c>
    </row>
    <row r="505" spans="2:9">
      <c r="B505" s="598" t="s">
        <v>2595</v>
      </c>
      <c r="C505" s="604" t="s">
        <v>1107</v>
      </c>
      <c r="D505" s="745">
        <v>2015</v>
      </c>
      <c r="E505" s="650" t="s">
        <v>1566</v>
      </c>
      <c r="F505" s="897">
        <v>0.4</v>
      </c>
      <c r="G505" s="898">
        <v>787.8</v>
      </c>
      <c r="H505" s="703">
        <f t="shared" si="14"/>
        <v>4.6378623471470031E-5</v>
      </c>
      <c r="I505" s="704">
        <f t="shared" si="15"/>
        <v>1.8551449388588014E-5</v>
      </c>
    </row>
    <row r="506" spans="2:9">
      <c r="B506" s="598" t="s">
        <v>2595</v>
      </c>
      <c r="C506" s="604" t="s">
        <v>1107</v>
      </c>
      <c r="D506" s="745">
        <v>2015</v>
      </c>
      <c r="E506" s="650" t="s">
        <v>1567</v>
      </c>
      <c r="F506" s="897">
        <v>0.4</v>
      </c>
      <c r="G506" s="898">
        <v>1000</v>
      </c>
      <c r="H506" s="703">
        <f t="shared" si="14"/>
        <v>5.8871063050863209E-5</v>
      </c>
      <c r="I506" s="704">
        <f t="shared" si="15"/>
        <v>2.3548425220345286E-5</v>
      </c>
    </row>
    <row r="507" spans="2:9">
      <c r="B507" s="598" t="s">
        <v>2595</v>
      </c>
      <c r="C507" s="604" t="s">
        <v>1107</v>
      </c>
      <c r="D507" s="745">
        <v>2015</v>
      </c>
      <c r="E507" s="650" t="s">
        <v>1568</v>
      </c>
      <c r="F507" s="897">
        <v>0.4</v>
      </c>
      <c r="G507" s="898">
        <v>5000</v>
      </c>
      <c r="H507" s="703">
        <f t="shared" si="14"/>
        <v>2.9435531525431603E-4</v>
      </c>
      <c r="I507" s="704">
        <f t="shared" si="15"/>
        <v>1.1774212610172642E-4</v>
      </c>
    </row>
    <row r="508" spans="2:9">
      <c r="B508" s="598" t="s">
        <v>2595</v>
      </c>
      <c r="C508" s="604" t="s">
        <v>1107</v>
      </c>
      <c r="D508" s="745">
        <v>2015</v>
      </c>
      <c r="E508" s="650" t="s">
        <v>1569</v>
      </c>
      <c r="F508" s="897">
        <v>0.4</v>
      </c>
      <c r="G508" s="898">
        <v>26000</v>
      </c>
      <c r="H508" s="703">
        <f t="shared" si="14"/>
        <v>1.5306476393224433E-3</v>
      </c>
      <c r="I508" s="704">
        <f t="shared" si="15"/>
        <v>6.122590557289774E-4</v>
      </c>
    </row>
    <row r="509" spans="2:9">
      <c r="B509" s="598" t="s">
        <v>2595</v>
      </c>
      <c r="C509" s="604" t="s">
        <v>1107</v>
      </c>
      <c r="D509" s="745">
        <v>2015</v>
      </c>
      <c r="E509" s="650" t="s">
        <v>1570</v>
      </c>
      <c r="F509" s="897">
        <v>0.4</v>
      </c>
      <c r="G509" s="898">
        <v>47641.01</v>
      </c>
      <c r="H509" s="703">
        <f t="shared" si="14"/>
        <v>2.8046769035168046E-3</v>
      </c>
      <c r="I509" s="704">
        <f t="shared" si="15"/>
        <v>1.1218707614067218E-3</v>
      </c>
    </row>
    <row r="510" spans="2:9">
      <c r="B510" s="598" t="s">
        <v>2595</v>
      </c>
      <c r="C510" s="604" t="s">
        <v>1107</v>
      </c>
      <c r="D510" s="745">
        <v>2015</v>
      </c>
      <c r="E510" s="650" t="s">
        <v>1571</v>
      </c>
      <c r="F510" s="897">
        <v>0.4</v>
      </c>
      <c r="G510" s="898">
        <v>2700</v>
      </c>
      <c r="H510" s="703">
        <f t="shared" si="14"/>
        <v>1.5895187023733066E-4</v>
      </c>
      <c r="I510" s="704">
        <f t="shared" si="15"/>
        <v>6.3580748094932272E-5</v>
      </c>
    </row>
    <row r="511" spans="2:9">
      <c r="B511" s="598" t="s">
        <v>2595</v>
      </c>
      <c r="C511" s="604" t="s">
        <v>1107</v>
      </c>
      <c r="D511" s="745">
        <v>2015</v>
      </c>
      <c r="E511" s="650" t="s">
        <v>1572</v>
      </c>
      <c r="F511" s="897">
        <v>0.4</v>
      </c>
      <c r="G511" s="898">
        <v>14940.61</v>
      </c>
      <c r="H511" s="703">
        <f t="shared" si="14"/>
        <v>8.7956959332835733E-4</v>
      </c>
      <c r="I511" s="704">
        <f t="shared" si="15"/>
        <v>3.5182783733134297E-4</v>
      </c>
    </row>
    <row r="512" spans="2:9">
      <c r="B512" s="598" t="s">
        <v>2595</v>
      </c>
      <c r="C512" s="604" t="s">
        <v>1107</v>
      </c>
      <c r="D512" s="745">
        <v>2015</v>
      </c>
      <c r="E512" s="650" t="s">
        <v>1573</v>
      </c>
      <c r="F512" s="897">
        <v>0.4</v>
      </c>
      <c r="G512" s="898">
        <v>3900</v>
      </c>
      <c r="H512" s="703">
        <f t="shared" si="14"/>
        <v>2.295971458983665E-4</v>
      </c>
      <c r="I512" s="704">
        <f t="shared" si="15"/>
        <v>9.183885835934661E-5</v>
      </c>
    </row>
    <row r="513" spans="2:9">
      <c r="B513" s="598" t="s">
        <v>2595</v>
      </c>
      <c r="C513" s="604" t="s">
        <v>1107</v>
      </c>
      <c r="D513" s="745">
        <v>2016</v>
      </c>
      <c r="E513" s="650" t="s">
        <v>1574</v>
      </c>
      <c r="F513" s="897">
        <v>0.4</v>
      </c>
      <c r="G513" s="898">
        <v>5850</v>
      </c>
      <c r="H513" s="703">
        <f t="shared" si="14"/>
        <v>3.4439571884754973E-4</v>
      </c>
      <c r="I513" s="704">
        <f t="shared" si="15"/>
        <v>1.3775828753901989E-4</v>
      </c>
    </row>
    <row r="514" spans="2:9">
      <c r="B514" s="598" t="s">
        <v>2595</v>
      </c>
      <c r="C514" s="604" t="s">
        <v>1107</v>
      </c>
      <c r="D514" s="745">
        <v>2016</v>
      </c>
      <c r="E514" s="650" t="s">
        <v>1575</v>
      </c>
      <c r="F514" s="897">
        <v>0.4</v>
      </c>
      <c r="G514" s="898">
        <v>35000</v>
      </c>
      <c r="H514" s="703">
        <f t="shared" si="14"/>
        <v>2.060487206780212E-3</v>
      </c>
      <c r="I514" s="704">
        <f t="shared" si="15"/>
        <v>8.2419488271208484E-4</v>
      </c>
    </row>
    <row r="515" spans="2:9">
      <c r="B515" s="598" t="s">
        <v>2595</v>
      </c>
      <c r="C515" s="604" t="s">
        <v>1107</v>
      </c>
      <c r="D515" s="745">
        <v>2016</v>
      </c>
      <c r="E515" s="650" t="s">
        <v>1576</v>
      </c>
      <c r="F515" s="897">
        <v>0.4</v>
      </c>
      <c r="G515" s="898">
        <v>8000</v>
      </c>
      <c r="H515" s="703">
        <f t="shared" si="14"/>
        <v>4.7096850440690567E-4</v>
      </c>
      <c r="I515" s="704">
        <f t="shared" si="15"/>
        <v>1.8838740176276228E-4</v>
      </c>
    </row>
    <row r="516" spans="2:9">
      <c r="B516" s="598" t="s">
        <v>2595</v>
      </c>
      <c r="C516" s="604" t="s">
        <v>1107</v>
      </c>
      <c r="D516" s="745">
        <v>2016</v>
      </c>
      <c r="E516" s="650" t="s">
        <v>1577</v>
      </c>
      <c r="F516" s="897">
        <v>0.4</v>
      </c>
      <c r="G516" s="898">
        <v>4000</v>
      </c>
      <c r="H516" s="703">
        <f t="shared" si="14"/>
        <v>2.3548425220345283E-4</v>
      </c>
      <c r="I516" s="704">
        <f t="shared" si="15"/>
        <v>9.4193700881381142E-5</v>
      </c>
    </row>
    <row r="517" spans="2:9">
      <c r="B517" s="598" t="s">
        <v>2595</v>
      </c>
      <c r="C517" s="604" t="s">
        <v>1107</v>
      </c>
      <c r="D517" s="745">
        <v>2016</v>
      </c>
      <c r="E517" s="650" t="s">
        <v>1578</v>
      </c>
      <c r="F517" s="897">
        <v>0.4</v>
      </c>
      <c r="G517" s="898">
        <v>8000</v>
      </c>
      <c r="H517" s="703">
        <f t="shared" ref="H517:H580" si="16">+G517/$G$1080</f>
        <v>4.7096850440690567E-4</v>
      </c>
      <c r="I517" s="704">
        <f t="shared" ref="I517:I580" si="17">+H517*F517</f>
        <v>1.8838740176276228E-4</v>
      </c>
    </row>
    <row r="518" spans="2:9">
      <c r="B518" s="598" t="s">
        <v>2595</v>
      </c>
      <c r="C518" s="604" t="s">
        <v>1107</v>
      </c>
      <c r="D518" s="745">
        <v>2017</v>
      </c>
      <c r="E518" s="650" t="s">
        <v>1579</v>
      </c>
      <c r="F518" s="897">
        <v>0.4</v>
      </c>
      <c r="G518" s="898">
        <v>4110</v>
      </c>
      <c r="H518" s="703">
        <f t="shared" si="16"/>
        <v>2.4196006913904778E-4</v>
      </c>
      <c r="I518" s="704">
        <f t="shared" si="17"/>
        <v>9.6784027655619115E-5</v>
      </c>
    </row>
    <row r="519" spans="2:9">
      <c r="B519" s="598" t="s">
        <v>2595</v>
      </c>
      <c r="C519" s="604" t="s">
        <v>1107</v>
      </c>
      <c r="D519" s="745">
        <v>2017</v>
      </c>
      <c r="E519" s="650" t="s">
        <v>1580</v>
      </c>
      <c r="F519" s="897">
        <v>0.4</v>
      </c>
      <c r="G519" s="898">
        <v>4110</v>
      </c>
      <c r="H519" s="703">
        <f t="shared" si="16"/>
        <v>2.4196006913904778E-4</v>
      </c>
      <c r="I519" s="704">
        <f t="shared" si="17"/>
        <v>9.6784027655619115E-5</v>
      </c>
    </row>
    <row r="520" spans="2:9">
      <c r="B520" s="598" t="s">
        <v>2595</v>
      </c>
      <c r="C520" s="604" t="s">
        <v>1107</v>
      </c>
      <c r="D520" s="745">
        <v>2017</v>
      </c>
      <c r="E520" s="650" t="s">
        <v>1581</v>
      </c>
      <c r="F520" s="897">
        <v>0.4</v>
      </c>
      <c r="G520" s="898">
        <v>4110</v>
      </c>
      <c r="H520" s="703">
        <f t="shared" si="16"/>
        <v>2.4196006913904778E-4</v>
      </c>
      <c r="I520" s="704">
        <f t="shared" si="17"/>
        <v>9.6784027655619115E-5</v>
      </c>
    </row>
    <row r="521" spans="2:9">
      <c r="B521" s="598" t="s">
        <v>2595</v>
      </c>
      <c r="C521" s="604" t="s">
        <v>1107</v>
      </c>
      <c r="D521" s="745">
        <v>2017</v>
      </c>
      <c r="E521" s="650" t="s">
        <v>1582</v>
      </c>
      <c r="F521" s="897">
        <v>0.4</v>
      </c>
      <c r="G521" s="898">
        <v>4110</v>
      </c>
      <c r="H521" s="703">
        <f t="shared" si="16"/>
        <v>2.4196006913904778E-4</v>
      </c>
      <c r="I521" s="704">
        <f t="shared" si="17"/>
        <v>9.6784027655619115E-5</v>
      </c>
    </row>
    <row r="522" spans="2:9">
      <c r="B522" s="598" t="s">
        <v>2595</v>
      </c>
      <c r="C522" s="604" t="s">
        <v>1107</v>
      </c>
      <c r="D522" s="745">
        <v>2017</v>
      </c>
      <c r="E522" s="650" t="s">
        <v>1583</v>
      </c>
      <c r="F522" s="897">
        <v>0.4</v>
      </c>
      <c r="G522" s="898">
        <v>500</v>
      </c>
      <c r="H522" s="703">
        <f t="shared" si="16"/>
        <v>2.9435531525431604E-5</v>
      </c>
      <c r="I522" s="704">
        <f t="shared" si="17"/>
        <v>1.1774212610172643E-5</v>
      </c>
    </row>
    <row r="523" spans="2:9">
      <c r="B523" s="598" t="s">
        <v>2595</v>
      </c>
      <c r="C523" s="604" t="s">
        <v>1107</v>
      </c>
      <c r="D523" s="745">
        <v>2017</v>
      </c>
      <c r="E523" s="650" t="s">
        <v>1584</v>
      </c>
      <c r="F523" s="897">
        <v>0.4</v>
      </c>
      <c r="G523" s="898">
        <v>3800</v>
      </c>
      <c r="H523" s="703">
        <f t="shared" si="16"/>
        <v>2.2371003959328019E-4</v>
      </c>
      <c r="I523" s="704">
        <f t="shared" si="17"/>
        <v>8.9484015837312079E-5</v>
      </c>
    </row>
    <row r="524" spans="2:9">
      <c r="B524" s="598" t="s">
        <v>2595</v>
      </c>
      <c r="C524" s="604" t="s">
        <v>1107</v>
      </c>
      <c r="D524" s="745">
        <v>2017</v>
      </c>
      <c r="E524" s="650" t="s">
        <v>1585</v>
      </c>
      <c r="F524" s="897">
        <v>0.4</v>
      </c>
      <c r="G524" s="898">
        <v>22000</v>
      </c>
      <c r="H524" s="703">
        <f t="shared" si="16"/>
        <v>1.2951633871189905E-3</v>
      </c>
      <c r="I524" s="704">
        <f t="shared" si="17"/>
        <v>5.1806535484759625E-4</v>
      </c>
    </row>
    <row r="525" spans="2:9">
      <c r="B525" s="598" t="s">
        <v>2595</v>
      </c>
      <c r="C525" s="604" t="s">
        <v>1107</v>
      </c>
      <c r="D525" s="745">
        <v>2018</v>
      </c>
      <c r="E525" s="650"/>
      <c r="F525" s="897">
        <v>0.4</v>
      </c>
      <c r="G525" s="898">
        <v>3930</v>
      </c>
      <c r="H525" s="703">
        <f t="shared" si="16"/>
        <v>2.3136327778989241E-4</v>
      </c>
      <c r="I525" s="704">
        <f t="shared" si="17"/>
        <v>9.2545311115956974E-5</v>
      </c>
    </row>
    <row r="526" spans="2:9">
      <c r="B526" s="598" t="s">
        <v>2595</v>
      </c>
      <c r="C526" s="604" t="s">
        <v>1107</v>
      </c>
      <c r="D526" s="745">
        <v>2017</v>
      </c>
      <c r="E526" s="650" t="s">
        <v>1586</v>
      </c>
      <c r="F526" s="897">
        <v>0.4</v>
      </c>
      <c r="G526" s="898">
        <v>9400</v>
      </c>
      <c r="H526" s="703">
        <f t="shared" si="16"/>
        <v>5.533879926781141E-4</v>
      </c>
      <c r="I526" s="704">
        <f t="shared" si="17"/>
        <v>2.2135519707124565E-4</v>
      </c>
    </row>
    <row r="527" spans="2:9">
      <c r="B527" s="598" t="s">
        <v>2595</v>
      </c>
      <c r="C527" s="604" t="s">
        <v>1107</v>
      </c>
      <c r="D527" s="745">
        <v>2017</v>
      </c>
      <c r="E527" s="650" t="s">
        <v>1587</v>
      </c>
      <c r="F527" s="897">
        <v>0.4</v>
      </c>
      <c r="G527" s="898">
        <v>5000</v>
      </c>
      <c r="H527" s="703">
        <f t="shared" si="16"/>
        <v>2.9435531525431603E-4</v>
      </c>
      <c r="I527" s="704">
        <f t="shared" si="17"/>
        <v>1.1774212610172642E-4</v>
      </c>
    </row>
    <row r="528" spans="2:9">
      <c r="B528" s="598" t="s">
        <v>2595</v>
      </c>
      <c r="C528" s="604" t="s">
        <v>1107</v>
      </c>
      <c r="D528" s="745">
        <v>2017</v>
      </c>
      <c r="E528" s="650" t="s">
        <v>1588</v>
      </c>
      <c r="F528" s="897">
        <v>0.4</v>
      </c>
      <c r="G528" s="898">
        <v>5600</v>
      </c>
      <c r="H528" s="703">
        <f t="shared" si="16"/>
        <v>3.2967795308483394E-4</v>
      </c>
      <c r="I528" s="704">
        <f t="shared" si="17"/>
        <v>1.3187118123393358E-4</v>
      </c>
    </row>
    <row r="529" spans="2:9">
      <c r="B529" s="598" t="s">
        <v>2595</v>
      </c>
      <c r="C529" s="604" t="s">
        <v>1107</v>
      </c>
      <c r="D529" s="745">
        <v>2018</v>
      </c>
      <c r="E529" s="650" t="s">
        <v>1589</v>
      </c>
      <c r="F529" s="897">
        <v>0.4</v>
      </c>
      <c r="G529" s="898">
        <v>4000</v>
      </c>
      <c r="H529" s="703">
        <f t="shared" si="16"/>
        <v>2.3548425220345283E-4</v>
      </c>
      <c r="I529" s="704">
        <f t="shared" si="17"/>
        <v>9.4193700881381142E-5</v>
      </c>
    </row>
    <row r="530" spans="2:9">
      <c r="B530" s="598" t="s">
        <v>2595</v>
      </c>
      <c r="C530" s="604" t="s">
        <v>1107</v>
      </c>
      <c r="D530" s="745">
        <v>2018</v>
      </c>
      <c r="E530" s="650" t="s">
        <v>1590</v>
      </c>
      <c r="F530" s="897">
        <v>0.4</v>
      </c>
      <c r="G530" s="898">
        <v>15800</v>
      </c>
      <c r="H530" s="703">
        <f t="shared" si="16"/>
        <v>9.3016279620363861E-4</v>
      </c>
      <c r="I530" s="704">
        <f t="shared" si="17"/>
        <v>3.7206511848145548E-4</v>
      </c>
    </row>
    <row r="531" spans="2:9">
      <c r="B531" s="598" t="s">
        <v>2595</v>
      </c>
      <c r="C531" s="604" t="s">
        <v>1107</v>
      </c>
      <c r="D531" s="745">
        <v>2018</v>
      </c>
      <c r="E531" s="650" t="s">
        <v>1591</v>
      </c>
      <c r="F531" s="897">
        <v>0.4</v>
      </c>
      <c r="G531" s="898">
        <v>3350</v>
      </c>
      <c r="H531" s="703">
        <f t="shared" si="16"/>
        <v>1.9721806122039175E-4</v>
      </c>
      <c r="I531" s="704">
        <f t="shared" si="17"/>
        <v>7.8887224488156707E-5</v>
      </c>
    </row>
    <row r="532" spans="2:9">
      <c r="B532" s="598" t="s">
        <v>2595</v>
      </c>
      <c r="C532" s="604" t="s">
        <v>1107</v>
      </c>
      <c r="D532" s="745">
        <v>2018</v>
      </c>
      <c r="E532" s="650" t="s">
        <v>1592</v>
      </c>
      <c r="F532" s="897">
        <v>0.4</v>
      </c>
      <c r="G532" s="898">
        <v>9894</v>
      </c>
      <c r="H532" s="703">
        <f t="shared" si="16"/>
        <v>5.8247029782524057E-4</v>
      </c>
      <c r="I532" s="704">
        <f t="shared" si="17"/>
        <v>2.3298811913009625E-4</v>
      </c>
    </row>
    <row r="533" spans="2:9">
      <c r="B533" s="598" t="s">
        <v>2595</v>
      </c>
      <c r="C533" s="604" t="s">
        <v>1107</v>
      </c>
      <c r="D533" s="745">
        <v>2018</v>
      </c>
      <c r="E533" s="650" t="s">
        <v>1593</v>
      </c>
      <c r="F533" s="897">
        <v>0.4</v>
      </c>
      <c r="G533" s="898">
        <v>2500</v>
      </c>
      <c r="H533" s="703">
        <f t="shared" si="16"/>
        <v>1.4717765762715801E-4</v>
      </c>
      <c r="I533" s="704">
        <f t="shared" si="17"/>
        <v>5.8871063050863209E-5</v>
      </c>
    </row>
    <row r="534" spans="2:9">
      <c r="B534" s="598" t="s">
        <v>2595</v>
      </c>
      <c r="C534" s="604" t="s">
        <v>1107</v>
      </c>
      <c r="D534" s="745">
        <v>2018</v>
      </c>
      <c r="E534" s="650" t="s">
        <v>1594</v>
      </c>
      <c r="F534" s="897">
        <v>0.4</v>
      </c>
      <c r="G534" s="898">
        <v>2500</v>
      </c>
      <c r="H534" s="703">
        <f t="shared" si="16"/>
        <v>1.4717765762715801E-4</v>
      </c>
      <c r="I534" s="704">
        <f t="shared" si="17"/>
        <v>5.8871063050863209E-5</v>
      </c>
    </row>
    <row r="535" spans="2:9">
      <c r="B535" s="598" t="s">
        <v>2595</v>
      </c>
      <c r="C535" s="604" t="s">
        <v>1107</v>
      </c>
      <c r="D535" s="745">
        <v>2018</v>
      </c>
      <c r="E535" s="650" t="s">
        <v>1595</v>
      </c>
      <c r="F535" s="897">
        <v>0.4</v>
      </c>
      <c r="G535" s="898">
        <v>2000</v>
      </c>
      <c r="H535" s="703">
        <f t="shared" si="16"/>
        <v>1.1774212610172642E-4</v>
      </c>
      <c r="I535" s="704">
        <f t="shared" si="17"/>
        <v>4.7096850440690571E-5</v>
      </c>
    </row>
    <row r="536" spans="2:9">
      <c r="B536" s="598" t="s">
        <v>2595</v>
      </c>
      <c r="C536" s="604" t="s">
        <v>1107</v>
      </c>
      <c r="D536" s="745">
        <v>2018</v>
      </c>
      <c r="E536" s="650" t="s">
        <v>1595</v>
      </c>
      <c r="F536" s="897">
        <v>0.4</v>
      </c>
      <c r="G536" s="898">
        <v>2000</v>
      </c>
      <c r="H536" s="703">
        <f t="shared" si="16"/>
        <v>1.1774212610172642E-4</v>
      </c>
      <c r="I536" s="704">
        <f t="shared" si="17"/>
        <v>4.7096850440690571E-5</v>
      </c>
    </row>
    <row r="537" spans="2:9">
      <c r="B537" s="598" t="s">
        <v>2595</v>
      </c>
      <c r="C537" s="604" t="s">
        <v>1107</v>
      </c>
      <c r="D537" s="745">
        <v>2019</v>
      </c>
      <c r="E537" s="650" t="s">
        <v>1596</v>
      </c>
      <c r="F537" s="897">
        <v>0.4</v>
      </c>
      <c r="G537" s="898">
        <v>2411.7199999999998</v>
      </c>
      <c r="H537" s="703">
        <f t="shared" si="16"/>
        <v>1.419805201810278E-4</v>
      </c>
      <c r="I537" s="704">
        <f t="shared" si="17"/>
        <v>5.6792208072411122E-5</v>
      </c>
    </row>
    <row r="538" spans="2:9">
      <c r="B538" s="598" t="s">
        <v>2595</v>
      </c>
      <c r="C538" s="604" t="s">
        <v>1107</v>
      </c>
      <c r="D538" s="745">
        <v>2019</v>
      </c>
      <c r="E538" s="650" t="s">
        <v>1597</v>
      </c>
      <c r="F538" s="897">
        <v>0.4</v>
      </c>
      <c r="G538" s="898">
        <v>2924.1</v>
      </c>
      <c r="H538" s="703">
        <f t="shared" si="16"/>
        <v>1.7214487546702908E-4</v>
      </c>
      <c r="I538" s="704">
        <f t="shared" si="17"/>
        <v>6.8857950186811633E-5</v>
      </c>
    </row>
    <row r="539" spans="2:9">
      <c r="B539" s="598" t="s">
        <v>2595</v>
      </c>
      <c r="C539" s="604" t="s">
        <v>1107</v>
      </c>
      <c r="D539" s="745">
        <v>2019</v>
      </c>
      <c r="E539" s="650" t="s">
        <v>1598</v>
      </c>
      <c r="F539" s="897">
        <v>0.4</v>
      </c>
      <c r="G539" s="898">
        <v>1550</v>
      </c>
      <c r="H539" s="703">
        <f t="shared" si="16"/>
        <v>9.1250147728837974E-5</v>
      </c>
      <c r="I539" s="704">
        <f t="shared" si="17"/>
        <v>3.6500059091535192E-5</v>
      </c>
    </row>
    <row r="540" spans="2:9">
      <c r="B540" s="598" t="s">
        <v>2595</v>
      </c>
      <c r="C540" s="604" t="s">
        <v>1107</v>
      </c>
      <c r="D540" s="745">
        <v>2020</v>
      </c>
      <c r="E540" s="650" t="s">
        <v>1599</v>
      </c>
      <c r="F540" s="897">
        <v>0.4</v>
      </c>
      <c r="G540" s="898">
        <v>5000</v>
      </c>
      <c r="H540" s="703">
        <f t="shared" si="16"/>
        <v>2.9435531525431603E-4</v>
      </c>
      <c r="I540" s="704">
        <f t="shared" si="17"/>
        <v>1.1774212610172642E-4</v>
      </c>
    </row>
    <row r="541" spans="2:9">
      <c r="B541" s="598" t="s">
        <v>2595</v>
      </c>
      <c r="C541" s="604" t="s">
        <v>1107</v>
      </c>
      <c r="D541" s="745">
        <v>2020</v>
      </c>
      <c r="E541" s="650" t="s">
        <v>1600</v>
      </c>
      <c r="F541" s="897">
        <v>0.4</v>
      </c>
      <c r="G541" s="898">
        <v>1400</v>
      </c>
      <c r="H541" s="703">
        <f t="shared" si="16"/>
        <v>8.2419488271208484E-5</v>
      </c>
      <c r="I541" s="704">
        <f t="shared" si="17"/>
        <v>3.2967795308483395E-5</v>
      </c>
    </row>
    <row r="542" spans="2:9">
      <c r="B542" s="598" t="s">
        <v>2595</v>
      </c>
      <c r="C542" s="604" t="s">
        <v>1107</v>
      </c>
      <c r="D542" s="745">
        <v>2020</v>
      </c>
      <c r="E542" s="650" t="s">
        <v>1601</v>
      </c>
      <c r="F542" s="897">
        <v>0.4</v>
      </c>
      <c r="G542" s="898">
        <v>4750</v>
      </c>
      <c r="H542" s="703">
        <f t="shared" si="16"/>
        <v>2.7963754949160023E-4</v>
      </c>
      <c r="I542" s="704">
        <f t="shared" si="17"/>
        <v>1.118550197966401E-4</v>
      </c>
    </row>
    <row r="543" spans="2:9">
      <c r="B543" s="598" t="s">
        <v>2595</v>
      </c>
      <c r="C543" s="604" t="s">
        <v>1107</v>
      </c>
      <c r="D543" s="745">
        <v>2020</v>
      </c>
      <c r="E543" s="650" t="s">
        <v>1602</v>
      </c>
      <c r="F543" s="897">
        <v>0.4</v>
      </c>
      <c r="G543" s="898">
        <v>13700</v>
      </c>
      <c r="H543" s="703">
        <f t="shared" si="16"/>
        <v>8.0653356379682597E-4</v>
      </c>
      <c r="I543" s="704">
        <f t="shared" si="17"/>
        <v>3.2261342551873041E-4</v>
      </c>
    </row>
    <row r="544" spans="2:9">
      <c r="B544" s="598" t="s">
        <v>2595</v>
      </c>
      <c r="C544" s="604" t="s">
        <v>1107</v>
      </c>
      <c r="D544" s="745">
        <v>2020</v>
      </c>
      <c r="E544" s="650" t="s">
        <v>1603</v>
      </c>
      <c r="F544" s="897">
        <v>0.4</v>
      </c>
      <c r="G544" s="898">
        <v>2000</v>
      </c>
      <c r="H544" s="703">
        <f t="shared" si="16"/>
        <v>1.1774212610172642E-4</v>
      </c>
      <c r="I544" s="704">
        <f t="shared" si="17"/>
        <v>4.7096850440690571E-5</v>
      </c>
    </row>
    <row r="545" spans="2:9">
      <c r="B545" s="598" t="s">
        <v>2595</v>
      </c>
      <c r="C545" s="604" t="s">
        <v>1107</v>
      </c>
      <c r="D545" s="745">
        <v>2020</v>
      </c>
      <c r="E545" s="650" t="s">
        <v>1604</v>
      </c>
      <c r="F545" s="897">
        <v>0.4</v>
      </c>
      <c r="G545" s="898">
        <v>2000</v>
      </c>
      <c r="H545" s="703">
        <f t="shared" si="16"/>
        <v>1.1774212610172642E-4</v>
      </c>
      <c r="I545" s="704">
        <f t="shared" si="17"/>
        <v>4.7096850440690571E-5</v>
      </c>
    </row>
    <row r="546" spans="2:9">
      <c r="B546" s="598" t="s">
        <v>2595</v>
      </c>
      <c r="C546" s="604" t="s">
        <v>1107</v>
      </c>
      <c r="D546" s="745">
        <v>2020</v>
      </c>
      <c r="E546" s="650" t="s">
        <v>1605</v>
      </c>
      <c r="F546" s="897">
        <v>0.4</v>
      </c>
      <c r="G546" s="898">
        <v>1000</v>
      </c>
      <c r="H546" s="703">
        <f t="shared" si="16"/>
        <v>5.8871063050863209E-5</v>
      </c>
      <c r="I546" s="704">
        <f t="shared" si="17"/>
        <v>2.3548425220345286E-5</v>
      </c>
    </row>
    <row r="547" spans="2:9">
      <c r="B547" s="598" t="s">
        <v>2595</v>
      </c>
      <c r="C547" s="604" t="s">
        <v>1107</v>
      </c>
      <c r="D547" s="745">
        <v>2020</v>
      </c>
      <c r="E547" s="650" t="s">
        <v>1606</v>
      </c>
      <c r="F547" s="897">
        <v>0.4</v>
      </c>
      <c r="G547" s="898">
        <v>4600</v>
      </c>
      <c r="H547" s="703">
        <f t="shared" si="16"/>
        <v>2.7080689003397074E-4</v>
      </c>
      <c r="I547" s="704">
        <f t="shared" si="17"/>
        <v>1.083227560135883E-4</v>
      </c>
    </row>
    <row r="548" spans="2:9">
      <c r="B548" s="598" t="s">
        <v>2595</v>
      </c>
      <c r="C548" s="604" t="s">
        <v>1107</v>
      </c>
      <c r="D548" s="745">
        <v>2020</v>
      </c>
      <c r="E548" s="650" t="s">
        <v>1607</v>
      </c>
      <c r="F548" s="897">
        <v>0.4</v>
      </c>
      <c r="G548" s="898">
        <v>2200</v>
      </c>
      <c r="H548" s="703">
        <f t="shared" si="16"/>
        <v>1.2951633871189906E-4</v>
      </c>
      <c r="I548" s="704">
        <f t="shared" si="17"/>
        <v>5.1806535484759627E-5</v>
      </c>
    </row>
    <row r="549" spans="2:9">
      <c r="B549" s="598" t="s">
        <v>2595</v>
      </c>
      <c r="C549" s="604" t="s">
        <v>1107</v>
      </c>
      <c r="D549" s="745">
        <v>2020</v>
      </c>
      <c r="E549" s="650" t="s">
        <v>1608</v>
      </c>
      <c r="F549" s="897">
        <v>0.4</v>
      </c>
      <c r="G549" s="898">
        <v>16200</v>
      </c>
      <c r="H549" s="703">
        <f t="shared" si="16"/>
        <v>9.5371122142398396E-4</v>
      </c>
      <c r="I549" s="704">
        <f t="shared" si="17"/>
        <v>3.814844885695936E-4</v>
      </c>
    </row>
    <row r="550" spans="2:9">
      <c r="B550" s="598" t="s">
        <v>2595</v>
      </c>
      <c r="C550" s="604" t="s">
        <v>1107</v>
      </c>
      <c r="D550" s="745">
        <v>2021</v>
      </c>
      <c r="E550" s="650" t="s">
        <v>1609</v>
      </c>
      <c r="F550" s="897">
        <v>1</v>
      </c>
      <c r="G550" s="898">
        <v>1800</v>
      </c>
      <c r="H550" s="703">
        <f t="shared" si="16"/>
        <v>1.0596791349155377E-4</v>
      </c>
      <c r="I550" s="704">
        <f t="shared" si="17"/>
        <v>1.0596791349155377E-4</v>
      </c>
    </row>
    <row r="551" spans="2:9">
      <c r="B551" s="598" t="s">
        <v>2595</v>
      </c>
      <c r="C551" s="604" t="s">
        <v>1107</v>
      </c>
      <c r="D551" s="745">
        <v>2021</v>
      </c>
      <c r="E551" s="650" t="s">
        <v>1610</v>
      </c>
      <c r="F551" s="897">
        <v>0.4</v>
      </c>
      <c r="G551" s="898">
        <v>2000</v>
      </c>
      <c r="H551" s="703">
        <f t="shared" si="16"/>
        <v>1.1774212610172642E-4</v>
      </c>
      <c r="I551" s="704">
        <f t="shared" si="17"/>
        <v>4.7096850440690571E-5</v>
      </c>
    </row>
    <row r="552" spans="2:9">
      <c r="B552" s="598" t="s">
        <v>2595</v>
      </c>
      <c r="C552" s="604" t="s">
        <v>1107</v>
      </c>
      <c r="D552" s="745">
        <v>2021</v>
      </c>
      <c r="E552" s="650" t="s">
        <v>1611</v>
      </c>
      <c r="F552" s="897">
        <v>1</v>
      </c>
      <c r="G552" s="898">
        <v>2100</v>
      </c>
      <c r="H552" s="703">
        <f t="shared" si="16"/>
        <v>1.2362923240681273E-4</v>
      </c>
      <c r="I552" s="704">
        <f t="shared" si="17"/>
        <v>1.2362923240681273E-4</v>
      </c>
    </row>
    <row r="553" spans="2:9">
      <c r="B553" s="598" t="s">
        <v>2595</v>
      </c>
      <c r="C553" s="604" t="s">
        <v>1107</v>
      </c>
      <c r="D553" s="745">
        <v>2021</v>
      </c>
      <c r="E553" s="650" t="s">
        <v>1612</v>
      </c>
      <c r="F553" s="897">
        <v>1</v>
      </c>
      <c r="G553" s="898">
        <v>350</v>
      </c>
      <c r="H553" s="703">
        <f t="shared" si="16"/>
        <v>2.0604872067802121E-5</v>
      </c>
      <c r="I553" s="704">
        <f t="shared" si="17"/>
        <v>2.0604872067802121E-5</v>
      </c>
    </row>
    <row r="554" spans="2:9">
      <c r="B554" s="598" t="s">
        <v>2595</v>
      </c>
      <c r="C554" s="604" t="s">
        <v>1107</v>
      </c>
      <c r="D554" s="745">
        <v>2021</v>
      </c>
      <c r="E554" s="650" t="s">
        <v>1613</v>
      </c>
      <c r="F554" s="897">
        <v>1</v>
      </c>
      <c r="G554" s="898">
        <v>1200</v>
      </c>
      <c r="H554" s="703">
        <f t="shared" si="16"/>
        <v>7.0645275661035853E-5</v>
      </c>
      <c r="I554" s="704">
        <f t="shared" si="17"/>
        <v>7.0645275661035853E-5</v>
      </c>
    </row>
    <row r="555" spans="2:9">
      <c r="B555" s="598" t="s">
        <v>2595</v>
      </c>
      <c r="C555" s="604" t="s">
        <v>1107</v>
      </c>
      <c r="D555" s="745">
        <v>2021</v>
      </c>
      <c r="E555" s="650" t="s">
        <v>1614</v>
      </c>
      <c r="F555" s="897">
        <v>0.4</v>
      </c>
      <c r="G555" s="898">
        <v>400</v>
      </c>
      <c r="H555" s="703">
        <f t="shared" si="16"/>
        <v>2.3548425220345282E-5</v>
      </c>
      <c r="I555" s="704">
        <f t="shared" si="17"/>
        <v>9.4193700881381128E-6</v>
      </c>
    </row>
    <row r="556" spans="2:9">
      <c r="B556" s="598" t="s">
        <v>2595</v>
      </c>
      <c r="C556" s="604" t="s">
        <v>1107</v>
      </c>
      <c r="D556" s="745">
        <v>2021</v>
      </c>
      <c r="E556" s="650" t="s">
        <v>1615</v>
      </c>
      <c r="F556" s="897">
        <v>0.4</v>
      </c>
      <c r="G556" s="898">
        <v>1500</v>
      </c>
      <c r="H556" s="703">
        <f t="shared" si="16"/>
        <v>8.8306594576294806E-5</v>
      </c>
      <c r="I556" s="704">
        <f t="shared" si="17"/>
        <v>3.5322637830517927E-5</v>
      </c>
    </row>
    <row r="557" spans="2:9">
      <c r="B557" s="598" t="s">
        <v>2595</v>
      </c>
      <c r="C557" s="604" t="s">
        <v>1107</v>
      </c>
      <c r="D557" s="745">
        <v>2021</v>
      </c>
      <c r="E557" s="650" t="s">
        <v>1616</v>
      </c>
      <c r="F557" s="897">
        <v>1</v>
      </c>
      <c r="G557" s="898">
        <v>800</v>
      </c>
      <c r="H557" s="703">
        <f t="shared" si="16"/>
        <v>4.7096850440690564E-5</v>
      </c>
      <c r="I557" s="704">
        <f t="shared" si="17"/>
        <v>4.7096850440690564E-5</v>
      </c>
    </row>
    <row r="558" spans="2:9">
      <c r="B558" s="598" t="s">
        <v>2595</v>
      </c>
      <c r="C558" s="604" t="s">
        <v>1107</v>
      </c>
      <c r="D558" s="745">
        <v>2021</v>
      </c>
      <c r="E558" s="650" t="s">
        <v>1617</v>
      </c>
      <c r="F558" s="897">
        <v>0.4</v>
      </c>
      <c r="G558" s="898">
        <v>200</v>
      </c>
      <c r="H558" s="703">
        <f t="shared" si="16"/>
        <v>1.1774212610172641E-5</v>
      </c>
      <c r="I558" s="704">
        <f t="shared" si="17"/>
        <v>4.7096850440690564E-6</v>
      </c>
    </row>
    <row r="559" spans="2:9">
      <c r="B559" s="598" t="s">
        <v>2595</v>
      </c>
      <c r="C559" s="604" t="s">
        <v>1107</v>
      </c>
      <c r="D559" s="745">
        <v>2022</v>
      </c>
      <c r="E559" s="650"/>
      <c r="F559" s="897">
        <v>0</v>
      </c>
      <c r="G559" s="898">
        <v>34000</v>
      </c>
      <c r="H559" s="703">
        <f t="shared" si="16"/>
        <v>2.0016161437293491E-3</v>
      </c>
      <c r="I559" s="704">
        <f t="shared" si="17"/>
        <v>0</v>
      </c>
    </row>
    <row r="560" spans="2:9">
      <c r="B560" s="598" t="s">
        <v>2595</v>
      </c>
      <c r="C560" s="604" t="s">
        <v>1107</v>
      </c>
      <c r="D560" s="745">
        <v>2021</v>
      </c>
      <c r="E560" s="650" t="s">
        <v>1618</v>
      </c>
      <c r="F560" s="897">
        <v>1</v>
      </c>
      <c r="G560" s="898">
        <v>1000</v>
      </c>
      <c r="H560" s="703">
        <f t="shared" si="16"/>
        <v>5.8871063050863209E-5</v>
      </c>
      <c r="I560" s="704">
        <f t="shared" si="17"/>
        <v>5.8871063050863209E-5</v>
      </c>
    </row>
    <row r="561" spans="2:9">
      <c r="B561" s="598" t="s">
        <v>2595</v>
      </c>
      <c r="C561" s="604" t="s">
        <v>1107</v>
      </c>
      <c r="D561" s="745">
        <v>2021</v>
      </c>
      <c r="E561" s="650" t="s">
        <v>1619</v>
      </c>
      <c r="F561" s="897">
        <v>0.4</v>
      </c>
      <c r="G561" s="898">
        <v>2420</v>
      </c>
      <c r="H561" s="703">
        <f t="shared" si="16"/>
        <v>1.4246797258308895E-4</v>
      </c>
      <c r="I561" s="704">
        <f t="shared" si="17"/>
        <v>5.6987189033235586E-5</v>
      </c>
    </row>
    <row r="562" spans="2:9">
      <c r="B562" s="598" t="s">
        <v>2595</v>
      </c>
      <c r="C562" s="604" t="s">
        <v>1107</v>
      </c>
      <c r="D562" s="745">
        <v>2021</v>
      </c>
      <c r="E562" s="650" t="s">
        <v>1620</v>
      </c>
      <c r="F562" s="897">
        <v>0.4</v>
      </c>
      <c r="G562" s="898">
        <v>1750</v>
      </c>
      <c r="H562" s="703">
        <f t="shared" si="16"/>
        <v>1.0302436033901061E-4</v>
      </c>
      <c r="I562" s="704">
        <f t="shared" si="17"/>
        <v>4.1209744135604242E-5</v>
      </c>
    </row>
    <row r="563" spans="2:9">
      <c r="B563" s="598" t="s">
        <v>2595</v>
      </c>
      <c r="C563" s="604" t="s">
        <v>1107</v>
      </c>
      <c r="D563" s="745">
        <v>2021</v>
      </c>
      <c r="E563" s="650" t="s">
        <v>1621</v>
      </c>
      <c r="F563" s="897">
        <v>0.4</v>
      </c>
      <c r="G563" s="898">
        <v>1750</v>
      </c>
      <c r="H563" s="703">
        <f t="shared" si="16"/>
        <v>1.0302436033901061E-4</v>
      </c>
      <c r="I563" s="704">
        <f t="shared" si="17"/>
        <v>4.1209744135604242E-5</v>
      </c>
    </row>
    <row r="564" spans="2:9">
      <c r="B564" s="598" t="s">
        <v>2595</v>
      </c>
      <c r="C564" s="604" t="s">
        <v>1107</v>
      </c>
      <c r="D564" s="745">
        <v>2021</v>
      </c>
      <c r="E564" s="650" t="s">
        <v>1622</v>
      </c>
      <c r="F564" s="897">
        <v>0.4</v>
      </c>
      <c r="G564" s="898">
        <v>1445</v>
      </c>
      <c r="H564" s="703">
        <f t="shared" si="16"/>
        <v>8.5068686108497334E-5</v>
      </c>
      <c r="I564" s="704">
        <f t="shared" si="17"/>
        <v>3.4027474443398934E-5</v>
      </c>
    </row>
    <row r="565" spans="2:9">
      <c r="B565" s="598" t="s">
        <v>2595</v>
      </c>
      <c r="C565" s="604" t="s">
        <v>1107</v>
      </c>
      <c r="D565" s="745">
        <v>2021</v>
      </c>
      <c r="E565" s="650" t="s">
        <v>1623</v>
      </c>
      <c r="F565" s="897">
        <v>0.4</v>
      </c>
      <c r="G565" s="898">
        <v>28152.26</v>
      </c>
      <c r="H565" s="703">
        <f t="shared" si="16"/>
        <v>1.6573534734842942E-3</v>
      </c>
      <c r="I565" s="704">
        <f t="shared" si="17"/>
        <v>6.6294138939371769E-4</v>
      </c>
    </row>
    <row r="566" spans="2:9">
      <c r="B566" s="598" t="s">
        <v>2595</v>
      </c>
      <c r="C566" s="604" t="s">
        <v>1107</v>
      </c>
      <c r="D566" s="745">
        <v>2022</v>
      </c>
      <c r="E566" s="650" t="s">
        <v>2549</v>
      </c>
      <c r="F566" s="897">
        <v>0.4</v>
      </c>
      <c r="G566" s="898">
        <v>1150</v>
      </c>
      <c r="H566" s="703">
        <f t="shared" si="16"/>
        <v>6.7701722508492685E-5</v>
      </c>
      <c r="I566" s="704">
        <f t="shared" si="17"/>
        <v>2.7080689003397076E-5</v>
      </c>
    </row>
    <row r="567" spans="2:9">
      <c r="B567" s="598" t="s">
        <v>2595</v>
      </c>
      <c r="C567" s="604" t="s">
        <v>1107</v>
      </c>
      <c r="D567" s="745">
        <v>2022</v>
      </c>
      <c r="E567" s="650" t="s">
        <v>2550</v>
      </c>
      <c r="F567" s="897">
        <v>0</v>
      </c>
      <c r="G567" s="898">
        <v>21000</v>
      </c>
      <c r="H567" s="703">
        <f t="shared" si="16"/>
        <v>1.2362923240681273E-3</v>
      </c>
      <c r="I567" s="704">
        <f t="shared" si="17"/>
        <v>0</v>
      </c>
    </row>
    <row r="568" spans="2:9">
      <c r="B568" s="598" t="s">
        <v>2595</v>
      </c>
      <c r="C568" s="604" t="s">
        <v>1107</v>
      </c>
      <c r="D568" s="745">
        <v>2022</v>
      </c>
      <c r="E568" s="650" t="s">
        <v>2551</v>
      </c>
      <c r="F568" s="897">
        <v>0.4</v>
      </c>
      <c r="G568" s="898">
        <v>5600</v>
      </c>
      <c r="H568" s="703">
        <f t="shared" si="16"/>
        <v>3.2967795308483394E-4</v>
      </c>
      <c r="I568" s="704">
        <f t="shared" si="17"/>
        <v>1.3187118123393358E-4</v>
      </c>
    </row>
    <row r="569" spans="2:9">
      <c r="B569" s="598" t="s">
        <v>2595</v>
      </c>
      <c r="C569" s="604" t="s">
        <v>1107</v>
      </c>
      <c r="D569" s="745">
        <v>2022</v>
      </c>
      <c r="E569" s="650" t="s">
        <v>2552</v>
      </c>
      <c r="F569" s="897">
        <v>0.4</v>
      </c>
      <c r="G569" s="898">
        <v>6000</v>
      </c>
      <c r="H569" s="703">
        <f t="shared" si="16"/>
        <v>3.5322637830517922E-4</v>
      </c>
      <c r="I569" s="704">
        <f t="shared" si="17"/>
        <v>1.4129055132207171E-4</v>
      </c>
    </row>
    <row r="570" spans="2:9">
      <c r="B570" s="598" t="s">
        <v>2595</v>
      </c>
      <c r="C570" s="604" t="s">
        <v>1107</v>
      </c>
      <c r="D570" s="745">
        <v>2022</v>
      </c>
      <c r="E570" s="650" t="s">
        <v>2553</v>
      </c>
      <c r="F570" s="897">
        <v>0.4</v>
      </c>
      <c r="G570" s="898">
        <v>8800</v>
      </c>
      <c r="H570" s="703">
        <f t="shared" si="16"/>
        <v>5.1806535484759625E-4</v>
      </c>
      <c r="I570" s="704">
        <f t="shared" si="17"/>
        <v>2.0722614193903851E-4</v>
      </c>
    </row>
    <row r="571" spans="2:9">
      <c r="B571" s="598" t="s">
        <v>2595</v>
      </c>
      <c r="C571" s="604" t="s">
        <v>1107</v>
      </c>
      <c r="D571" s="745">
        <v>2022</v>
      </c>
      <c r="E571" s="650" t="s">
        <v>2554</v>
      </c>
      <c r="F571" s="897">
        <v>0.4</v>
      </c>
      <c r="G571" s="898">
        <v>827.05</v>
      </c>
      <c r="H571" s="703">
        <f t="shared" si="16"/>
        <v>4.8689312696216415E-5</v>
      </c>
      <c r="I571" s="704">
        <f t="shared" si="17"/>
        <v>1.9475725078486566E-5</v>
      </c>
    </row>
    <row r="572" spans="2:9">
      <c r="B572" s="598" t="s">
        <v>2595</v>
      </c>
      <c r="C572" s="604" t="s">
        <v>1107</v>
      </c>
      <c r="D572" s="745">
        <v>2022</v>
      </c>
      <c r="E572" s="650" t="s">
        <v>2555</v>
      </c>
      <c r="F572" s="897">
        <v>0.4</v>
      </c>
      <c r="G572" s="898">
        <v>2000</v>
      </c>
      <c r="H572" s="703">
        <f t="shared" si="16"/>
        <v>1.1774212610172642E-4</v>
      </c>
      <c r="I572" s="704">
        <f t="shared" si="17"/>
        <v>4.7096850440690571E-5</v>
      </c>
    </row>
    <row r="573" spans="2:9">
      <c r="B573" s="598" t="s">
        <v>2595</v>
      </c>
      <c r="C573" s="604" t="s">
        <v>1107</v>
      </c>
      <c r="D573" s="745">
        <v>2022</v>
      </c>
      <c r="E573" s="650" t="s">
        <v>2556</v>
      </c>
      <c r="F573" s="897">
        <v>0</v>
      </c>
      <c r="G573" s="898">
        <v>51000</v>
      </c>
      <c r="H573" s="703">
        <f t="shared" si="16"/>
        <v>3.0024242155940236E-3</v>
      </c>
      <c r="I573" s="704">
        <f t="shared" si="17"/>
        <v>0</v>
      </c>
    </row>
    <row r="574" spans="2:9">
      <c r="B574" s="598" t="s">
        <v>2595</v>
      </c>
      <c r="C574" s="604" t="s">
        <v>1107</v>
      </c>
      <c r="D574" s="745">
        <v>2022</v>
      </c>
      <c r="E574" s="650" t="s">
        <v>3475</v>
      </c>
      <c r="F574" s="897">
        <v>0.4</v>
      </c>
      <c r="G574" s="898">
        <v>557.46</v>
      </c>
      <c r="H574" s="703">
        <f t="shared" si="16"/>
        <v>3.2818262808334207E-5</v>
      </c>
      <c r="I574" s="704">
        <f t="shared" si="17"/>
        <v>1.3127305123333683E-5</v>
      </c>
    </row>
    <row r="575" spans="2:9">
      <c r="B575" s="598" t="s">
        <v>2595</v>
      </c>
      <c r="C575" s="604" t="s">
        <v>1107</v>
      </c>
      <c r="D575" s="745">
        <v>2022</v>
      </c>
      <c r="E575" s="650" t="s">
        <v>2557</v>
      </c>
      <c r="F575" s="897">
        <v>0.4</v>
      </c>
      <c r="G575" s="898">
        <v>5800</v>
      </c>
      <c r="H575" s="703">
        <f t="shared" si="16"/>
        <v>3.4145216569500661E-4</v>
      </c>
      <c r="I575" s="704">
        <f t="shared" si="17"/>
        <v>1.3658086627800264E-4</v>
      </c>
    </row>
    <row r="576" spans="2:9">
      <c r="B576" s="598" t="s">
        <v>2595</v>
      </c>
      <c r="C576" s="604" t="s">
        <v>864</v>
      </c>
      <c r="D576" s="745">
        <v>2005</v>
      </c>
      <c r="E576" s="650" t="s">
        <v>3489</v>
      </c>
      <c r="F576" s="897">
        <v>0.15</v>
      </c>
      <c r="G576" s="898">
        <v>5422</v>
      </c>
      <c r="H576" s="703">
        <f t="shared" si="16"/>
        <v>3.1919890386178032E-4</v>
      </c>
      <c r="I576" s="704">
        <f t="shared" si="17"/>
        <v>4.7879835579267046E-5</v>
      </c>
    </row>
    <row r="577" spans="2:9">
      <c r="B577" s="598" t="s">
        <v>2595</v>
      </c>
      <c r="C577" s="604" t="s">
        <v>864</v>
      </c>
      <c r="D577" s="745">
        <v>2005</v>
      </c>
      <c r="E577" s="650" t="s">
        <v>3489</v>
      </c>
      <c r="F577" s="897">
        <v>0.15</v>
      </c>
      <c r="G577" s="898">
        <v>4400</v>
      </c>
      <c r="H577" s="703">
        <f t="shared" si="16"/>
        <v>2.5903267742379812E-4</v>
      </c>
      <c r="I577" s="704">
        <f t="shared" si="17"/>
        <v>3.8854901613569717E-5</v>
      </c>
    </row>
    <row r="578" spans="2:9">
      <c r="B578" s="598" t="s">
        <v>2595</v>
      </c>
      <c r="C578" s="604" t="s">
        <v>864</v>
      </c>
      <c r="D578" s="745">
        <v>2006</v>
      </c>
      <c r="E578" s="650" t="s">
        <v>3492</v>
      </c>
      <c r="F578" s="897">
        <v>0.15</v>
      </c>
      <c r="G578" s="898">
        <v>18075.990000000002</v>
      </c>
      <c r="H578" s="703">
        <f t="shared" si="16"/>
        <v>1.0641527469967729E-3</v>
      </c>
      <c r="I578" s="704">
        <f t="shared" si="17"/>
        <v>1.5962291204951593E-4</v>
      </c>
    </row>
    <row r="579" spans="2:9">
      <c r="B579" s="598" t="s">
        <v>2595</v>
      </c>
      <c r="C579" s="604" t="s">
        <v>864</v>
      </c>
      <c r="D579" s="745">
        <v>2011</v>
      </c>
      <c r="E579" s="650" t="s">
        <v>3493</v>
      </c>
      <c r="F579" s="897">
        <v>0.15</v>
      </c>
      <c r="G579" s="898">
        <v>20000</v>
      </c>
      <c r="H579" s="703">
        <f t="shared" si="16"/>
        <v>1.1774212610172641E-3</v>
      </c>
      <c r="I579" s="704">
        <f t="shared" si="17"/>
        <v>1.7661318915258961E-4</v>
      </c>
    </row>
    <row r="580" spans="2:9">
      <c r="B580" s="598" t="s">
        <v>2595</v>
      </c>
      <c r="C580" s="604" t="s">
        <v>864</v>
      </c>
      <c r="D580" s="745">
        <v>2006</v>
      </c>
      <c r="E580" s="650" t="s">
        <v>3494</v>
      </c>
      <c r="F580" s="897">
        <v>0.15</v>
      </c>
      <c r="G580" s="898">
        <v>24250</v>
      </c>
      <c r="H580" s="703">
        <f t="shared" si="16"/>
        <v>1.4276232789834328E-3</v>
      </c>
      <c r="I580" s="704">
        <f t="shared" si="17"/>
        <v>2.1414349184751492E-4</v>
      </c>
    </row>
    <row r="581" spans="2:9">
      <c r="B581" s="598" t="s">
        <v>2595</v>
      </c>
      <c r="C581" s="604" t="s">
        <v>864</v>
      </c>
      <c r="D581" s="745">
        <v>2022</v>
      </c>
      <c r="E581" s="650" t="s">
        <v>3499</v>
      </c>
      <c r="F581" s="897">
        <v>0.15</v>
      </c>
      <c r="G581" s="898">
        <v>6570</v>
      </c>
      <c r="H581" s="703">
        <f t="shared" ref="H581:H644" si="18">+G581/$G$1080</f>
        <v>3.8678288424417128E-4</v>
      </c>
      <c r="I581" s="704">
        <f t="shared" ref="I581:I644" si="19">+H581*F581</f>
        <v>5.8017432636625686E-5</v>
      </c>
    </row>
    <row r="582" spans="2:9">
      <c r="B582" s="598" t="s">
        <v>2595</v>
      </c>
      <c r="C582" s="604" t="s">
        <v>864</v>
      </c>
      <c r="D582" s="745">
        <v>2008</v>
      </c>
      <c r="E582" s="650" t="s">
        <v>3502</v>
      </c>
      <c r="F582" s="897">
        <v>0.15</v>
      </c>
      <c r="G582" s="898">
        <v>16000</v>
      </c>
      <c r="H582" s="703">
        <f t="shared" si="18"/>
        <v>9.4193700881381134E-4</v>
      </c>
      <c r="I582" s="704">
        <f t="shared" si="19"/>
        <v>1.4129055132207171E-4</v>
      </c>
    </row>
    <row r="583" spans="2:9">
      <c r="B583" s="598" t="s">
        <v>2595</v>
      </c>
      <c r="C583" s="604" t="s">
        <v>864</v>
      </c>
      <c r="D583" s="745">
        <v>2008</v>
      </c>
      <c r="E583" s="650" t="s">
        <v>3504</v>
      </c>
      <c r="F583" s="897">
        <v>0.15</v>
      </c>
      <c r="G583" s="898">
        <v>537.12</v>
      </c>
      <c r="H583" s="703">
        <f t="shared" si="18"/>
        <v>3.1620825385879644E-5</v>
      </c>
      <c r="I583" s="704">
        <f t="shared" si="19"/>
        <v>4.7431238078819468E-6</v>
      </c>
    </row>
    <row r="584" spans="2:9">
      <c r="B584" s="598" t="s">
        <v>2595</v>
      </c>
      <c r="C584" s="604" t="s">
        <v>864</v>
      </c>
      <c r="D584" s="745">
        <v>2008</v>
      </c>
      <c r="E584" s="650" t="s">
        <v>3504</v>
      </c>
      <c r="F584" s="897">
        <v>0.15</v>
      </c>
      <c r="G584" s="898">
        <v>19400</v>
      </c>
      <c r="H584" s="703">
        <f t="shared" si="18"/>
        <v>1.1420986231867462E-3</v>
      </c>
      <c r="I584" s="704">
        <f t="shared" si="19"/>
        <v>1.7131479347801191E-4</v>
      </c>
    </row>
    <row r="585" spans="2:9">
      <c r="B585" s="598" t="s">
        <v>2595</v>
      </c>
      <c r="C585" s="604" t="s">
        <v>864</v>
      </c>
      <c r="D585" s="745">
        <v>2008</v>
      </c>
      <c r="E585" s="650" t="s">
        <v>3508</v>
      </c>
      <c r="F585" s="897">
        <v>0.15</v>
      </c>
      <c r="G585" s="898">
        <v>1621.67</v>
      </c>
      <c r="H585" s="703">
        <f t="shared" si="18"/>
        <v>9.5469436817693335E-5</v>
      </c>
      <c r="I585" s="704">
        <f t="shared" si="19"/>
        <v>1.4320415522654E-5</v>
      </c>
    </row>
    <row r="586" spans="2:9">
      <c r="B586" s="598" t="s">
        <v>2595</v>
      </c>
      <c r="C586" s="604" t="s">
        <v>864</v>
      </c>
      <c r="D586" s="745">
        <v>2008</v>
      </c>
      <c r="E586" s="650" t="s">
        <v>3510</v>
      </c>
      <c r="F586" s="897">
        <v>0.15</v>
      </c>
      <c r="G586" s="898">
        <v>6500</v>
      </c>
      <c r="H586" s="703">
        <f t="shared" si="18"/>
        <v>3.8266190983061082E-4</v>
      </c>
      <c r="I586" s="704">
        <f t="shared" si="19"/>
        <v>5.7399286474591618E-5</v>
      </c>
    </row>
    <row r="587" spans="2:9">
      <c r="B587" s="598" t="s">
        <v>2595</v>
      </c>
      <c r="C587" s="604" t="s">
        <v>864</v>
      </c>
      <c r="D587" s="745">
        <v>2012</v>
      </c>
      <c r="E587" s="650" t="s">
        <v>3511</v>
      </c>
      <c r="F587" s="897">
        <v>0.15</v>
      </c>
      <c r="G587" s="898">
        <v>707.55</v>
      </c>
      <c r="H587" s="703">
        <f t="shared" si="18"/>
        <v>4.1654220661638258E-5</v>
      </c>
      <c r="I587" s="704">
        <f t="shared" si="19"/>
        <v>6.2481330992457389E-6</v>
      </c>
    </row>
    <row r="588" spans="2:9">
      <c r="B588" s="598" t="s">
        <v>2595</v>
      </c>
      <c r="C588" s="604" t="s">
        <v>864</v>
      </c>
      <c r="D588" s="745">
        <v>2013</v>
      </c>
      <c r="E588" s="650" t="s">
        <v>3512</v>
      </c>
      <c r="F588" s="897">
        <v>0.15</v>
      </c>
      <c r="G588" s="898">
        <v>464.81</v>
      </c>
      <c r="H588" s="703">
        <f t="shared" si="18"/>
        <v>2.7363858816671728E-5</v>
      </c>
      <c r="I588" s="704">
        <f t="shared" si="19"/>
        <v>4.1045788225007592E-6</v>
      </c>
    </row>
    <row r="589" spans="2:9">
      <c r="B589" s="598" t="s">
        <v>2595</v>
      </c>
      <c r="C589" s="604" t="s">
        <v>864</v>
      </c>
      <c r="D589" s="745">
        <v>2013</v>
      </c>
      <c r="E589" s="650" t="s">
        <v>3513</v>
      </c>
      <c r="F589" s="897">
        <v>0.15</v>
      </c>
      <c r="G589" s="898">
        <v>1807.6</v>
      </c>
      <c r="H589" s="703">
        <f t="shared" si="18"/>
        <v>1.0641533357074033E-4</v>
      </c>
      <c r="I589" s="704">
        <f t="shared" si="19"/>
        <v>1.5962300035611049E-5</v>
      </c>
    </row>
    <row r="590" spans="2:9">
      <c r="B590" s="598" t="s">
        <v>2595</v>
      </c>
      <c r="C590" s="604" t="s">
        <v>864</v>
      </c>
      <c r="D590" s="745">
        <v>2013</v>
      </c>
      <c r="E590" s="650" t="s">
        <v>3514</v>
      </c>
      <c r="F590" s="897">
        <v>0.15</v>
      </c>
      <c r="G590" s="898">
        <v>2774.08</v>
      </c>
      <c r="H590" s="703">
        <f t="shared" si="18"/>
        <v>1.633130385881386E-4</v>
      </c>
      <c r="I590" s="704">
        <f t="shared" si="19"/>
        <v>2.449695578822079E-5</v>
      </c>
    </row>
    <row r="591" spans="2:9">
      <c r="B591" s="598" t="s">
        <v>2595</v>
      </c>
      <c r="C591" s="604" t="s">
        <v>864</v>
      </c>
      <c r="D591" s="745">
        <v>2018</v>
      </c>
      <c r="E591" s="650" t="s">
        <v>3515</v>
      </c>
      <c r="F591" s="897">
        <v>0.15</v>
      </c>
      <c r="G591" s="898">
        <v>6000</v>
      </c>
      <c r="H591" s="703">
        <f t="shared" si="18"/>
        <v>3.5322637830517922E-4</v>
      </c>
      <c r="I591" s="704">
        <f t="shared" si="19"/>
        <v>5.298395674577688E-5</v>
      </c>
    </row>
    <row r="592" spans="2:9">
      <c r="B592" s="598" t="s">
        <v>2595</v>
      </c>
      <c r="C592" s="604" t="s">
        <v>864</v>
      </c>
      <c r="D592" s="745">
        <v>2009</v>
      </c>
      <c r="E592" s="650" t="s">
        <v>3518</v>
      </c>
      <c r="F592" s="897">
        <v>0.15</v>
      </c>
      <c r="G592" s="898">
        <v>20000</v>
      </c>
      <c r="H592" s="703">
        <f t="shared" si="18"/>
        <v>1.1774212610172641E-3</v>
      </c>
      <c r="I592" s="704">
        <f t="shared" si="19"/>
        <v>1.7661318915258961E-4</v>
      </c>
    </row>
    <row r="593" spans="2:9">
      <c r="B593" s="598" t="s">
        <v>2595</v>
      </c>
      <c r="C593" s="604" t="s">
        <v>864</v>
      </c>
      <c r="D593" s="745">
        <v>2012</v>
      </c>
      <c r="E593" s="650" t="s">
        <v>3521</v>
      </c>
      <c r="F593" s="897">
        <v>0.15</v>
      </c>
      <c r="G593" s="898">
        <v>35000</v>
      </c>
      <c r="H593" s="703">
        <f t="shared" si="18"/>
        <v>2.060487206780212E-3</v>
      </c>
      <c r="I593" s="704">
        <f t="shared" si="19"/>
        <v>3.0907308101703177E-4</v>
      </c>
    </row>
    <row r="594" spans="2:9">
      <c r="B594" s="598" t="s">
        <v>2595</v>
      </c>
      <c r="C594" s="604" t="s">
        <v>864</v>
      </c>
      <c r="D594" s="745">
        <v>2009</v>
      </c>
      <c r="E594" s="650" t="s">
        <v>3508</v>
      </c>
      <c r="F594" s="897">
        <v>0.15</v>
      </c>
      <c r="G594" s="898">
        <v>2371.59</v>
      </c>
      <c r="H594" s="703">
        <f t="shared" si="18"/>
        <v>1.3961802442079667E-4</v>
      </c>
      <c r="I594" s="704">
        <f t="shared" si="19"/>
        <v>2.0942703663119499E-5</v>
      </c>
    </row>
    <row r="595" spans="2:9">
      <c r="B595" s="598" t="s">
        <v>2595</v>
      </c>
      <c r="C595" s="604" t="s">
        <v>864</v>
      </c>
      <c r="D595" s="745">
        <v>2012</v>
      </c>
      <c r="E595" s="650" t="s">
        <v>3522</v>
      </c>
      <c r="F595" s="897">
        <v>0.15</v>
      </c>
      <c r="G595" s="898">
        <v>19000</v>
      </c>
      <c r="H595" s="703">
        <f t="shared" si="18"/>
        <v>1.1185501979664009E-3</v>
      </c>
      <c r="I595" s="704">
        <f t="shared" si="19"/>
        <v>1.6778252969496012E-4</v>
      </c>
    </row>
    <row r="596" spans="2:9">
      <c r="B596" s="598" t="s">
        <v>2595</v>
      </c>
      <c r="C596" s="604" t="s">
        <v>864</v>
      </c>
      <c r="D596" s="745">
        <v>2022</v>
      </c>
      <c r="E596" s="650" t="s">
        <v>3524</v>
      </c>
      <c r="F596" s="897">
        <v>0.15</v>
      </c>
      <c r="G596" s="898">
        <v>20000</v>
      </c>
      <c r="H596" s="703">
        <f t="shared" si="18"/>
        <v>1.1774212610172641E-3</v>
      </c>
      <c r="I596" s="704">
        <f t="shared" si="19"/>
        <v>1.7661318915258961E-4</v>
      </c>
    </row>
    <row r="597" spans="2:9">
      <c r="B597" s="598" t="s">
        <v>2595</v>
      </c>
      <c r="C597" s="604" t="s">
        <v>864</v>
      </c>
      <c r="D597" s="745">
        <v>2009</v>
      </c>
      <c r="E597" s="650" t="s">
        <v>3526</v>
      </c>
      <c r="F597" s="897">
        <v>0.15</v>
      </c>
      <c r="G597" s="898">
        <v>45470.37</v>
      </c>
      <c r="H597" s="703">
        <f t="shared" si="18"/>
        <v>2.6768890192160788E-3</v>
      </c>
      <c r="I597" s="704">
        <f t="shared" si="19"/>
        <v>4.015333528824118E-4</v>
      </c>
    </row>
    <row r="598" spans="2:9">
      <c r="B598" s="598" t="s">
        <v>2595</v>
      </c>
      <c r="C598" s="604" t="s">
        <v>864</v>
      </c>
      <c r="D598" s="745">
        <v>2010</v>
      </c>
      <c r="E598" s="650" t="s">
        <v>3527</v>
      </c>
      <c r="F598" s="897">
        <v>0.15</v>
      </c>
      <c r="G598" s="898">
        <v>285</v>
      </c>
      <c r="H598" s="703">
        <f t="shared" si="18"/>
        <v>1.6778252969496012E-5</v>
      </c>
      <c r="I598" s="704">
        <f t="shared" si="19"/>
        <v>2.5167379454244019E-6</v>
      </c>
    </row>
    <row r="599" spans="2:9">
      <c r="B599" s="598" t="s">
        <v>2595</v>
      </c>
      <c r="C599" s="604" t="s">
        <v>864</v>
      </c>
      <c r="D599" s="745">
        <v>2010</v>
      </c>
      <c r="E599" s="650" t="s">
        <v>3525</v>
      </c>
      <c r="F599" s="897">
        <v>0.15</v>
      </c>
      <c r="G599" s="898">
        <v>4170</v>
      </c>
      <c r="H599" s="703">
        <f t="shared" si="18"/>
        <v>2.4549233292209954E-4</v>
      </c>
      <c r="I599" s="704">
        <f t="shared" si="19"/>
        <v>3.6823849938314929E-5</v>
      </c>
    </row>
    <row r="600" spans="2:9">
      <c r="B600" s="598" t="s">
        <v>2595</v>
      </c>
      <c r="C600" s="604" t="s">
        <v>864</v>
      </c>
      <c r="D600" s="745">
        <v>2010</v>
      </c>
      <c r="E600" s="650" t="s">
        <v>3513</v>
      </c>
      <c r="F600" s="897">
        <v>0.15</v>
      </c>
      <c r="G600" s="898">
        <v>111050</v>
      </c>
      <c r="H600" s="703">
        <f t="shared" si="18"/>
        <v>6.5376315517983591E-3</v>
      </c>
      <c r="I600" s="704">
        <f t="shared" si="19"/>
        <v>9.8064473276975386E-4</v>
      </c>
    </row>
    <row r="601" spans="2:9">
      <c r="B601" s="598" t="s">
        <v>2595</v>
      </c>
      <c r="C601" s="604" t="s">
        <v>864</v>
      </c>
      <c r="D601" s="745">
        <v>2021</v>
      </c>
      <c r="E601" s="650" t="s">
        <v>3528</v>
      </c>
      <c r="F601" s="897">
        <v>0.15</v>
      </c>
      <c r="G601" s="898">
        <v>8200</v>
      </c>
      <c r="H601" s="703">
        <f t="shared" si="18"/>
        <v>4.8274271701707829E-4</v>
      </c>
      <c r="I601" s="704">
        <f t="shared" si="19"/>
        <v>7.2411407552561735E-5</v>
      </c>
    </row>
    <row r="602" spans="2:9">
      <c r="B602" s="598" t="s">
        <v>2595</v>
      </c>
      <c r="C602" s="604" t="s">
        <v>864</v>
      </c>
      <c r="D602" s="745">
        <v>2010</v>
      </c>
      <c r="E602" s="650" t="s">
        <v>3529</v>
      </c>
      <c r="F602" s="897">
        <v>0.15</v>
      </c>
      <c r="G602" s="898">
        <v>12000</v>
      </c>
      <c r="H602" s="703">
        <f t="shared" si="18"/>
        <v>7.0645275661035845E-4</v>
      </c>
      <c r="I602" s="704">
        <f t="shared" si="19"/>
        <v>1.0596791349155376E-4</v>
      </c>
    </row>
    <row r="603" spans="2:9">
      <c r="B603" s="598" t="s">
        <v>2595</v>
      </c>
      <c r="C603" s="604" t="s">
        <v>864</v>
      </c>
      <c r="D603" s="745">
        <v>2010</v>
      </c>
      <c r="E603" s="650" t="s">
        <v>3532</v>
      </c>
      <c r="F603" s="897">
        <v>0.15</v>
      </c>
      <c r="G603" s="898">
        <v>600</v>
      </c>
      <c r="H603" s="703">
        <f t="shared" si="18"/>
        <v>3.5322637830517927E-5</v>
      </c>
      <c r="I603" s="704">
        <f t="shared" si="19"/>
        <v>5.2983956745776885E-6</v>
      </c>
    </row>
    <row r="604" spans="2:9">
      <c r="B604" s="598" t="s">
        <v>2595</v>
      </c>
      <c r="C604" s="604" t="s">
        <v>864</v>
      </c>
      <c r="D604" s="745">
        <v>2012</v>
      </c>
      <c r="E604" s="650" t="s">
        <v>3533</v>
      </c>
      <c r="F604" s="897">
        <v>0.15</v>
      </c>
      <c r="G604" s="898">
        <v>4700</v>
      </c>
      <c r="H604" s="703">
        <f t="shared" si="18"/>
        <v>2.7669399633905705E-4</v>
      </c>
      <c r="I604" s="704">
        <f t="shared" si="19"/>
        <v>4.1504099450858553E-5</v>
      </c>
    </row>
    <row r="605" spans="2:9">
      <c r="B605" s="598" t="s">
        <v>2595</v>
      </c>
      <c r="C605" s="604" t="s">
        <v>864</v>
      </c>
      <c r="D605" s="745">
        <v>2012</v>
      </c>
      <c r="E605" s="650" t="s">
        <v>3534</v>
      </c>
      <c r="F605" s="897">
        <v>0.15</v>
      </c>
      <c r="G605" s="898">
        <v>1950</v>
      </c>
      <c r="H605" s="703">
        <f t="shared" si="18"/>
        <v>1.1479857294918325E-4</v>
      </c>
      <c r="I605" s="704">
        <f t="shared" si="19"/>
        <v>1.7219785942377486E-5</v>
      </c>
    </row>
    <row r="606" spans="2:9">
      <c r="B606" s="598" t="s">
        <v>2595</v>
      </c>
      <c r="C606" s="604" t="s">
        <v>864</v>
      </c>
      <c r="D606" s="745">
        <v>2012</v>
      </c>
      <c r="E606" s="650" t="s">
        <v>3535</v>
      </c>
      <c r="F606" s="897">
        <v>0.15</v>
      </c>
      <c r="G606" s="898">
        <v>4300</v>
      </c>
      <c r="H606" s="703">
        <f t="shared" si="18"/>
        <v>2.5314557111871176E-4</v>
      </c>
      <c r="I606" s="704">
        <f t="shared" si="19"/>
        <v>3.7971835667806763E-5</v>
      </c>
    </row>
    <row r="607" spans="2:9">
      <c r="B607" s="598" t="s">
        <v>2595</v>
      </c>
      <c r="C607" s="604" t="s">
        <v>864</v>
      </c>
      <c r="D607" s="745">
        <v>2012</v>
      </c>
      <c r="E607" s="650" t="s">
        <v>3536</v>
      </c>
      <c r="F607" s="897">
        <v>0.15</v>
      </c>
      <c r="G607" s="898">
        <v>500</v>
      </c>
      <c r="H607" s="703">
        <f t="shared" si="18"/>
        <v>2.9435531525431604E-5</v>
      </c>
      <c r="I607" s="704">
        <f t="shared" si="19"/>
        <v>4.4153297288147408E-6</v>
      </c>
    </row>
    <row r="608" spans="2:9">
      <c r="B608" s="598" t="s">
        <v>2595</v>
      </c>
      <c r="C608" s="604" t="s">
        <v>864</v>
      </c>
      <c r="D608" s="745">
        <v>2012</v>
      </c>
      <c r="E608" s="650" t="s">
        <v>3537</v>
      </c>
      <c r="F608" s="897">
        <v>0.15</v>
      </c>
      <c r="G608" s="898">
        <v>5800</v>
      </c>
      <c r="H608" s="703">
        <f t="shared" si="18"/>
        <v>3.4145216569500661E-4</v>
      </c>
      <c r="I608" s="704">
        <f t="shared" si="19"/>
        <v>5.1217824854250991E-5</v>
      </c>
    </row>
    <row r="609" spans="2:9">
      <c r="B609" s="598" t="s">
        <v>2595</v>
      </c>
      <c r="C609" s="604" t="s">
        <v>864</v>
      </c>
      <c r="D609" s="745">
        <v>2013</v>
      </c>
      <c r="E609" s="650" t="s">
        <v>874</v>
      </c>
      <c r="F609" s="897">
        <v>0.15</v>
      </c>
      <c r="G609" s="898">
        <v>2550</v>
      </c>
      <c r="H609" s="703">
        <f t="shared" si="18"/>
        <v>1.5012121077970117E-4</v>
      </c>
      <c r="I609" s="704">
        <f t="shared" si="19"/>
        <v>2.2518181616955175E-5</v>
      </c>
    </row>
    <row r="610" spans="2:9">
      <c r="B610" s="598" t="s">
        <v>2595</v>
      </c>
      <c r="C610" s="604" t="s">
        <v>864</v>
      </c>
      <c r="D610" s="745">
        <v>2010</v>
      </c>
      <c r="E610" s="650" t="s">
        <v>3504</v>
      </c>
      <c r="F610" s="897">
        <v>0.15</v>
      </c>
      <c r="G610" s="898">
        <v>2690</v>
      </c>
      <c r="H610" s="703">
        <f t="shared" si="18"/>
        <v>1.5836315960682202E-4</v>
      </c>
      <c r="I610" s="704">
        <f t="shared" si="19"/>
        <v>2.3754473941023301E-5</v>
      </c>
    </row>
    <row r="611" spans="2:9">
      <c r="B611" s="598" t="s">
        <v>2595</v>
      </c>
      <c r="C611" s="604" t="s">
        <v>864</v>
      </c>
      <c r="D611" s="745">
        <v>2010</v>
      </c>
      <c r="E611" s="650" t="s">
        <v>3531</v>
      </c>
      <c r="F611" s="897">
        <v>0.15</v>
      </c>
      <c r="G611" s="898">
        <v>138019.26</v>
      </c>
      <c r="H611" s="703">
        <f t="shared" si="18"/>
        <v>8.1253405576934834E-3</v>
      </c>
      <c r="I611" s="704">
        <f t="shared" si="19"/>
        <v>1.2188010836540226E-3</v>
      </c>
    </row>
    <row r="612" spans="2:9">
      <c r="B612" s="598" t="s">
        <v>2595</v>
      </c>
      <c r="C612" s="604" t="s">
        <v>864</v>
      </c>
      <c r="D612" s="745">
        <v>2012</v>
      </c>
      <c r="E612" s="650" t="s">
        <v>3538</v>
      </c>
      <c r="F612" s="897">
        <v>0.15</v>
      </c>
      <c r="G612" s="898">
        <v>55000</v>
      </c>
      <c r="H612" s="703">
        <f t="shared" si="18"/>
        <v>3.2379084677974764E-3</v>
      </c>
      <c r="I612" s="704">
        <f t="shared" si="19"/>
        <v>4.8568627016962141E-4</v>
      </c>
    </row>
    <row r="613" spans="2:9">
      <c r="B613" s="598" t="s">
        <v>2595</v>
      </c>
      <c r="C613" s="604" t="s">
        <v>864</v>
      </c>
      <c r="D613" s="745">
        <v>2010</v>
      </c>
      <c r="E613" s="650" t="s">
        <v>3538</v>
      </c>
      <c r="F613" s="897">
        <v>0.15</v>
      </c>
      <c r="G613" s="898">
        <v>39509.449999999997</v>
      </c>
      <c r="H613" s="703">
        <f t="shared" si="18"/>
        <v>2.3259633220549273E-3</v>
      </c>
      <c r="I613" s="704">
        <f t="shared" si="19"/>
        <v>3.4889449830823911E-4</v>
      </c>
    </row>
    <row r="614" spans="2:9">
      <c r="B614" s="598" t="s">
        <v>2595</v>
      </c>
      <c r="C614" s="604" t="s">
        <v>864</v>
      </c>
      <c r="D614" s="745">
        <v>2010</v>
      </c>
      <c r="E614" s="650" t="s">
        <v>3539</v>
      </c>
      <c r="F614" s="897">
        <v>0.15</v>
      </c>
      <c r="G614" s="898">
        <v>174000</v>
      </c>
      <c r="H614" s="703">
        <f t="shared" si="18"/>
        <v>1.0243564970850197E-2</v>
      </c>
      <c r="I614" s="704">
        <f t="shared" si="19"/>
        <v>1.5365347456275295E-3</v>
      </c>
    </row>
    <row r="615" spans="2:9">
      <c r="B615" s="598" t="s">
        <v>2595</v>
      </c>
      <c r="C615" s="604" t="s">
        <v>864</v>
      </c>
      <c r="D615" s="745">
        <v>2013</v>
      </c>
      <c r="E615" s="650" t="s">
        <v>3540</v>
      </c>
      <c r="F615" s="897">
        <v>0.15</v>
      </c>
      <c r="G615" s="898">
        <v>16050</v>
      </c>
      <c r="H615" s="703">
        <f t="shared" si="18"/>
        <v>9.4488056196635447E-4</v>
      </c>
      <c r="I615" s="704">
        <f t="shared" si="19"/>
        <v>1.4173208429495317E-4</v>
      </c>
    </row>
    <row r="616" spans="2:9">
      <c r="B616" s="598" t="s">
        <v>2595</v>
      </c>
      <c r="C616" s="604" t="s">
        <v>864</v>
      </c>
      <c r="D616" s="745">
        <v>2010</v>
      </c>
      <c r="E616" s="650" t="s">
        <v>3541</v>
      </c>
      <c r="F616" s="897">
        <v>0.15</v>
      </c>
      <c r="G616" s="898">
        <v>37000</v>
      </c>
      <c r="H616" s="703">
        <f t="shared" si="18"/>
        <v>2.1782293328819384E-3</v>
      </c>
      <c r="I616" s="704">
        <f t="shared" si="19"/>
        <v>3.2673439993229075E-4</v>
      </c>
    </row>
    <row r="617" spans="2:9">
      <c r="B617" s="598" t="s">
        <v>2595</v>
      </c>
      <c r="C617" s="604" t="s">
        <v>864</v>
      </c>
      <c r="D617" s="745">
        <v>2012</v>
      </c>
      <c r="E617" s="650" t="s">
        <v>3543</v>
      </c>
      <c r="F617" s="897">
        <v>0.15</v>
      </c>
      <c r="G617" s="898">
        <v>19500</v>
      </c>
      <c r="H617" s="703">
        <f t="shared" si="18"/>
        <v>1.1479857294918324E-3</v>
      </c>
      <c r="I617" s="704">
        <f t="shared" si="19"/>
        <v>1.7219785942377487E-4</v>
      </c>
    </row>
    <row r="618" spans="2:9">
      <c r="B618" s="598" t="s">
        <v>2595</v>
      </c>
      <c r="C618" s="604" t="s">
        <v>864</v>
      </c>
      <c r="D618" s="745">
        <v>2012</v>
      </c>
      <c r="E618" s="650" t="s">
        <v>3544</v>
      </c>
      <c r="F618" s="897">
        <v>0.15</v>
      </c>
      <c r="G618" s="898">
        <v>6000</v>
      </c>
      <c r="H618" s="703">
        <f t="shared" si="18"/>
        <v>3.5322637830517922E-4</v>
      </c>
      <c r="I618" s="704">
        <f t="shared" si="19"/>
        <v>5.298395674577688E-5</v>
      </c>
    </row>
    <row r="619" spans="2:9">
      <c r="B619" s="598" t="s">
        <v>2595</v>
      </c>
      <c r="C619" s="604" t="s">
        <v>864</v>
      </c>
      <c r="D619" s="745">
        <v>2022</v>
      </c>
      <c r="E619" s="650" t="s">
        <v>3545</v>
      </c>
      <c r="F619" s="897">
        <v>0.15</v>
      </c>
      <c r="G619" s="898">
        <v>13762.27</v>
      </c>
      <c r="H619" s="703">
        <f t="shared" si="18"/>
        <v>8.1019946489300316E-4</v>
      </c>
      <c r="I619" s="704">
        <f t="shared" si="19"/>
        <v>1.2152991973395047E-4</v>
      </c>
    </row>
    <row r="620" spans="2:9">
      <c r="B620" s="598" t="s">
        <v>2595</v>
      </c>
      <c r="C620" s="604" t="s">
        <v>864</v>
      </c>
      <c r="D620" s="745">
        <v>2010</v>
      </c>
      <c r="E620" s="650" t="s">
        <v>3546</v>
      </c>
      <c r="F620" s="897">
        <v>0.15</v>
      </c>
      <c r="G620" s="898">
        <v>48500</v>
      </c>
      <c r="H620" s="703">
        <f t="shared" si="18"/>
        <v>2.8552465579668655E-3</v>
      </c>
      <c r="I620" s="704">
        <f t="shared" si="19"/>
        <v>4.2828698369502984E-4</v>
      </c>
    </row>
    <row r="621" spans="2:9">
      <c r="B621" s="598" t="s">
        <v>2595</v>
      </c>
      <c r="C621" s="604" t="s">
        <v>864</v>
      </c>
      <c r="D621" s="745">
        <v>2011</v>
      </c>
      <c r="E621" s="650" t="s">
        <v>3547</v>
      </c>
      <c r="F621" s="897">
        <v>0.15</v>
      </c>
      <c r="G621" s="898">
        <v>5485</v>
      </c>
      <c r="H621" s="703">
        <f t="shared" si="18"/>
        <v>3.229077808339847E-4</v>
      </c>
      <c r="I621" s="704">
        <f t="shared" si="19"/>
        <v>4.8436167125097705E-5</v>
      </c>
    </row>
    <row r="622" spans="2:9">
      <c r="B622" s="598" t="s">
        <v>2595</v>
      </c>
      <c r="C622" s="604" t="s">
        <v>864</v>
      </c>
      <c r="D622" s="745">
        <v>2012</v>
      </c>
      <c r="E622" s="650" t="s">
        <v>3548</v>
      </c>
      <c r="F622" s="897">
        <v>0.15</v>
      </c>
      <c r="G622" s="898">
        <v>6100</v>
      </c>
      <c r="H622" s="703">
        <f t="shared" si="18"/>
        <v>3.5911348461026553E-4</v>
      </c>
      <c r="I622" s="704">
        <f t="shared" si="19"/>
        <v>5.3867022691539827E-5</v>
      </c>
    </row>
    <row r="623" spans="2:9">
      <c r="B623" s="598" t="s">
        <v>2595</v>
      </c>
      <c r="C623" s="604" t="s">
        <v>864</v>
      </c>
      <c r="D623" s="745">
        <v>2011</v>
      </c>
      <c r="E623" s="650" t="s">
        <v>3549</v>
      </c>
      <c r="F623" s="897">
        <v>0.15</v>
      </c>
      <c r="G623" s="898">
        <v>27825</v>
      </c>
      <c r="H623" s="703">
        <f t="shared" si="18"/>
        <v>1.6380873293902686E-3</v>
      </c>
      <c r="I623" s="704">
        <f t="shared" si="19"/>
        <v>2.4571309940854026E-4</v>
      </c>
    </row>
    <row r="624" spans="2:9">
      <c r="B624" s="598" t="s">
        <v>2595</v>
      </c>
      <c r="C624" s="604" t="s">
        <v>864</v>
      </c>
      <c r="D624" s="745">
        <v>2011</v>
      </c>
      <c r="E624" s="650" t="s">
        <v>3548</v>
      </c>
      <c r="F624" s="897">
        <v>0.15</v>
      </c>
      <c r="G624" s="898">
        <v>6100</v>
      </c>
      <c r="H624" s="703">
        <f t="shared" si="18"/>
        <v>3.5911348461026553E-4</v>
      </c>
      <c r="I624" s="704">
        <f t="shared" si="19"/>
        <v>5.3867022691539827E-5</v>
      </c>
    </row>
    <row r="625" spans="2:9">
      <c r="B625" s="598" t="s">
        <v>2595</v>
      </c>
      <c r="C625" s="604" t="s">
        <v>864</v>
      </c>
      <c r="D625" s="745">
        <v>2013</v>
      </c>
      <c r="E625" s="650" t="s">
        <v>3551</v>
      </c>
      <c r="F625" s="897">
        <v>0.15</v>
      </c>
      <c r="G625" s="898">
        <v>3200</v>
      </c>
      <c r="H625" s="703">
        <f t="shared" si="18"/>
        <v>1.8838740176276226E-4</v>
      </c>
      <c r="I625" s="704">
        <f t="shared" si="19"/>
        <v>2.8258110264414339E-5</v>
      </c>
    </row>
    <row r="626" spans="2:9">
      <c r="B626" s="598" t="s">
        <v>2595</v>
      </c>
      <c r="C626" s="604" t="s">
        <v>864</v>
      </c>
      <c r="D626" s="745">
        <v>2011</v>
      </c>
      <c r="E626" s="650" t="s">
        <v>3495</v>
      </c>
      <c r="F626" s="897">
        <v>0.15</v>
      </c>
      <c r="G626" s="898">
        <v>52380</v>
      </c>
      <c r="H626" s="703">
        <f t="shared" si="18"/>
        <v>3.0836662826042149E-3</v>
      </c>
      <c r="I626" s="704">
        <f t="shared" si="19"/>
        <v>4.625499423906322E-4</v>
      </c>
    </row>
    <row r="627" spans="2:9">
      <c r="B627" s="598" t="s">
        <v>2595</v>
      </c>
      <c r="C627" s="604" t="s">
        <v>864</v>
      </c>
      <c r="D627" s="745">
        <v>2012</v>
      </c>
      <c r="E627" s="650" t="s">
        <v>3552</v>
      </c>
      <c r="F627" s="897">
        <v>0.15</v>
      </c>
      <c r="G627" s="898">
        <v>6823</v>
      </c>
      <c r="H627" s="703">
        <f t="shared" si="18"/>
        <v>4.0167726319603964E-4</v>
      </c>
      <c r="I627" s="704">
        <f t="shared" si="19"/>
        <v>6.0251589479405945E-5</v>
      </c>
    </row>
    <row r="628" spans="2:9">
      <c r="B628" s="598" t="s">
        <v>2595</v>
      </c>
      <c r="C628" s="604" t="s">
        <v>864</v>
      </c>
      <c r="D628" s="745">
        <v>2013</v>
      </c>
      <c r="E628" s="650" t="s">
        <v>3513</v>
      </c>
      <c r="F628" s="897">
        <v>0.15</v>
      </c>
      <c r="G628" s="898">
        <v>74871.149999999994</v>
      </c>
      <c r="H628" s="703">
        <f t="shared" si="18"/>
        <v>4.4077441923406364E-3</v>
      </c>
      <c r="I628" s="704">
        <f t="shared" si="19"/>
        <v>6.6116162885109539E-4</v>
      </c>
    </row>
    <row r="629" spans="2:9">
      <c r="B629" s="598" t="s">
        <v>2595</v>
      </c>
      <c r="C629" s="604" t="s">
        <v>864</v>
      </c>
      <c r="D629" s="745">
        <v>2012</v>
      </c>
      <c r="E629" s="650" t="s">
        <v>3553</v>
      </c>
      <c r="F629" s="897">
        <v>0.15</v>
      </c>
      <c r="G629" s="898">
        <v>72495.89</v>
      </c>
      <c r="H629" s="703">
        <f t="shared" si="18"/>
        <v>4.2679101111184432E-3</v>
      </c>
      <c r="I629" s="704">
        <f t="shared" si="19"/>
        <v>6.4018651666776646E-4</v>
      </c>
    </row>
    <row r="630" spans="2:9">
      <c r="B630" s="598" t="s">
        <v>2595</v>
      </c>
      <c r="C630" s="604" t="s">
        <v>864</v>
      </c>
      <c r="D630" s="745">
        <v>2021</v>
      </c>
      <c r="E630" s="650" t="s">
        <v>3554</v>
      </c>
      <c r="F630" s="897">
        <v>0.15</v>
      </c>
      <c r="G630" s="898">
        <v>19000</v>
      </c>
      <c r="H630" s="703">
        <f t="shared" si="18"/>
        <v>1.1185501979664009E-3</v>
      </c>
      <c r="I630" s="704">
        <f t="shared" si="19"/>
        <v>1.6778252969496012E-4</v>
      </c>
    </row>
    <row r="631" spans="2:9">
      <c r="B631" s="598" t="s">
        <v>2595</v>
      </c>
      <c r="C631" s="604" t="s">
        <v>864</v>
      </c>
      <c r="D631" s="745">
        <v>2012</v>
      </c>
      <c r="E631" s="650" t="s">
        <v>3513</v>
      </c>
      <c r="F631" s="897">
        <v>0.15</v>
      </c>
      <c r="G631" s="898">
        <v>23234.17</v>
      </c>
      <c r="H631" s="703">
        <f t="shared" si="18"/>
        <v>1.3678202870044743E-3</v>
      </c>
      <c r="I631" s="704">
        <f t="shared" si="19"/>
        <v>2.0517304305067114E-4</v>
      </c>
    </row>
    <row r="632" spans="2:9">
      <c r="B632" s="598" t="s">
        <v>2595</v>
      </c>
      <c r="C632" s="604" t="s">
        <v>864</v>
      </c>
      <c r="D632" s="745">
        <v>2013</v>
      </c>
      <c r="E632" s="650" t="s">
        <v>3559</v>
      </c>
      <c r="F632" s="897">
        <v>0.15</v>
      </c>
      <c r="G632" s="898">
        <v>1500</v>
      </c>
      <c r="H632" s="703">
        <f t="shared" si="18"/>
        <v>8.8306594576294806E-5</v>
      </c>
      <c r="I632" s="704">
        <f t="shared" si="19"/>
        <v>1.324598918644422E-5</v>
      </c>
    </row>
    <row r="633" spans="2:9">
      <c r="B633" s="598" t="s">
        <v>2595</v>
      </c>
      <c r="C633" s="604" t="s">
        <v>864</v>
      </c>
      <c r="D633" s="745">
        <v>2013</v>
      </c>
      <c r="E633" s="650" t="s">
        <v>3560</v>
      </c>
      <c r="F633" s="897">
        <v>0.15</v>
      </c>
      <c r="G633" s="898">
        <v>20000</v>
      </c>
      <c r="H633" s="703">
        <f t="shared" si="18"/>
        <v>1.1774212610172641E-3</v>
      </c>
      <c r="I633" s="704">
        <f t="shared" si="19"/>
        <v>1.7661318915258961E-4</v>
      </c>
    </row>
    <row r="634" spans="2:9">
      <c r="B634" s="598" t="s">
        <v>2595</v>
      </c>
      <c r="C634" s="604" t="s">
        <v>864</v>
      </c>
      <c r="D634" s="745">
        <v>2013</v>
      </c>
      <c r="E634" s="650" t="s">
        <v>3556</v>
      </c>
      <c r="F634" s="897">
        <v>0.15</v>
      </c>
      <c r="G634" s="898">
        <v>20000</v>
      </c>
      <c r="H634" s="703">
        <f t="shared" si="18"/>
        <v>1.1774212610172641E-3</v>
      </c>
      <c r="I634" s="704">
        <f t="shared" si="19"/>
        <v>1.7661318915258961E-4</v>
      </c>
    </row>
    <row r="635" spans="2:9">
      <c r="B635" s="598" t="s">
        <v>2595</v>
      </c>
      <c r="C635" s="604" t="s">
        <v>864</v>
      </c>
      <c r="D635" s="745">
        <v>2012</v>
      </c>
      <c r="E635" s="650" t="s">
        <v>3561</v>
      </c>
      <c r="F635" s="897">
        <v>0.15</v>
      </c>
      <c r="G635" s="898">
        <v>3000</v>
      </c>
      <c r="H635" s="703">
        <f t="shared" si="18"/>
        <v>1.7661318915258961E-4</v>
      </c>
      <c r="I635" s="704">
        <f t="shared" si="19"/>
        <v>2.649197837288844E-5</v>
      </c>
    </row>
    <row r="636" spans="2:9">
      <c r="B636" s="598" t="s">
        <v>2595</v>
      </c>
      <c r="C636" s="604" t="s">
        <v>864</v>
      </c>
      <c r="D636" s="745">
        <v>2012</v>
      </c>
      <c r="E636" s="650" t="s">
        <v>3562</v>
      </c>
      <c r="F636" s="897">
        <v>0.15</v>
      </c>
      <c r="G636" s="898">
        <v>160</v>
      </c>
      <c r="H636" s="703">
        <f t="shared" si="18"/>
        <v>9.4193700881381128E-6</v>
      </c>
      <c r="I636" s="704">
        <f t="shared" si="19"/>
        <v>1.4129055132207169E-6</v>
      </c>
    </row>
    <row r="637" spans="2:9">
      <c r="B637" s="598" t="s">
        <v>2595</v>
      </c>
      <c r="C637" s="604" t="s">
        <v>864</v>
      </c>
      <c r="D637" s="745">
        <v>2012</v>
      </c>
      <c r="E637" s="650" t="s">
        <v>3562</v>
      </c>
      <c r="F637" s="897">
        <v>0.15</v>
      </c>
      <c r="G637" s="898">
        <v>160</v>
      </c>
      <c r="H637" s="703">
        <f t="shared" si="18"/>
        <v>9.4193700881381128E-6</v>
      </c>
      <c r="I637" s="704">
        <f t="shared" si="19"/>
        <v>1.4129055132207169E-6</v>
      </c>
    </row>
    <row r="638" spans="2:9">
      <c r="B638" s="598" t="s">
        <v>2595</v>
      </c>
      <c r="C638" s="604" t="s">
        <v>864</v>
      </c>
      <c r="D638" s="745">
        <v>2012</v>
      </c>
      <c r="E638" s="650" t="s">
        <v>3562</v>
      </c>
      <c r="F638" s="897">
        <v>0.15</v>
      </c>
      <c r="G638" s="898">
        <v>180</v>
      </c>
      <c r="H638" s="703">
        <f t="shared" si="18"/>
        <v>1.0596791349155377E-5</v>
      </c>
      <c r="I638" s="704">
        <f t="shared" si="19"/>
        <v>1.5895187023733065E-6</v>
      </c>
    </row>
    <row r="639" spans="2:9">
      <c r="B639" s="598" t="s">
        <v>2595</v>
      </c>
      <c r="C639" s="604" t="s">
        <v>864</v>
      </c>
      <c r="D639" s="745">
        <v>2012</v>
      </c>
      <c r="E639" s="650" t="s">
        <v>3495</v>
      </c>
      <c r="F639" s="897">
        <v>0.15</v>
      </c>
      <c r="G639" s="898">
        <v>90850.05</v>
      </c>
      <c r="H639" s="703">
        <f t="shared" si="18"/>
        <v>5.3484390217240748E-3</v>
      </c>
      <c r="I639" s="704">
        <f t="shared" si="19"/>
        <v>8.0226585325861115E-4</v>
      </c>
    </row>
    <row r="640" spans="2:9">
      <c r="B640" s="598" t="s">
        <v>2595</v>
      </c>
      <c r="C640" s="604" t="s">
        <v>864</v>
      </c>
      <c r="D640" s="745">
        <v>2012</v>
      </c>
      <c r="E640" s="650" t="s">
        <v>3546</v>
      </c>
      <c r="F640" s="897">
        <v>0.15</v>
      </c>
      <c r="G640" s="898">
        <v>14500</v>
      </c>
      <c r="H640" s="703">
        <f t="shared" si="18"/>
        <v>8.5363041423751644E-4</v>
      </c>
      <c r="I640" s="704">
        <f t="shared" si="19"/>
        <v>1.2804456213562747E-4</v>
      </c>
    </row>
    <row r="641" spans="2:9">
      <c r="B641" s="598" t="s">
        <v>2595</v>
      </c>
      <c r="C641" s="604" t="s">
        <v>864</v>
      </c>
      <c r="D641" s="745">
        <v>2012</v>
      </c>
      <c r="E641" s="650" t="s">
        <v>3565</v>
      </c>
      <c r="F641" s="897">
        <v>0.15</v>
      </c>
      <c r="G641" s="898">
        <v>30176</v>
      </c>
      <c r="H641" s="703">
        <f t="shared" si="18"/>
        <v>1.7764931986228481E-3</v>
      </c>
      <c r="I641" s="704">
        <f t="shared" si="19"/>
        <v>2.664739797934272E-4</v>
      </c>
    </row>
    <row r="642" spans="2:9">
      <c r="B642" s="598" t="s">
        <v>2595</v>
      </c>
      <c r="C642" s="604" t="s">
        <v>864</v>
      </c>
      <c r="D642" s="745">
        <v>2012</v>
      </c>
      <c r="E642" s="650" t="s">
        <v>3534</v>
      </c>
      <c r="F642" s="897">
        <v>0.15</v>
      </c>
      <c r="G642" s="898">
        <v>18032.849999999999</v>
      </c>
      <c r="H642" s="703">
        <f t="shared" si="18"/>
        <v>1.0616130493367585E-3</v>
      </c>
      <c r="I642" s="704">
        <f t="shared" si="19"/>
        <v>1.5924195740051378E-4</v>
      </c>
    </row>
    <row r="643" spans="2:9">
      <c r="B643" s="598" t="s">
        <v>2595</v>
      </c>
      <c r="C643" s="604" t="s">
        <v>864</v>
      </c>
      <c r="D643" s="745">
        <v>2013</v>
      </c>
      <c r="E643" s="650" t="s">
        <v>3549</v>
      </c>
      <c r="F643" s="897">
        <v>0.15</v>
      </c>
      <c r="G643" s="898">
        <v>100</v>
      </c>
      <c r="H643" s="703">
        <f t="shared" si="18"/>
        <v>5.8871063050863205E-6</v>
      </c>
      <c r="I643" s="704">
        <f t="shared" si="19"/>
        <v>8.8306594576294808E-7</v>
      </c>
    </row>
    <row r="644" spans="2:9">
      <c r="B644" s="598" t="s">
        <v>2595</v>
      </c>
      <c r="C644" s="604" t="s">
        <v>864</v>
      </c>
      <c r="D644" s="745">
        <v>2013</v>
      </c>
      <c r="E644" s="650" t="s">
        <v>3513</v>
      </c>
      <c r="F644" s="897">
        <v>0.15</v>
      </c>
      <c r="G644" s="898">
        <v>8900</v>
      </c>
      <c r="H644" s="703">
        <f t="shared" si="18"/>
        <v>5.239524611526825E-4</v>
      </c>
      <c r="I644" s="704">
        <f t="shared" si="19"/>
        <v>7.8592869172902375E-5</v>
      </c>
    </row>
    <row r="645" spans="2:9">
      <c r="B645" s="598" t="s">
        <v>2595</v>
      </c>
      <c r="C645" s="604" t="s">
        <v>864</v>
      </c>
      <c r="D645" s="745">
        <v>2013</v>
      </c>
      <c r="E645" s="650" t="s">
        <v>3567</v>
      </c>
      <c r="F645" s="897">
        <v>0.15</v>
      </c>
      <c r="G645" s="898">
        <v>155000</v>
      </c>
      <c r="H645" s="703">
        <f t="shared" ref="H645:H708" si="20">+G645/$G$1080</f>
        <v>9.1250147728837976E-3</v>
      </c>
      <c r="I645" s="704">
        <f t="shared" ref="I645:I708" si="21">+H645*F645</f>
        <v>1.3687522159325696E-3</v>
      </c>
    </row>
    <row r="646" spans="2:9">
      <c r="B646" s="598" t="s">
        <v>2595</v>
      </c>
      <c r="C646" s="604" t="s">
        <v>864</v>
      </c>
      <c r="D646" s="745">
        <v>2013</v>
      </c>
      <c r="E646" s="650" t="s">
        <v>3568</v>
      </c>
      <c r="F646" s="897">
        <v>0.15</v>
      </c>
      <c r="G646" s="898">
        <v>13524.59</v>
      </c>
      <c r="H646" s="703">
        <f t="shared" si="20"/>
        <v>7.9620699062707401E-4</v>
      </c>
      <c r="I646" s="704">
        <f t="shared" si="21"/>
        <v>1.194310485940611E-4</v>
      </c>
    </row>
    <row r="647" spans="2:9">
      <c r="B647" s="598" t="s">
        <v>2595</v>
      </c>
      <c r="C647" s="604" t="s">
        <v>864</v>
      </c>
      <c r="D647" s="745">
        <v>2013</v>
      </c>
      <c r="E647" s="650" t="s">
        <v>3565</v>
      </c>
      <c r="F647" s="897">
        <v>0.15</v>
      </c>
      <c r="G647" s="898">
        <v>28000</v>
      </c>
      <c r="H647" s="703">
        <f t="shared" si="20"/>
        <v>1.6483897654241697E-3</v>
      </c>
      <c r="I647" s="704">
        <f t="shared" si="21"/>
        <v>2.4725846481362545E-4</v>
      </c>
    </row>
    <row r="648" spans="2:9">
      <c r="B648" s="598" t="s">
        <v>2595</v>
      </c>
      <c r="C648" s="604" t="s">
        <v>864</v>
      </c>
      <c r="D648" s="745">
        <v>2013</v>
      </c>
      <c r="E648" s="650" t="s">
        <v>3569</v>
      </c>
      <c r="F648" s="897">
        <v>0.15</v>
      </c>
      <c r="G648" s="898">
        <v>25000</v>
      </c>
      <c r="H648" s="703">
        <f t="shared" si="20"/>
        <v>1.4717765762715801E-3</v>
      </c>
      <c r="I648" s="704">
        <f t="shared" si="21"/>
        <v>2.2076648644073701E-4</v>
      </c>
    </row>
    <row r="649" spans="2:9">
      <c r="B649" s="598" t="s">
        <v>2595</v>
      </c>
      <c r="C649" s="604" t="s">
        <v>864</v>
      </c>
      <c r="D649" s="745">
        <v>2013</v>
      </c>
      <c r="E649" s="650" t="s">
        <v>3570</v>
      </c>
      <c r="F649" s="897">
        <v>0.15</v>
      </c>
      <c r="G649" s="898">
        <v>16000</v>
      </c>
      <c r="H649" s="703">
        <f t="shared" si="20"/>
        <v>9.4193700881381134E-4</v>
      </c>
      <c r="I649" s="704">
        <f t="shared" si="21"/>
        <v>1.4129055132207171E-4</v>
      </c>
    </row>
    <row r="650" spans="2:9">
      <c r="B650" s="598" t="s">
        <v>2595</v>
      </c>
      <c r="C650" s="604" t="s">
        <v>864</v>
      </c>
      <c r="D650" s="745">
        <v>2013</v>
      </c>
      <c r="E650" s="650" t="s">
        <v>3525</v>
      </c>
      <c r="F650" s="897">
        <v>0.15</v>
      </c>
      <c r="G650" s="898">
        <v>80000</v>
      </c>
      <c r="H650" s="703">
        <f t="shared" si="20"/>
        <v>4.7096850440690565E-3</v>
      </c>
      <c r="I650" s="704">
        <f t="shared" si="21"/>
        <v>7.0645275661035845E-4</v>
      </c>
    </row>
    <row r="651" spans="2:9">
      <c r="B651" s="598" t="s">
        <v>2595</v>
      </c>
      <c r="C651" s="604" t="s">
        <v>864</v>
      </c>
      <c r="D651" s="745">
        <v>2017</v>
      </c>
      <c r="E651" s="650" t="s">
        <v>3571</v>
      </c>
      <c r="F651" s="897">
        <v>0.15</v>
      </c>
      <c r="G651" s="898">
        <v>20000</v>
      </c>
      <c r="H651" s="703">
        <f t="shared" si="20"/>
        <v>1.1774212610172641E-3</v>
      </c>
      <c r="I651" s="704">
        <f t="shared" si="21"/>
        <v>1.7661318915258961E-4</v>
      </c>
    </row>
    <row r="652" spans="2:9">
      <c r="B652" s="598" t="s">
        <v>2595</v>
      </c>
      <c r="C652" s="604" t="s">
        <v>864</v>
      </c>
      <c r="D652" s="745">
        <v>2018</v>
      </c>
      <c r="E652" s="650" t="s">
        <v>3572</v>
      </c>
      <c r="F652" s="897">
        <v>0.15</v>
      </c>
      <c r="G652" s="898">
        <v>2000</v>
      </c>
      <c r="H652" s="703">
        <f t="shared" si="20"/>
        <v>1.1774212610172642E-4</v>
      </c>
      <c r="I652" s="704">
        <f t="shared" si="21"/>
        <v>1.7661318915258963E-5</v>
      </c>
    </row>
    <row r="653" spans="2:9">
      <c r="B653" s="598" t="s">
        <v>2595</v>
      </c>
      <c r="C653" s="604" t="s">
        <v>864</v>
      </c>
      <c r="D653" s="745">
        <v>2014</v>
      </c>
      <c r="E653" s="650" t="s">
        <v>3573</v>
      </c>
      <c r="F653" s="897">
        <v>0.15</v>
      </c>
      <c r="G653" s="898">
        <v>1000</v>
      </c>
      <c r="H653" s="703">
        <f t="shared" si="20"/>
        <v>5.8871063050863209E-5</v>
      </c>
      <c r="I653" s="704">
        <f t="shared" si="21"/>
        <v>8.8306594576294816E-6</v>
      </c>
    </row>
    <row r="654" spans="2:9">
      <c r="B654" s="598" t="s">
        <v>2595</v>
      </c>
      <c r="C654" s="604" t="s">
        <v>864</v>
      </c>
      <c r="D654" s="745">
        <v>2014</v>
      </c>
      <c r="E654" s="650" t="s">
        <v>3574</v>
      </c>
      <c r="F654" s="897">
        <v>0.15</v>
      </c>
      <c r="G654" s="898">
        <v>500</v>
      </c>
      <c r="H654" s="703">
        <f t="shared" si="20"/>
        <v>2.9435531525431604E-5</v>
      </c>
      <c r="I654" s="704">
        <f t="shared" si="21"/>
        <v>4.4153297288147408E-6</v>
      </c>
    </row>
    <row r="655" spans="2:9">
      <c r="B655" s="598" t="s">
        <v>2595</v>
      </c>
      <c r="C655" s="604" t="s">
        <v>864</v>
      </c>
      <c r="D655" s="745">
        <v>2014</v>
      </c>
      <c r="E655" s="650" t="s">
        <v>3495</v>
      </c>
      <c r="F655" s="897">
        <v>0.15</v>
      </c>
      <c r="G655" s="898">
        <v>39000</v>
      </c>
      <c r="H655" s="703">
        <f t="shared" si="20"/>
        <v>2.2959714589836648E-3</v>
      </c>
      <c r="I655" s="704">
        <f t="shared" si="21"/>
        <v>3.4439571884754973E-4</v>
      </c>
    </row>
    <row r="656" spans="2:9">
      <c r="B656" s="598" t="s">
        <v>2595</v>
      </c>
      <c r="C656" s="604" t="s">
        <v>864</v>
      </c>
      <c r="D656" s="745">
        <v>2014</v>
      </c>
      <c r="E656" s="650" t="s">
        <v>3546</v>
      </c>
      <c r="F656" s="897">
        <v>0.15</v>
      </c>
      <c r="G656" s="898">
        <v>25100</v>
      </c>
      <c r="H656" s="703">
        <f t="shared" si="20"/>
        <v>1.4776636825766666E-3</v>
      </c>
      <c r="I656" s="704">
        <f t="shared" si="21"/>
        <v>2.2164955238649996E-4</v>
      </c>
    </row>
    <row r="657" spans="2:9">
      <c r="B657" s="598" t="s">
        <v>2595</v>
      </c>
      <c r="C657" s="604" t="s">
        <v>864</v>
      </c>
      <c r="D657" s="745">
        <v>2014</v>
      </c>
      <c r="E657" s="650" t="s">
        <v>3565</v>
      </c>
      <c r="F657" s="897">
        <v>0.15</v>
      </c>
      <c r="G657" s="898">
        <v>26150</v>
      </c>
      <c r="H657" s="703">
        <f t="shared" si="20"/>
        <v>1.5394782987800729E-3</v>
      </c>
      <c r="I657" s="704">
        <f t="shared" si="21"/>
        <v>2.3092174481701092E-4</v>
      </c>
    </row>
    <row r="658" spans="2:9">
      <c r="B658" s="598" t="s">
        <v>2595</v>
      </c>
      <c r="C658" s="604" t="s">
        <v>864</v>
      </c>
      <c r="D658" s="745">
        <v>2014</v>
      </c>
      <c r="E658" s="650" t="s">
        <v>3575</v>
      </c>
      <c r="F658" s="897">
        <v>0.15</v>
      </c>
      <c r="G658" s="898">
        <v>60000</v>
      </c>
      <c r="H658" s="703">
        <f t="shared" si="20"/>
        <v>3.5322637830517926E-3</v>
      </c>
      <c r="I658" s="704">
        <f t="shared" si="21"/>
        <v>5.2983956745776886E-4</v>
      </c>
    </row>
    <row r="659" spans="2:9">
      <c r="B659" s="598" t="s">
        <v>2595</v>
      </c>
      <c r="C659" s="604" t="s">
        <v>864</v>
      </c>
      <c r="D659" s="745">
        <v>2014</v>
      </c>
      <c r="E659" s="650" t="s">
        <v>3576</v>
      </c>
      <c r="F659" s="897">
        <v>0.15</v>
      </c>
      <c r="G659" s="898">
        <v>20000</v>
      </c>
      <c r="H659" s="703">
        <f t="shared" si="20"/>
        <v>1.1774212610172641E-3</v>
      </c>
      <c r="I659" s="704">
        <f t="shared" si="21"/>
        <v>1.7661318915258961E-4</v>
      </c>
    </row>
    <row r="660" spans="2:9">
      <c r="B660" s="598" t="s">
        <v>2595</v>
      </c>
      <c r="C660" s="604" t="s">
        <v>864</v>
      </c>
      <c r="D660" s="745">
        <v>2022</v>
      </c>
      <c r="E660" s="650" t="s">
        <v>3513</v>
      </c>
      <c r="F660" s="897">
        <v>0.15</v>
      </c>
      <c r="G660" s="898">
        <v>70000</v>
      </c>
      <c r="H660" s="703">
        <f t="shared" si="20"/>
        <v>4.1209744135604241E-3</v>
      </c>
      <c r="I660" s="704">
        <f t="shared" si="21"/>
        <v>6.1814616203406355E-4</v>
      </c>
    </row>
    <row r="661" spans="2:9">
      <c r="B661" s="598" t="s">
        <v>2595</v>
      </c>
      <c r="C661" s="604" t="s">
        <v>864</v>
      </c>
      <c r="D661" s="745">
        <v>2014</v>
      </c>
      <c r="E661" s="650" t="s">
        <v>3495</v>
      </c>
      <c r="F661" s="897">
        <v>0.15</v>
      </c>
      <c r="G661" s="898">
        <v>1950</v>
      </c>
      <c r="H661" s="703">
        <f t="shared" si="20"/>
        <v>1.1479857294918325E-4</v>
      </c>
      <c r="I661" s="704">
        <f t="shared" si="21"/>
        <v>1.7219785942377486E-5</v>
      </c>
    </row>
    <row r="662" spans="2:9">
      <c r="B662" s="598" t="s">
        <v>2595</v>
      </c>
      <c r="C662" s="604" t="s">
        <v>864</v>
      </c>
      <c r="D662" s="745">
        <v>2014</v>
      </c>
      <c r="E662" s="650" t="s">
        <v>3569</v>
      </c>
      <c r="F662" s="897">
        <v>0.15</v>
      </c>
      <c r="G662" s="898">
        <v>250</v>
      </c>
      <c r="H662" s="703">
        <f t="shared" si="20"/>
        <v>1.4717765762715802E-5</v>
      </c>
      <c r="I662" s="704">
        <f t="shared" si="21"/>
        <v>2.2076648644073704E-6</v>
      </c>
    </row>
    <row r="663" spans="2:9">
      <c r="B663" s="598" t="s">
        <v>2595</v>
      </c>
      <c r="C663" s="604" t="s">
        <v>864</v>
      </c>
      <c r="D663" s="745">
        <v>2014</v>
      </c>
      <c r="E663" s="650" t="s">
        <v>3577</v>
      </c>
      <c r="F663" s="897">
        <v>0.15</v>
      </c>
      <c r="G663" s="898">
        <v>9345</v>
      </c>
      <c r="H663" s="703">
        <f t="shared" si="20"/>
        <v>5.5015008421031668E-4</v>
      </c>
      <c r="I663" s="704">
        <f t="shared" si="21"/>
        <v>8.2522512631547502E-5</v>
      </c>
    </row>
    <row r="664" spans="2:9">
      <c r="B664" s="598" t="s">
        <v>2595</v>
      </c>
      <c r="C664" s="604" t="s">
        <v>864</v>
      </c>
      <c r="D664" s="745">
        <v>2016</v>
      </c>
      <c r="E664" s="650" t="s">
        <v>3577</v>
      </c>
      <c r="F664" s="897">
        <v>0.15</v>
      </c>
      <c r="G664" s="898">
        <v>17962</v>
      </c>
      <c r="H664" s="703">
        <f t="shared" si="20"/>
        <v>1.0574420345196049E-3</v>
      </c>
      <c r="I664" s="704">
        <f t="shared" si="21"/>
        <v>1.5861630517794071E-4</v>
      </c>
    </row>
    <row r="665" spans="2:9">
      <c r="B665" s="598" t="s">
        <v>2595</v>
      </c>
      <c r="C665" s="604" t="s">
        <v>864</v>
      </c>
      <c r="D665" s="745">
        <v>2014</v>
      </c>
      <c r="E665" s="650" t="s">
        <v>3577</v>
      </c>
      <c r="F665" s="897">
        <v>0.15</v>
      </c>
      <c r="G665" s="898">
        <v>10299.6</v>
      </c>
      <c r="H665" s="703">
        <f t="shared" si="20"/>
        <v>6.0634840099867073E-4</v>
      </c>
      <c r="I665" s="704">
        <f t="shared" si="21"/>
        <v>9.0952260149800606E-5</v>
      </c>
    </row>
    <row r="666" spans="2:9">
      <c r="B666" s="598" t="s">
        <v>2595</v>
      </c>
      <c r="C666" s="604" t="s">
        <v>864</v>
      </c>
      <c r="D666" s="745">
        <v>2015</v>
      </c>
      <c r="E666" s="650" t="s">
        <v>3577</v>
      </c>
      <c r="F666" s="897">
        <v>0.15</v>
      </c>
      <c r="G666" s="898">
        <v>17234</v>
      </c>
      <c r="H666" s="703">
        <f t="shared" si="20"/>
        <v>1.0145839006185766E-3</v>
      </c>
      <c r="I666" s="704">
        <f t="shared" si="21"/>
        <v>1.5218758509278647E-4</v>
      </c>
    </row>
    <row r="667" spans="2:9">
      <c r="B667" s="598" t="s">
        <v>2595</v>
      </c>
      <c r="C667" s="604" t="s">
        <v>864</v>
      </c>
      <c r="D667" s="745">
        <v>2014</v>
      </c>
      <c r="E667" s="650" t="s">
        <v>3578</v>
      </c>
      <c r="F667" s="897">
        <v>0.15</v>
      </c>
      <c r="G667" s="898">
        <v>2720</v>
      </c>
      <c r="H667" s="703">
        <f t="shared" si="20"/>
        <v>1.6012929149834793E-4</v>
      </c>
      <c r="I667" s="704">
        <f t="shared" si="21"/>
        <v>2.4019393724752188E-5</v>
      </c>
    </row>
    <row r="668" spans="2:9">
      <c r="B668" s="598" t="s">
        <v>2595</v>
      </c>
      <c r="C668" s="604" t="s">
        <v>864</v>
      </c>
      <c r="D668" s="745">
        <v>2014</v>
      </c>
      <c r="E668" s="650" t="s">
        <v>3579</v>
      </c>
      <c r="F668" s="897">
        <v>0.15</v>
      </c>
      <c r="G668" s="898">
        <v>12316</v>
      </c>
      <c r="H668" s="703">
        <f t="shared" si="20"/>
        <v>7.2505601253443125E-4</v>
      </c>
      <c r="I668" s="704">
        <f t="shared" si="21"/>
        <v>1.0875840188016469E-4</v>
      </c>
    </row>
    <row r="669" spans="2:9">
      <c r="B669" s="598" t="s">
        <v>2595</v>
      </c>
      <c r="C669" s="604" t="s">
        <v>864</v>
      </c>
      <c r="D669" s="745">
        <v>2014</v>
      </c>
      <c r="E669" s="650" t="s">
        <v>3504</v>
      </c>
      <c r="F669" s="897">
        <v>0.15</v>
      </c>
      <c r="G669" s="898">
        <v>10000</v>
      </c>
      <c r="H669" s="703">
        <f t="shared" si="20"/>
        <v>5.8871063050863206E-4</v>
      </c>
      <c r="I669" s="704">
        <f t="shared" si="21"/>
        <v>8.8306594576294806E-5</v>
      </c>
    </row>
    <row r="670" spans="2:9">
      <c r="B670" s="598" t="s">
        <v>2595</v>
      </c>
      <c r="C670" s="604" t="s">
        <v>864</v>
      </c>
      <c r="D670" s="745">
        <v>2014</v>
      </c>
      <c r="E670" s="650" t="s">
        <v>3577</v>
      </c>
      <c r="F670" s="897">
        <v>0.15</v>
      </c>
      <c r="G670" s="898">
        <v>3625</v>
      </c>
      <c r="H670" s="703">
        <f t="shared" si="20"/>
        <v>2.1340760355937911E-4</v>
      </c>
      <c r="I670" s="704">
        <f t="shared" si="21"/>
        <v>3.2011140533906868E-5</v>
      </c>
    </row>
    <row r="671" spans="2:9">
      <c r="B671" s="598" t="s">
        <v>2595</v>
      </c>
      <c r="C671" s="604" t="s">
        <v>864</v>
      </c>
      <c r="D671" s="745">
        <v>2015</v>
      </c>
      <c r="E671" s="650" t="s">
        <v>3581</v>
      </c>
      <c r="F671" s="897">
        <v>0.15</v>
      </c>
      <c r="G671" s="898">
        <v>9148.1</v>
      </c>
      <c r="H671" s="703">
        <f t="shared" si="20"/>
        <v>5.3855837189560173E-4</v>
      </c>
      <c r="I671" s="704">
        <f t="shared" si="21"/>
        <v>8.0783755784340252E-5</v>
      </c>
    </row>
    <row r="672" spans="2:9">
      <c r="B672" s="598" t="s">
        <v>2595</v>
      </c>
      <c r="C672" s="604" t="s">
        <v>864</v>
      </c>
      <c r="D672" s="745">
        <v>2015</v>
      </c>
      <c r="E672" s="650" t="s">
        <v>3582</v>
      </c>
      <c r="F672" s="897">
        <v>0.15</v>
      </c>
      <c r="G672" s="898">
        <v>11200</v>
      </c>
      <c r="H672" s="703">
        <f t="shared" si="20"/>
        <v>6.5935590616966787E-4</v>
      </c>
      <c r="I672" s="704">
        <f t="shared" si="21"/>
        <v>9.8903385925450178E-5</v>
      </c>
    </row>
    <row r="673" spans="2:9">
      <c r="B673" s="598" t="s">
        <v>2595</v>
      </c>
      <c r="C673" s="604" t="s">
        <v>864</v>
      </c>
      <c r="D673" s="745">
        <v>2015</v>
      </c>
      <c r="E673" s="650" t="s">
        <v>3575</v>
      </c>
      <c r="F673" s="897">
        <v>0.15</v>
      </c>
      <c r="G673" s="898">
        <v>155000</v>
      </c>
      <c r="H673" s="703">
        <f t="shared" si="20"/>
        <v>9.1250147728837976E-3</v>
      </c>
      <c r="I673" s="704">
        <f t="shared" si="21"/>
        <v>1.3687522159325696E-3</v>
      </c>
    </row>
    <row r="674" spans="2:9">
      <c r="B674" s="598" t="s">
        <v>2595</v>
      </c>
      <c r="C674" s="604" t="s">
        <v>864</v>
      </c>
      <c r="D674" s="745">
        <v>2015</v>
      </c>
      <c r="E674" s="650" t="s">
        <v>3513</v>
      </c>
      <c r="F674" s="897">
        <v>0.15</v>
      </c>
      <c r="G674" s="898">
        <v>150</v>
      </c>
      <c r="H674" s="703">
        <f t="shared" si="20"/>
        <v>8.8306594576294816E-6</v>
      </c>
      <c r="I674" s="704">
        <f t="shared" si="21"/>
        <v>1.3245989186444221E-6</v>
      </c>
    </row>
    <row r="675" spans="2:9">
      <c r="B675" s="598" t="s">
        <v>2595</v>
      </c>
      <c r="C675" s="604" t="s">
        <v>864</v>
      </c>
      <c r="D675" s="745">
        <v>2021</v>
      </c>
      <c r="E675" s="650" t="s">
        <v>3582</v>
      </c>
      <c r="F675" s="897">
        <v>0.15</v>
      </c>
      <c r="G675" s="898">
        <v>19430.349999999999</v>
      </c>
      <c r="H675" s="703">
        <f t="shared" si="20"/>
        <v>1.1438853599503398E-3</v>
      </c>
      <c r="I675" s="704">
        <f t="shared" si="21"/>
        <v>1.7158280399255096E-4</v>
      </c>
    </row>
    <row r="676" spans="2:9">
      <c r="B676" s="598" t="s">
        <v>2595</v>
      </c>
      <c r="C676" s="604" t="s">
        <v>864</v>
      </c>
      <c r="D676" s="745">
        <v>2015</v>
      </c>
      <c r="E676" s="650" t="s">
        <v>3584</v>
      </c>
      <c r="F676" s="897">
        <v>0.15</v>
      </c>
      <c r="G676" s="898">
        <v>198450</v>
      </c>
      <c r="H676" s="703">
        <f t="shared" si="20"/>
        <v>1.1682962462443804E-2</v>
      </c>
      <c r="I676" s="704">
        <f t="shared" si="21"/>
        <v>1.7524443693665705E-3</v>
      </c>
    </row>
    <row r="677" spans="2:9">
      <c r="B677" s="598" t="s">
        <v>2595</v>
      </c>
      <c r="C677" s="604" t="s">
        <v>864</v>
      </c>
      <c r="D677" s="745">
        <v>2015</v>
      </c>
      <c r="E677" s="650" t="s">
        <v>3585</v>
      </c>
      <c r="F677" s="897">
        <v>0.15</v>
      </c>
      <c r="G677" s="898">
        <v>5000</v>
      </c>
      <c r="H677" s="703">
        <f t="shared" si="20"/>
        <v>2.9435531525431603E-4</v>
      </c>
      <c r="I677" s="704">
        <f t="shared" si="21"/>
        <v>4.4153297288147403E-5</v>
      </c>
    </row>
    <row r="678" spans="2:9">
      <c r="B678" s="598" t="s">
        <v>2595</v>
      </c>
      <c r="C678" s="604" t="s">
        <v>864</v>
      </c>
      <c r="D678" s="745">
        <v>2015</v>
      </c>
      <c r="E678" s="650" t="s">
        <v>3586</v>
      </c>
      <c r="F678" s="897">
        <v>0.15</v>
      </c>
      <c r="G678" s="898">
        <v>18668</v>
      </c>
      <c r="H678" s="703">
        <f t="shared" si="20"/>
        <v>1.0990050050335143E-3</v>
      </c>
      <c r="I678" s="704">
        <f t="shared" si="21"/>
        <v>1.6485075075502715E-4</v>
      </c>
    </row>
    <row r="679" spans="2:9">
      <c r="B679" s="598" t="s">
        <v>2595</v>
      </c>
      <c r="C679" s="604" t="s">
        <v>864</v>
      </c>
      <c r="D679" s="745">
        <v>2022</v>
      </c>
      <c r="E679" s="650" t="s">
        <v>3587</v>
      </c>
      <c r="F679" s="897">
        <v>0.15</v>
      </c>
      <c r="G679" s="898">
        <v>7000</v>
      </c>
      <c r="H679" s="703">
        <f t="shared" si="20"/>
        <v>4.1209744135604242E-4</v>
      </c>
      <c r="I679" s="704">
        <f t="shared" si="21"/>
        <v>6.1814616203406363E-5</v>
      </c>
    </row>
    <row r="680" spans="2:9">
      <c r="B680" s="598" t="s">
        <v>2595</v>
      </c>
      <c r="C680" s="604" t="s">
        <v>864</v>
      </c>
      <c r="D680" s="745">
        <v>2015</v>
      </c>
      <c r="E680" s="650" t="s">
        <v>3549</v>
      </c>
      <c r="F680" s="897">
        <v>0.15</v>
      </c>
      <c r="G680" s="898">
        <v>1291.45</v>
      </c>
      <c r="H680" s="703">
        <f t="shared" si="20"/>
        <v>7.6029034377037295E-5</v>
      </c>
      <c r="I680" s="704">
        <f t="shared" si="21"/>
        <v>1.1404355156555594E-5</v>
      </c>
    </row>
    <row r="681" spans="2:9">
      <c r="B681" s="598" t="s">
        <v>2595</v>
      </c>
      <c r="C681" s="604" t="s">
        <v>864</v>
      </c>
      <c r="D681" s="745">
        <v>2015</v>
      </c>
      <c r="E681" s="650" t="s">
        <v>3588</v>
      </c>
      <c r="F681" s="897">
        <v>0.15</v>
      </c>
      <c r="G681" s="898">
        <v>13800</v>
      </c>
      <c r="H681" s="703">
        <f t="shared" si="20"/>
        <v>8.1242067010191222E-4</v>
      </c>
      <c r="I681" s="704">
        <f t="shared" si="21"/>
        <v>1.2186310051528683E-4</v>
      </c>
    </row>
    <row r="682" spans="2:9">
      <c r="B682" s="598" t="s">
        <v>2595</v>
      </c>
      <c r="C682" s="604" t="s">
        <v>864</v>
      </c>
      <c r="D682" s="745">
        <v>2015</v>
      </c>
      <c r="E682" s="650" t="s">
        <v>3577</v>
      </c>
      <c r="F682" s="897">
        <v>0.15</v>
      </c>
      <c r="G682" s="898">
        <v>14800</v>
      </c>
      <c r="H682" s="703">
        <f t="shared" si="20"/>
        <v>8.7129173315277542E-4</v>
      </c>
      <c r="I682" s="704">
        <f t="shared" si="21"/>
        <v>1.3069375997291631E-4</v>
      </c>
    </row>
    <row r="683" spans="2:9">
      <c r="B683" s="598" t="s">
        <v>2595</v>
      </c>
      <c r="C683" s="604" t="s">
        <v>864</v>
      </c>
      <c r="D683" s="745">
        <v>2015</v>
      </c>
      <c r="E683" s="650" t="s">
        <v>3589</v>
      </c>
      <c r="F683" s="897">
        <v>0.15</v>
      </c>
      <c r="G683" s="898">
        <v>13500</v>
      </c>
      <c r="H683" s="703">
        <f t="shared" si="20"/>
        <v>7.9475935118665324E-4</v>
      </c>
      <c r="I683" s="704">
        <f t="shared" si="21"/>
        <v>1.1921390267799798E-4</v>
      </c>
    </row>
    <row r="684" spans="2:9">
      <c r="B684" s="598" t="s">
        <v>2595</v>
      </c>
      <c r="C684" s="604" t="s">
        <v>864</v>
      </c>
      <c r="D684" s="745">
        <v>2015</v>
      </c>
      <c r="E684" s="650" t="s">
        <v>3504</v>
      </c>
      <c r="F684" s="897">
        <v>0.15</v>
      </c>
      <c r="G684" s="898">
        <v>635</v>
      </c>
      <c r="H684" s="703">
        <f t="shared" si="20"/>
        <v>3.7383125037298133E-5</v>
      </c>
      <c r="I684" s="704">
        <f t="shared" si="21"/>
        <v>5.60746875559472E-6</v>
      </c>
    </row>
    <row r="685" spans="2:9">
      <c r="B685" s="598" t="s">
        <v>2595</v>
      </c>
      <c r="C685" s="604" t="s">
        <v>864</v>
      </c>
      <c r="D685" s="745">
        <v>2015</v>
      </c>
      <c r="E685" s="650" t="s">
        <v>3590</v>
      </c>
      <c r="F685" s="897">
        <v>0.15</v>
      </c>
      <c r="G685" s="898">
        <v>192.7</v>
      </c>
      <c r="H685" s="703">
        <f t="shared" si="20"/>
        <v>1.1344453849901339E-5</v>
      </c>
      <c r="I685" s="704">
        <f t="shared" si="21"/>
        <v>1.7016680774852009E-6</v>
      </c>
    </row>
    <row r="686" spans="2:9">
      <c r="B686" s="598" t="s">
        <v>2595</v>
      </c>
      <c r="C686" s="604" t="s">
        <v>864</v>
      </c>
      <c r="D686" s="745">
        <v>2015</v>
      </c>
      <c r="E686" s="650" t="s">
        <v>3591</v>
      </c>
      <c r="F686" s="897">
        <v>0.15</v>
      </c>
      <c r="G686" s="898">
        <v>11550</v>
      </c>
      <c r="H686" s="703">
        <f t="shared" si="20"/>
        <v>6.7996077823746998E-4</v>
      </c>
      <c r="I686" s="704">
        <f t="shared" si="21"/>
        <v>1.0199411673562049E-4</v>
      </c>
    </row>
    <row r="687" spans="2:9">
      <c r="B687" s="598" t="s">
        <v>2595</v>
      </c>
      <c r="C687" s="604" t="s">
        <v>864</v>
      </c>
      <c r="D687" s="745">
        <v>2015</v>
      </c>
      <c r="E687" s="650" t="s">
        <v>3592</v>
      </c>
      <c r="F687" s="897">
        <v>0.15</v>
      </c>
      <c r="G687" s="898">
        <v>26250</v>
      </c>
      <c r="H687" s="703">
        <f t="shared" si="20"/>
        <v>1.5453654050851591E-3</v>
      </c>
      <c r="I687" s="704">
        <f t="shared" si="21"/>
        <v>2.3180481076277387E-4</v>
      </c>
    </row>
    <row r="688" spans="2:9">
      <c r="B688" s="598" t="s">
        <v>2595</v>
      </c>
      <c r="C688" s="604" t="s">
        <v>864</v>
      </c>
      <c r="D688" s="745">
        <v>2015</v>
      </c>
      <c r="E688" s="650" t="s">
        <v>3567</v>
      </c>
      <c r="F688" s="897">
        <v>0.15</v>
      </c>
      <c r="G688" s="898">
        <v>239120</v>
      </c>
      <c r="H688" s="703">
        <f t="shared" si="20"/>
        <v>1.407724859672241E-2</v>
      </c>
      <c r="I688" s="704">
        <f t="shared" si="21"/>
        <v>2.1115872895083616E-3</v>
      </c>
    </row>
    <row r="689" spans="2:9">
      <c r="B689" s="598" t="s">
        <v>2595</v>
      </c>
      <c r="C689" s="604" t="s">
        <v>864</v>
      </c>
      <c r="D689" s="745">
        <v>2015</v>
      </c>
      <c r="E689" s="650" t="s">
        <v>3593</v>
      </c>
      <c r="F689" s="897">
        <v>0.15</v>
      </c>
      <c r="G689" s="898">
        <v>17000</v>
      </c>
      <c r="H689" s="703">
        <f t="shared" si="20"/>
        <v>1.0008080718646745E-3</v>
      </c>
      <c r="I689" s="704">
        <f t="shared" si="21"/>
        <v>1.5012121077970117E-4</v>
      </c>
    </row>
    <row r="690" spans="2:9">
      <c r="B690" s="598" t="s">
        <v>2595</v>
      </c>
      <c r="C690" s="604" t="s">
        <v>864</v>
      </c>
      <c r="D690" s="745">
        <v>2015</v>
      </c>
      <c r="E690" s="650" t="s">
        <v>3577</v>
      </c>
      <c r="F690" s="897">
        <v>0.15</v>
      </c>
      <c r="G690" s="898">
        <v>18000</v>
      </c>
      <c r="H690" s="703">
        <f t="shared" si="20"/>
        <v>1.0596791349155377E-3</v>
      </c>
      <c r="I690" s="704">
        <f t="shared" si="21"/>
        <v>1.5895187023733066E-4</v>
      </c>
    </row>
    <row r="691" spans="2:9">
      <c r="B691" s="598" t="s">
        <v>2595</v>
      </c>
      <c r="C691" s="604" t="s">
        <v>864</v>
      </c>
      <c r="D691" s="745">
        <v>2015</v>
      </c>
      <c r="E691" s="650" t="s">
        <v>3594</v>
      </c>
      <c r="F691" s="897">
        <v>0.15</v>
      </c>
      <c r="G691" s="898">
        <v>15000</v>
      </c>
      <c r="H691" s="703">
        <f t="shared" si="20"/>
        <v>8.8306594576294814E-4</v>
      </c>
      <c r="I691" s="704">
        <f t="shared" si="21"/>
        <v>1.3245989186444222E-4</v>
      </c>
    </row>
    <row r="692" spans="2:9">
      <c r="B692" s="598" t="s">
        <v>2595</v>
      </c>
      <c r="C692" s="604" t="s">
        <v>864</v>
      </c>
      <c r="D692" s="745">
        <v>2015</v>
      </c>
      <c r="E692" s="650" t="s">
        <v>3595</v>
      </c>
      <c r="F692" s="897">
        <v>0.15</v>
      </c>
      <c r="G692" s="898">
        <v>10000</v>
      </c>
      <c r="H692" s="703">
        <f t="shared" si="20"/>
        <v>5.8871063050863206E-4</v>
      </c>
      <c r="I692" s="704">
        <f t="shared" si="21"/>
        <v>8.8306594576294806E-5</v>
      </c>
    </row>
    <row r="693" spans="2:9">
      <c r="B693" s="598" t="s">
        <v>2595</v>
      </c>
      <c r="C693" s="604" t="s">
        <v>864</v>
      </c>
      <c r="D693" s="745">
        <v>2015</v>
      </c>
      <c r="E693" s="650" t="s">
        <v>3596</v>
      </c>
      <c r="F693" s="897">
        <v>0.15</v>
      </c>
      <c r="G693" s="898">
        <v>2000</v>
      </c>
      <c r="H693" s="703">
        <f t="shared" si="20"/>
        <v>1.1774212610172642E-4</v>
      </c>
      <c r="I693" s="704">
        <f t="shared" si="21"/>
        <v>1.7661318915258963E-5</v>
      </c>
    </row>
    <row r="694" spans="2:9">
      <c r="B694" s="598" t="s">
        <v>2595</v>
      </c>
      <c r="C694" s="604" t="s">
        <v>864</v>
      </c>
      <c r="D694" s="745">
        <v>2015</v>
      </c>
      <c r="E694" s="650" t="s">
        <v>3597</v>
      </c>
      <c r="F694" s="897">
        <v>0.15</v>
      </c>
      <c r="G694" s="898">
        <v>5000</v>
      </c>
      <c r="H694" s="703">
        <f t="shared" si="20"/>
        <v>2.9435531525431603E-4</v>
      </c>
      <c r="I694" s="704">
        <f t="shared" si="21"/>
        <v>4.4153297288147403E-5</v>
      </c>
    </row>
    <row r="695" spans="2:9">
      <c r="B695" s="598" t="s">
        <v>2595</v>
      </c>
      <c r="C695" s="604" t="s">
        <v>864</v>
      </c>
      <c r="D695" s="745">
        <v>2015</v>
      </c>
      <c r="E695" s="650" t="s">
        <v>3598</v>
      </c>
      <c r="F695" s="897">
        <v>0.15</v>
      </c>
      <c r="G695" s="898">
        <v>1500</v>
      </c>
      <c r="H695" s="703">
        <f t="shared" si="20"/>
        <v>8.8306594576294806E-5</v>
      </c>
      <c r="I695" s="704">
        <f t="shared" si="21"/>
        <v>1.324598918644422E-5</v>
      </c>
    </row>
    <row r="696" spans="2:9">
      <c r="B696" s="598" t="s">
        <v>2595</v>
      </c>
      <c r="C696" s="604" t="s">
        <v>864</v>
      </c>
      <c r="D696" s="745">
        <v>2015</v>
      </c>
      <c r="E696" s="650" t="s">
        <v>3599</v>
      </c>
      <c r="F696" s="897">
        <v>0.15</v>
      </c>
      <c r="G696" s="898">
        <v>1500</v>
      </c>
      <c r="H696" s="703">
        <f t="shared" si="20"/>
        <v>8.8306594576294806E-5</v>
      </c>
      <c r="I696" s="704">
        <f t="shared" si="21"/>
        <v>1.324598918644422E-5</v>
      </c>
    </row>
    <row r="697" spans="2:9">
      <c r="B697" s="598" t="s">
        <v>2595</v>
      </c>
      <c r="C697" s="604" t="s">
        <v>864</v>
      </c>
      <c r="D697" s="745">
        <v>2015</v>
      </c>
      <c r="E697" s="650" t="s">
        <v>3600</v>
      </c>
      <c r="F697" s="897">
        <v>0.15</v>
      </c>
      <c r="G697" s="898">
        <v>6000</v>
      </c>
      <c r="H697" s="703">
        <f t="shared" si="20"/>
        <v>3.5322637830517922E-4</v>
      </c>
      <c r="I697" s="704">
        <f t="shared" si="21"/>
        <v>5.298395674577688E-5</v>
      </c>
    </row>
    <row r="698" spans="2:9">
      <c r="B698" s="598" t="s">
        <v>2595</v>
      </c>
      <c r="C698" s="604" t="s">
        <v>864</v>
      </c>
      <c r="D698" s="745">
        <v>2015</v>
      </c>
      <c r="E698" s="650" t="s">
        <v>3601</v>
      </c>
      <c r="F698" s="897">
        <v>0.15</v>
      </c>
      <c r="G698" s="898">
        <v>5000</v>
      </c>
      <c r="H698" s="703">
        <f t="shared" si="20"/>
        <v>2.9435531525431603E-4</v>
      </c>
      <c r="I698" s="704">
        <f t="shared" si="21"/>
        <v>4.4153297288147403E-5</v>
      </c>
    </row>
    <row r="699" spans="2:9">
      <c r="B699" s="598" t="s">
        <v>2595</v>
      </c>
      <c r="C699" s="604" t="s">
        <v>864</v>
      </c>
      <c r="D699" s="745">
        <v>2015</v>
      </c>
      <c r="E699" s="650" t="s">
        <v>3602</v>
      </c>
      <c r="F699" s="897">
        <v>0.15</v>
      </c>
      <c r="G699" s="898">
        <v>40000</v>
      </c>
      <c r="H699" s="703">
        <f t="shared" si="20"/>
        <v>2.3548425220345282E-3</v>
      </c>
      <c r="I699" s="704">
        <f t="shared" si="21"/>
        <v>3.5322637830517922E-4</v>
      </c>
    </row>
    <row r="700" spans="2:9">
      <c r="B700" s="598" t="s">
        <v>2595</v>
      </c>
      <c r="C700" s="604" t="s">
        <v>864</v>
      </c>
      <c r="D700" s="745">
        <v>2015</v>
      </c>
      <c r="E700" s="650" t="s">
        <v>3502</v>
      </c>
      <c r="F700" s="897">
        <v>0.15</v>
      </c>
      <c r="G700" s="898">
        <v>4500</v>
      </c>
      <c r="H700" s="703">
        <f t="shared" si="20"/>
        <v>2.6491978372888443E-4</v>
      </c>
      <c r="I700" s="704">
        <f t="shared" si="21"/>
        <v>3.9737967559332665E-5</v>
      </c>
    </row>
    <row r="701" spans="2:9">
      <c r="B701" s="598" t="s">
        <v>2595</v>
      </c>
      <c r="C701" s="604" t="s">
        <v>864</v>
      </c>
      <c r="D701" s="745">
        <v>2015</v>
      </c>
      <c r="E701" s="650" t="s">
        <v>3502</v>
      </c>
      <c r="F701" s="897">
        <v>0.15</v>
      </c>
      <c r="G701" s="898">
        <v>4500</v>
      </c>
      <c r="H701" s="703">
        <f t="shared" si="20"/>
        <v>2.6491978372888443E-4</v>
      </c>
      <c r="I701" s="704">
        <f t="shared" si="21"/>
        <v>3.9737967559332665E-5</v>
      </c>
    </row>
    <row r="702" spans="2:9">
      <c r="B702" s="598" t="s">
        <v>2595</v>
      </c>
      <c r="C702" s="604" t="s">
        <v>864</v>
      </c>
      <c r="D702" s="745">
        <v>2015</v>
      </c>
      <c r="E702" s="650" t="s">
        <v>3603</v>
      </c>
      <c r="F702" s="897">
        <v>0.15</v>
      </c>
      <c r="G702" s="898">
        <v>15000</v>
      </c>
      <c r="H702" s="703">
        <f t="shared" si="20"/>
        <v>8.8306594576294814E-4</v>
      </c>
      <c r="I702" s="704">
        <f t="shared" si="21"/>
        <v>1.3245989186444222E-4</v>
      </c>
    </row>
    <row r="703" spans="2:9">
      <c r="B703" s="598" t="s">
        <v>2595</v>
      </c>
      <c r="C703" s="604" t="s">
        <v>864</v>
      </c>
      <c r="D703" s="745">
        <v>2015</v>
      </c>
      <c r="E703" s="650" t="s">
        <v>3604</v>
      </c>
      <c r="F703" s="897">
        <v>0.15</v>
      </c>
      <c r="G703" s="898">
        <v>35000</v>
      </c>
      <c r="H703" s="703">
        <f t="shared" si="20"/>
        <v>2.060487206780212E-3</v>
      </c>
      <c r="I703" s="704">
        <f t="shared" si="21"/>
        <v>3.0907308101703177E-4</v>
      </c>
    </row>
    <row r="704" spans="2:9">
      <c r="B704" s="598" t="s">
        <v>2595</v>
      </c>
      <c r="C704" s="604" t="s">
        <v>864</v>
      </c>
      <c r="D704" s="745">
        <v>2015</v>
      </c>
      <c r="E704" s="650" t="s">
        <v>3554</v>
      </c>
      <c r="F704" s="897">
        <v>0.15</v>
      </c>
      <c r="G704" s="898">
        <v>18000</v>
      </c>
      <c r="H704" s="703">
        <f t="shared" si="20"/>
        <v>1.0596791349155377E-3</v>
      </c>
      <c r="I704" s="704">
        <f t="shared" si="21"/>
        <v>1.5895187023733066E-4</v>
      </c>
    </row>
    <row r="705" spans="2:9">
      <c r="B705" s="598" t="s">
        <v>2595</v>
      </c>
      <c r="C705" s="604" t="s">
        <v>864</v>
      </c>
      <c r="D705" s="745">
        <v>2015</v>
      </c>
      <c r="E705" s="650" t="s">
        <v>3605</v>
      </c>
      <c r="F705" s="897">
        <v>0.15</v>
      </c>
      <c r="G705" s="898">
        <v>134500</v>
      </c>
      <c r="H705" s="703">
        <f t="shared" si="20"/>
        <v>7.918157980341102E-3</v>
      </c>
      <c r="I705" s="704">
        <f t="shared" si="21"/>
        <v>1.1877236970511652E-3</v>
      </c>
    </row>
    <row r="706" spans="2:9">
      <c r="B706" s="598" t="s">
        <v>2595</v>
      </c>
      <c r="C706" s="604" t="s">
        <v>864</v>
      </c>
      <c r="D706" s="745">
        <v>2015</v>
      </c>
      <c r="E706" s="650" t="s">
        <v>3606</v>
      </c>
      <c r="F706" s="897">
        <v>0.15</v>
      </c>
      <c r="G706" s="898">
        <v>1500</v>
      </c>
      <c r="H706" s="703">
        <f t="shared" si="20"/>
        <v>8.8306594576294806E-5</v>
      </c>
      <c r="I706" s="704">
        <f t="shared" si="21"/>
        <v>1.324598918644422E-5</v>
      </c>
    </row>
    <row r="707" spans="2:9">
      <c r="B707" s="598" t="s">
        <v>2595</v>
      </c>
      <c r="C707" s="604" t="s">
        <v>864</v>
      </c>
      <c r="D707" s="745">
        <v>2015</v>
      </c>
      <c r="E707" s="650" t="s">
        <v>3606</v>
      </c>
      <c r="F707" s="897">
        <v>0.15</v>
      </c>
      <c r="G707" s="898">
        <v>1500</v>
      </c>
      <c r="H707" s="703">
        <f t="shared" si="20"/>
        <v>8.8306594576294806E-5</v>
      </c>
      <c r="I707" s="704">
        <f t="shared" si="21"/>
        <v>1.324598918644422E-5</v>
      </c>
    </row>
    <row r="708" spans="2:9">
      <c r="B708" s="598" t="s">
        <v>2595</v>
      </c>
      <c r="C708" s="604" t="s">
        <v>864</v>
      </c>
      <c r="D708" s="745">
        <v>2015</v>
      </c>
      <c r="E708" s="650" t="s">
        <v>3495</v>
      </c>
      <c r="F708" s="897">
        <v>0.15</v>
      </c>
      <c r="G708" s="898">
        <v>115000</v>
      </c>
      <c r="H708" s="703">
        <f t="shared" si="20"/>
        <v>6.770172250849269E-3</v>
      </c>
      <c r="I708" s="704">
        <f t="shared" si="21"/>
        <v>1.0155258376273904E-3</v>
      </c>
    </row>
    <row r="709" spans="2:9">
      <c r="B709" s="598" t="s">
        <v>2595</v>
      </c>
      <c r="C709" s="604" t="s">
        <v>864</v>
      </c>
      <c r="D709" s="745">
        <v>2017</v>
      </c>
      <c r="E709" s="650" t="s">
        <v>3525</v>
      </c>
      <c r="F709" s="897">
        <v>0.15</v>
      </c>
      <c r="G709" s="898">
        <v>388056.35</v>
      </c>
      <c r="H709" s="703">
        <f t="shared" ref="H709:H772" si="22">+G709/$G$1080</f>
        <v>2.2845289848137839E-2</v>
      </c>
      <c r="I709" s="704">
        <f t="shared" ref="I709:I772" si="23">+H709*F709</f>
        <v>3.4267934772206758E-3</v>
      </c>
    </row>
    <row r="710" spans="2:9">
      <c r="B710" s="598" t="s">
        <v>2595</v>
      </c>
      <c r="C710" s="604" t="s">
        <v>864</v>
      </c>
      <c r="D710" s="745">
        <v>2015</v>
      </c>
      <c r="E710" s="650" t="s">
        <v>3607</v>
      </c>
      <c r="F710" s="897">
        <v>0.15</v>
      </c>
      <c r="G710" s="898">
        <v>2600</v>
      </c>
      <c r="H710" s="703">
        <f t="shared" si="22"/>
        <v>1.5306476393224432E-4</v>
      </c>
      <c r="I710" s="704">
        <f t="shared" si="23"/>
        <v>2.2959714589836649E-5</v>
      </c>
    </row>
    <row r="711" spans="2:9">
      <c r="B711" s="598" t="s">
        <v>2595</v>
      </c>
      <c r="C711" s="604" t="s">
        <v>864</v>
      </c>
      <c r="D711" s="745">
        <v>2015</v>
      </c>
      <c r="E711" s="650" t="s">
        <v>3608</v>
      </c>
      <c r="F711" s="897">
        <v>0.15</v>
      </c>
      <c r="G711" s="898">
        <v>230922.5</v>
      </c>
      <c r="H711" s="703">
        <f t="shared" si="22"/>
        <v>1.3594653057362958E-2</v>
      </c>
      <c r="I711" s="704">
        <f t="shared" si="23"/>
        <v>2.0391979586044436E-3</v>
      </c>
    </row>
    <row r="712" spans="2:9">
      <c r="B712" s="598" t="s">
        <v>2595</v>
      </c>
      <c r="C712" s="604" t="s">
        <v>864</v>
      </c>
      <c r="D712" s="745">
        <v>2015</v>
      </c>
      <c r="E712" s="650" t="s">
        <v>3609</v>
      </c>
      <c r="F712" s="897">
        <v>0.15</v>
      </c>
      <c r="G712" s="898">
        <v>40000</v>
      </c>
      <c r="H712" s="703">
        <f t="shared" si="22"/>
        <v>2.3548425220345282E-3</v>
      </c>
      <c r="I712" s="704">
        <f t="shared" si="23"/>
        <v>3.5322637830517922E-4</v>
      </c>
    </row>
    <row r="713" spans="2:9">
      <c r="B713" s="598" t="s">
        <v>2595</v>
      </c>
      <c r="C713" s="604" t="s">
        <v>864</v>
      </c>
      <c r="D713" s="745">
        <v>2015</v>
      </c>
      <c r="E713" s="650" t="s">
        <v>3610</v>
      </c>
      <c r="F713" s="897">
        <v>0.15</v>
      </c>
      <c r="G713" s="898">
        <v>67000</v>
      </c>
      <c r="H713" s="703">
        <f t="shared" si="22"/>
        <v>3.9443612244078347E-3</v>
      </c>
      <c r="I713" s="704">
        <f t="shared" si="23"/>
        <v>5.9165418366117519E-4</v>
      </c>
    </row>
    <row r="714" spans="2:9">
      <c r="B714" s="598" t="s">
        <v>2595</v>
      </c>
      <c r="C714" s="604" t="s">
        <v>864</v>
      </c>
      <c r="D714" s="745">
        <v>2015</v>
      </c>
      <c r="E714" s="650" t="s">
        <v>3525</v>
      </c>
      <c r="F714" s="897">
        <v>0.15</v>
      </c>
      <c r="G714" s="898">
        <v>448470.7</v>
      </c>
      <c r="H714" s="703">
        <f t="shared" si="22"/>
        <v>2.640194685616476E-2</v>
      </c>
      <c r="I714" s="704">
        <f t="shared" si="23"/>
        <v>3.9602920284247138E-3</v>
      </c>
    </row>
    <row r="715" spans="2:9">
      <c r="B715" s="598" t="s">
        <v>2595</v>
      </c>
      <c r="C715" s="604" t="s">
        <v>864</v>
      </c>
      <c r="D715" s="745">
        <v>2016</v>
      </c>
      <c r="E715" s="650" t="s">
        <v>3504</v>
      </c>
      <c r="F715" s="897">
        <v>0.15</v>
      </c>
      <c r="G715" s="898">
        <v>350</v>
      </c>
      <c r="H715" s="703">
        <f t="shared" si="22"/>
        <v>2.0604872067802121E-5</v>
      </c>
      <c r="I715" s="704">
        <f t="shared" si="23"/>
        <v>3.0907308101703181E-6</v>
      </c>
    </row>
    <row r="716" spans="2:9">
      <c r="B716" s="598" t="s">
        <v>2595</v>
      </c>
      <c r="C716" s="604" t="s">
        <v>864</v>
      </c>
      <c r="D716" s="745">
        <v>2017</v>
      </c>
      <c r="E716" s="650" t="s">
        <v>3504</v>
      </c>
      <c r="F716" s="897">
        <v>0.15</v>
      </c>
      <c r="G716" s="898">
        <v>350</v>
      </c>
      <c r="H716" s="703">
        <f t="shared" si="22"/>
        <v>2.0604872067802121E-5</v>
      </c>
      <c r="I716" s="704">
        <f t="shared" si="23"/>
        <v>3.0907308101703181E-6</v>
      </c>
    </row>
    <row r="717" spans="2:9">
      <c r="B717" s="598" t="s">
        <v>2595</v>
      </c>
      <c r="C717" s="604" t="s">
        <v>864</v>
      </c>
      <c r="D717" s="745">
        <v>2016</v>
      </c>
      <c r="E717" s="650" t="s">
        <v>3588</v>
      </c>
      <c r="F717" s="897">
        <v>0.15</v>
      </c>
      <c r="G717" s="898">
        <v>50000</v>
      </c>
      <c r="H717" s="703">
        <f t="shared" si="22"/>
        <v>2.9435531525431602E-3</v>
      </c>
      <c r="I717" s="704">
        <f t="shared" si="23"/>
        <v>4.4153297288147402E-4</v>
      </c>
    </row>
    <row r="718" spans="2:9">
      <c r="B718" s="598" t="s">
        <v>2595</v>
      </c>
      <c r="C718" s="604" t="s">
        <v>864</v>
      </c>
      <c r="D718" s="745">
        <v>2016</v>
      </c>
      <c r="E718" s="650" t="s">
        <v>3495</v>
      </c>
      <c r="F718" s="897">
        <v>0.15</v>
      </c>
      <c r="G718" s="898">
        <v>352000</v>
      </c>
      <c r="H718" s="703">
        <f t="shared" si="22"/>
        <v>2.0722614193903848E-2</v>
      </c>
      <c r="I718" s="704">
        <f t="shared" si="23"/>
        <v>3.108392129085577E-3</v>
      </c>
    </row>
    <row r="719" spans="2:9">
      <c r="B719" s="598" t="s">
        <v>2595</v>
      </c>
      <c r="C719" s="604" t="s">
        <v>864</v>
      </c>
      <c r="D719" s="745">
        <v>2016</v>
      </c>
      <c r="E719" s="650" t="s">
        <v>3495</v>
      </c>
      <c r="F719" s="897">
        <v>0.15</v>
      </c>
      <c r="G719" s="898">
        <v>179990</v>
      </c>
      <c r="H719" s="703">
        <f t="shared" si="22"/>
        <v>1.0596202638524869E-2</v>
      </c>
      <c r="I719" s="704">
        <f t="shared" si="23"/>
        <v>1.5894303957787303E-3</v>
      </c>
    </row>
    <row r="720" spans="2:9">
      <c r="B720" s="598" t="s">
        <v>2595</v>
      </c>
      <c r="C720" s="604" t="s">
        <v>864</v>
      </c>
      <c r="D720" s="745">
        <v>2016</v>
      </c>
      <c r="E720" s="650" t="s">
        <v>3517</v>
      </c>
      <c r="F720" s="897">
        <v>0.15</v>
      </c>
      <c r="G720" s="898">
        <v>28000</v>
      </c>
      <c r="H720" s="703">
        <f t="shared" si="22"/>
        <v>1.6483897654241697E-3</v>
      </c>
      <c r="I720" s="704">
        <f t="shared" si="23"/>
        <v>2.4725846481362545E-4</v>
      </c>
    </row>
    <row r="721" spans="2:9">
      <c r="B721" s="598" t="s">
        <v>2595</v>
      </c>
      <c r="C721" s="604" t="s">
        <v>864</v>
      </c>
      <c r="D721" s="745">
        <v>2016</v>
      </c>
      <c r="E721" s="650" t="s">
        <v>3533</v>
      </c>
      <c r="F721" s="897">
        <v>0.15</v>
      </c>
      <c r="G721" s="898">
        <v>6500</v>
      </c>
      <c r="H721" s="703">
        <f t="shared" si="22"/>
        <v>3.8266190983061082E-4</v>
      </c>
      <c r="I721" s="704">
        <f t="shared" si="23"/>
        <v>5.7399286474591618E-5</v>
      </c>
    </row>
    <row r="722" spans="2:9">
      <c r="B722" s="598" t="s">
        <v>2595</v>
      </c>
      <c r="C722" s="604" t="s">
        <v>864</v>
      </c>
      <c r="D722" s="745">
        <v>2018</v>
      </c>
      <c r="E722" s="650" t="s">
        <v>3611</v>
      </c>
      <c r="F722" s="897">
        <v>0.15</v>
      </c>
      <c r="G722" s="898">
        <v>18000</v>
      </c>
      <c r="H722" s="703">
        <f t="shared" si="22"/>
        <v>1.0596791349155377E-3</v>
      </c>
      <c r="I722" s="704">
        <f t="shared" si="23"/>
        <v>1.5895187023733066E-4</v>
      </c>
    </row>
    <row r="723" spans="2:9">
      <c r="B723" s="598" t="s">
        <v>2595</v>
      </c>
      <c r="C723" s="604" t="s">
        <v>864</v>
      </c>
      <c r="D723" s="745">
        <v>2016</v>
      </c>
      <c r="E723" s="650" t="s">
        <v>3565</v>
      </c>
      <c r="F723" s="897">
        <v>0.15</v>
      </c>
      <c r="G723" s="898">
        <v>30000</v>
      </c>
      <c r="H723" s="703">
        <f t="shared" si="22"/>
        <v>1.7661318915258963E-3</v>
      </c>
      <c r="I723" s="704">
        <f t="shared" si="23"/>
        <v>2.6491978372888443E-4</v>
      </c>
    </row>
    <row r="724" spans="2:9">
      <c r="B724" s="598" t="s">
        <v>2595</v>
      </c>
      <c r="C724" s="604" t="s">
        <v>864</v>
      </c>
      <c r="D724" s="745">
        <v>2017</v>
      </c>
      <c r="E724" s="650" t="s">
        <v>3612</v>
      </c>
      <c r="F724" s="897">
        <v>0.15</v>
      </c>
      <c r="G724" s="898">
        <v>90000</v>
      </c>
      <c r="H724" s="703">
        <f t="shared" si="22"/>
        <v>5.2983956745776889E-3</v>
      </c>
      <c r="I724" s="704">
        <f t="shared" si="23"/>
        <v>7.9475935118665335E-4</v>
      </c>
    </row>
    <row r="725" spans="2:9">
      <c r="B725" s="598" t="s">
        <v>2595</v>
      </c>
      <c r="C725" s="604" t="s">
        <v>864</v>
      </c>
      <c r="D725" s="745">
        <v>2017</v>
      </c>
      <c r="E725" s="650" t="s">
        <v>3613</v>
      </c>
      <c r="F725" s="897">
        <v>0.15</v>
      </c>
      <c r="G725" s="898">
        <v>70000</v>
      </c>
      <c r="H725" s="703">
        <f t="shared" si="22"/>
        <v>4.1209744135604241E-3</v>
      </c>
      <c r="I725" s="704">
        <f t="shared" si="23"/>
        <v>6.1814616203406355E-4</v>
      </c>
    </row>
    <row r="726" spans="2:9">
      <c r="B726" s="598" t="s">
        <v>2595</v>
      </c>
      <c r="C726" s="604" t="s">
        <v>864</v>
      </c>
      <c r="D726" s="745">
        <v>2016</v>
      </c>
      <c r="E726" s="650" t="s">
        <v>3614</v>
      </c>
      <c r="F726" s="897">
        <v>0.15</v>
      </c>
      <c r="G726" s="898">
        <v>33600</v>
      </c>
      <c r="H726" s="703">
        <f t="shared" si="22"/>
        <v>1.9780677185090036E-3</v>
      </c>
      <c r="I726" s="704">
        <f t="shared" si="23"/>
        <v>2.9671015777635052E-4</v>
      </c>
    </row>
    <row r="727" spans="2:9">
      <c r="B727" s="598" t="s">
        <v>2595</v>
      </c>
      <c r="C727" s="604" t="s">
        <v>864</v>
      </c>
      <c r="D727" s="745">
        <v>2016</v>
      </c>
      <c r="E727" s="650" t="s">
        <v>3495</v>
      </c>
      <c r="F727" s="897">
        <v>0.15</v>
      </c>
      <c r="G727" s="898">
        <v>125000</v>
      </c>
      <c r="H727" s="703">
        <f t="shared" si="22"/>
        <v>7.3588828813579005E-3</v>
      </c>
      <c r="I727" s="704">
        <f t="shared" si="23"/>
        <v>1.1038324322036851E-3</v>
      </c>
    </row>
    <row r="728" spans="2:9">
      <c r="B728" s="598" t="s">
        <v>2595</v>
      </c>
      <c r="C728" s="604" t="s">
        <v>864</v>
      </c>
      <c r="D728" s="745">
        <v>2018</v>
      </c>
      <c r="E728" s="650" t="s">
        <v>3611</v>
      </c>
      <c r="F728" s="897">
        <v>0.15</v>
      </c>
      <c r="G728" s="898">
        <v>28000</v>
      </c>
      <c r="H728" s="703">
        <f t="shared" si="22"/>
        <v>1.6483897654241697E-3</v>
      </c>
      <c r="I728" s="704">
        <f t="shared" si="23"/>
        <v>2.4725846481362545E-4</v>
      </c>
    </row>
    <row r="729" spans="2:9">
      <c r="B729" s="598" t="s">
        <v>2595</v>
      </c>
      <c r="C729" s="604" t="s">
        <v>864</v>
      </c>
      <c r="D729" s="745">
        <v>2018</v>
      </c>
      <c r="E729" s="650" t="s">
        <v>3588</v>
      </c>
      <c r="F729" s="897">
        <v>0.15</v>
      </c>
      <c r="G729" s="898">
        <v>20000</v>
      </c>
      <c r="H729" s="703">
        <f t="shared" si="22"/>
        <v>1.1774212610172641E-3</v>
      </c>
      <c r="I729" s="704">
        <f t="shared" si="23"/>
        <v>1.7661318915258961E-4</v>
      </c>
    </row>
    <row r="730" spans="2:9">
      <c r="B730" s="598" t="s">
        <v>2595</v>
      </c>
      <c r="C730" s="604" t="s">
        <v>864</v>
      </c>
      <c r="D730" s="745">
        <v>2022</v>
      </c>
      <c r="E730" s="650" t="s">
        <v>3588</v>
      </c>
      <c r="F730" s="897">
        <v>0.15</v>
      </c>
      <c r="G730" s="898">
        <v>10000</v>
      </c>
      <c r="H730" s="703">
        <f t="shared" si="22"/>
        <v>5.8871063050863206E-4</v>
      </c>
      <c r="I730" s="704">
        <f t="shared" si="23"/>
        <v>8.8306594576294806E-5</v>
      </c>
    </row>
    <row r="731" spans="2:9">
      <c r="B731" s="598" t="s">
        <v>2595</v>
      </c>
      <c r="C731" s="604" t="s">
        <v>864</v>
      </c>
      <c r="D731" s="745">
        <v>2016</v>
      </c>
      <c r="E731" s="650" t="s">
        <v>3525</v>
      </c>
      <c r="F731" s="897">
        <v>0.15</v>
      </c>
      <c r="G731" s="898">
        <v>3320</v>
      </c>
      <c r="H731" s="703">
        <f t="shared" si="22"/>
        <v>1.9545192932886584E-4</v>
      </c>
      <c r="I731" s="704">
        <f t="shared" si="23"/>
        <v>2.9317789399329874E-5</v>
      </c>
    </row>
    <row r="732" spans="2:9">
      <c r="B732" s="598" t="s">
        <v>2595</v>
      </c>
      <c r="C732" s="604" t="s">
        <v>864</v>
      </c>
      <c r="D732" s="745">
        <v>2016</v>
      </c>
      <c r="E732" s="650" t="s">
        <v>3615</v>
      </c>
      <c r="F732" s="897">
        <v>0.15</v>
      </c>
      <c r="G732" s="898">
        <v>23000</v>
      </c>
      <c r="H732" s="703">
        <f t="shared" si="22"/>
        <v>1.3540344501698537E-3</v>
      </c>
      <c r="I732" s="704">
        <f t="shared" si="23"/>
        <v>2.0310516752547806E-4</v>
      </c>
    </row>
    <row r="733" spans="2:9">
      <c r="B733" s="598" t="s">
        <v>2595</v>
      </c>
      <c r="C733" s="604" t="s">
        <v>864</v>
      </c>
      <c r="D733" s="745">
        <v>2017</v>
      </c>
      <c r="E733" s="650" t="s">
        <v>3616</v>
      </c>
      <c r="F733" s="897">
        <v>0.15</v>
      </c>
      <c r="G733" s="898">
        <v>3000</v>
      </c>
      <c r="H733" s="703">
        <f t="shared" si="22"/>
        <v>1.7661318915258961E-4</v>
      </c>
      <c r="I733" s="704">
        <f t="shared" si="23"/>
        <v>2.649197837288844E-5</v>
      </c>
    </row>
    <row r="734" spans="2:9">
      <c r="B734" s="598" t="s">
        <v>2595</v>
      </c>
      <c r="C734" s="604" t="s">
        <v>864</v>
      </c>
      <c r="D734" s="745">
        <v>2022</v>
      </c>
      <c r="E734" s="650" t="s">
        <v>3617</v>
      </c>
      <c r="F734" s="897">
        <v>0.15</v>
      </c>
      <c r="G734" s="898">
        <v>3500</v>
      </c>
      <c r="H734" s="703">
        <f t="shared" si="22"/>
        <v>2.0604872067802121E-4</v>
      </c>
      <c r="I734" s="704">
        <f t="shared" si="23"/>
        <v>3.0907308101703182E-5</v>
      </c>
    </row>
    <row r="735" spans="2:9">
      <c r="B735" s="598" t="s">
        <v>2595</v>
      </c>
      <c r="C735" s="604" t="s">
        <v>864</v>
      </c>
      <c r="D735" s="745">
        <v>2016</v>
      </c>
      <c r="E735" s="650" t="s">
        <v>3546</v>
      </c>
      <c r="F735" s="897">
        <v>0.15</v>
      </c>
      <c r="G735" s="898">
        <v>68000</v>
      </c>
      <c r="H735" s="703">
        <f t="shared" si="22"/>
        <v>4.0032322874586981E-3</v>
      </c>
      <c r="I735" s="704">
        <f t="shared" si="23"/>
        <v>6.0048484311880468E-4</v>
      </c>
    </row>
    <row r="736" spans="2:9">
      <c r="B736" s="598" t="s">
        <v>2595</v>
      </c>
      <c r="C736" s="604" t="s">
        <v>864</v>
      </c>
      <c r="D736" s="745">
        <v>2017</v>
      </c>
      <c r="E736" s="650" t="s">
        <v>3618</v>
      </c>
      <c r="F736" s="897">
        <v>0.15</v>
      </c>
      <c r="G736" s="898">
        <v>115000</v>
      </c>
      <c r="H736" s="703">
        <f t="shared" si="22"/>
        <v>6.770172250849269E-3</v>
      </c>
      <c r="I736" s="704">
        <f t="shared" si="23"/>
        <v>1.0155258376273904E-3</v>
      </c>
    </row>
    <row r="737" spans="2:9">
      <c r="B737" s="598" t="s">
        <v>2595</v>
      </c>
      <c r="C737" s="604" t="s">
        <v>864</v>
      </c>
      <c r="D737" s="745">
        <v>2017</v>
      </c>
      <c r="E737" s="650" t="s">
        <v>3619</v>
      </c>
      <c r="F737" s="897">
        <v>0.15</v>
      </c>
      <c r="G737" s="898">
        <v>1300</v>
      </c>
      <c r="H737" s="703">
        <f t="shared" si="22"/>
        <v>7.6532381966122162E-5</v>
      </c>
      <c r="I737" s="704">
        <f t="shared" si="23"/>
        <v>1.1479857294918325E-5</v>
      </c>
    </row>
    <row r="738" spans="2:9">
      <c r="B738" s="598" t="s">
        <v>2595</v>
      </c>
      <c r="C738" s="604" t="s">
        <v>864</v>
      </c>
      <c r="D738" s="745">
        <v>2017</v>
      </c>
      <c r="E738" s="650" t="s">
        <v>3620</v>
      </c>
      <c r="F738" s="897">
        <v>0.15</v>
      </c>
      <c r="G738" s="898">
        <v>650000</v>
      </c>
      <c r="H738" s="703">
        <f t="shared" si="22"/>
        <v>3.8266190983061082E-2</v>
      </c>
      <c r="I738" s="704">
        <f t="shared" si="23"/>
        <v>5.7399286474591618E-3</v>
      </c>
    </row>
    <row r="739" spans="2:9">
      <c r="B739" s="598" t="s">
        <v>2595</v>
      </c>
      <c r="C739" s="604" t="s">
        <v>864</v>
      </c>
      <c r="D739" s="745">
        <v>2017</v>
      </c>
      <c r="E739" s="650" t="s">
        <v>3621</v>
      </c>
      <c r="F739" s="897">
        <v>0.15</v>
      </c>
      <c r="G739" s="898">
        <v>67000</v>
      </c>
      <c r="H739" s="703">
        <f t="shared" si="22"/>
        <v>3.9443612244078347E-3</v>
      </c>
      <c r="I739" s="704">
        <f t="shared" si="23"/>
        <v>5.9165418366117519E-4</v>
      </c>
    </row>
    <row r="740" spans="2:9">
      <c r="B740" s="598" t="s">
        <v>2595</v>
      </c>
      <c r="C740" s="604" t="s">
        <v>864</v>
      </c>
      <c r="D740" s="745">
        <v>2017</v>
      </c>
      <c r="E740" s="650" t="s">
        <v>3504</v>
      </c>
      <c r="F740" s="897">
        <v>0.15</v>
      </c>
      <c r="G740" s="898">
        <v>30000</v>
      </c>
      <c r="H740" s="703">
        <f t="shared" si="22"/>
        <v>1.7661318915258963E-3</v>
      </c>
      <c r="I740" s="704">
        <f t="shared" si="23"/>
        <v>2.6491978372888443E-4</v>
      </c>
    </row>
    <row r="741" spans="2:9">
      <c r="B741" s="598" t="s">
        <v>2595</v>
      </c>
      <c r="C741" s="604" t="s">
        <v>864</v>
      </c>
      <c r="D741" s="745">
        <v>2018</v>
      </c>
      <c r="E741" s="650" t="s">
        <v>3622</v>
      </c>
      <c r="F741" s="897">
        <v>0.15</v>
      </c>
      <c r="G741" s="898">
        <v>12000</v>
      </c>
      <c r="H741" s="703">
        <f t="shared" si="22"/>
        <v>7.0645275661035845E-4</v>
      </c>
      <c r="I741" s="704">
        <f t="shared" si="23"/>
        <v>1.0596791349155376E-4</v>
      </c>
    </row>
    <row r="742" spans="2:9">
      <c r="B742" s="598" t="s">
        <v>2595</v>
      </c>
      <c r="C742" s="604" t="s">
        <v>864</v>
      </c>
      <c r="D742" s="745">
        <v>2019</v>
      </c>
      <c r="E742" s="650" t="s">
        <v>3623</v>
      </c>
      <c r="F742" s="897">
        <v>0.15</v>
      </c>
      <c r="G742" s="898">
        <v>40000</v>
      </c>
      <c r="H742" s="703">
        <f t="shared" si="22"/>
        <v>2.3548425220345282E-3</v>
      </c>
      <c r="I742" s="704">
        <f t="shared" si="23"/>
        <v>3.5322637830517922E-4</v>
      </c>
    </row>
    <row r="743" spans="2:9">
      <c r="B743" s="598" t="s">
        <v>2595</v>
      </c>
      <c r="C743" s="604" t="s">
        <v>864</v>
      </c>
      <c r="D743" s="745">
        <v>2019</v>
      </c>
      <c r="E743" s="650" t="s">
        <v>3624</v>
      </c>
      <c r="F743" s="897">
        <v>0.15</v>
      </c>
      <c r="G743" s="898">
        <v>4000</v>
      </c>
      <c r="H743" s="703">
        <f t="shared" si="22"/>
        <v>2.3548425220345283E-4</v>
      </c>
      <c r="I743" s="704">
        <f t="shared" si="23"/>
        <v>3.5322637830517927E-5</v>
      </c>
    </row>
    <row r="744" spans="2:9">
      <c r="B744" s="598" t="s">
        <v>2595</v>
      </c>
      <c r="C744" s="604" t="s">
        <v>864</v>
      </c>
      <c r="D744" s="745">
        <v>2017</v>
      </c>
      <c r="E744" s="650" t="s">
        <v>3624</v>
      </c>
      <c r="F744" s="897">
        <v>0.15</v>
      </c>
      <c r="G744" s="898">
        <v>2000</v>
      </c>
      <c r="H744" s="703">
        <f t="shared" si="22"/>
        <v>1.1774212610172642E-4</v>
      </c>
      <c r="I744" s="704">
        <f t="shared" si="23"/>
        <v>1.7661318915258963E-5</v>
      </c>
    </row>
    <row r="745" spans="2:9">
      <c r="B745" s="598" t="s">
        <v>2595</v>
      </c>
      <c r="C745" s="604" t="s">
        <v>864</v>
      </c>
      <c r="D745" s="745">
        <v>2017</v>
      </c>
      <c r="E745" s="650" t="s">
        <v>3569</v>
      </c>
      <c r="F745" s="897">
        <v>0.15</v>
      </c>
      <c r="G745" s="898">
        <v>8000</v>
      </c>
      <c r="H745" s="703">
        <f t="shared" si="22"/>
        <v>4.7096850440690567E-4</v>
      </c>
      <c r="I745" s="704">
        <f t="shared" si="23"/>
        <v>7.0645275661035853E-5</v>
      </c>
    </row>
    <row r="746" spans="2:9">
      <c r="B746" s="598" t="s">
        <v>2595</v>
      </c>
      <c r="C746" s="604" t="s">
        <v>864</v>
      </c>
      <c r="D746" s="745">
        <v>2017</v>
      </c>
      <c r="E746" s="650" t="s">
        <v>3569</v>
      </c>
      <c r="F746" s="897">
        <v>0.15</v>
      </c>
      <c r="G746" s="898">
        <v>12000</v>
      </c>
      <c r="H746" s="703">
        <f t="shared" si="22"/>
        <v>7.0645275661035845E-4</v>
      </c>
      <c r="I746" s="704">
        <f t="shared" si="23"/>
        <v>1.0596791349155376E-4</v>
      </c>
    </row>
    <row r="747" spans="2:9">
      <c r="B747" s="598" t="s">
        <v>2595</v>
      </c>
      <c r="C747" s="604" t="s">
        <v>864</v>
      </c>
      <c r="D747" s="745">
        <v>2017</v>
      </c>
      <c r="E747" s="650" t="s">
        <v>3625</v>
      </c>
      <c r="F747" s="897">
        <v>0.15</v>
      </c>
      <c r="G747" s="898">
        <v>42000</v>
      </c>
      <c r="H747" s="703">
        <f t="shared" si="22"/>
        <v>2.4725846481362546E-3</v>
      </c>
      <c r="I747" s="704">
        <f t="shared" si="23"/>
        <v>3.7088769722043821E-4</v>
      </c>
    </row>
    <row r="748" spans="2:9">
      <c r="B748" s="598" t="s">
        <v>2595</v>
      </c>
      <c r="C748" s="604" t="s">
        <v>864</v>
      </c>
      <c r="D748" s="745">
        <v>2017</v>
      </c>
      <c r="E748" s="650" t="s">
        <v>3626</v>
      </c>
      <c r="F748" s="897">
        <v>0.15</v>
      </c>
      <c r="G748" s="898">
        <v>5800</v>
      </c>
      <c r="H748" s="703">
        <f t="shared" si="22"/>
        <v>3.4145216569500661E-4</v>
      </c>
      <c r="I748" s="704">
        <f t="shared" si="23"/>
        <v>5.1217824854250991E-5</v>
      </c>
    </row>
    <row r="749" spans="2:9">
      <c r="B749" s="598" t="s">
        <v>2595</v>
      </c>
      <c r="C749" s="604" t="s">
        <v>864</v>
      </c>
      <c r="D749" s="745">
        <v>2017</v>
      </c>
      <c r="E749" s="650" t="s">
        <v>3627</v>
      </c>
      <c r="F749" s="897">
        <v>0.15</v>
      </c>
      <c r="G749" s="898">
        <v>5800</v>
      </c>
      <c r="H749" s="703">
        <f t="shared" si="22"/>
        <v>3.4145216569500661E-4</v>
      </c>
      <c r="I749" s="704">
        <f t="shared" si="23"/>
        <v>5.1217824854250991E-5</v>
      </c>
    </row>
    <row r="750" spans="2:9">
      <c r="B750" s="598" t="s">
        <v>2595</v>
      </c>
      <c r="C750" s="604" t="s">
        <v>864</v>
      </c>
      <c r="D750" s="745">
        <v>2017</v>
      </c>
      <c r="E750" s="650" t="s">
        <v>3550</v>
      </c>
      <c r="F750" s="897">
        <v>0.15</v>
      </c>
      <c r="G750" s="898">
        <v>7500</v>
      </c>
      <c r="H750" s="703">
        <f t="shared" si="22"/>
        <v>4.4153297288147407E-4</v>
      </c>
      <c r="I750" s="704">
        <f t="shared" si="23"/>
        <v>6.6229945932221108E-5</v>
      </c>
    </row>
    <row r="751" spans="2:9">
      <c r="B751" s="598" t="s">
        <v>2595</v>
      </c>
      <c r="C751" s="604" t="s">
        <v>864</v>
      </c>
      <c r="D751" s="745">
        <v>2017</v>
      </c>
      <c r="E751" s="650" t="s">
        <v>3550</v>
      </c>
      <c r="F751" s="897">
        <v>0.15</v>
      </c>
      <c r="G751" s="898">
        <v>6000</v>
      </c>
      <c r="H751" s="703">
        <f t="shared" si="22"/>
        <v>3.5322637830517922E-4</v>
      </c>
      <c r="I751" s="704">
        <f t="shared" si="23"/>
        <v>5.298395674577688E-5</v>
      </c>
    </row>
    <row r="752" spans="2:9">
      <c r="B752" s="598" t="s">
        <v>2595</v>
      </c>
      <c r="C752" s="604" t="s">
        <v>864</v>
      </c>
      <c r="D752" s="745">
        <v>2017</v>
      </c>
      <c r="E752" s="650" t="s">
        <v>3628</v>
      </c>
      <c r="F752" s="897">
        <v>0.15</v>
      </c>
      <c r="G752" s="898">
        <v>1500</v>
      </c>
      <c r="H752" s="703">
        <f t="shared" si="22"/>
        <v>8.8306594576294806E-5</v>
      </c>
      <c r="I752" s="704">
        <f t="shared" si="23"/>
        <v>1.324598918644422E-5</v>
      </c>
    </row>
    <row r="753" spans="2:9">
      <c r="B753" s="598" t="s">
        <v>2595</v>
      </c>
      <c r="C753" s="604" t="s">
        <v>864</v>
      </c>
      <c r="D753" s="745">
        <v>2019</v>
      </c>
      <c r="E753" s="650" t="s">
        <v>3628</v>
      </c>
      <c r="F753" s="897">
        <v>0.15</v>
      </c>
      <c r="G753" s="898">
        <v>1500</v>
      </c>
      <c r="H753" s="703">
        <f t="shared" si="22"/>
        <v>8.8306594576294806E-5</v>
      </c>
      <c r="I753" s="704">
        <f t="shared" si="23"/>
        <v>1.324598918644422E-5</v>
      </c>
    </row>
    <row r="754" spans="2:9">
      <c r="B754" s="598" t="s">
        <v>2595</v>
      </c>
      <c r="C754" s="604" t="s">
        <v>864</v>
      </c>
      <c r="D754" s="745">
        <v>2017</v>
      </c>
      <c r="E754" s="650" t="s">
        <v>3629</v>
      </c>
      <c r="F754" s="897">
        <v>0.15</v>
      </c>
      <c r="G754" s="898">
        <v>9009</v>
      </c>
      <c r="H754" s="703">
        <f t="shared" si="22"/>
        <v>5.3036940702522661E-4</v>
      </c>
      <c r="I754" s="704">
        <f t="shared" si="23"/>
        <v>7.9555411053783994E-5</v>
      </c>
    </row>
    <row r="755" spans="2:9">
      <c r="B755" s="598" t="s">
        <v>2595</v>
      </c>
      <c r="C755" s="604" t="s">
        <v>864</v>
      </c>
      <c r="D755" s="745">
        <v>2017</v>
      </c>
      <c r="E755" s="650" t="s">
        <v>3630</v>
      </c>
      <c r="F755" s="897">
        <v>0.15</v>
      </c>
      <c r="G755" s="898">
        <v>5000</v>
      </c>
      <c r="H755" s="703">
        <f t="shared" si="22"/>
        <v>2.9435531525431603E-4</v>
      </c>
      <c r="I755" s="704">
        <f t="shared" si="23"/>
        <v>4.4153297288147403E-5</v>
      </c>
    </row>
    <row r="756" spans="2:9">
      <c r="B756" s="598" t="s">
        <v>2595</v>
      </c>
      <c r="C756" s="604" t="s">
        <v>864</v>
      </c>
      <c r="D756" s="745">
        <v>2017</v>
      </c>
      <c r="E756" s="650" t="s">
        <v>3513</v>
      </c>
      <c r="F756" s="897">
        <v>0.15</v>
      </c>
      <c r="G756" s="898">
        <v>2700</v>
      </c>
      <c r="H756" s="703">
        <f t="shared" si="22"/>
        <v>1.5895187023733066E-4</v>
      </c>
      <c r="I756" s="704">
        <f t="shared" si="23"/>
        <v>2.3842780535599597E-5</v>
      </c>
    </row>
    <row r="757" spans="2:9">
      <c r="B757" s="598" t="s">
        <v>2595</v>
      </c>
      <c r="C757" s="604" t="s">
        <v>864</v>
      </c>
      <c r="D757" s="745">
        <v>2017</v>
      </c>
      <c r="E757" s="650" t="s">
        <v>3579</v>
      </c>
      <c r="F757" s="897">
        <v>0.15</v>
      </c>
      <c r="G757" s="898">
        <v>16000</v>
      </c>
      <c r="H757" s="703">
        <f t="shared" si="22"/>
        <v>9.4193700881381134E-4</v>
      </c>
      <c r="I757" s="704">
        <f t="shared" si="23"/>
        <v>1.4129055132207171E-4</v>
      </c>
    </row>
    <row r="758" spans="2:9">
      <c r="B758" s="598" t="s">
        <v>2595</v>
      </c>
      <c r="C758" s="604" t="s">
        <v>864</v>
      </c>
      <c r="D758" s="745">
        <v>2017</v>
      </c>
      <c r="E758" s="650" t="s">
        <v>3631</v>
      </c>
      <c r="F758" s="897">
        <v>0.15</v>
      </c>
      <c r="G758" s="898">
        <v>13333.33</v>
      </c>
      <c r="H758" s="703">
        <f t="shared" si="22"/>
        <v>7.8494731110796592E-4</v>
      </c>
      <c r="I758" s="704">
        <f t="shared" si="23"/>
        <v>1.1774209666619488E-4</v>
      </c>
    </row>
    <row r="759" spans="2:9">
      <c r="B759" s="598" t="s">
        <v>2595</v>
      </c>
      <c r="C759" s="604" t="s">
        <v>864</v>
      </c>
      <c r="D759" s="745">
        <v>2017</v>
      </c>
      <c r="E759" s="650" t="s">
        <v>3631</v>
      </c>
      <c r="F759" s="897">
        <v>0.15</v>
      </c>
      <c r="G759" s="898">
        <v>13333.33</v>
      </c>
      <c r="H759" s="703">
        <f t="shared" si="22"/>
        <v>7.8494731110796592E-4</v>
      </c>
      <c r="I759" s="704">
        <f t="shared" si="23"/>
        <v>1.1774209666619488E-4</v>
      </c>
    </row>
    <row r="760" spans="2:9">
      <c r="B760" s="598" t="s">
        <v>2595</v>
      </c>
      <c r="C760" s="604" t="s">
        <v>864</v>
      </c>
      <c r="D760" s="745">
        <v>2017</v>
      </c>
      <c r="E760" s="650" t="s">
        <v>3631</v>
      </c>
      <c r="F760" s="897">
        <v>0.15</v>
      </c>
      <c r="G760" s="898">
        <v>13333.34</v>
      </c>
      <c r="H760" s="703">
        <f t="shared" si="22"/>
        <v>7.849478998185964E-4</v>
      </c>
      <c r="I760" s="704">
        <f t="shared" si="23"/>
        <v>1.1774218497278946E-4</v>
      </c>
    </row>
    <row r="761" spans="2:9">
      <c r="B761" s="598" t="s">
        <v>2595</v>
      </c>
      <c r="C761" s="604" t="s">
        <v>864</v>
      </c>
      <c r="D761" s="745">
        <v>2017</v>
      </c>
      <c r="E761" s="650" t="s">
        <v>3632</v>
      </c>
      <c r="F761" s="897">
        <v>0.15</v>
      </c>
      <c r="G761" s="898">
        <v>14000</v>
      </c>
      <c r="H761" s="703">
        <f t="shared" si="22"/>
        <v>8.2419488271208484E-4</v>
      </c>
      <c r="I761" s="704">
        <f t="shared" si="23"/>
        <v>1.2362923240681273E-4</v>
      </c>
    </row>
    <row r="762" spans="2:9">
      <c r="B762" s="598" t="s">
        <v>2595</v>
      </c>
      <c r="C762" s="604" t="s">
        <v>864</v>
      </c>
      <c r="D762" s="745">
        <v>2017</v>
      </c>
      <c r="E762" s="650" t="s">
        <v>3546</v>
      </c>
      <c r="F762" s="897">
        <v>0.15</v>
      </c>
      <c r="G762" s="898">
        <v>54525</v>
      </c>
      <c r="H762" s="703">
        <f t="shared" si="22"/>
        <v>3.2099447128483161E-3</v>
      </c>
      <c r="I762" s="704">
        <f t="shared" si="23"/>
        <v>4.8149170692724739E-4</v>
      </c>
    </row>
    <row r="763" spans="2:9">
      <c r="B763" s="598" t="s">
        <v>2595</v>
      </c>
      <c r="C763" s="604" t="s">
        <v>864</v>
      </c>
      <c r="D763" s="745">
        <v>2017</v>
      </c>
      <c r="E763" s="650" t="s">
        <v>3634</v>
      </c>
      <c r="F763" s="897">
        <v>0.15</v>
      </c>
      <c r="G763" s="898">
        <v>115000</v>
      </c>
      <c r="H763" s="703">
        <f t="shared" si="22"/>
        <v>6.770172250849269E-3</v>
      </c>
      <c r="I763" s="704">
        <f t="shared" si="23"/>
        <v>1.0155258376273904E-3</v>
      </c>
    </row>
    <row r="764" spans="2:9">
      <c r="B764" s="598" t="s">
        <v>2595</v>
      </c>
      <c r="C764" s="604" t="s">
        <v>864</v>
      </c>
      <c r="D764" s="745">
        <v>2017</v>
      </c>
      <c r="E764" s="650" t="s">
        <v>3635</v>
      </c>
      <c r="F764" s="897">
        <v>0.15</v>
      </c>
      <c r="G764" s="898">
        <v>80000</v>
      </c>
      <c r="H764" s="703">
        <f t="shared" si="22"/>
        <v>4.7096850440690565E-3</v>
      </c>
      <c r="I764" s="704">
        <f t="shared" si="23"/>
        <v>7.0645275661035845E-4</v>
      </c>
    </row>
    <row r="765" spans="2:9">
      <c r="B765" s="598" t="s">
        <v>2595</v>
      </c>
      <c r="C765" s="604" t="s">
        <v>864</v>
      </c>
      <c r="D765" s="745">
        <v>2018</v>
      </c>
      <c r="E765" s="650" t="s">
        <v>3636</v>
      </c>
      <c r="F765" s="897">
        <v>0.15</v>
      </c>
      <c r="G765" s="898">
        <v>20000</v>
      </c>
      <c r="H765" s="703">
        <f t="shared" si="22"/>
        <v>1.1774212610172641E-3</v>
      </c>
      <c r="I765" s="704">
        <f t="shared" si="23"/>
        <v>1.7661318915258961E-4</v>
      </c>
    </row>
    <row r="766" spans="2:9">
      <c r="B766" s="598" t="s">
        <v>2595</v>
      </c>
      <c r="C766" s="604" t="s">
        <v>864</v>
      </c>
      <c r="D766" s="745">
        <v>2018</v>
      </c>
      <c r="E766" s="650" t="s">
        <v>3637</v>
      </c>
      <c r="F766" s="897">
        <v>0.15</v>
      </c>
      <c r="G766" s="898">
        <v>20000</v>
      </c>
      <c r="H766" s="703">
        <f t="shared" si="22"/>
        <v>1.1774212610172641E-3</v>
      </c>
      <c r="I766" s="704">
        <f t="shared" si="23"/>
        <v>1.7661318915258961E-4</v>
      </c>
    </row>
    <row r="767" spans="2:9">
      <c r="B767" s="598" t="s">
        <v>2595</v>
      </c>
      <c r="C767" s="604" t="s">
        <v>864</v>
      </c>
      <c r="D767" s="745">
        <v>2018</v>
      </c>
      <c r="E767" s="650" t="s">
        <v>3638</v>
      </c>
      <c r="F767" s="897">
        <v>0.15</v>
      </c>
      <c r="G767" s="898">
        <v>9000</v>
      </c>
      <c r="H767" s="703">
        <f t="shared" si="22"/>
        <v>5.2983956745776886E-4</v>
      </c>
      <c r="I767" s="704">
        <f t="shared" si="23"/>
        <v>7.947593511866533E-5</v>
      </c>
    </row>
    <row r="768" spans="2:9">
      <c r="B768" s="598" t="s">
        <v>2595</v>
      </c>
      <c r="C768" s="604" t="s">
        <v>864</v>
      </c>
      <c r="D768" s="745">
        <v>2018</v>
      </c>
      <c r="E768" s="650" t="s">
        <v>3639</v>
      </c>
      <c r="F768" s="897">
        <v>0.15</v>
      </c>
      <c r="G768" s="898">
        <v>20000</v>
      </c>
      <c r="H768" s="703">
        <f t="shared" si="22"/>
        <v>1.1774212610172641E-3</v>
      </c>
      <c r="I768" s="704">
        <f t="shared" si="23"/>
        <v>1.7661318915258961E-4</v>
      </c>
    </row>
    <row r="769" spans="2:9">
      <c r="B769" s="598" t="s">
        <v>2595</v>
      </c>
      <c r="C769" s="604" t="s">
        <v>864</v>
      </c>
      <c r="D769" s="745">
        <v>2018</v>
      </c>
      <c r="E769" s="650" t="s">
        <v>3640</v>
      </c>
      <c r="F769" s="897">
        <v>0.15</v>
      </c>
      <c r="G769" s="898">
        <v>40676</v>
      </c>
      <c r="H769" s="703">
        <f t="shared" si="22"/>
        <v>2.3946393606569119E-3</v>
      </c>
      <c r="I769" s="704">
        <f t="shared" si="23"/>
        <v>3.5919590409853679E-4</v>
      </c>
    </row>
    <row r="770" spans="2:9">
      <c r="B770" s="598" t="s">
        <v>2595</v>
      </c>
      <c r="C770" s="604" t="s">
        <v>864</v>
      </c>
      <c r="D770" s="745">
        <v>2018</v>
      </c>
      <c r="E770" s="650" t="s">
        <v>3513</v>
      </c>
      <c r="F770" s="897">
        <v>0.15</v>
      </c>
      <c r="G770" s="898">
        <v>65000</v>
      </c>
      <c r="H770" s="703">
        <f t="shared" si="22"/>
        <v>3.8266190983061083E-3</v>
      </c>
      <c r="I770" s="704">
        <f t="shared" si="23"/>
        <v>5.7399286474591621E-4</v>
      </c>
    </row>
    <row r="771" spans="2:9">
      <c r="B771" s="598" t="s">
        <v>2595</v>
      </c>
      <c r="C771" s="604" t="s">
        <v>864</v>
      </c>
      <c r="D771" s="745">
        <v>2018</v>
      </c>
      <c r="E771" s="650" t="s">
        <v>3641</v>
      </c>
      <c r="F771" s="897">
        <v>0.15</v>
      </c>
      <c r="G771" s="898">
        <v>1800</v>
      </c>
      <c r="H771" s="703">
        <f t="shared" si="22"/>
        <v>1.0596791349155377E-4</v>
      </c>
      <c r="I771" s="704">
        <f t="shared" si="23"/>
        <v>1.5895187023733065E-5</v>
      </c>
    </row>
    <row r="772" spans="2:9">
      <c r="B772" s="598" t="s">
        <v>2595</v>
      </c>
      <c r="C772" s="604" t="s">
        <v>864</v>
      </c>
      <c r="D772" s="745">
        <v>2018</v>
      </c>
      <c r="E772" s="650" t="s">
        <v>3642</v>
      </c>
      <c r="F772" s="897">
        <v>0.15</v>
      </c>
      <c r="G772" s="898">
        <v>7760</v>
      </c>
      <c r="H772" s="703">
        <f t="shared" si="22"/>
        <v>4.5683944927469845E-4</v>
      </c>
      <c r="I772" s="704">
        <f t="shared" si="23"/>
        <v>6.8525917391204762E-5</v>
      </c>
    </row>
    <row r="773" spans="2:9">
      <c r="B773" s="598" t="s">
        <v>2595</v>
      </c>
      <c r="C773" s="604" t="s">
        <v>864</v>
      </c>
      <c r="D773" s="745">
        <v>2018</v>
      </c>
      <c r="E773" s="650" t="s">
        <v>3643</v>
      </c>
      <c r="F773" s="897">
        <v>0.15</v>
      </c>
      <c r="G773" s="898">
        <v>8800</v>
      </c>
      <c r="H773" s="703">
        <f t="shared" ref="H773:H836" si="24">+G773/$G$1080</f>
        <v>5.1806535484759625E-4</v>
      </c>
      <c r="I773" s="704">
        <f t="shared" ref="I773:I836" si="25">+H773*F773</f>
        <v>7.7709803227139434E-5</v>
      </c>
    </row>
    <row r="774" spans="2:9">
      <c r="B774" s="598" t="s">
        <v>2595</v>
      </c>
      <c r="C774" s="604" t="s">
        <v>864</v>
      </c>
      <c r="D774" s="745">
        <v>2018</v>
      </c>
      <c r="E774" s="650" t="s">
        <v>3644</v>
      </c>
      <c r="F774" s="897">
        <v>0.15</v>
      </c>
      <c r="G774" s="898">
        <v>106000</v>
      </c>
      <c r="H774" s="703">
        <f t="shared" si="24"/>
        <v>6.2403326833915E-3</v>
      </c>
      <c r="I774" s="704">
        <f t="shared" si="25"/>
        <v>9.3604990250872498E-4</v>
      </c>
    </row>
    <row r="775" spans="2:9">
      <c r="B775" s="598" t="s">
        <v>2595</v>
      </c>
      <c r="C775" s="604" t="s">
        <v>864</v>
      </c>
      <c r="D775" s="745">
        <v>2018</v>
      </c>
      <c r="E775" s="650" t="s">
        <v>3645</v>
      </c>
      <c r="F775" s="897">
        <v>0.15</v>
      </c>
      <c r="G775" s="898">
        <v>130000</v>
      </c>
      <c r="H775" s="703">
        <f t="shared" si="24"/>
        <v>7.6532381966122167E-3</v>
      </c>
      <c r="I775" s="704">
        <f t="shared" si="25"/>
        <v>1.1479857294918324E-3</v>
      </c>
    </row>
    <row r="776" spans="2:9">
      <c r="B776" s="598" t="s">
        <v>2595</v>
      </c>
      <c r="C776" s="604" t="s">
        <v>864</v>
      </c>
      <c r="D776" s="745">
        <v>2018</v>
      </c>
      <c r="E776" s="650" t="s">
        <v>3646</v>
      </c>
      <c r="F776" s="897">
        <v>0.15</v>
      </c>
      <c r="G776" s="898">
        <v>237000</v>
      </c>
      <c r="H776" s="703">
        <f t="shared" si="24"/>
        <v>1.395244194305458E-2</v>
      </c>
      <c r="I776" s="704">
        <f t="shared" si="25"/>
        <v>2.0928662914581871E-3</v>
      </c>
    </row>
    <row r="777" spans="2:9">
      <c r="B777" s="598" t="s">
        <v>2595</v>
      </c>
      <c r="C777" s="604" t="s">
        <v>864</v>
      </c>
      <c r="D777" s="745">
        <v>2018</v>
      </c>
      <c r="E777" s="650" t="s">
        <v>3647</v>
      </c>
      <c r="F777" s="897">
        <v>0.15</v>
      </c>
      <c r="G777" s="898">
        <v>292000</v>
      </c>
      <c r="H777" s="703">
        <f t="shared" si="24"/>
        <v>1.7190350410852057E-2</v>
      </c>
      <c r="I777" s="704">
        <f t="shared" si="25"/>
        <v>2.5785525616278085E-3</v>
      </c>
    </row>
    <row r="778" spans="2:9">
      <c r="B778" s="598" t="s">
        <v>2595</v>
      </c>
      <c r="C778" s="604" t="s">
        <v>864</v>
      </c>
      <c r="D778" s="745">
        <v>2018</v>
      </c>
      <c r="E778" s="650" t="s">
        <v>3648</v>
      </c>
      <c r="F778" s="897">
        <v>0.15</v>
      </c>
      <c r="G778" s="898">
        <v>60000</v>
      </c>
      <c r="H778" s="703">
        <f t="shared" si="24"/>
        <v>3.5322637830517926E-3</v>
      </c>
      <c r="I778" s="704">
        <f t="shared" si="25"/>
        <v>5.2983956745776886E-4</v>
      </c>
    </row>
    <row r="779" spans="2:9">
      <c r="B779" s="598" t="s">
        <v>2595</v>
      </c>
      <c r="C779" s="604" t="s">
        <v>864</v>
      </c>
      <c r="D779" s="745">
        <v>2018</v>
      </c>
      <c r="E779" s="650" t="s">
        <v>3649</v>
      </c>
      <c r="F779" s="897">
        <v>0.15</v>
      </c>
      <c r="G779" s="898">
        <v>8150</v>
      </c>
      <c r="H779" s="703">
        <f t="shared" si="24"/>
        <v>4.7979916386453511E-4</v>
      </c>
      <c r="I779" s="704">
        <f t="shared" si="25"/>
        <v>7.1969874579680258E-5</v>
      </c>
    </row>
    <row r="780" spans="2:9">
      <c r="B780" s="598" t="s">
        <v>2595</v>
      </c>
      <c r="C780" s="604" t="s">
        <v>864</v>
      </c>
      <c r="D780" s="745">
        <v>2018</v>
      </c>
      <c r="E780" s="650" t="s">
        <v>3650</v>
      </c>
      <c r="F780" s="897">
        <v>0.15</v>
      </c>
      <c r="G780" s="898">
        <v>8500</v>
      </c>
      <c r="H780" s="703">
        <f t="shared" si="24"/>
        <v>5.0040403593233727E-4</v>
      </c>
      <c r="I780" s="704">
        <f t="shared" si="25"/>
        <v>7.5060605389850585E-5</v>
      </c>
    </row>
    <row r="781" spans="2:9">
      <c r="B781" s="598" t="s">
        <v>2595</v>
      </c>
      <c r="C781" s="604" t="s">
        <v>864</v>
      </c>
      <c r="D781" s="745">
        <v>2018</v>
      </c>
      <c r="E781" s="650" t="s">
        <v>3651</v>
      </c>
      <c r="F781" s="897">
        <v>0.15</v>
      </c>
      <c r="G781" s="898">
        <v>8500</v>
      </c>
      <c r="H781" s="703">
        <f t="shared" si="24"/>
        <v>5.0040403593233727E-4</v>
      </c>
      <c r="I781" s="704">
        <f t="shared" si="25"/>
        <v>7.5060605389850585E-5</v>
      </c>
    </row>
    <row r="782" spans="2:9">
      <c r="B782" s="598" t="s">
        <v>2595</v>
      </c>
      <c r="C782" s="604" t="s">
        <v>864</v>
      </c>
      <c r="D782" s="745">
        <v>2018</v>
      </c>
      <c r="E782" s="650" t="s">
        <v>3579</v>
      </c>
      <c r="F782" s="897">
        <v>0.15</v>
      </c>
      <c r="G782" s="898">
        <v>8000</v>
      </c>
      <c r="H782" s="703">
        <f t="shared" si="24"/>
        <v>4.7096850440690567E-4</v>
      </c>
      <c r="I782" s="704">
        <f t="shared" si="25"/>
        <v>7.0645275661035853E-5</v>
      </c>
    </row>
    <row r="783" spans="2:9">
      <c r="B783" s="598" t="s">
        <v>2595</v>
      </c>
      <c r="C783" s="604" t="s">
        <v>864</v>
      </c>
      <c r="D783" s="745">
        <v>2018</v>
      </c>
      <c r="E783" s="650" t="s">
        <v>3611</v>
      </c>
      <c r="F783" s="897">
        <v>0.15</v>
      </c>
      <c r="G783" s="898">
        <v>12000</v>
      </c>
      <c r="H783" s="703">
        <f t="shared" si="24"/>
        <v>7.0645275661035845E-4</v>
      </c>
      <c r="I783" s="704">
        <f t="shared" si="25"/>
        <v>1.0596791349155376E-4</v>
      </c>
    </row>
    <row r="784" spans="2:9">
      <c r="B784" s="598" t="s">
        <v>2595</v>
      </c>
      <c r="C784" s="604" t="s">
        <v>864</v>
      </c>
      <c r="D784" s="745">
        <v>2018</v>
      </c>
      <c r="E784" s="650" t="s">
        <v>3513</v>
      </c>
      <c r="F784" s="897">
        <v>0.15</v>
      </c>
      <c r="G784" s="898">
        <v>1000</v>
      </c>
      <c r="H784" s="703">
        <f t="shared" si="24"/>
        <v>5.8871063050863209E-5</v>
      </c>
      <c r="I784" s="704">
        <f t="shared" si="25"/>
        <v>8.8306594576294816E-6</v>
      </c>
    </row>
    <row r="785" spans="2:9">
      <c r="B785" s="598" t="s">
        <v>2595</v>
      </c>
      <c r="C785" s="604" t="s">
        <v>864</v>
      </c>
      <c r="D785" s="745">
        <v>2018</v>
      </c>
      <c r="E785" s="650" t="s">
        <v>3546</v>
      </c>
      <c r="F785" s="897">
        <v>0.15</v>
      </c>
      <c r="G785" s="898">
        <v>60000</v>
      </c>
      <c r="H785" s="703">
        <f t="shared" si="24"/>
        <v>3.5322637830517926E-3</v>
      </c>
      <c r="I785" s="704">
        <f t="shared" si="25"/>
        <v>5.2983956745776886E-4</v>
      </c>
    </row>
    <row r="786" spans="2:9">
      <c r="B786" s="598" t="s">
        <v>2595</v>
      </c>
      <c r="C786" s="604" t="s">
        <v>864</v>
      </c>
      <c r="D786" s="745">
        <v>2018</v>
      </c>
      <c r="E786" s="650" t="s">
        <v>3504</v>
      </c>
      <c r="F786" s="897">
        <v>0.15</v>
      </c>
      <c r="G786" s="898">
        <v>2050</v>
      </c>
      <c r="H786" s="703">
        <f t="shared" si="24"/>
        <v>1.2068567925426957E-4</v>
      </c>
      <c r="I786" s="704">
        <f t="shared" si="25"/>
        <v>1.8102851888140434E-5</v>
      </c>
    </row>
    <row r="787" spans="2:9">
      <c r="B787" s="598" t="s">
        <v>2595</v>
      </c>
      <c r="C787" s="604" t="s">
        <v>864</v>
      </c>
      <c r="D787" s="745">
        <v>2019</v>
      </c>
      <c r="E787" s="650" t="s">
        <v>3508</v>
      </c>
      <c r="F787" s="897">
        <v>0.15</v>
      </c>
      <c r="G787" s="898">
        <v>5000</v>
      </c>
      <c r="H787" s="703">
        <f t="shared" si="24"/>
        <v>2.9435531525431603E-4</v>
      </c>
      <c r="I787" s="704">
        <f t="shared" si="25"/>
        <v>4.4153297288147403E-5</v>
      </c>
    </row>
    <row r="788" spans="2:9">
      <c r="B788" s="598" t="s">
        <v>2595</v>
      </c>
      <c r="C788" s="604" t="s">
        <v>864</v>
      </c>
      <c r="D788" s="745">
        <v>2019</v>
      </c>
      <c r="E788" s="650" t="s">
        <v>3513</v>
      </c>
      <c r="F788" s="897">
        <v>0.15</v>
      </c>
      <c r="G788" s="898">
        <v>500</v>
      </c>
      <c r="H788" s="703">
        <f t="shared" si="24"/>
        <v>2.9435531525431604E-5</v>
      </c>
      <c r="I788" s="704">
        <f t="shared" si="25"/>
        <v>4.4153297288147408E-6</v>
      </c>
    </row>
    <row r="789" spans="2:9">
      <c r="B789" s="598" t="s">
        <v>2595</v>
      </c>
      <c r="C789" s="604" t="s">
        <v>864</v>
      </c>
      <c r="D789" s="745">
        <v>2019</v>
      </c>
      <c r="E789" s="650" t="s">
        <v>3525</v>
      </c>
      <c r="F789" s="897">
        <v>0.15</v>
      </c>
      <c r="G789" s="898">
        <v>240000</v>
      </c>
      <c r="H789" s="703">
        <f t="shared" si="24"/>
        <v>1.412905513220717E-2</v>
      </c>
      <c r="I789" s="704">
        <f t="shared" si="25"/>
        <v>2.1193582698310755E-3</v>
      </c>
    </row>
    <row r="790" spans="2:9">
      <c r="B790" s="598" t="s">
        <v>2595</v>
      </c>
      <c r="C790" s="604" t="s">
        <v>864</v>
      </c>
      <c r="D790" s="745">
        <v>2019</v>
      </c>
      <c r="E790" s="650" t="s">
        <v>3513</v>
      </c>
      <c r="F790" s="897">
        <v>0.15</v>
      </c>
      <c r="G790" s="898">
        <v>20000</v>
      </c>
      <c r="H790" s="703">
        <f t="shared" si="24"/>
        <v>1.1774212610172641E-3</v>
      </c>
      <c r="I790" s="704">
        <f t="shared" si="25"/>
        <v>1.7661318915258961E-4</v>
      </c>
    </row>
    <row r="791" spans="2:9">
      <c r="B791" s="598" t="s">
        <v>2595</v>
      </c>
      <c r="C791" s="604" t="s">
        <v>864</v>
      </c>
      <c r="D791" s="745">
        <v>2019</v>
      </c>
      <c r="E791" s="650" t="s">
        <v>3653</v>
      </c>
      <c r="F791" s="897">
        <v>0.15</v>
      </c>
      <c r="G791" s="898">
        <v>120000</v>
      </c>
      <c r="H791" s="703">
        <f t="shared" si="24"/>
        <v>7.0645275661035851E-3</v>
      </c>
      <c r="I791" s="704">
        <f t="shared" si="25"/>
        <v>1.0596791349155377E-3</v>
      </c>
    </row>
    <row r="792" spans="2:9">
      <c r="B792" s="598" t="s">
        <v>2595</v>
      </c>
      <c r="C792" s="604" t="s">
        <v>864</v>
      </c>
      <c r="D792" s="745">
        <v>2019</v>
      </c>
      <c r="E792" s="650" t="s">
        <v>3560</v>
      </c>
      <c r="F792" s="897">
        <v>0.15</v>
      </c>
      <c r="G792" s="898">
        <v>23500</v>
      </c>
      <c r="H792" s="703">
        <f t="shared" si="24"/>
        <v>1.3834699816952854E-3</v>
      </c>
      <c r="I792" s="704">
        <f t="shared" si="25"/>
        <v>2.075204972542928E-4</v>
      </c>
    </row>
    <row r="793" spans="2:9">
      <c r="B793" s="598" t="s">
        <v>2595</v>
      </c>
      <c r="C793" s="604" t="s">
        <v>864</v>
      </c>
      <c r="D793" s="745">
        <v>2019</v>
      </c>
      <c r="E793" s="650" t="s">
        <v>3495</v>
      </c>
      <c r="F793" s="897">
        <v>0.15</v>
      </c>
      <c r="G793" s="898">
        <v>257500</v>
      </c>
      <c r="H793" s="703">
        <f t="shared" si="24"/>
        <v>1.5159298735597276E-2</v>
      </c>
      <c r="I793" s="704">
        <f t="shared" si="25"/>
        <v>2.2738948103395913E-3</v>
      </c>
    </row>
    <row r="794" spans="2:9">
      <c r="B794" s="598" t="s">
        <v>2595</v>
      </c>
      <c r="C794" s="604" t="s">
        <v>864</v>
      </c>
      <c r="D794" s="745">
        <v>2019</v>
      </c>
      <c r="E794" s="650" t="s">
        <v>3517</v>
      </c>
      <c r="F794" s="897">
        <v>0.15</v>
      </c>
      <c r="G794" s="898">
        <v>16000</v>
      </c>
      <c r="H794" s="703">
        <f t="shared" si="24"/>
        <v>9.4193700881381134E-4</v>
      </c>
      <c r="I794" s="704">
        <f t="shared" si="25"/>
        <v>1.4129055132207171E-4</v>
      </c>
    </row>
    <row r="795" spans="2:9">
      <c r="B795" s="598" t="s">
        <v>2595</v>
      </c>
      <c r="C795" s="604" t="s">
        <v>864</v>
      </c>
      <c r="D795" s="745">
        <v>2022</v>
      </c>
      <c r="E795" s="650" t="s">
        <v>3654</v>
      </c>
      <c r="F795" s="897">
        <v>0.15</v>
      </c>
      <c r="G795" s="898">
        <v>9500</v>
      </c>
      <c r="H795" s="703">
        <f t="shared" si="24"/>
        <v>5.5927509898320046E-4</v>
      </c>
      <c r="I795" s="704">
        <f t="shared" si="25"/>
        <v>8.3891264847480061E-5</v>
      </c>
    </row>
    <row r="796" spans="2:9">
      <c r="B796" s="598" t="s">
        <v>2595</v>
      </c>
      <c r="C796" s="604" t="s">
        <v>864</v>
      </c>
      <c r="D796" s="745">
        <v>2019</v>
      </c>
      <c r="E796" s="650" t="s">
        <v>3525</v>
      </c>
      <c r="F796" s="897">
        <v>0.15</v>
      </c>
      <c r="G796" s="898">
        <v>775000</v>
      </c>
      <c r="H796" s="703">
        <f t="shared" si="24"/>
        <v>4.5625073864418983E-2</v>
      </c>
      <c r="I796" s="704">
        <f t="shared" si="25"/>
        <v>6.8437610796628469E-3</v>
      </c>
    </row>
    <row r="797" spans="2:9">
      <c r="B797" s="598" t="s">
        <v>2595</v>
      </c>
      <c r="C797" s="604" t="s">
        <v>864</v>
      </c>
      <c r="D797" s="745">
        <v>2019</v>
      </c>
      <c r="E797" s="650" t="s">
        <v>3549</v>
      </c>
      <c r="F797" s="897">
        <v>0.15</v>
      </c>
      <c r="G797" s="898">
        <v>60000</v>
      </c>
      <c r="H797" s="703">
        <f t="shared" si="24"/>
        <v>3.5322637830517926E-3</v>
      </c>
      <c r="I797" s="704">
        <f t="shared" si="25"/>
        <v>5.2983956745776886E-4</v>
      </c>
    </row>
    <row r="798" spans="2:9">
      <c r="B798" s="598" t="s">
        <v>2595</v>
      </c>
      <c r="C798" s="604" t="s">
        <v>864</v>
      </c>
      <c r="D798" s="745">
        <v>2019</v>
      </c>
      <c r="E798" s="650" t="s">
        <v>3655</v>
      </c>
      <c r="F798" s="897">
        <v>0.15</v>
      </c>
      <c r="G798" s="898">
        <v>6500</v>
      </c>
      <c r="H798" s="703">
        <f t="shared" si="24"/>
        <v>3.8266190983061082E-4</v>
      </c>
      <c r="I798" s="704">
        <f t="shared" si="25"/>
        <v>5.7399286474591618E-5</v>
      </c>
    </row>
    <row r="799" spans="2:9">
      <c r="B799" s="598" t="s">
        <v>2595</v>
      </c>
      <c r="C799" s="604" t="s">
        <v>864</v>
      </c>
      <c r="D799" s="745">
        <v>2019</v>
      </c>
      <c r="E799" s="650" t="s">
        <v>3656</v>
      </c>
      <c r="F799" s="897">
        <v>0.15</v>
      </c>
      <c r="G799" s="898">
        <v>29000.01</v>
      </c>
      <c r="H799" s="703">
        <f t="shared" si="24"/>
        <v>1.7072614171856635E-3</v>
      </c>
      <c r="I799" s="704">
        <f t="shared" si="25"/>
        <v>2.5608921257784951E-4</v>
      </c>
    </row>
    <row r="800" spans="2:9">
      <c r="B800" s="598" t="s">
        <v>2595</v>
      </c>
      <c r="C800" s="604" t="s">
        <v>864</v>
      </c>
      <c r="D800" s="745">
        <v>2019</v>
      </c>
      <c r="E800" s="650" t="s">
        <v>3534</v>
      </c>
      <c r="F800" s="897">
        <v>0.15</v>
      </c>
      <c r="G800" s="898">
        <v>54000</v>
      </c>
      <c r="H800" s="703">
        <f t="shared" si="24"/>
        <v>3.179037404746613E-3</v>
      </c>
      <c r="I800" s="704">
        <f t="shared" si="25"/>
        <v>4.7685561071199192E-4</v>
      </c>
    </row>
    <row r="801" spans="2:9">
      <c r="B801" s="598" t="s">
        <v>2595</v>
      </c>
      <c r="C801" s="604" t="s">
        <v>864</v>
      </c>
      <c r="D801" s="745">
        <v>2019</v>
      </c>
      <c r="E801" s="650" t="s">
        <v>3657</v>
      </c>
      <c r="F801" s="897">
        <v>0.15</v>
      </c>
      <c r="G801" s="898">
        <v>5000</v>
      </c>
      <c r="H801" s="703">
        <f t="shared" si="24"/>
        <v>2.9435531525431603E-4</v>
      </c>
      <c r="I801" s="704">
        <f t="shared" si="25"/>
        <v>4.4153297288147403E-5</v>
      </c>
    </row>
    <row r="802" spans="2:9">
      <c r="B802" s="598" t="s">
        <v>2595</v>
      </c>
      <c r="C802" s="604" t="s">
        <v>864</v>
      </c>
      <c r="D802" s="745">
        <v>2019</v>
      </c>
      <c r="E802" s="650" t="s">
        <v>3657</v>
      </c>
      <c r="F802" s="897">
        <v>0.15</v>
      </c>
      <c r="G802" s="898">
        <v>10500</v>
      </c>
      <c r="H802" s="703">
        <f t="shared" si="24"/>
        <v>6.1814616203406366E-4</v>
      </c>
      <c r="I802" s="704">
        <f t="shared" si="25"/>
        <v>9.2721924305109551E-5</v>
      </c>
    </row>
    <row r="803" spans="2:9">
      <c r="B803" s="598" t="s">
        <v>2595</v>
      </c>
      <c r="C803" s="604" t="s">
        <v>864</v>
      </c>
      <c r="D803" s="745">
        <v>2019</v>
      </c>
      <c r="E803" s="650" t="s">
        <v>3504</v>
      </c>
      <c r="F803" s="897">
        <v>0.15</v>
      </c>
      <c r="G803" s="898">
        <v>28500</v>
      </c>
      <c r="H803" s="703">
        <f t="shared" si="24"/>
        <v>1.6778252969496014E-3</v>
      </c>
      <c r="I803" s="704">
        <f t="shared" si="25"/>
        <v>2.516737945424402E-4</v>
      </c>
    </row>
    <row r="804" spans="2:9">
      <c r="B804" s="598" t="s">
        <v>2595</v>
      </c>
      <c r="C804" s="604" t="s">
        <v>864</v>
      </c>
      <c r="D804" s="745">
        <v>2019</v>
      </c>
      <c r="E804" s="650" t="s">
        <v>3517</v>
      </c>
      <c r="F804" s="897">
        <v>0.15</v>
      </c>
      <c r="G804" s="898">
        <v>18000</v>
      </c>
      <c r="H804" s="703">
        <f t="shared" si="24"/>
        <v>1.0596791349155377E-3</v>
      </c>
      <c r="I804" s="704">
        <f t="shared" si="25"/>
        <v>1.5895187023733066E-4</v>
      </c>
    </row>
    <row r="805" spans="2:9">
      <c r="B805" s="598" t="s">
        <v>2595</v>
      </c>
      <c r="C805" s="604" t="s">
        <v>864</v>
      </c>
      <c r="D805" s="745">
        <v>2019</v>
      </c>
      <c r="E805" s="650" t="s">
        <v>3513</v>
      </c>
      <c r="F805" s="897">
        <v>0.15</v>
      </c>
      <c r="G805" s="898">
        <v>45000</v>
      </c>
      <c r="H805" s="703">
        <f t="shared" si="24"/>
        <v>2.6491978372888444E-3</v>
      </c>
      <c r="I805" s="704">
        <f t="shared" si="25"/>
        <v>3.9737967559332668E-4</v>
      </c>
    </row>
    <row r="806" spans="2:9">
      <c r="B806" s="598" t="s">
        <v>2595</v>
      </c>
      <c r="C806" s="604" t="s">
        <v>864</v>
      </c>
      <c r="D806" s="745">
        <v>2019</v>
      </c>
      <c r="E806" s="650" t="s">
        <v>3658</v>
      </c>
      <c r="F806" s="897">
        <v>0.15</v>
      </c>
      <c r="G806" s="898">
        <v>18000</v>
      </c>
      <c r="H806" s="703">
        <f t="shared" si="24"/>
        <v>1.0596791349155377E-3</v>
      </c>
      <c r="I806" s="704">
        <f t="shared" si="25"/>
        <v>1.5895187023733066E-4</v>
      </c>
    </row>
    <row r="807" spans="2:9">
      <c r="B807" s="598" t="s">
        <v>2595</v>
      </c>
      <c r="C807" s="604" t="s">
        <v>864</v>
      </c>
      <c r="D807" s="745">
        <v>2019</v>
      </c>
      <c r="E807" s="650" t="s">
        <v>3659</v>
      </c>
      <c r="F807" s="897">
        <v>0.15</v>
      </c>
      <c r="G807" s="898">
        <v>24000</v>
      </c>
      <c r="H807" s="703">
        <f t="shared" si="24"/>
        <v>1.4129055132207169E-3</v>
      </c>
      <c r="I807" s="704">
        <f t="shared" si="25"/>
        <v>2.1193582698310752E-4</v>
      </c>
    </row>
    <row r="808" spans="2:9">
      <c r="B808" s="598" t="s">
        <v>2595</v>
      </c>
      <c r="C808" s="604" t="s">
        <v>864</v>
      </c>
      <c r="D808" s="745">
        <v>2019</v>
      </c>
      <c r="E808" s="650" t="s">
        <v>3660</v>
      </c>
      <c r="F808" s="897">
        <v>0.15</v>
      </c>
      <c r="G808" s="898">
        <v>35000</v>
      </c>
      <c r="H808" s="703">
        <f t="shared" si="24"/>
        <v>2.060487206780212E-3</v>
      </c>
      <c r="I808" s="704">
        <f t="shared" si="25"/>
        <v>3.0907308101703177E-4</v>
      </c>
    </row>
    <row r="809" spans="2:9">
      <c r="B809" s="598" t="s">
        <v>2595</v>
      </c>
      <c r="C809" s="604" t="s">
        <v>864</v>
      </c>
      <c r="D809" s="745">
        <v>2020</v>
      </c>
      <c r="E809" s="650" t="s">
        <v>3660</v>
      </c>
      <c r="F809" s="897">
        <v>0.15</v>
      </c>
      <c r="G809" s="898">
        <v>35000</v>
      </c>
      <c r="H809" s="703">
        <f t="shared" si="24"/>
        <v>2.060487206780212E-3</v>
      </c>
      <c r="I809" s="704">
        <f t="shared" si="25"/>
        <v>3.0907308101703177E-4</v>
      </c>
    </row>
    <row r="810" spans="2:9">
      <c r="B810" s="598" t="s">
        <v>2595</v>
      </c>
      <c r="C810" s="604" t="s">
        <v>864</v>
      </c>
      <c r="D810" s="745">
        <v>2020</v>
      </c>
      <c r="E810" s="650" t="s">
        <v>3661</v>
      </c>
      <c r="F810" s="897">
        <v>0.15</v>
      </c>
      <c r="G810" s="898">
        <v>2500</v>
      </c>
      <c r="H810" s="703">
        <f t="shared" si="24"/>
        <v>1.4717765762715801E-4</v>
      </c>
      <c r="I810" s="704">
        <f t="shared" si="25"/>
        <v>2.2076648644073702E-5</v>
      </c>
    </row>
    <row r="811" spans="2:9">
      <c r="B811" s="598" t="s">
        <v>2595</v>
      </c>
      <c r="C811" s="604" t="s">
        <v>864</v>
      </c>
      <c r="D811" s="745">
        <v>2020</v>
      </c>
      <c r="E811" s="650" t="s">
        <v>3661</v>
      </c>
      <c r="F811" s="897">
        <v>0.15</v>
      </c>
      <c r="G811" s="898">
        <v>2500</v>
      </c>
      <c r="H811" s="703">
        <f t="shared" si="24"/>
        <v>1.4717765762715801E-4</v>
      </c>
      <c r="I811" s="704">
        <f t="shared" si="25"/>
        <v>2.2076648644073702E-5</v>
      </c>
    </row>
    <row r="812" spans="2:9">
      <c r="B812" s="598" t="s">
        <v>2595</v>
      </c>
      <c r="C812" s="604" t="s">
        <v>864</v>
      </c>
      <c r="D812" s="745">
        <v>2020</v>
      </c>
      <c r="E812" s="650" t="s">
        <v>3662</v>
      </c>
      <c r="F812" s="897">
        <v>0.15</v>
      </c>
      <c r="G812" s="898">
        <v>25000</v>
      </c>
      <c r="H812" s="703">
        <f t="shared" si="24"/>
        <v>1.4717765762715801E-3</v>
      </c>
      <c r="I812" s="704">
        <f t="shared" si="25"/>
        <v>2.2076648644073701E-4</v>
      </c>
    </row>
    <row r="813" spans="2:9">
      <c r="B813" s="598" t="s">
        <v>2595</v>
      </c>
      <c r="C813" s="604" t="s">
        <v>864</v>
      </c>
      <c r="D813" s="745">
        <v>2021</v>
      </c>
      <c r="E813" s="650" t="s">
        <v>3608</v>
      </c>
      <c r="F813" s="897">
        <v>0.15</v>
      </c>
      <c r="G813" s="898">
        <v>100000</v>
      </c>
      <c r="H813" s="703">
        <f t="shared" si="24"/>
        <v>5.8871063050863204E-3</v>
      </c>
      <c r="I813" s="704">
        <f t="shared" si="25"/>
        <v>8.8306594576294804E-4</v>
      </c>
    </row>
    <row r="814" spans="2:9">
      <c r="B814" s="598" t="s">
        <v>2595</v>
      </c>
      <c r="C814" s="604" t="s">
        <v>864</v>
      </c>
      <c r="D814" s="745">
        <v>2020</v>
      </c>
      <c r="E814" s="650" t="s">
        <v>3657</v>
      </c>
      <c r="F814" s="897">
        <v>0.15</v>
      </c>
      <c r="G814" s="898">
        <v>11500</v>
      </c>
      <c r="H814" s="703">
        <f t="shared" si="24"/>
        <v>6.7701722508492685E-4</v>
      </c>
      <c r="I814" s="704">
        <f t="shared" si="25"/>
        <v>1.0155258376273903E-4</v>
      </c>
    </row>
    <row r="815" spans="2:9">
      <c r="B815" s="598" t="s">
        <v>2595</v>
      </c>
      <c r="C815" s="604" t="s">
        <v>864</v>
      </c>
      <c r="D815" s="745">
        <v>2021</v>
      </c>
      <c r="E815" s="650" t="s">
        <v>3663</v>
      </c>
      <c r="F815" s="897">
        <v>0.15</v>
      </c>
      <c r="G815" s="898">
        <v>15000</v>
      </c>
      <c r="H815" s="703">
        <f t="shared" si="24"/>
        <v>8.8306594576294814E-4</v>
      </c>
      <c r="I815" s="704">
        <f t="shared" si="25"/>
        <v>1.3245989186444222E-4</v>
      </c>
    </row>
    <row r="816" spans="2:9">
      <c r="B816" s="598" t="s">
        <v>2595</v>
      </c>
      <c r="C816" s="604" t="s">
        <v>864</v>
      </c>
      <c r="D816" s="745">
        <v>2020</v>
      </c>
      <c r="E816" s="650" t="s">
        <v>3563</v>
      </c>
      <c r="F816" s="897">
        <v>0.15</v>
      </c>
      <c r="G816" s="898">
        <v>31000</v>
      </c>
      <c r="H816" s="703">
        <f t="shared" si="24"/>
        <v>1.8250029545767595E-3</v>
      </c>
      <c r="I816" s="704">
        <f t="shared" si="25"/>
        <v>2.7375044318651392E-4</v>
      </c>
    </row>
    <row r="817" spans="2:9">
      <c r="B817" s="598" t="s">
        <v>2595</v>
      </c>
      <c r="C817" s="604" t="s">
        <v>864</v>
      </c>
      <c r="D817" s="745">
        <v>2020</v>
      </c>
      <c r="E817" s="650" t="s">
        <v>3575</v>
      </c>
      <c r="F817" s="897">
        <v>0.15</v>
      </c>
      <c r="G817" s="898">
        <v>285000</v>
      </c>
      <c r="H817" s="703">
        <f t="shared" si="24"/>
        <v>1.6778252969496015E-2</v>
      </c>
      <c r="I817" s="704">
        <f t="shared" si="25"/>
        <v>2.5167379454244022E-3</v>
      </c>
    </row>
    <row r="818" spans="2:9">
      <c r="B818" s="598" t="s">
        <v>2595</v>
      </c>
      <c r="C818" s="604" t="s">
        <v>864</v>
      </c>
      <c r="D818" s="745">
        <v>2020</v>
      </c>
      <c r="E818" s="650" t="s">
        <v>3495</v>
      </c>
      <c r="F818" s="897">
        <v>0.15</v>
      </c>
      <c r="G818" s="898">
        <v>140000</v>
      </c>
      <c r="H818" s="703">
        <f t="shared" si="24"/>
        <v>8.2419488271208482E-3</v>
      </c>
      <c r="I818" s="704">
        <f t="shared" si="25"/>
        <v>1.2362923240681271E-3</v>
      </c>
    </row>
    <row r="819" spans="2:9">
      <c r="B819" s="598" t="s">
        <v>2595</v>
      </c>
      <c r="C819" s="604" t="s">
        <v>864</v>
      </c>
      <c r="D819" s="745">
        <v>2020</v>
      </c>
      <c r="E819" s="650" t="s">
        <v>3513</v>
      </c>
      <c r="F819" s="897">
        <v>0.15</v>
      </c>
      <c r="G819" s="898">
        <v>520000</v>
      </c>
      <c r="H819" s="703">
        <f t="shared" si="24"/>
        <v>3.0612952786448867E-2</v>
      </c>
      <c r="I819" s="704">
        <f t="shared" si="25"/>
        <v>4.5919429179673297E-3</v>
      </c>
    </row>
    <row r="820" spans="2:9">
      <c r="B820" s="598" t="s">
        <v>2595</v>
      </c>
      <c r="C820" s="604" t="s">
        <v>864</v>
      </c>
      <c r="D820" s="745">
        <v>2020</v>
      </c>
      <c r="E820" s="650" t="s">
        <v>3664</v>
      </c>
      <c r="F820" s="897">
        <v>0.15</v>
      </c>
      <c r="G820" s="898">
        <v>130000</v>
      </c>
      <c r="H820" s="703">
        <f t="shared" si="24"/>
        <v>7.6532381966122167E-3</v>
      </c>
      <c r="I820" s="704">
        <f t="shared" si="25"/>
        <v>1.1479857294918324E-3</v>
      </c>
    </row>
    <row r="821" spans="2:9">
      <c r="B821" s="598" t="s">
        <v>2595</v>
      </c>
      <c r="C821" s="604" t="s">
        <v>864</v>
      </c>
      <c r="D821" s="745">
        <v>2020</v>
      </c>
      <c r="E821" s="650" t="s">
        <v>3629</v>
      </c>
      <c r="F821" s="897">
        <v>0.15</v>
      </c>
      <c r="G821" s="898">
        <v>10880</v>
      </c>
      <c r="H821" s="703">
        <f t="shared" si="24"/>
        <v>6.4051716599339173E-4</v>
      </c>
      <c r="I821" s="704">
        <f t="shared" si="25"/>
        <v>9.6077574899008751E-5</v>
      </c>
    </row>
    <row r="822" spans="2:9">
      <c r="B822" s="598" t="s">
        <v>2595</v>
      </c>
      <c r="C822" s="604" t="s">
        <v>864</v>
      </c>
      <c r="D822" s="745">
        <v>2020</v>
      </c>
      <c r="E822" s="650" t="s">
        <v>3657</v>
      </c>
      <c r="F822" s="897">
        <v>0.15</v>
      </c>
      <c r="G822" s="898">
        <v>11250</v>
      </c>
      <c r="H822" s="703">
        <f t="shared" si="24"/>
        <v>6.6229945932221111E-4</v>
      </c>
      <c r="I822" s="704">
        <f t="shared" si="25"/>
        <v>9.9344918898331669E-5</v>
      </c>
    </row>
    <row r="823" spans="2:9">
      <c r="B823" s="598" t="s">
        <v>2595</v>
      </c>
      <c r="C823" s="604" t="s">
        <v>864</v>
      </c>
      <c r="D823" s="745">
        <v>2020</v>
      </c>
      <c r="E823" s="650" t="s">
        <v>3665</v>
      </c>
      <c r="F823" s="897">
        <v>0.15</v>
      </c>
      <c r="G823" s="898">
        <v>5200</v>
      </c>
      <c r="H823" s="703">
        <f t="shared" si="24"/>
        <v>3.0612952786448865E-4</v>
      </c>
      <c r="I823" s="704">
        <f t="shared" si="25"/>
        <v>4.5919429179673298E-5</v>
      </c>
    </row>
    <row r="824" spans="2:9">
      <c r="B824" s="598" t="s">
        <v>2595</v>
      </c>
      <c r="C824" s="604" t="s">
        <v>864</v>
      </c>
      <c r="D824" s="745">
        <v>2020</v>
      </c>
      <c r="E824" s="650" t="s">
        <v>3657</v>
      </c>
      <c r="F824" s="897">
        <v>0.15</v>
      </c>
      <c r="G824" s="898">
        <v>11250</v>
      </c>
      <c r="H824" s="703">
        <f t="shared" si="24"/>
        <v>6.6229945932221111E-4</v>
      </c>
      <c r="I824" s="704">
        <f t="shared" si="25"/>
        <v>9.9344918898331669E-5</v>
      </c>
    </row>
    <row r="825" spans="2:9">
      <c r="B825" s="598" t="s">
        <v>2595</v>
      </c>
      <c r="C825" s="604" t="s">
        <v>864</v>
      </c>
      <c r="D825" s="745">
        <v>2020</v>
      </c>
      <c r="E825" s="650" t="s">
        <v>3611</v>
      </c>
      <c r="F825" s="897">
        <v>0.15</v>
      </c>
      <c r="G825" s="898">
        <v>35000</v>
      </c>
      <c r="H825" s="703">
        <f t="shared" si="24"/>
        <v>2.060487206780212E-3</v>
      </c>
      <c r="I825" s="704">
        <f t="shared" si="25"/>
        <v>3.0907308101703177E-4</v>
      </c>
    </row>
    <row r="826" spans="2:9">
      <c r="B826" s="598" t="s">
        <v>2595</v>
      </c>
      <c r="C826" s="604" t="s">
        <v>864</v>
      </c>
      <c r="D826" s="745">
        <v>2020</v>
      </c>
      <c r="E826" s="650" t="s">
        <v>3657</v>
      </c>
      <c r="F826" s="897">
        <v>0.15</v>
      </c>
      <c r="G826" s="898">
        <v>11000</v>
      </c>
      <c r="H826" s="703">
        <f t="shared" si="24"/>
        <v>6.4758169355949525E-4</v>
      </c>
      <c r="I826" s="704">
        <f t="shared" si="25"/>
        <v>9.7137254033924283E-5</v>
      </c>
    </row>
    <row r="827" spans="2:9">
      <c r="B827" s="598" t="s">
        <v>2595</v>
      </c>
      <c r="C827" s="604" t="s">
        <v>864</v>
      </c>
      <c r="D827" s="745">
        <v>2021</v>
      </c>
      <c r="E827" s="650" t="s">
        <v>3665</v>
      </c>
      <c r="F827" s="897">
        <v>0.15</v>
      </c>
      <c r="G827" s="898">
        <v>5000</v>
      </c>
      <c r="H827" s="703">
        <f t="shared" si="24"/>
        <v>2.9435531525431603E-4</v>
      </c>
      <c r="I827" s="704">
        <f t="shared" si="25"/>
        <v>4.4153297288147403E-5</v>
      </c>
    </row>
    <row r="828" spans="2:9">
      <c r="B828" s="598" t="s">
        <v>2595</v>
      </c>
      <c r="C828" s="604" t="s">
        <v>864</v>
      </c>
      <c r="D828" s="745">
        <v>2022</v>
      </c>
      <c r="E828" s="650" t="s">
        <v>3657</v>
      </c>
      <c r="F828" s="897">
        <v>0.15</v>
      </c>
      <c r="G828" s="898">
        <v>8000</v>
      </c>
      <c r="H828" s="703">
        <f t="shared" si="24"/>
        <v>4.7096850440690567E-4</v>
      </c>
      <c r="I828" s="704">
        <f t="shared" si="25"/>
        <v>7.0645275661035853E-5</v>
      </c>
    </row>
    <row r="829" spans="2:9">
      <c r="B829" s="598" t="s">
        <v>2595</v>
      </c>
      <c r="C829" s="604" t="s">
        <v>864</v>
      </c>
      <c r="D829" s="745">
        <v>2020</v>
      </c>
      <c r="E829" s="650" t="s">
        <v>3666</v>
      </c>
      <c r="F829" s="897">
        <v>0.15</v>
      </c>
      <c r="G829" s="898">
        <v>270000</v>
      </c>
      <c r="H829" s="703">
        <f t="shared" si="24"/>
        <v>1.5895187023733066E-2</v>
      </c>
      <c r="I829" s="704">
        <f t="shared" si="25"/>
        <v>2.3842780535599599E-3</v>
      </c>
    </row>
    <row r="830" spans="2:9">
      <c r="B830" s="598" t="s">
        <v>2595</v>
      </c>
      <c r="C830" s="604" t="s">
        <v>864</v>
      </c>
      <c r="D830" s="745">
        <v>2022</v>
      </c>
      <c r="E830" s="650" t="s">
        <v>3504</v>
      </c>
      <c r="F830" s="897">
        <v>0.15</v>
      </c>
      <c r="G830" s="898">
        <v>110000</v>
      </c>
      <c r="H830" s="703">
        <f t="shared" si="24"/>
        <v>6.4758169355949528E-3</v>
      </c>
      <c r="I830" s="704">
        <f t="shared" si="25"/>
        <v>9.7137254033924283E-4</v>
      </c>
    </row>
    <row r="831" spans="2:9">
      <c r="B831" s="598" t="s">
        <v>2595</v>
      </c>
      <c r="C831" s="604" t="s">
        <v>864</v>
      </c>
      <c r="D831" s="745">
        <v>2022</v>
      </c>
      <c r="E831" s="650" t="s">
        <v>3525</v>
      </c>
      <c r="F831" s="897">
        <v>0.15</v>
      </c>
      <c r="G831" s="898">
        <v>390000</v>
      </c>
      <c r="H831" s="703">
        <f t="shared" si="24"/>
        <v>2.2959714589836651E-2</v>
      </c>
      <c r="I831" s="704">
        <f t="shared" si="25"/>
        <v>3.4439571884754975E-3</v>
      </c>
    </row>
    <row r="832" spans="2:9">
      <c r="B832" s="598" t="s">
        <v>2595</v>
      </c>
      <c r="C832" s="604" t="s">
        <v>864</v>
      </c>
      <c r="D832" s="745">
        <v>2020</v>
      </c>
      <c r="E832" s="650" t="s">
        <v>3665</v>
      </c>
      <c r="F832" s="897">
        <v>0.15</v>
      </c>
      <c r="G832" s="898">
        <v>5000</v>
      </c>
      <c r="H832" s="703">
        <f t="shared" si="24"/>
        <v>2.9435531525431603E-4</v>
      </c>
      <c r="I832" s="704">
        <f t="shared" si="25"/>
        <v>4.4153297288147403E-5</v>
      </c>
    </row>
    <row r="833" spans="2:9">
      <c r="B833" s="598" t="s">
        <v>2595</v>
      </c>
      <c r="C833" s="604" t="s">
        <v>864</v>
      </c>
      <c r="D833" s="745">
        <v>2020</v>
      </c>
      <c r="E833" s="650" t="s">
        <v>3657</v>
      </c>
      <c r="F833" s="897">
        <v>0.15</v>
      </c>
      <c r="G833" s="898">
        <v>11000</v>
      </c>
      <c r="H833" s="703">
        <f t="shared" si="24"/>
        <v>6.4758169355949525E-4</v>
      </c>
      <c r="I833" s="704">
        <f t="shared" si="25"/>
        <v>9.7137254033924283E-5</v>
      </c>
    </row>
    <row r="834" spans="2:9">
      <c r="B834" s="598" t="s">
        <v>2595</v>
      </c>
      <c r="C834" s="604" t="s">
        <v>864</v>
      </c>
      <c r="D834" s="745">
        <v>2021</v>
      </c>
      <c r="E834" s="650" t="s">
        <v>3664</v>
      </c>
      <c r="F834" s="897">
        <v>0.15</v>
      </c>
      <c r="G834" s="898">
        <v>135000</v>
      </c>
      <c r="H834" s="703">
        <f t="shared" si="24"/>
        <v>7.9475935118665329E-3</v>
      </c>
      <c r="I834" s="704">
        <f t="shared" si="25"/>
        <v>1.19213902677998E-3</v>
      </c>
    </row>
    <row r="835" spans="2:9">
      <c r="B835" s="598" t="s">
        <v>2595</v>
      </c>
      <c r="C835" s="604" t="s">
        <v>864</v>
      </c>
      <c r="D835" s="745">
        <v>2021</v>
      </c>
      <c r="E835" s="650" t="s">
        <v>3504</v>
      </c>
      <c r="F835" s="897">
        <v>0.15</v>
      </c>
      <c r="G835" s="898">
        <v>108000</v>
      </c>
      <c r="H835" s="703">
        <f t="shared" si="24"/>
        <v>6.3580748094932259E-3</v>
      </c>
      <c r="I835" s="704">
        <f t="shared" si="25"/>
        <v>9.5371122142398385E-4</v>
      </c>
    </row>
    <row r="836" spans="2:9">
      <c r="B836" s="598" t="s">
        <v>2595</v>
      </c>
      <c r="C836" s="604" t="s">
        <v>1104</v>
      </c>
      <c r="D836" s="745">
        <v>2011</v>
      </c>
      <c r="E836" s="650" t="s">
        <v>1624</v>
      </c>
      <c r="F836" s="897">
        <v>1</v>
      </c>
      <c r="G836" s="898">
        <v>480</v>
      </c>
      <c r="H836" s="703">
        <f t="shared" si="24"/>
        <v>2.8258110264414339E-5</v>
      </c>
      <c r="I836" s="704">
        <f t="shared" si="25"/>
        <v>2.8258110264414339E-5</v>
      </c>
    </row>
    <row r="837" spans="2:9">
      <c r="B837" s="598" t="s">
        <v>2595</v>
      </c>
      <c r="C837" s="604" t="s">
        <v>1104</v>
      </c>
      <c r="D837" s="745">
        <v>2012</v>
      </c>
      <c r="E837" s="650" t="s">
        <v>1625</v>
      </c>
      <c r="F837" s="897"/>
      <c r="G837" s="898">
        <v>250</v>
      </c>
      <c r="H837" s="703">
        <f t="shared" ref="H837:H900" si="26">+G837/$G$1080</f>
        <v>1.4717765762715802E-5</v>
      </c>
      <c r="I837" s="704">
        <f t="shared" ref="I837:I900" si="27">+H837*F837</f>
        <v>0</v>
      </c>
    </row>
    <row r="838" spans="2:9">
      <c r="B838" s="598" t="s">
        <v>2595</v>
      </c>
      <c r="C838" s="604" t="s">
        <v>1104</v>
      </c>
      <c r="D838" s="745">
        <v>2012</v>
      </c>
      <c r="E838" s="650" t="s">
        <v>1626</v>
      </c>
      <c r="F838" s="897"/>
      <c r="G838" s="898">
        <v>200</v>
      </c>
      <c r="H838" s="703">
        <f t="shared" si="26"/>
        <v>1.1774212610172641E-5</v>
      </c>
      <c r="I838" s="704">
        <f t="shared" si="27"/>
        <v>0</v>
      </c>
    </row>
    <row r="839" spans="2:9">
      <c r="B839" s="598" t="s">
        <v>2595</v>
      </c>
      <c r="C839" s="604" t="s">
        <v>1104</v>
      </c>
      <c r="D839" s="745">
        <v>2012</v>
      </c>
      <c r="E839" s="650" t="s">
        <v>1627</v>
      </c>
      <c r="F839" s="897"/>
      <c r="G839" s="898">
        <v>450</v>
      </c>
      <c r="H839" s="703">
        <f t="shared" si="26"/>
        <v>2.6491978372888443E-5</v>
      </c>
      <c r="I839" s="704">
        <f t="shared" si="27"/>
        <v>0</v>
      </c>
    </row>
    <row r="840" spans="2:9">
      <c r="B840" s="598" t="s">
        <v>2595</v>
      </c>
      <c r="C840" s="604" t="s">
        <v>1104</v>
      </c>
      <c r="D840" s="745">
        <v>2012</v>
      </c>
      <c r="E840" s="650" t="s">
        <v>1628</v>
      </c>
      <c r="F840" s="897"/>
      <c r="G840" s="898">
        <v>180</v>
      </c>
      <c r="H840" s="703">
        <f t="shared" si="26"/>
        <v>1.0596791349155377E-5</v>
      </c>
      <c r="I840" s="704">
        <f t="shared" si="27"/>
        <v>0</v>
      </c>
    </row>
    <row r="841" spans="2:9">
      <c r="B841" s="598" t="s">
        <v>2595</v>
      </c>
      <c r="C841" s="604" t="s">
        <v>1104</v>
      </c>
      <c r="D841" s="745">
        <v>2013</v>
      </c>
      <c r="E841" s="650" t="s">
        <v>1629</v>
      </c>
      <c r="F841" s="897"/>
      <c r="G841" s="898">
        <v>371.8</v>
      </c>
      <c r="H841" s="703">
        <f t="shared" si="26"/>
        <v>2.1888261242310941E-5</v>
      </c>
      <c r="I841" s="704">
        <f t="shared" si="27"/>
        <v>0</v>
      </c>
    </row>
    <row r="842" spans="2:9">
      <c r="B842" s="598" t="s">
        <v>2595</v>
      </c>
      <c r="C842" s="604" t="s">
        <v>1104</v>
      </c>
      <c r="D842" s="745">
        <v>2014</v>
      </c>
      <c r="E842" s="650" t="s">
        <v>1630</v>
      </c>
      <c r="F842" s="897"/>
      <c r="G842" s="898">
        <v>900</v>
      </c>
      <c r="H842" s="703">
        <f t="shared" si="26"/>
        <v>5.2983956745776886E-5</v>
      </c>
      <c r="I842" s="704">
        <f t="shared" si="27"/>
        <v>0</v>
      </c>
    </row>
    <row r="843" spans="2:9">
      <c r="B843" s="598" t="s">
        <v>2595</v>
      </c>
      <c r="C843" s="604" t="s">
        <v>1104</v>
      </c>
      <c r="D843" s="745">
        <v>2014</v>
      </c>
      <c r="E843" s="650" t="s">
        <v>1631</v>
      </c>
      <c r="F843" s="897"/>
      <c r="G843" s="898">
        <v>350</v>
      </c>
      <c r="H843" s="703">
        <f t="shared" si="26"/>
        <v>2.0604872067802121E-5</v>
      </c>
      <c r="I843" s="704">
        <f t="shared" si="27"/>
        <v>0</v>
      </c>
    </row>
    <row r="844" spans="2:9">
      <c r="B844" s="598" t="s">
        <v>2595</v>
      </c>
      <c r="C844" s="604" t="s">
        <v>1104</v>
      </c>
      <c r="D844" s="745">
        <v>2014</v>
      </c>
      <c r="E844" s="650" t="s">
        <v>1632</v>
      </c>
      <c r="F844" s="897"/>
      <c r="G844" s="898">
        <v>350</v>
      </c>
      <c r="H844" s="703">
        <f t="shared" si="26"/>
        <v>2.0604872067802121E-5</v>
      </c>
      <c r="I844" s="704">
        <f t="shared" si="27"/>
        <v>0</v>
      </c>
    </row>
    <row r="845" spans="2:9">
      <c r="B845" s="598" t="s">
        <v>2595</v>
      </c>
      <c r="C845" s="604" t="s">
        <v>1104</v>
      </c>
      <c r="D845" s="745">
        <v>2014</v>
      </c>
      <c r="E845" s="650" t="s">
        <v>1633</v>
      </c>
      <c r="F845" s="897"/>
      <c r="G845" s="898">
        <v>250</v>
      </c>
      <c r="H845" s="703">
        <f t="shared" si="26"/>
        <v>1.4717765762715802E-5</v>
      </c>
      <c r="I845" s="704">
        <f t="shared" si="27"/>
        <v>0</v>
      </c>
    </row>
    <row r="846" spans="2:9">
      <c r="B846" s="598" t="s">
        <v>2595</v>
      </c>
      <c r="C846" s="604" t="s">
        <v>1104</v>
      </c>
      <c r="D846" s="745">
        <v>2014</v>
      </c>
      <c r="E846" s="650" t="s">
        <v>1634</v>
      </c>
      <c r="F846" s="897"/>
      <c r="G846" s="898">
        <v>250</v>
      </c>
      <c r="H846" s="703">
        <f t="shared" si="26"/>
        <v>1.4717765762715802E-5</v>
      </c>
      <c r="I846" s="704">
        <f t="shared" si="27"/>
        <v>0</v>
      </c>
    </row>
    <row r="847" spans="2:9">
      <c r="B847" s="598" t="s">
        <v>2595</v>
      </c>
      <c r="C847" s="604" t="s">
        <v>1104</v>
      </c>
      <c r="D847" s="745">
        <v>2014</v>
      </c>
      <c r="E847" s="650" t="s">
        <v>1635</v>
      </c>
      <c r="F847" s="897"/>
      <c r="G847" s="898">
        <v>300</v>
      </c>
      <c r="H847" s="703">
        <f t="shared" si="26"/>
        <v>1.7661318915258963E-5</v>
      </c>
      <c r="I847" s="704">
        <f t="shared" si="27"/>
        <v>0</v>
      </c>
    </row>
    <row r="848" spans="2:9">
      <c r="B848" s="598" t="s">
        <v>2595</v>
      </c>
      <c r="C848" s="604" t="s">
        <v>1104</v>
      </c>
      <c r="D848" s="745">
        <v>2014</v>
      </c>
      <c r="E848" s="650" t="s">
        <v>1636</v>
      </c>
      <c r="F848" s="897"/>
      <c r="G848" s="898">
        <v>750</v>
      </c>
      <c r="H848" s="703">
        <f t="shared" si="26"/>
        <v>4.4153297288147403E-5</v>
      </c>
      <c r="I848" s="704">
        <f t="shared" si="27"/>
        <v>0</v>
      </c>
    </row>
    <row r="849" spans="2:9">
      <c r="B849" s="598" t="s">
        <v>2595</v>
      </c>
      <c r="C849" s="604" t="s">
        <v>1104</v>
      </c>
      <c r="D849" s="745">
        <v>2014</v>
      </c>
      <c r="E849" s="650" t="s">
        <v>1637</v>
      </c>
      <c r="F849" s="897"/>
      <c r="G849" s="898">
        <v>300</v>
      </c>
      <c r="H849" s="703">
        <f t="shared" si="26"/>
        <v>1.7661318915258963E-5</v>
      </c>
      <c r="I849" s="704">
        <f t="shared" si="27"/>
        <v>0</v>
      </c>
    </row>
    <row r="850" spans="2:9">
      <c r="B850" s="598" t="s">
        <v>2595</v>
      </c>
      <c r="C850" s="604" t="s">
        <v>1104</v>
      </c>
      <c r="D850" s="745">
        <v>2014</v>
      </c>
      <c r="E850" s="650" t="s">
        <v>1638</v>
      </c>
      <c r="F850" s="897"/>
      <c r="G850" s="898">
        <v>150</v>
      </c>
      <c r="H850" s="703">
        <f t="shared" si="26"/>
        <v>8.8306594576294816E-6</v>
      </c>
      <c r="I850" s="704">
        <f t="shared" si="27"/>
        <v>0</v>
      </c>
    </row>
    <row r="851" spans="2:9">
      <c r="B851" s="598" t="s">
        <v>2595</v>
      </c>
      <c r="C851" s="604" t="s">
        <v>1104</v>
      </c>
      <c r="D851" s="745">
        <v>2015</v>
      </c>
      <c r="E851" s="650" t="s">
        <v>1639</v>
      </c>
      <c r="F851" s="897"/>
      <c r="G851" s="898">
        <v>7300.29</v>
      </c>
      <c r="H851" s="703">
        <f t="shared" si="26"/>
        <v>4.2977583287958618E-4</v>
      </c>
      <c r="I851" s="704">
        <f t="shared" si="27"/>
        <v>0</v>
      </c>
    </row>
    <row r="852" spans="2:9">
      <c r="B852" s="598" t="s">
        <v>2595</v>
      </c>
      <c r="C852" s="604" t="s">
        <v>1104</v>
      </c>
      <c r="D852" s="745">
        <v>2015</v>
      </c>
      <c r="E852" s="650" t="s">
        <v>1640</v>
      </c>
      <c r="F852" s="897"/>
      <c r="G852" s="898">
        <v>422.5</v>
      </c>
      <c r="H852" s="703">
        <f t="shared" si="26"/>
        <v>2.4873024138989704E-5</v>
      </c>
      <c r="I852" s="704">
        <f t="shared" si="27"/>
        <v>0</v>
      </c>
    </row>
    <row r="853" spans="2:9">
      <c r="B853" s="598" t="s">
        <v>2595</v>
      </c>
      <c r="C853" s="604" t="s">
        <v>1104</v>
      </c>
      <c r="D853" s="745">
        <v>2015</v>
      </c>
      <c r="E853" s="650" t="s">
        <v>1641</v>
      </c>
      <c r="F853" s="897"/>
      <c r="G853" s="898">
        <v>1520.61</v>
      </c>
      <c r="H853" s="703">
        <f t="shared" si="26"/>
        <v>8.9519927185773099E-5</v>
      </c>
      <c r="I853" s="704">
        <f t="shared" si="27"/>
        <v>0</v>
      </c>
    </row>
    <row r="854" spans="2:9">
      <c r="B854" s="598" t="s">
        <v>2595</v>
      </c>
      <c r="C854" s="604" t="s">
        <v>1104</v>
      </c>
      <c r="D854" s="745">
        <v>2022</v>
      </c>
      <c r="E854" s="650" t="s">
        <v>2558</v>
      </c>
      <c r="F854" s="897">
        <v>1</v>
      </c>
      <c r="G854" s="898">
        <v>557.46</v>
      </c>
      <c r="H854" s="703">
        <f t="shared" si="26"/>
        <v>3.2818262808334207E-5</v>
      </c>
      <c r="I854" s="704">
        <f t="shared" si="27"/>
        <v>3.2818262808334207E-5</v>
      </c>
    </row>
    <row r="855" spans="2:9">
      <c r="B855" s="598" t="s">
        <v>2595</v>
      </c>
      <c r="C855" s="604" t="s">
        <v>1102</v>
      </c>
      <c r="D855" s="745">
        <v>2002</v>
      </c>
      <c r="E855" s="650" t="s">
        <v>1642</v>
      </c>
      <c r="F855" s="897">
        <v>0.2</v>
      </c>
      <c r="G855" s="898">
        <v>318.39999999999998</v>
      </c>
      <c r="H855" s="703">
        <f t="shared" si="26"/>
        <v>1.8744546475394842E-5</v>
      </c>
      <c r="I855" s="704">
        <f t="shared" si="27"/>
        <v>3.7489092950789686E-6</v>
      </c>
    </row>
    <row r="856" spans="2:9">
      <c r="B856" s="598" t="s">
        <v>2595</v>
      </c>
      <c r="C856" s="604" t="s">
        <v>1102</v>
      </c>
      <c r="D856" s="745">
        <v>2004</v>
      </c>
      <c r="E856" s="650" t="s">
        <v>1643</v>
      </c>
      <c r="F856" s="897">
        <v>0.2</v>
      </c>
      <c r="G856" s="898">
        <v>22800</v>
      </c>
      <c r="H856" s="703">
        <f t="shared" si="26"/>
        <v>1.3422602375596812E-3</v>
      </c>
      <c r="I856" s="704">
        <f t="shared" si="27"/>
        <v>2.6845204751193625E-4</v>
      </c>
    </row>
    <row r="857" spans="2:9">
      <c r="B857" s="598" t="s">
        <v>2595</v>
      </c>
      <c r="C857" s="604" t="s">
        <v>1102</v>
      </c>
      <c r="D857" s="745">
        <v>2004</v>
      </c>
      <c r="E857" s="650" t="s">
        <v>1644</v>
      </c>
      <c r="F857" s="897">
        <v>0.2</v>
      </c>
      <c r="G857" s="898">
        <v>2500</v>
      </c>
      <c r="H857" s="703">
        <f t="shared" si="26"/>
        <v>1.4717765762715801E-4</v>
      </c>
      <c r="I857" s="704">
        <f t="shared" si="27"/>
        <v>2.9435531525431604E-5</v>
      </c>
    </row>
    <row r="858" spans="2:9">
      <c r="B858" s="598" t="s">
        <v>2595</v>
      </c>
      <c r="C858" s="604" t="s">
        <v>1102</v>
      </c>
      <c r="D858" s="745">
        <v>2012</v>
      </c>
      <c r="E858" s="650"/>
      <c r="F858" s="897">
        <v>0.2</v>
      </c>
      <c r="G858" s="898">
        <v>1045.5999999999999</v>
      </c>
      <c r="H858" s="703">
        <f t="shared" si="26"/>
        <v>6.1555583525982568E-5</v>
      </c>
      <c r="I858" s="704">
        <f t="shared" si="27"/>
        <v>1.2311116705196515E-5</v>
      </c>
    </row>
    <row r="859" spans="2:9">
      <c r="B859" s="598" t="s">
        <v>2595</v>
      </c>
      <c r="C859" s="604" t="s">
        <v>1102</v>
      </c>
      <c r="D859" s="745">
        <v>2006</v>
      </c>
      <c r="E859" s="650" t="s">
        <v>1645</v>
      </c>
      <c r="F859" s="897">
        <v>0.2</v>
      </c>
      <c r="G859" s="898">
        <v>200</v>
      </c>
      <c r="H859" s="703">
        <f t="shared" si="26"/>
        <v>1.1774212610172641E-5</v>
      </c>
      <c r="I859" s="704">
        <f t="shared" si="27"/>
        <v>2.3548425220345282E-6</v>
      </c>
    </row>
    <row r="860" spans="2:9">
      <c r="B860" s="598" t="s">
        <v>2595</v>
      </c>
      <c r="C860" s="604" t="s">
        <v>1102</v>
      </c>
      <c r="D860" s="745">
        <v>2013</v>
      </c>
      <c r="E860" s="650"/>
      <c r="F860" s="897">
        <v>0.2</v>
      </c>
      <c r="G860" s="898">
        <v>3089</v>
      </c>
      <c r="H860" s="703">
        <f t="shared" si="26"/>
        <v>1.8185271376411645E-4</v>
      </c>
      <c r="I860" s="704">
        <f t="shared" si="27"/>
        <v>3.6370542752823288E-5</v>
      </c>
    </row>
    <row r="861" spans="2:9">
      <c r="B861" s="598" t="s">
        <v>2595</v>
      </c>
      <c r="C861" s="604" t="s">
        <v>1102</v>
      </c>
      <c r="D861" s="745">
        <v>2006</v>
      </c>
      <c r="E861" s="650" t="s">
        <v>1646</v>
      </c>
      <c r="F861" s="897">
        <v>0.2</v>
      </c>
      <c r="G861" s="898">
        <v>5417</v>
      </c>
      <c r="H861" s="703">
        <f t="shared" si="26"/>
        <v>3.1890454854652597E-4</v>
      </c>
      <c r="I861" s="704">
        <f t="shared" si="27"/>
        <v>6.3780909709305203E-5</v>
      </c>
    </row>
    <row r="862" spans="2:9">
      <c r="B862" s="598" t="s">
        <v>2595</v>
      </c>
      <c r="C862" s="604" t="s">
        <v>1102</v>
      </c>
      <c r="D862" s="745">
        <v>2008</v>
      </c>
      <c r="E862" s="650" t="s">
        <v>1647</v>
      </c>
      <c r="F862" s="897">
        <v>0.2</v>
      </c>
      <c r="G862" s="898">
        <v>90000</v>
      </c>
      <c r="H862" s="703">
        <f t="shared" si="26"/>
        <v>5.2983956745776889E-3</v>
      </c>
      <c r="I862" s="704">
        <f t="shared" si="27"/>
        <v>1.0596791349155377E-3</v>
      </c>
    </row>
    <row r="863" spans="2:9">
      <c r="B863" s="598" t="s">
        <v>2595</v>
      </c>
      <c r="C863" s="604" t="s">
        <v>1102</v>
      </c>
      <c r="D863" s="745">
        <v>2012</v>
      </c>
      <c r="E863" s="650"/>
      <c r="F863" s="897">
        <v>0.2</v>
      </c>
      <c r="G863" s="898">
        <v>1728</v>
      </c>
      <c r="H863" s="703">
        <f t="shared" si="26"/>
        <v>1.0172919695189162E-4</v>
      </c>
      <c r="I863" s="704">
        <f t="shared" si="27"/>
        <v>2.0345839390378326E-5</v>
      </c>
    </row>
    <row r="864" spans="2:9">
      <c r="B864" s="598" t="s">
        <v>2595</v>
      </c>
      <c r="C864" s="604" t="s">
        <v>1102</v>
      </c>
      <c r="D864" s="745">
        <v>2013</v>
      </c>
      <c r="E864" s="650"/>
      <c r="F864" s="897">
        <v>0.2</v>
      </c>
      <c r="G864" s="898">
        <v>1300</v>
      </c>
      <c r="H864" s="703">
        <f t="shared" si="26"/>
        <v>7.6532381966122162E-5</v>
      </c>
      <c r="I864" s="704">
        <f t="shared" si="27"/>
        <v>1.5306476393224432E-5</v>
      </c>
    </row>
    <row r="865" spans="2:9">
      <c r="B865" s="598" t="s">
        <v>2595</v>
      </c>
      <c r="C865" s="604" t="s">
        <v>1102</v>
      </c>
      <c r="D865" s="745">
        <v>2008</v>
      </c>
      <c r="E865" s="650" t="s">
        <v>1648</v>
      </c>
      <c r="F865" s="897">
        <v>0.2</v>
      </c>
      <c r="G865" s="898">
        <v>13000</v>
      </c>
      <c r="H865" s="703">
        <f t="shared" si="26"/>
        <v>7.6532381966122164E-4</v>
      </c>
      <c r="I865" s="704">
        <f t="shared" si="27"/>
        <v>1.5306476393224435E-4</v>
      </c>
    </row>
    <row r="866" spans="2:9">
      <c r="B866" s="598" t="s">
        <v>2595</v>
      </c>
      <c r="C866" s="604" t="s">
        <v>1102</v>
      </c>
      <c r="D866" s="745">
        <v>2009</v>
      </c>
      <c r="E866" s="650" t="s">
        <v>1649</v>
      </c>
      <c r="F866" s="897">
        <v>0.2</v>
      </c>
      <c r="G866" s="898">
        <v>55000</v>
      </c>
      <c r="H866" s="703">
        <f t="shared" si="26"/>
        <v>3.2379084677974764E-3</v>
      </c>
      <c r="I866" s="704">
        <f t="shared" si="27"/>
        <v>6.4758169355949536E-4</v>
      </c>
    </row>
    <row r="867" spans="2:9">
      <c r="B867" s="598" t="s">
        <v>2595</v>
      </c>
      <c r="C867" s="604" t="s">
        <v>1102</v>
      </c>
      <c r="D867" s="745">
        <v>2009</v>
      </c>
      <c r="E867" s="650" t="s">
        <v>1650</v>
      </c>
      <c r="F867" s="897">
        <v>0.2</v>
      </c>
      <c r="G867" s="898">
        <v>20000</v>
      </c>
      <c r="H867" s="703">
        <f t="shared" si="26"/>
        <v>1.1774212610172641E-3</v>
      </c>
      <c r="I867" s="704">
        <f t="shared" si="27"/>
        <v>2.3548425220345283E-4</v>
      </c>
    </row>
    <row r="868" spans="2:9">
      <c r="B868" s="598" t="s">
        <v>2595</v>
      </c>
      <c r="C868" s="604" t="s">
        <v>1102</v>
      </c>
      <c r="D868" s="745">
        <v>2009</v>
      </c>
      <c r="E868" s="650" t="s">
        <v>1651</v>
      </c>
      <c r="F868" s="897">
        <v>0.2</v>
      </c>
      <c r="G868" s="898">
        <v>5000</v>
      </c>
      <c r="H868" s="703">
        <f t="shared" si="26"/>
        <v>2.9435531525431603E-4</v>
      </c>
      <c r="I868" s="704">
        <f t="shared" si="27"/>
        <v>5.8871063050863209E-5</v>
      </c>
    </row>
    <row r="869" spans="2:9">
      <c r="B869" s="598" t="s">
        <v>2595</v>
      </c>
      <c r="C869" s="604" t="s">
        <v>1102</v>
      </c>
      <c r="D869" s="745">
        <v>2010</v>
      </c>
      <c r="E869" s="650" t="s">
        <v>1652</v>
      </c>
      <c r="F869" s="897">
        <v>0.2</v>
      </c>
      <c r="G869" s="898">
        <v>12500</v>
      </c>
      <c r="H869" s="703">
        <f t="shared" si="26"/>
        <v>7.3588828813579005E-4</v>
      </c>
      <c r="I869" s="704">
        <f t="shared" si="27"/>
        <v>1.4717765762715801E-4</v>
      </c>
    </row>
    <row r="870" spans="2:9">
      <c r="B870" s="598" t="s">
        <v>2595</v>
      </c>
      <c r="C870" s="604" t="s">
        <v>1102</v>
      </c>
      <c r="D870" s="745">
        <v>2011</v>
      </c>
      <c r="E870" s="650" t="s">
        <v>1653</v>
      </c>
      <c r="F870" s="897">
        <v>0.2</v>
      </c>
      <c r="G870" s="898">
        <v>595.36</v>
      </c>
      <c r="H870" s="703">
        <f t="shared" si="26"/>
        <v>3.504947609796192E-5</v>
      </c>
      <c r="I870" s="704">
        <f t="shared" si="27"/>
        <v>7.0098952195923845E-6</v>
      </c>
    </row>
    <row r="871" spans="2:9">
      <c r="B871" s="598" t="s">
        <v>2595</v>
      </c>
      <c r="C871" s="604" t="s">
        <v>1102</v>
      </c>
      <c r="D871" s="745">
        <v>2013</v>
      </c>
      <c r="E871" s="650"/>
      <c r="F871" s="897">
        <v>0.2</v>
      </c>
      <c r="G871" s="898">
        <v>982.82</v>
      </c>
      <c r="H871" s="703">
        <f t="shared" si="26"/>
        <v>5.7859658187649378E-5</v>
      </c>
      <c r="I871" s="704">
        <f t="shared" si="27"/>
        <v>1.1571931637529876E-5</v>
      </c>
    </row>
    <row r="872" spans="2:9">
      <c r="B872" s="598" t="s">
        <v>2595</v>
      </c>
      <c r="C872" s="604" t="s">
        <v>1102</v>
      </c>
      <c r="D872" s="745">
        <v>2011</v>
      </c>
      <c r="E872" s="650" t="s">
        <v>1654</v>
      </c>
      <c r="F872" s="897">
        <v>0.2</v>
      </c>
      <c r="G872" s="898">
        <v>225.69</v>
      </c>
      <c r="H872" s="703">
        <f t="shared" si="26"/>
        <v>1.3286610219949316E-5</v>
      </c>
      <c r="I872" s="704">
        <f t="shared" si="27"/>
        <v>2.6573220439898634E-6</v>
      </c>
    </row>
    <row r="873" spans="2:9">
      <c r="B873" s="598" t="s">
        <v>2595</v>
      </c>
      <c r="C873" s="604" t="s">
        <v>1102</v>
      </c>
      <c r="D873" s="745">
        <v>2012</v>
      </c>
      <c r="E873" s="650" t="s">
        <v>1655</v>
      </c>
      <c r="F873" s="897">
        <v>0.2</v>
      </c>
      <c r="G873" s="898">
        <v>3000</v>
      </c>
      <c r="H873" s="703">
        <f t="shared" si="26"/>
        <v>1.7661318915258961E-4</v>
      </c>
      <c r="I873" s="704">
        <f t="shared" si="27"/>
        <v>3.5322637830517927E-5</v>
      </c>
    </row>
    <row r="874" spans="2:9">
      <c r="B874" s="598" t="s">
        <v>2595</v>
      </c>
      <c r="C874" s="604" t="s">
        <v>1102</v>
      </c>
      <c r="D874" s="745">
        <v>2012</v>
      </c>
      <c r="E874" s="650"/>
      <c r="F874" s="897">
        <v>0.2</v>
      </c>
      <c r="G874" s="898">
        <v>1487</v>
      </c>
      <c r="H874" s="703">
        <f t="shared" si="26"/>
        <v>8.7541270756633593E-5</v>
      </c>
      <c r="I874" s="704">
        <f t="shared" si="27"/>
        <v>1.7508254151326719E-5</v>
      </c>
    </row>
    <row r="875" spans="2:9">
      <c r="B875" s="598" t="s">
        <v>2595</v>
      </c>
      <c r="C875" s="604" t="s">
        <v>1102</v>
      </c>
      <c r="D875" s="745">
        <v>2012</v>
      </c>
      <c r="E875" s="650"/>
      <c r="F875" s="897">
        <v>0.2</v>
      </c>
      <c r="G875" s="898">
        <v>2560</v>
      </c>
      <c r="H875" s="703">
        <f t="shared" si="26"/>
        <v>1.5070992141020981E-4</v>
      </c>
      <c r="I875" s="704">
        <f t="shared" si="27"/>
        <v>3.0141984282041961E-5</v>
      </c>
    </row>
    <row r="876" spans="2:9">
      <c r="B876" s="598" t="s">
        <v>2595</v>
      </c>
      <c r="C876" s="604" t="s">
        <v>1102</v>
      </c>
      <c r="D876" s="745">
        <v>2012</v>
      </c>
      <c r="E876" s="650" t="s">
        <v>1656</v>
      </c>
      <c r="F876" s="897">
        <v>0.2</v>
      </c>
      <c r="G876" s="898">
        <v>3000</v>
      </c>
      <c r="H876" s="703">
        <f t="shared" si="26"/>
        <v>1.7661318915258961E-4</v>
      </c>
      <c r="I876" s="704">
        <f t="shared" si="27"/>
        <v>3.5322637830517927E-5</v>
      </c>
    </row>
    <row r="877" spans="2:9">
      <c r="B877" s="598" t="s">
        <v>2595</v>
      </c>
      <c r="C877" s="604" t="s">
        <v>1102</v>
      </c>
      <c r="D877" s="745">
        <v>2012</v>
      </c>
      <c r="E877" s="650"/>
      <c r="F877" s="897">
        <v>0.2</v>
      </c>
      <c r="G877" s="898">
        <v>3259</v>
      </c>
      <c r="H877" s="703">
        <f t="shared" si="26"/>
        <v>1.9186079448276318E-4</v>
      </c>
      <c r="I877" s="704">
        <f t="shared" si="27"/>
        <v>3.8372158896552638E-5</v>
      </c>
    </row>
    <row r="878" spans="2:9">
      <c r="B878" s="598" t="s">
        <v>2595</v>
      </c>
      <c r="C878" s="604" t="s">
        <v>1102</v>
      </c>
      <c r="D878" s="745">
        <v>2012</v>
      </c>
      <c r="E878" s="650" t="s">
        <v>1657</v>
      </c>
      <c r="F878" s="897">
        <v>0.2</v>
      </c>
      <c r="G878" s="898">
        <v>3000</v>
      </c>
      <c r="H878" s="703">
        <f t="shared" si="26"/>
        <v>1.7661318915258961E-4</v>
      </c>
      <c r="I878" s="704">
        <f t="shared" si="27"/>
        <v>3.5322637830517927E-5</v>
      </c>
    </row>
    <row r="879" spans="2:9">
      <c r="B879" s="598" t="s">
        <v>2595</v>
      </c>
      <c r="C879" s="604" t="s">
        <v>1102</v>
      </c>
      <c r="D879" s="745">
        <v>2012</v>
      </c>
      <c r="E879" s="650"/>
      <c r="F879" s="897">
        <v>0.2</v>
      </c>
      <c r="G879" s="898">
        <v>1882</v>
      </c>
      <c r="H879" s="703">
        <f t="shared" si="26"/>
        <v>1.1079534066172455E-4</v>
      </c>
      <c r="I879" s="704">
        <f t="shared" si="27"/>
        <v>2.2159068132344912E-5</v>
      </c>
    </row>
    <row r="880" spans="2:9">
      <c r="B880" s="598" t="s">
        <v>2595</v>
      </c>
      <c r="C880" s="604" t="s">
        <v>1102</v>
      </c>
      <c r="D880" s="745">
        <v>2012</v>
      </c>
      <c r="E880" s="650" t="s">
        <v>1658</v>
      </c>
      <c r="F880" s="897">
        <v>0.2</v>
      </c>
      <c r="G880" s="898">
        <v>9600</v>
      </c>
      <c r="H880" s="703">
        <f t="shared" si="26"/>
        <v>5.6516220528828682E-4</v>
      </c>
      <c r="I880" s="704">
        <f t="shared" si="27"/>
        <v>1.1303244105765737E-4</v>
      </c>
    </row>
    <row r="881" spans="2:9">
      <c r="B881" s="598" t="s">
        <v>2595</v>
      </c>
      <c r="C881" s="604" t="s">
        <v>1102</v>
      </c>
      <c r="D881" s="745">
        <v>2013</v>
      </c>
      <c r="E881" s="650" t="s">
        <v>1659</v>
      </c>
      <c r="F881" s="897">
        <v>0.2</v>
      </c>
      <c r="G881" s="898">
        <v>14400</v>
      </c>
      <c r="H881" s="703">
        <f t="shared" si="26"/>
        <v>8.4774330793243018E-4</v>
      </c>
      <c r="I881" s="704">
        <f t="shared" si="27"/>
        <v>1.6954866158648606E-4</v>
      </c>
    </row>
    <row r="882" spans="2:9">
      <c r="B882" s="598" t="s">
        <v>2595</v>
      </c>
      <c r="C882" s="604" t="s">
        <v>1102</v>
      </c>
      <c r="D882" s="745">
        <v>2013</v>
      </c>
      <c r="E882" s="650" t="s">
        <v>1660</v>
      </c>
      <c r="F882" s="897">
        <v>0.2</v>
      </c>
      <c r="G882" s="898">
        <v>10800</v>
      </c>
      <c r="H882" s="703">
        <f t="shared" si="26"/>
        <v>6.3580748094932264E-4</v>
      </c>
      <c r="I882" s="704">
        <f t="shared" si="27"/>
        <v>1.2716149618986454E-4</v>
      </c>
    </row>
    <row r="883" spans="2:9">
      <c r="B883" s="598" t="s">
        <v>2595</v>
      </c>
      <c r="C883" s="604" t="s">
        <v>1102</v>
      </c>
      <c r="D883" s="745">
        <v>2013</v>
      </c>
      <c r="E883" s="650" t="s">
        <v>1661</v>
      </c>
      <c r="F883" s="897">
        <v>0.2</v>
      </c>
      <c r="G883" s="898">
        <v>10600</v>
      </c>
      <c r="H883" s="703">
        <f t="shared" si="26"/>
        <v>6.2403326833915002E-4</v>
      </c>
      <c r="I883" s="704">
        <f t="shared" si="27"/>
        <v>1.2480665366783E-4</v>
      </c>
    </row>
    <row r="884" spans="2:9">
      <c r="B884" s="598" t="s">
        <v>2595</v>
      </c>
      <c r="C884" s="604" t="s">
        <v>1102</v>
      </c>
      <c r="D884" s="745">
        <v>2013</v>
      </c>
      <c r="E884" s="650" t="s">
        <v>1662</v>
      </c>
      <c r="F884" s="897">
        <v>0.2</v>
      </c>
      <c r="G884" s="898">
        <v>23000</v>
      </c>
      <c r="H884" s="703">
        <f t="shared" si="26"/>
        <v>1.3540344501698537E-3</v>
      </c>
      <c r="I884" s="704">
        <f t="shared" si="27"/>
        <v>2.7080689003397074E-4</v>
      </c>
    </row>
    <row r="885" spans="2:9">
      <c r="B885" s="598" t="s">
        <v>2595</v>
      </c>
      <c r="C885" s="604" t="s">
        <v>1102</v>
      </c>
      <c r="D885" s="745">
        <v>2013</v>
      </c>
      <c r="E885" s="650" t="s">
        <v>1663</v>
      </c>
      <c r="F885" s="897">
        <v>0.2</v>
      </c>
      <c r="G885" s="898">
        <v>23000</v>
      </c>
      <c r="H885" s="703">
        <f t="shared" si="26"/>
        <v>1.3540344501698537E-3</v>
      </c>
      <c r="I885" s="704">
        <f t="shared" si="27"/>
        <v>2.7080689003397074E-4</v>
      </c>
    </row>
    <row r="886" spans="2:9">
      <c r="B886" s="598" t="s">
        <v>2595</v>
      </c>
      <c r="C886" s="604" t="s">
        <v>1102</v>
      </c>
      <c r="D886" s="745">
        <v>2013</v>
      </c>
      <c r="E886" s="650" t="s">
        <v>1664</v>
      </c>
      <c r="F886" s="897">
        <v>0.2</v>
      </c>
      <c r="G886" s="898">
        <v>1000</v>
      </c>
      <c r="H886" s="703">
        <f t="shared" si="26"/>
        <v>5.8871063050863209E-5</v>
      </c>
      <c r="I886" s="704">
        <f t="shared" si="27"/>
        <v>1.1774212610172643E-5</v>
      </c>
    </row>
    <row r="887" spans="2:9">
      <c r="B887" s="598" t="s">
        <v>2595</v>
      </c>
      <c r="C887" s="604" t="s">
        <v>1102</v>
      </c>
      <c r="D887" s="745">
        <v>2014</v>
      </c>
      <c r="E887" s="650" t="s">
        <v>1665</v>
      </c>
      <c r="F887" s="897">
        <v>0.2</v>
      </c>
      <c r="G887" s="898">
        <v>600</v>
      </c>
      <c r="H887" s="703">
        <f t="shared" si="26"/>
        <v>3.5322637830517927E-5</v>
      </c>
      <c r="I887" s="704">
        <f t="shared" si="27"/>
        <v>7.0645275661035855E-6</v>
      </c>
    </row>
    <row r="888" spans="2:9">
      <c r="B888" s="598" t="s">
        <v>2595</v>
      </c>
      <c r="C888" s="604" t="s">
        <v>1102</v>
      </c>
      <c r="D888" s="745">
        <v>2014</v>
      </c>
      <c r="E888" s="650" t="s">
        <v>1666</v>
      </c>
      <c r="F888" s="897">
        <v>0.2</v>
      </c>
      <c r="G888" s="898">
        <v>600</v>
      </c>
      <c r="H888" s="703">
        <f t="shared" si="26"/>
        <v>3.5322637830517927E-5</v>
      </c>
      <c r="I888" s="704">
        <f t="shared" si="27"/>
        <v>7.0645275661035855E-6</v>
      </c>
    </row>
    <row r="889" spans="2:9">
      <c r="B889" s="598" t="s">
        <v>2595</v>
      </c>
      <c r="C889" s="604" t="s">
        <v>1102</v>
      </c>
      <c r="D889" s="745">
        <v>2014</v>
      </c>
      <c r="E889" s="650" t="s">
        <v>1667</v>
      </c>
      <c r="F889" s="897">
        <v>0.2</v>
      </c>
      <c r="G889" s="898">
        <v>1080</v>
      </c>
      <c r="H889" s="703">
        <f t="shared" si="26"/>
        <v>6.3580748094932258E-5</v>
      </c>
      <c r="I889" s="704">
        <f t="shared" si="27"/>
        <v>1.2716149618986452E-5</v>
      </c>
    </row>
    <row r="890" spans="2:9">
      <c r="B890" s="598" t="s">
        <v>2595</v>
      </c>
      <c r="C890" s="604" t="s">
        <v>1102</v>
      </c>
      <c r="D890" s="745">
        <v>2014</v>
      </c>
      <c r="E890" s="650" t="s">
        <v>1668</v>
      </c>
      <c r="F890" s="897">
        <v>0.2</v>
      </c>
      <c r="G890" s="898">
        <v>220</v>
      </c>
      <c r="H890" s="703">
        <f t="shared" si="26"/>
        <v>1.2951633871189905E-5</v>
      </c>
      <c r="I890" s="704">
        <f t="shared" si="27"/>
        <v>2.590326774237981E-6</v>
      </c>
    </row>
    <row r="891" spans="2:9">
      <c r="B891" s="598" t="s">
        <v>2595</v>
      </c>
      <c r="C891" s="604" t="s">
        <v>1102</v>
      </c>
      <c r="D891" s="745">
        <v>2015</v>
      </c>
      <c r="E891" s="650" t="s">
        <v>1669</v>
      </c>
      <c r="F891" s="897">
        <v>0.2</v>
      </c>
      <c r="G891" s="898">
        <v>6500</v>
      </c>
      <c r="H891" s="703">
        <f t="shared" si="26"/>
        <v>3.8266190983061082E-4</v>
      </c>
      <c r="I891" s="704">
        <f t="shared" si="27"/>
        <v>7.6532381966122175E-5</v>
      </c>
    </row>
    <row r="892" spans="2:9">
      <c r="B892" s="598" t="s">
        <v>2595</v>
      </c>
      <c r="C892" s="604" t="s">
        <v>1102</v>
      </c>
      <c r="D892" s="745">
        <v>2015</v>
      </c>
      <c r="E892" s="650" t="s">
        <v>1670</v>
      </c>
      <c r="F892" s="897">
        <v>0.2</v>
      </c>
      <c r="G892" s="898">
        <v>207</v>
      </c>
      <c r="H892" s="703">
        <f t="shared" si="26"/>
        <v>1.2186310051528683E-5</v>
      </c>
      <c r="I892" s="704">
        <f t="shared" si="27"/>
        <v>2.437262010305737E-6</v>
      </c>
    </row>
    <row r="893" spans="2:9">
      <c r="B893" s="598" t="s">
        <v>2595</v>
      </c>
      <c r="C893" s="604" t="s">
        <v>1102</v>
      </c>
      <c r="D893" s="745">
        <v>2015</v>
      </c>
      <c r="E893" s="650" t="s">
        <v>1671</v>
      </c>
      <c r="F893" s="897">
        <v>0.2</v>
      </c>
      <c r="G893" s="898">
        <v>128</v>
      </c>
      <c r="H893" s="703">
        <f t="shared" si="26"/>
        <v>7.5354960705104903E-6</v>
      </c>
      <c r="I893" s="704">
        <f t="shared" si="27"/>
        <v>1.5070992141020982E-6</v>
      </c>
    </row>
    <row r="894" spans="2:9">
      <c r="B894" s="598" t="s">
        <v>2595</v>
      </c>
      <c r="C894" s="604" t="s">
        <v>1102</v>
      </c>
      <c r="D894" s="745">
        <v>2015</v>
      </c>
      <c r="E894" s="650" t="s">
        <v>1672</v>
      </c>
      <c r="F894" s="897">
        <v>0.2</v>
      </c>
      <c r="G894" s="898">
        <v>128</v>
      </c>
      <c r="H894" s="703">
        <f t="shared" si="26"/>
        <v>7.5354960705104903E-6</v>
      </c>
      <c r="I894" s="704">
        <f t="shared" si="27"/>
        <v>1.5070992141020982E-6</v>
      </c>
    </row>
    <row r="895" spans="2:9">
      <c r="B895" s="598" t="s">
        <v>2595</v>
      </c>
      <c r="C895" s="604" t="s">
        <v>1102</v>
      </c>
      <c r="D895" s="745">
        <v>2015</v>
      </c>
      <c r="E895" s="650" t="s">
        <v>1673</v>
      </c>
      <c r="F895" s="897">
        <v>0.2</v>
      </c>
      <c r="G895" s="898">
        <v>5000</v>
      </c>
      <c r="H895" s="703">
        <f t="shared" si="26"/>
        <v>2.9435531525431603E-4</v>
      </c>
      <c r="I895" s="704">
        <f t="shared" si="27"/>
        <v>5.8871063050863209E-5</v>
      </c>
    </row>
    <row r="896" spans="2:9">
      <c r="B896" s="598" t="s">
        <v>2595</v>
      </c>
      <c r="C896" s="604" t="s">
        <v>1102</v>
      </c>
      <c r="D896" s="745">
        <v>2015</v>
      </c>
      <c r="E896" s="650" t="s">
        <v>1674</v>
      </c>
      <c r="F896" s="897">
        <v>0.2</v>
      </c>
      <c r="G896" s="898">
        <v>128</v>
      </c>
      <c r="H896" s="703">
        <f t="shared" si="26"/>
        <v>7.5354960705104903E-6</v>
      </c>
      <c r="I896" s="704">
        <f t="shared" si="27"/>
        <v>1.5070992141020982E-6</v>
      </c>
    </row>
    <row r="897" spans="2:9">
      <c r="B897" s="598" t="s">
        <v>2595</v>
      </c>
      <c r="C897" s="604" t="s">
        <v>1102</v>
      </c>
      <c r="D897" s="745">
        <v>2015</v>
      </c>
      <c r="E897" s="650" t="s">
        <v>1675</v>
      </c>
      <c r="F897" s="897">
        <v>0.2</v>
      </c>
      <c r="G897" s="898">
        <v>12660</v>
      </c>
      <c r="H897" s="703">
        <f t="shared" si="26"/>
        <v>7.4530765822392823E-4</v>
      </c>
      <c r="I897" s="704">
        <f t="shared" si="27"/>
        <v>1.4906153164478565E-4</v>
      </c>
    </row>
    <row r="898" spans="2:9">
      <c r="B898" s="598" t="s">
        <v>2595</v>
      </c>
      <c r="C898" s="604" t="s">
        <v>1102</v>
      </c>
      <c r="D898" s="745">
        <v>2015</v>
      </c>
      <c r="E898" s="650" t="s">
        <v>1676</v>
      </c>
      <c r="F898" s="897">
        <v>0.2</v>
      </c>
      <c r="G898" s="898">
        <v>128</v>
      </c>
      <c r="H898" s="703">
        <f t="shared" si="26"/>
        <v>7.5354960705104903E-6</v>
      </c>
      <c r="I898" s="704">
        <f t="shared" si="27"/>
        <v>1.5070992141020982E-6</v>
      </c>
    </row>
    <row r="899" spans="2:9">
      <c r="B899" s="598" t="s">
        <v>2595</v>
      </c>
      <c r="C899" s="604" t="s">
        <v>1102</v>
      </c>
      <c r="D899" s="745">
        <v>2015</v>
      </c>
      <c r="E899" s="650" t="s">
        <v>1677</v>
      </c>
      <c r="F899" s="897">
        <v>0.2</v>
      </c>
      <c r="G899" s="898">
        <v>235</v>
      </c>
      <c r="H899" s="703">
        <f t="shared" si="26"/>
        <v>1.3834699816952853E-5</v>
      </c>
      <c r="I899" s="704">
        <f t="shared" si="27"/>
        <v>2.7669399633905706E-6</v>
      </c>
    </row>
    <row r="900" spans="2:9">
      <c r="B900" s="598" t="s">
        <v>2595</v>
      </c>
      <c r="C900" s="604" t="s">
        <v>1102</v>
      </c>
      <c r="D900" s="745">
        <v>2016</v>
      </c>
      <c r="E900" s="650" t="s">
        <v>1678</v>
      </c>
      <c r="F900" s="897">
        <v>0.2</v>
      </c>
      <c r="G900" s="898">
        <v>4000</v>
      </c>
      <c r="H900" s="703">
        <f t="shared" si="26"/>
        <v>2.3548425220345283E-4</v>
      </c>
      <c r="I900" s="704">
        <f t="shared" si="27"/>
        <v>4.7096850440690571E-5</v>
      </c>
    </row>
    <row r="901" spans="2:9">
      <c r="B901" s="598" t="s">
        <v>2595</v>
      </c>
      <c r="C901" s="604" t="s">
        <v>1102</v>
      </c>
      <c r="D901" s="745">
        <v>2016</v>
      </c>
      <c r="E901" s="650"/>
      <c r="F901" s="897">
        <v>0.2</v>
      </c>
      <c r="G901" s="898">
        <v>4428.8</v>
      </c>
      <c r="H901" s="703">
        <f t="shared" ref="H901:H964" si="28">+G901/$G$1080</f>
        <v>2.6072816403966299E-4</v>
      </c>
      <c r="I901" s="704">
        <f t="shared" ref="I901:I964" si="29">+H901*F901</f>
        <v>5.2145632807932597E-5</v>
      </c>
    </row>
    <row r="902" spans="2:9">
      <c r="B902" s="598" t="s">
        <v>2595</v>
      </c>
      <c r="C902" s="604" t="s">
        <v>1102</v>
      </c>
      <c r="D902" s="745">
        <v>2016</v>
      </c>
      <c r="E902" s="650" t="s">
        <v>1679</v>
      </c>
      <c r="F902" s="897">
        <v>0.2</v>
      </c>
      <c r="G902" s="898">
        <v>2000</v>
      </c>
      <c r="H902" s="703">
        <f t="shared" si="28"/>
        <v>1.1774212610172642E-4</v>
      </c>
      <c r="I902" s="704">
        <f t="shared" si="29"/>
        <v>2.3548425220345286E-5</v>
      </c>
    </row>
    <row r="903" spans="2:9">
      <c r="B903" s="598" t="s">
        <v>2595</v>
      </c>
      <c r="C903" s="604" t="s">
        <v>1102</v>
      </c>
      <c r="D903" s="745">
        <v>2016</v>
      </c>
      <c r="E903" s="650"/>
      <c r="F903" s="897">
        <v>0.2</v>
      </c>
      <c r="G903" s="898">
        <v>2214.4</v>
      </c>
      <c r="H903" s="703">
        <f t="shared" si="28"/>
        <v>1.3036408201983149E-4</v>
      </c>
      <c r="I903" s="704">
        <f t="shared" si="29"/>
        <v>2.6072816403966299E-5</v>
      </c>
    </row>
    <row r="904" spans="2:9">
      <c r="B904" s="598" t="s">
        <v>2595</v>
      </c>
      <c r="C904" s="604" t="s">
        <v>1102</v>
      </c>
      <c r="D904" s="745">
        <v>2016</v>
      </c>
      <c r="E904" s="650" t="s">
        <v>1680</v>
      </c>
      <c r="F904" s="897">
        <v>0.2</v>
      </c>
      <c r="G904" s="898">
        <v>13000</v>
      </c>
      <c r="H904" s="703">
        <f t="shared" si="28"/>
        <v>7.6532381966122164E-4</v>
      </c>
      <c r="I904" s="704">
        <f t="shared" si="29"/>
        <v>1.5306476393224435E-4</v>
      </c>
    </row>
    <row r="905" spans="2:9">
      <c r="B905" s="598" t="s">
        <v>2595</v>
      </c>
      <c r="C905" s="604" t="s">
        <v>1102</v>
      </c>
      <c r="D905" s="745">
        <v>2016</v>
      </c>
      <c r="E905" s="650" t="s">
        <v>1681</v>
      </c>
      <c r="F905" s="897">
        <v>0.2</v>
      </c>
      <c r="G905" s="898">
        <v>13000</v>
      </c>
      <c r="H905" s="703">
        <f t="shared" si="28"/>
        <v>7.6532381966122164E-4</v>
      </c>
      <c r="I905" s="704">
        <f t="shared" si="29"/>
        <v>1.5306476393224435E-4</v>
      </c>
    </row>
    <row r="906" spans="2:9">
      <c r="B906" s="598" t="s">
        <v>2595</v>
      </c>
      <c r="C906" s="604" t="s">
        <v>1102</v>
      </c>
      <c r="D906" s="745">
        <v>2017</v>
      </c>
      <c r="E906" s="650" t="s">
        <v>1682</v>
      </c>
      <c r="F906" s="897">
        <v>0.2</v>
      </c>
      <c r="G906" s="898">
        <v>10409.84</v>
      </c>
      <c r="H906" s="703">
        <f t="shared" si="28"/>
        <v>6.1283834698939782E-4</v>
      </c>
      <c r="I906" s="704">
        <f t="shared" si="29"/>
        <v>1.2256766939787957E-4</v>
      </c>
    </row>
    <row r="907" spans="2:9">
      <c r="B907" s="598" t="s">
        <v>2595</v>
      </c>
      <c r="C907" s="604" t="s">
        <v>1102</v>
      </c>
      <c r="D907" s="745">
        <v>2017</v>
      </c>
      <c r="E907" s="650" t="s">
        <v>1683</v>
      </c>
      <c r="F907" s="897">
        <v>0.2</v>
      </c>
      <c r="G907" s="898">
        <v>240</v>
      </c>
      <c r="H907" s="703">
        <f t="shared" si="28"/>
        <v>1.4129055132207169E-5</v>
      </c>
      <c r="I907" s="704">
        <f t="shared" si="29"/>
        <v>2.8258110264414339E-6</v>
      </c>
    </row>
    <row r="908" spans="2:9">
      <c r="B908" s="598" t="s">
        <v>2595</v>
      </c>
      <c r="C908" s="604" t="s">
        <v>1102</v>
      </c>
      <c r="D908" s="745">
        <v>2017</v>
      </c>
      <c r="E908" s="650" t="s">
        <v>1684</v>
      </c>
      <c r="F908" s="897">
        <v>0.2</v>
      </c>
      <c r="G908" s="898">
        <v>5000</v>
      </c>
      <c r="H908" s="703">
        <f t="shared" si="28"/>
        <v>2.9435531525431603E-4</v>
      </c>
      <c r="I908" s="704">
        <f t="shared" si="29"/>
        <v>5.8871063050863209E-5</v>
      </c>
    </row>
    <row r="909" spans="2:9">
      <c r="B909" s="598" t="s">
        <v>2595</v>
      </c>
      <c r="C909" s="604" t="s">
        <v>1102</v>
      </c>
      <c r="D909" s="745">
        <v>2017</v>
      </c>
      <c r="E909" s="650" t="s">
        <v>1685</v>
      </c>
      <c r="F909" s="897">
        <v>0.2</v>
      </c>
      <c r="G909" s="898">
        <v>265</v>
      </c>
      <c r="H909" s="703">
        <f t="shared" si="28"/>
        <v>1.560083170847875E-5</v>
      </c>
      <c r="I909" s="704">
        <f t="shared" si="29"/>
        <v>3.1201663416957503E-6</v>
      </c>
    </row>
    <row r="910" spans="2:9">
      <c r="B910" s="598" t="s">
        <v>2595</v>
      </c>
      <c r="C910" s="604" t="s">
        <v>1102</v>
      </c>
      <c r="D910" s="745">
        <v>2018</v>
      </c>
      <c r="E910" s="650" t="s">
        <v>1686</v>
      </c>
      <c r="F910" s="897">
        <v>0.2</v>
      </c>
      <c r="G910" s="898">
        <v>5000</v>
      </c>
      <c r="H910" s="703">
        <f t="shared" si="28"/>
        <v>2.9435531525431603E-4</v>
      </c>
      <c r="I910" s="704">
        <f t="shared" si="29"/>
        <v>5.8871063050863209E-5</v>
      </c>
    </row>
    <row r="911" spans="2:9">
      <c r="B911" s="598" t="s">
        <v>2595</v>
      </c>
      <c r="C911" s="604" t="s">
        <v>1102</v>
      </c>
      <c r="D911" s="745">
        <v>2019</v>
      </c>
      <c r="E911" s="650" t="s">
        <v>1687</v>
      </c>
      <c r="F911" s="897">
        <v>0.2</v>
      </c>
      <c r="G911" s="898">
        <v>1370</v>
      </c>
      <c r="H911" s="703">
        <f t="shared" si="28"/>
        <v>8.0653356379682589E-5</v>
      </c>
      <c r="I911" s="704">
        <f t="shared" si="29"/>
        <v>1.6130671275936519E-5</v>
      </c>
    </row>
    <row r="912" spans="2:9">
      <c r="B912" s="598" t="s">
        <v>2595</v>
      </c>
      <c r="C912" s="604" t="s">
        <v>1102</v>
      </c>
      <c r="D912" s="745">
        <v>2019</v>
      </c>
      <c r="E912" s="650" t="s">
        <v>1688</v>
      </c>
      <c r="F912" s="897">
        <v>0.2</v>
      </c>
      <c r="G912" s="898">
        <v>133.69999999999999</v>
      </c>
      <c r="H912" s="703">
        <f t="shared" si="28"/>
        <v>7.8710611299004102E-6</v>
      </c>
      <c r="I912" s="704">
        <f t="shared" si="29"/>
        <v>1.5742122259800822E-6</v>
      </c>
    </row>
    <row r="913" spans="2:9">
      <c r="B913" s="598" t="s">
        <v>2595</v>
      </c>
      <c r="C913" s="604" t="s">
        <v>1102</v>
      </c>
      <c r="D913" s="745">
        <v>2019</v>
      </c>
      <c r="E913" s="650" t="s">
        <v>1689</v>
      </c>
      <c r="F913" s="897">
        <v>1</v>
      </c>
      <c r="G913" s="898">
        <v>147</v>
      </c>
      <c r="H913" s="703">
        <f t="shared" si="28"/>
        <v>8.6540462684768908E-6</v>
      </c>
      <c r="I913" s="704">
        <f t="shared" si="29"/>
        <v>8.6540462684768908E-6</v>
      </c>
    </row>
    <row r="914" spans="2:9">
      <c r="B914" s="598" t="s">
        <v>2595</v>
      </c>
      <c r="C914" s="604" t="s">
        <v>1102</v>
      </c>
      <c r="D914" s="745">
        <v>2020</v>
      </c>
      <c r="E914" s="650" t="s">
        <v>1690</v>
      </c>
      <c r="F914" s="897">
        <v>0.2</v>
      </c>
      <c r="G914" s="898">
        <v>4999.93</v>
      </c>
      <c r="H914" s="703">
        <f t="shared" si="28"/>
        <v>2.9435119427990248E-4</v>
      </c>
      <c r="I914" s="704">
        <f t="shared" si="29"/>
        <v>5.8870238855980497E-5</v>
      </c>
    </row>
    <row r="915" spans="2:9">
      <c r="B915" s="598" t="s">
        <v>2595</v>
      </c>
      <c r="C915" s="604" t="s">
        <v>1102</v>
      </c>
      <c r="D915" s="745">
        <v>2020</v>
      </c>
      <c r="E915" s="650" t="s">
        <v>1691</v>
      </c>
      <c r="F915" s="897">
        <v>0.2</v>
      </c>
      <c r="G915" s="898">
        <v>80000</v>
      </c>
      <c r="H915" s="703">
        <f t="shared" si="28"/>
        <v>4.7096850440690565E-3</v>
      </c>
      <c r="I915" s="704">
        <f t="shared" si="29"/>
        <v>9.4193700881381134E-4</v>
      </c>
    </row>
    <row r="916" spans="2:9">
      <c r="B916" s="598" t="s">
        <v>2595</v>
      </c>
      <c r="C916" s="604" t="s">
        <v>1102</v>
      </c>
      <c r="D916" s="745">
        <v>2020</v>
      </c>
      <c r="E916" s="650" t="s">
        <v>1692</v>
      </c>
      <c r="F916" s="897">
        <v>0.2</v>
      </c>
      <c r="G916" s="898">
        <v>11750</v>
      </c>
      <c r="H916" s="703">
        <f t="shared" si="28"/>
        <v>6.9173499084764271E-4</v>
      </c>
      <c r="I916" s="704">
        <f t="shared" si="29"/>
        <v>1.3834699816952855E-4</v>
      </c>
    </row>
    <row r="917" spans="2:9">
      <c r="B917" s="598" t="s">
        <v>2595</v>
      </c>
      <c r="C917" s="604" t="s">
        <v>1102</v>
      </c>
      <c r="D917" s="745">
        <v>2020</v>
      </c>
      <c r="E917" s="650" t="s">
        <v>1693</v>
      </c>
      <c r="F917" s="897">
        <v>0.2</v>
      </c>
      <c r="G917" s="898">
        <v>11750</v>
      </c>
      <c r="H917" s="703">
        <f t="shared" si="28"/>
        <v>6.9173499084764271E-4</v>
      </c>
      <c r="I917" s="704">
        <f t="shared" si="29"/>
        <v>1.3834699816952855E-4</v>
      </c>
    </row>
    <row r="918" spans="2:9">
      <c r="B918" s="598" t="s">
        <v>2595</v>
      </c>
      <c r="C918" s="604" t="s">
        <v>1102</v>
      </c>
      <c r="D918" s="745">
        <v>2020</v>
      </c>
      <c r="E918" s="650" t="s">
        <v>1694</v>
      </c>
      <c r="F918" s="897">
        <v>0.2</v>
      </c>
      <c r="G918" s="898">
        <v>10000</v>
      </c>
      <c r="H918" s="703">
        <f t="shared" si="28"/>
        <v>5.8871063050863206E-4</v>
      </c>
      <c r="I918" s="704">
        <f t="shared" si="29"/>
        <v>1.1774212610172642E-4</v>
      </c>
    </row>
    <row r="919" spans="2:9">
      <c r="B919" s="598" t="s">
        <v>2595</v>
      </c>
      <c r="C919" s="604" t="s">
        <v>1102</v>
      </c>
      <c r="D919" s="745">
        <v>2020</v>
      </c>
      <c r="E919" s="650" t="s">
        <v>1695</v>
      </c>
      <c r="F919" s="897">
        <v>0.2</v>
      </c>
      <c r="G919" s="898">
        <v>130</v>
      </c>
      <c r="H919" s="703">
        <f t="shared" si="28"/>
        <v>7.6532381966122175E-6</v>
      </c>
      <c r="I919" s="704">
        <f t="shared" si="29"/>
        <v>1.5306476393224435E-6</v>
      </c>
    </row>
    <row r="920" spans="2:9">
      <c r="B920" s="598" t="s">
        <v>2595</v>
      </c>
      <c r="C920" s="604" t="s">
        <v>1102</v>
      </c>
      <c r="D920" s="745">
        <v>2020</v>
      </c>
      <c r="E920" s="650" t="s">
        <v>1696</v>
      </c>
      <c r="F920" s="897">
        <v>0.2</v>
      </c>
      <c r="G920" s="898">
        <v>140</v>
      </c>
      <c r="H920" s="703">
        <f t="shared" si="28"/>
        <v>8.2419488271208487E-6</v>
      </c>
      <c r="I920" s="704">
        <f t="shared" si="29"/>
        <v>1.6483897654241697E-6</v>
      </c>
    </row>
    <row r="921" spans="2:9">
      <c r="B921" s="598" t="s">
        <v>2595</v>
      </c>
      <c r="C921" s="604" t="s">
        <v>1102</v>
      </c>
      <c r="D921" s="745">
        <v>2020</v>
      </c>
      <c r="E921" s="650" t="s">
        <v>1697</v>
      </c>
      <c r="F921" s="897">
        <v>0.2</v>
      </c>
      <c r="G921" s="898">
        <v>240</v>
      </c>
      <c r="H921" s="703">
        <f t="shared" si="28"/>
        <v>1.4129055132207169E-5</v>
      </c>
      <c r="I921" s="704">
        <f t="shared" si="29"/>
        <v>2.8258110264414339E-6</v>
      </c>
    </row>
    <row r="922" spans="2:9">
      <c r="B922" s="598" t="s">
        <v>2595</v>
      </c>
      <c r="C922" s="604" t="s">
        <v>1102</v>
      </c>
      <c r="D922" s="745">
        <v>2020</v>
      </c>
      <c r="E922" s="650" t="s">
        <v>1698</v>
      </c>
      <c r="F922" s="897">
        <v>0.2</v>
      </c>
      <c r="G922" s="898">
        <v>190</v>
      </c>
      <c r="H922" s="703">
        <f t="shared" si="28"/>
        <v>1.118550197966401E-5</v>
      </c>
      <c r="I922" s="704">
        <f t="shared" si="29"/>
        <v>2.2371003959328022E-6</v>
      </c>
    </row>
    <row r="923" spans="2:9">
      <c r="B923" s="598" t="s">
        <v>2595</v>
      </c>
      <c r="C923" s="604" t="s">
        <v>1102</v>
      </c>
      <c r="D923" s="745">
        <v>2020</v>
      </c>
      <c r="E923" s="650" t="s">
        <v>1699</v>
      </c>
      <c r="F923" s="897">
        <v>0.2</v>
      </c>
      <c r="G923" s="898">
        <v>140</v>
      </c>
      <c r="H923" s="703">
        <f t="shared" si="28"/>
        <v>8.2419488271208487E-6</v>
      </c>
      <c r="I923" s="704">
        <f t="shared" si="29"/>
        <v>1.6483897654241697E-6</v>
      </c>
    </row>
    <row r="924" spans="2:9">
      <c r="B924" s="598" t="s">
        <v>2595</v>
      </c>
      <c r="C924" s="604" t="s">
        <v>1102</v>
      </c>
      <c r="D924" s="745">
        <v>2021</v>
      </c>
      <c r="E924" s="650" t="s">
        <v>1700</v>
      </c>
      <c r="F924" s="897">
        <v>0.2</v>
      </c>
      <c r="G924" s="898">
        <v>16000</v>
      </c>
      <c r="H924" s="703">
        <f t="shared" si="28"/>
        <v>9.4193700881381134E-4</v>
      </c>
      <c r="I924" s="704">
        <f t="shared" si="29"/>
        <v>1.8838740176276228E-4</v>
      </c>
    </row>
    <row r="925" spans="2:9">
      <c r="B925" s="598" t="s">
        <v>2595</v>
      </c>
      <c r="C925" s="604" t="s">
        <v>1102</v>
      </c>
      <c r="D925" s="745">
        <v>2021</v>
      </c>
      <c r="E925" s="650" t="s">
        <v>1701</v>
      </c>
      <c r="F925" s="897">
        <v>0.2</v>
      </c>
      <c r="G925" s="898">
        <v>16000</v>
      </c>
      <c r="H925" s="703">
        <f t="shared" si="28"/>
        <v>9.4193700881381134E-4</v>
      </c>
      <c r="I925" s="704">
        <f t="shared" si="29"/>
        <v>1.8838740176276228E-4</v>
      </c>
    </row>
    <row r="926" spans="2:9">
      <c r="B926" s="598" t="s">
        <v>2595</v>
      </c>
      <c r="C926" s="604" t="s">
        <v>1102</v>
      </c>
      <c r="D926" s="745">
        <v>2021</v>
      </c>
      <c r="E926" s="650" t="s">
        <v>1702</v>
      </c>
      <c r="F926" s="897">
        <v>0.2</v>
      </c>
      <c r="G926" s="898">
        <v>16000</v>
      </c>
      <c r="H926" s="703">
        <f t="shared" si="28"/>
        <v>9.4193700881381134E-4</v>
      </c>
      <c r="I926" s="704">
        <f t="shared" si="29"/>
        <v>1.8838740176276228E-4</v>
      </c>
    </row>
    <row r="927" spans="2:9">
      <c r="B927" s="598" t="s">
        <v>2595</v>
      </c>
      <c r="C927" s="604" t="s">
        <v>1102</v>
      </c>
      <c r="D927" s="745">
        <v>2021</v>
      </c>
      <c r="E927" s="650" t="s">
        <v>1703</v>
      </c>
      <c r="F927" s="897">
        <v>0.2</v>
      </c>
      <c r="G927" s="898">
        <v>16000</v>
      </c>
      <c r="H927" s="703">
        <f t="shared" si="28"/>
        <v>9.4193700881381134E-4</v>
      </c>
      <c r="I927" s="704">
        <f t="shared" si="29"/>
        <v>1.8838740176276228E-4</v>
      </c>
    </row>
    <row r="928" spans="2:9">
      <c r="B928" s="598" t="s">
        <v>2595</v>
      </c>
      <c r="C928" s="604" t="s">
        <v>1102</v>
      </c>
      <c r="D928" s="745">
        <v>2021</v>
      </c>
      <c r="E928" s="650" t="s">
        <v>1704</v>
      </c>
      <c r="F928" s="897">
        <v>0.2</v>
      </c>
      <c r="G928" s="898">
        <v>12657</v>
      </c>
      <c r="H928" s="703">
        <f t="shared" si="28"/>
        <v>7.4513104503477561E-4</v>
      </c>
      <c r="I928" s="704">
        <f t="shared" si="29"/>
        <v>1.4902620900695513E-4</v>
      </c>
    </row>
    <row r="929" spans="2:9">
      <c r="B929" s="598" t="s">
        <v>2595</v>
      </c>
      <c r="C929" s="604" t="s">
        <v>1102</v>
      </c>
      <c r="D929" s="745">
        <v>2021</v>
      </c>
      <c r="E929" s="650" t="s">
        <v>1705</v>
      </c>
      <c r="F929" s="897">
        <v>0.2</v>
      </c>
      <c r="G929" s="898">
        <v>412</v>
      </c>
      <c r="H929" s="703">
        <f t="shared" si="28"/>
        <v>2.4254877976955642E-5</v>
      </c>
      <c r="I929" s="704">
        <f t="shared" si="29"/>
        <v>4.8509755953911288E-6</v>
      </c>
    </row>
    <row r="930" spans="2:9">
      <c r="B930" s="598" t="s">
        <v>2595</v>
      </c>
      <c r="C930" s="604" t="s">
        <v>1102</v>
      </c>
      <c r="D930" s="745">
        <v>2021</v>
      </c>
      <c r="E930" s="650" t="s">
        <v>1706</v>
      </c>
      <c r="F930" s="897">
        <v>0.2</v>
      </c>
      <c r="G930" s="898">
        <v>412</v>
      </c>
      <c r="H930" s="703">
        <f t="shared" si="28"/>
        <v>2.4254877976955642E-5</v>
      </c>
      <c r="I930" s="704">
        <f t="shared" si="29"/>
        <v>4.8509755953911288E-6</v>
      </c>
    </row>
    <row r="931" spans="2:9">
      <c r="B931" s="598" t="s">
        <v>2595</v>
      </c>
      <c r="C931" s="604" t="s">
        <v>1102</v>
      </c>
      <c r="D931" s="745">
        <v>2021</v>
      </c>
      <c r="E931" s="650" t="s">
        <v>1707</v>
      </c>
      <c r="F931" s="897">
        <v>0.2</v>
      </c>
      <c r="G931" s="898">
        <v>412</v>
      </c>
      <c r="H931" s="703">
        <f t="shared" si="28"/>
        <v>2.4254877976955642E-5</v>
      </c>
      <c r="I931" s="704">
        <f t="shared" si="29"/>
        <v>4.8509755953911288E-6</v>
      </c>
    </row>
    <row r="932" spans="2:9">
      <c r="B932" s="598" t="s">
        <v>2595</v>
      </c>
      <c r="C932" s="604" t="s">
        <v>1102</v>
      </c>
      <c r="D932" s="745">
        <v>2021</v>
      </c>
      <c r="E932" s="650" t="s">
        <v>1708</v>
      </c>
      <c r="F932" s="897">
        <v>0.2</v>
      </c>
      <c r="G932" s="898">
        <v>25600</v>
      </c>
      <c r="H932" s="703">
        <f t="shared" si="28"/>
        <v>1.5070992141020981E-3</v>
      </c>
      <c r="I932" s="704">
        <f t="shared" si="29"/>
        <v>3.0141984282041961E-4</v>
      </c>
    </row>
    <row r="933" spans="2:9">
      <c r="B933" s="598" t="s">
        <v>2595</v>
      </c>
      <c r="C933" s="604" t="s">
        <v>1102</v>
      </c>
      <c r="D933" s="745">
        <v>2021</v>
      </c>
      <c r="E933" s="650" t="s">
        <v>1709</v>
      </c>
      <c r="F933" s="897">
        <v>0.2</v>
      </c>
      <c r="G933" s="898">
        <v>16000</v>
      </c>
      <c r="H933" s="703">
        <f t="shared" si="28"/>
        <v>9.4193700881381134E-4</v>
      </c>
      <c r="I933" s="704">
        <f t="shared" si="29"/>
        <v>1.8838740176276228E-4</v>
      </c>
    </row>
    <row r="934" spans="2:9">
      <c r="B934" s="598" t="s">
        <v>2595</v>
      </c>
      <c r="C934" s="604" t="s">
        <v>1102</v>
      </c>
      <c r="D934" s="745">
        <v>2021</v>
      </c>
      <c r="E934" s="650" t="s">
        <v>1710</v>
      </c>
      <c r="F934" s="897">
        <v>0.2</v>
      </c>
      <c r="G934" s="898">
        <v>16500</v>
      </c>
      <c r="H934" s="703">
        <f t="shared" si="28"/>
        <v>9.7137254033924294E-4</v>
      </c>
      <c r="I934" s="704">
        <f t="shared" si="29"/>
        <v>1.9427450806784859E-4</v>
      </c>
    </row>
    <row r="935" spans="2:9">
      <c r="B935" s="598" t="s">
        <v>2595</v>
      </c>
      <c r="C935" s="604" t="s">
        <v>1102</v>
      </c>
      <c r="D935" s="745">
        <v>2021</v>
      </c>
      <c r="E935" s="650" t="s">
        <v>1711</v>
      </c>
      <c r="F935" s="897">
        <v>0.2</v>
      </c>
      <c r="G935" s="898">
        <v>16500</v>
      </c>
      <c r="H935" s="703">
        <f t="shared" si="28"/>
        <v>9.7137254033924294E-4</v>
      </c>
      <c r="I935" s="704">
        <f t="shared" si="29"/>
        <v>1.9427450806784859E-4</v>
      </c>
    </row>
    <row r="936" spans="2:9">
      <c r="B936" s="598" t="s">
        <v>2595</v>
      </c>
      <c r="C936" s="604" t="s">
        <v>1102</v>
      </c>
      <c r="D936" s="745">
        <v>2021</v>
      </c>
      <c r="E936" s="650" t="s">
        <v>1712</v>
      </c>
      <c r="F936" s="897">
        <v>0.2</v>
      </c>
      <c r="G936" s="898">
        <v>16000</v>
      </c>
      <c r="H936" s="703">
        <f t="shared" si="28"/>
        <v>9.4193700881381134E-4</v>
      </c>
      <c r="I936" s="704">
        <f t="shared" si="29"/>
        <v>1.8838740176276228E-4</v>
      </c>
    </row>
    <row r="937" spans="2:9">
      <c r="B937" s="598" t="s">
        <v>2595</v>
      </c>
      <c r="C937" s="604" t="s">
        <v>1102</v>
      </c>
      <c r="D937" s="745">
        <v>2021</v>
      </c>
      <c r="E937" s="650" t="s">
        <v>1713</v>
      </c>
      <c r="F937" s="897">
        <v>0.2</v>
      </c>
      <c r="G937" s="898">
        <v>450</v>
      </c>
      <c r="H937" s="703">
        <f t="shared" si="28"/>
        <v>2.6491978372888443E-5</v>
      </c>
      <c r="I937" s="704">
        <f t="shared" si="29"/>
        <v>5.2983956745776893E-6</v>
      </c>
    </row>
    <row r="938" spans="2:9">
      <c r="B938" s="598" t="s">
        <v>2595</v>
      </c>
      <c r="C938" s="604" t="s">
        <v>1102</v>
      </c>
      <c r="D938" s="745">
        <v>2021</v>
      </c>
      <c r="E938" s="650" t="s">
        <v>1714</v>
      </c>
      <c r="F938" s="897">
        <v>0.2</v>
      </c>
      <c r="G938" s="898">
        <v>450</v>
      </c>
      <c r="H938" s="703">
        <f t="shared" si="28"/>
        <v>2.6491978372888443E-5</v>
      </c>
      <c r="I938" s="704">
        <f t="shared" si="29"/>
        <v>5.2983956745776893E-6</v>
      </c>
    </row>
    <row r="939" spans="2:9">
      <c r="B939" s="598" t="s">
        <v>2595</v>
      </c>
      <c r="C939" s="604" t="s">
        <v>1102</v>
      </c>
      <c r="D939" s="745">
        <v>2021</v>
      </c>
      <c r="E939" s="650" t="s">
        <v>1715</v>
      </c>
      <c r="F939" s="897">
        <v>0.2</v>
      </c>
      <c r="G939" s="898">
        <v>520</v>
      </c>
      <c r="H939" s="703">
        <f t="shared" si="28"/>
        <v>3.061295278644887E-5</v>
      </c>
      <c r="I939" s="704">
        <f t="shared" si="29"/>
        <v>6.1225905572897742E-6</v>
      </c>
    </row>
    <row r="940" spans="2:9">
      <c r="B940" s="598" t="s">
        <v>2595</v>
      </c>
      <c r="C940" s="604" t="s">
        <v>1102</v>
      </c>
      <c r="D940" s="745">
        <v>2021</v>
      </c>
      <c r="E940" s="650" t="s">
        <v>1716</v>
      </c>
      <c r="F940" s="897">
        <v>0.2</v>
      </c>
      <c r="G940" s="898">
        <v>16000</v>
      </c>
      <c r="H940" s="703">
        <f t="shared" si="28"/>
        <v>9.4193700881381134E-4</v>
      </c>
      <c r="I940" s="704">
        <f t="shared" si="29"/>
        <v>1.8838740176276228E-4</v>
      </c>
    </row>
    <row r="941" spans="2:9">
      <c r="B941" s="598" t="s">
        <v>2595</v>
      </c>
      <c r="C941" s="604" t="s">
        <v>1102</v>
      </c>
      <c r="D941" s="745">
        <v>2021</v>
      </c>
      <c r="E941" s="650" t="s">
        <v>1717</v>
      </c>
      <c r="F941" s="897">
        <v>0.2</v>
      </c>
      <c r="G941" s="898">
        <v>15800</v>
      </c>
      <c r="H941" s="703">
        <f t="shared" si="28"/>
        <v>9.3016279620363861E-4</v>
      </c>
      <c r="I941" s="704">
        <f t="shared" si="29"/>
        <v>1.8603255924072774E-4</v>
      </c>
    </row>
    <row r="942" spans="2:9">
      <c r="B942" s="598" t="s">
        <v>2595</v>
      </c>
      <c r="C942" s="604" t="s">
        <v>1102</v>
      </c>
      <c r="D942" s="745">
        <v>2021</v>
      </c>
      <c r="E942" s="650" t="s">
        <v>1718</v>
      </c>
      <c r="F942" s="897">
        <v>0.2</v>
      </c>
      <c r="G942" s="898">
        <v>15150</v>
      </c>
      <c r="H942" s="703">
        <f t="shared" si="28"/>
        <v>8.9189660522057753E-4</v>
      </c>
      <c r="I942" s="704">
        <f t="shared" si="29"/>
        <v>1.7837932104411552E-4</v>
      </c>
    </row>
    <row r="943" spans="2:9">
      <c r="B943" s="598" t="s">
        <v>2595</v>
      </c>
      <c r="C943" s="604" t="s">
        <v>1102</v>
      </c>
      <c r="D943" s="745">
        <v>2021</v>
      </c>
      <c r="E943" s="650" t="s">
        <v>1719</v>
      </c>
      <c r="F943" s="897">
        <v>0.2</v>
      </c>
      <c r="G943" s="898">
        <v>15150</v>
      </c>
      <c r="H943" s="703">
        <f t="shared" si="28"/>
        <v>8.9189660522057753E-4</v>
      </c>
      <c r="I943" s="704">
        <f t="shared" si="29"/>
        <v>1.7837932104411552E-4</v>
      </c>
    </row>
    <row r="944" spans="2:9">
      <c r="B944" s="598" t="s">
        <v>2595</v>
      </c>
      <c r="C944" s="604" t="s">
        <v>1102</v>
      </c>
      <c r="D944" s="745">
        <v>2021</v>
      </c>
      <c r="E944" s="650" t="s">
        <v>1720</v>
      </c>
      <c r="F944" s="897">
        <v>0.2</v>
      </c>
      <c r="G944" s="898">
        <v>16000</v>
      </c>
      <c r="H944" s="703">
        <f t="shared" si="28"/>
        <v>9.4193700881381134E-4</v>
      </c>
      <c r="I944" s="704">
        <f t="shared" si="29"/>
        <v>1.8838740176276228E-4</v>
      </c>
    </row>
    <row r="945" spans="2:9">
      <c r="B945" s="598" t="s">
        <v>2595</v>
      </c>
      <c r="C945" s="604" t="s">
        <v>1102</v>
      </c>
      <c r="D945" s="745">
        <v>2021</v>
      </c>
      <c r="E945" s="650" t="s">
        <v>1721</v>
      </c>
      <c r="F945" s="897">
        <v>0.2</v>
      </c>
      <c r="G945" s="898">
        <v>510.94</v>
      </c>
      <c r="H945" s="703">
        <f t="shared" si="28"/>
        <v>3.0079580955208048E-5</v>
      </c>
      <c r="I945" s="704">
        <f t="shared" si="29"/>
        <v>6.0159161910416099E-6</v>
      </c>
    </row>
    <row r="946" spans="2:9">
      <c r="B946" s="598" t="s">
        <v>2595</v>
      </c>
      <c r="C946" s="604" t="s">
        <v>1102</v>
      </c>
      <c r="D946" s="745">
        <v>2021</v>
      </c>
      <c r="E946" s="650" t="s">
        <v>1722</v>
      </c>
      <c r="F946" s="897">
        <v>0.2</v>
      </c>
      <c r="G946" s="898">
        <v>510.94</v>
      </c>
      <c r="H946" s="703">
        <f t="shared" si="28"/>
        <v>3.0079580955208048E-5</v>
      </c>
      <c r="I946" s="704">
        <f t="shared" si="29"/>
        <v>6.0159161910416099E-6</v>
      </c>
    </row>
    <row r="947" spans="2:9">
      <c r="B947" s="598" t="s">
        <v>2595</v>
      </c>
      <c r="C947" s="604" t="s">
        <v>1102</v>
      </c>
      <c r="D947" s="745">
        <v>2021</v>
      </c>
      <c r="E947" s="650" t="s">
        <v>1723</v>
      </c>
      <c r="F947" s="897">
        <v>0.2</v>
      </c>
      <c r="G947" s="898">
        <v>505</v>
      </c>
      <c r="H947" s="703">
        <f t="shared" si="28"/>
        <v>2.9729886840685919E-5</v>
      </c>
      <c r="I947" s="704">
        <f t="shared" si="29"/>
        <v>5.9459773681371842E-6</v>
      </c>
    </row>
    <row r="948" spans="2:9">
      <c r="B948" s="598" t="s">
        <v>2595</v>
      </c>
      <c r="C948" s="604" t="s">
        <v>1102</v>
      </c>
      <c r="D948" s="745">
        <v>2021</v>
      </c>
      <c r="E948" s="650" t="s">
        <v>1724</v>
      </c>
      <c r="F948" s="897">
        <v>0.2</v>
      </c>
      <c r="G948" s="898">
        <v>29000</v>
      </c>
      <c r="H948" s="703">
        <f t="shared" si="28"/>
        <v>1.7072608284750329E-3</v>
      </c>
      <c r="I948" s="704">
        <f t="shared" si="29"/>
        <v>3.4145216569500661E-4</v>
      </c>
    </row>
    <row r="949" spans="2:9">
      <c r="B949" s="598" t="s">
        <v>2595</v>
      </c>
      <c r="C949" s="604" t="s">
        <v>1102</v>
      </c>
      <c r="D949" s="745">
        <v>2021</v>
      </c>
      <c r="E949" s="650" t="s">
        <v>1725</v>
      </c>
      <c r="F949" s="897">
        <v>0.2</v>
      </c>
      <c r="G949" s="898">
        <v>498</v>
      </c>
      <c r="H949" s="703">
        <f t="shared" si="28"/>
        <v>2.9317789399329877E-5</v>
      </c>
      <c r="I949" s="704">
        <f t="shared" si="29"/>
        <v>5.8635578798659754E-6</v>
      </c>
    </row>
    <row r="950" spans="2:9">
      <c r="B950" s="598" t="s">
        <v>2595</v>
      </c>
      <c r="C950" s="604" t="s">
        <v>1102</v>
      </c>
      <c r="D950" s="745">
        <v>2021</v>
      </c>
      <c r="E950" s="650" t="s">
        <v>1726</v>
      </c>
      <c r="F950" s="897">
        <v>0.2</v>
      </c>
      <c r="G950" s="898">
        <v>16000</v>
      </c>
      <c r="H950" s="703">
        <f t="shared" si="28"/>
        <v>9.4193700881381134E-4</v>
      </c>
      <c r="I950" s="704">
        <f t="shared" si="29"/>
        <v>1.8838740176276228E-4</v>
      </c>
    </row>
    <row r="951" spans="2:9">
      <c r="B951" s="598" t="s">
        <v>2595</v>
      </c>
      <c r="C951" s="604" t="s">
        <v>1102</v>
      </c>
      <c r="D951" s="745">
        <v>2021</v>
      </c>
      <c r="E951" s="650" t="s">
        <v>1727</v>
      </c>
      <c r="F951" s="897">
        <v>0.2</v>
      </c>
      <c r="G951" s="898">
        <v>32800</v>
      </c>
      <c r="H951" s="703">
        <f t="shared" si="28"/>
        <v>1.9309708680683131E-3</v>
      </c>
      <c r="I951" s="704">
        <f t="shared" si="29"/>
        <v>3.8619417361366264E-4</v>
      </c>
    </row>
    <row r="952" spans="2:9">
      <c r="B952" s="598" t="s">
        <v>2595</v>
      </c>
      <c r="C952" s="604" t="s">
        <v>1102</v>
      </c>
      <c r="D952" s="745">
        <v>2021</v>
      </c>
      <c r="E952" s="650" t="s">
        <v>1728</v>
      </c>
      <c r="F952" s="897">
        <v>0.2</v>
      </c>
      <c r="G952" s="898">
        <v>24000</v>
      </c>
      <c r="H952" s="703">
        <f t="shared" si="28"/>
        <v>1.4129055132207169E-3</v>
      </c>
      <c r="I952" s="704">
        <f t="shared" si="29"/>
        <v>2.8258110264414341E-4</v>
      </c>
    </row>
    <row r="953" spans="2:9">
      <c r="B953" s="598" t="s">
        <v>2595</v>
      </c>
      <c r="C953" s="604" t="s">
        <v>1102</v>
      </c>
      <c r="D953" s="745">
        <v>2021</v>
      </c>
      <c r="E953" s="650" t="s">
        <v>1729</v>
      </c>
      <c r="F953" s="897">
        <v>0.2</v>
      </c>
      <c r="G953" s="898">
        <v>12000</v>
      </c>
      <c r="H953" s="703">
        <f t="shared" si="28"/>
        <v>7.0645275661035845E-4</v>
      </c>
      <c r="I953" s="704">
        <f t="shared" si="29"/>
        <v>1.4129055132207171E-4</v>
      </c>
    </row>
    <row r="954" spans="2:9">
      <c r="B954" s="598" t="s">
        <v>2595</v>
      </c>
      <c r="C954" s="604" t="s">
        <v>1102</v>
      </c>
      <c r="D954" s="745">
        <v>2021</v>
      </c>
      <c r="E954" s="650" t="s">
        <v>1730</v>
      </c>
      <c r="F954" s="897">
        <v>0.2</v>
      </c>
      <c r="G954" s="898">
        <v>12000</v>
      </c>
      <c r="H954" s="703">
        <f t="shared" si="28"/>
        <v>7.0645275661035845E-4</v>
      </c>
      <c r="I954" s="704">
        <f t="shared" si="29"/>
        <v>1.4129055132207171E-4</v>
      </c>
    </row>
    <row r="955" spans="2:9">
      <c r="B955" s="598" t="s">
        <v>2595</v>
      </c>
      <c r="C955" s="604" t="s">
        <v>1102</v>
      </c>
      <c r="D955" s="745">
        <v>2021</v>
      </c>
      <c r="E955" s="650" t="s">
        <v>1731</v>
      </c>
      <c r="F955" s="897">
        <v>0.2</v>
      </c>
      <c r="G955" s="898">
        <v>19400</v>
      </c>
      <c r="H955" s="703">
        <f t="shared" si="28"/>
        <v>1.1420986231867462E-3</v>
      </c>
      <c r="I955" s="704">
        <f t="shared" si="29"/>
        <v>2.2841972463734925E-4</v>
      </c>
    </row>
    <row r="956" spans="2:9">
      <c r="B956" s="598" t="s">
        <v>2595</v>
      </c>
      <c r="C956" s="604" t="s">
        <v>1102</v>
      </c>
      <c r="D956" s="745">
        <v>2022</v>
      </c>
      <c r="E956" s="650" t="s">
        <v>2559</v>
      </c>
      <c r="F956" s="897">
        <v>0.2</v>
      </c>
      <c r="G956" s="898">
        <v>320</v>
      </c>
      <c r="H956" s="703">
        <f t="shared" si="28"/>
        <v>1.8838740176276226E-5</v>
      </c>
      <c r="I956" s="704">
        <f t="shared" si="29"/>
        <v>3.7677480352552451E-6</v>
      </c>
    </row>
    <row r="957" spans="2:9">
      <c r="B957" s="598" t="s">
        <v>2595</v>
      </c>
      <c r="C957" s="604" t="s">
        <v>1102</v>
      </c>
      <c r="D957" s="745">
        <v>2022</v>
      </c>
      <c r="E957" s="650" t="s">
        <v>2560</v>
      </c>
      <c r="F957" s="897">
        <v>0.2</v>
      </c>
      <c r="G957" s="898">
        <v>300</v>
      </c>
      <c r="H957" s="703">
        <f t="shared" si="28"/>
        <v>1.7661318915258963E-5</v>
      </c>
      <c r="I957" s="704">
        <f t="shared" si="29"/>
        <v>3.5322637830517927E-6</v>
      </c>
    </row>
    <row r="958" spans="2:9">
      <c r="B958" s="598" t="s">
        <v>2595</v>
      </c>
      <c r="C958" s="604" t="s">
        <v>1102</v>
      </c>
      <c r="D958" s="745">
        <v>2022</v>
      </c>
      <c r="E958" s="650" t="s">
        <v>2561</v>
      </c>
      <c r="F958" s="897">
        <v>0.2</v>
      </c>
      <c r="G958" s="898">
        <v>300</v>
      </c>
      <c r="H958" s="703">
        <f t="shared" si="28"/>
        <v>1.7661318915258963E-5</v>
      </c>
      <c r="I958" s="704">
        <f t="shared" si="29"/>
        <v>3.5322637830517927E-6</v>
      </c>
    </row>
    <row r="959" spans="2:9">
      <c r="B959" s="598" t="s">
        <v>2595</v>
      </c>
      <c r="C959" s="604" t="s">
        <v>1102</v>
      </c>
      <c r="D959" s="745">
        <v>2022</v>
      </c>
      <c r="E959" s="650" t="s">
        <v>2562</v>
      </c>
      <c r="F959" s="897">
        <v>0.2</v>
      </c>
      <c r="G959" s="898">
        <v>35023.24</v>
      </c>
      <c r="H959" s="703">
        <f t="shared" si="28"/>
        <v>2.0618553702855141E-3</v>
      </c>
      <c r="I959" s="704">
        <f t="shared" si="29"/>
        <v>4.1237107405710282E-4</v>
      </c>
    </row>
    <row r="960" spans="2:9">
      <c r="B960" s="598" t="s">
        <v>2595</v>
      </c>
      <c r="C960" s="604" t="s">
        <v>1102</v>
      </c>
      <c r="D960" s="745">
        <v>2022</v>
      </c>
      <c r="E960" s="650" t="s">
        <v>2563</v>
      </c>
      <c r="F960" s="897">
        <v>0.2</v>
      </c>
      <c r="G960" s="898">
        <v>19700</v>
      </c>
      <c r="H960" s="703">
        <f t="shared" si="28"/>
        <v>1.1597599421020051E-3</v>
      </c>
      <c r="I960" s="704">
        <f t="shared" si="29"/>
        <v>2.3195198842040104E-4</v>
      </c>
    </row>
    <row r="961" spans="2:9">
      <c r="B961" s="598" t="s">
        <v>2595</v>
      </c>
      <c r="C961" s="604" t="s">
        <v>1102</v>
      </c>
      <c r="D961" s="745">
        <v>2022</v>
      </c>
      <c r="E961" s="650" t="s">
        <v>2564</v>
      </c>
      <c r="F961" s="897">
        <v>0.2</v>
      </c>
      <c r="G961" s="898">
        <v>19350</v>
      </c>
      <c r="H961" s="703">
        <f t="shared" si="28"/>
        <v>1.139155070034203E-3</v>
      </c>
      <c r="I961" s="704">
        <f t="shared" si="29"/>
        <v>2.2783101400684062E-4</v>
      </c>
    </row>
    <row r="962" spans="2:9">
      <c r="B962" s="598" t="s">
        <v>2595</v>
      </c>
      <c r="C962" s="604" t="s">
        <v>1102</v>
      </c>
      <c r="D962" s="745">
        <v>2022</v>
      </c>
      <c r="E962" s="650" t="s">
        <v>2565</v>
      </c>
      <c r="F962" s="897">
        <v>0.2</v>
      </c>
      <c r="G962" s="898">
        <v>19350</v>
      </c>
      <c r="H962" s="703">
        <f t="shared" si="28"/>
        <v>1.139155070034203E-3</v>
      </c>
      <c r="I962" s="704">
        <f t="shared" si="29"/>
        <v>2.2783101400684062E-4</v>
      </c>
    </row>
    <row r="963" spans="2:9">
      <c r="B963" s="598" t="s">
        <v>2595</v>
      </c>
      <c r="C963" s="604" t="s">
        <v>1102</v>
      </c>
      <c r="D963" s="745">
        <v>2022</v>
      </c>
      <c r="E963" s="650" t="s">
        <v>2566</v>
      </c>
      <c r="F963" s="897">
        <v>0.2</v>
      </c>
      <c r="G963" s="898">
        <v>18500</v>
      </c>
      <c r="H963" s="703">
        <f t="shared" si="28"/>
        <v>1.0891146664409692E-3</v>
      </c>
      <c r="I963" s="704">
        <f t="shared" si="29"/>
        <v>2.1782293328819385E-4</v>
      </c>
    </row>
    <row r="964" spans="2:9">
      <c r="B964" s="598" t="s">
        <v>2595</v>
      </c>
      <c r="C964" s="604" t="s">
        <v>1102</v>
      </c>
      <c r="D964" s="745">
        <v>2022</v>
      </c>
      <c r="E964" s="650" t="s">
        <v>2567</v>
      </c>
      <c r="F964" s="897">
        <v>0.2</v>
      </c>
      <c r="G964" s="898">
        <v>435</v>
      </c>
      <c r="H964" s="703">
        <f t="shared" si="28"/>
        <v>2.5608912427125496E-5</v>
      </c>
      <c r="I964" s="704">
        <f t="shared" si="29"/>
        <v>5.1217824854250993E-6</v>
      </c>
    </row>
    <row r="965" spans="2:9">
      <c r="B965" s="598" t="s">
        <v>2595</v>
      </c>
      <c r="C965" s="604" t="s">
        <v>1102</v>
      </c>
      <c r="D965" s="745">
        <v>2022</v>
      </c>
      <c r="E965" s="650" t="s">
        <v>2568</v>
      </c>
      <c r="F965" s="897">
        <v>0.2</v>
      </c>
      <c r="G965" s="898">
        <v>706</v>
      </c>
      <c r="H965" s="703">
        <f t="shared" ref="H965:H1028" si="30">+G965/$G$1080</f>
        <v>4.1562970513909424E-5</v>
      </c>
      <c r="I965" s="704">
        <f t="shared" ref="I965:I1028" si="31">+H965*F965</f>
        <v>8.3125941027818858E-6</v>
      </c>
    </row>
    <row r="966" spans="2:9">
      <c r="B966" s="598" t="s">
        <v>2595</v>
      </c>
      <c r="C966" s="604" t="s">
        <v>1102</v>
      </c>
      <c r="D966" s="745">
        <v>2022</v>
      </c>
      <c r="E966" s="650" t="s">
        <v>2569</v>
      </c>
      <c r="F966" s="897">
        <v>0.2</v>
      </c>
      <c r="G966" s="898">
        <v>3500</v>
      </c>
      <c r="H966" s="703">
        <f t="shared" si="30"/>
        <v>2.0604872067802121E-4</v>
      </c>
      <c r="I966" s="704">
        <f t="shared" si="31"/>
        <v>4.1209744135604242E-5</v>
      </c>
    </row>
    <row r="967" spans="2:9">
      <c r="B967" s="598" t="s">
        <v>2595</v>
      </c>
      <c r="C967" s="604" t="s">
        <v>1102</v>
      </c>
      <c r="D967" s="745">
        <v>2022</v>
      </c>
      <c r="E967" s="650" t="s">
        <v>2570</v>
      </c>
      <c r="F967" s="897">
        <v>0.2</v>
      </c>
      <c r="G967" s="898">
        <v>280</v>
      </c>
      <c r="H967" s="703">
        <f t="shared" si="30"/>
        <v>1.6483897654241697E-5</v>
      </c>
      <c r="I967" s="704">
        <f t="shared" si="31"/>
        <v>3.2967795308483395E-6</v>
      </c>
    </row>
    <row r="968" spans="2:9">
      <c r="B968" s="598" t="s">
        <v>2595</v>
      </c>
      <c r="C968" s="604" t="s">
        <v>1102</v>
      </c>
      <c r="D968" s="745">
        <v>2022</v>
      </c>
      <c r="E968" s="650" t="s">
        <v>2571</v>
      </c>
      <c r="F968" s="897">
        <v>0.2</v>
      </c>
      <c r="G968" s="898">
        <v>255</v>
      </c>
      <c r="H968" s="703">
        <f t="shared" si="30"/>
        <v>1.5012121077970117E-5</v>
      </c>
      <c r="I968" s="704">
        <f t="shared" si="31"/>
        <v>3.0024242155940235E-6</v>
      </c>
    </row>
    <row r="969" spans="2:9">
      <c r="B969" s="598" t="s">
        <v>2595</v>
      </c>
      <c r="C969" s="604" t="s">
        <v>1102</v>
      </c>
      <c r="D969" s="745">
        <v>2022</v>
      </c>
      <c r="E969" s="650" t="s">
        <v>2572</v>
      </c>
      <c r="F969" s="897">
        <v>0.2</v>
      </c>
      <c r="G969" s="898">
        <v>255</v>
      </c>
      <c r="H969" s="703">
        <f t="shared" si="30"/>
        <v>1.5012121077970117E-5</v>
      </c>
      <c r="I969" s="704">
        <f t="shared" si="31"/>
        <v>3.0024242155940235E-6</v>
      </c>
    </row>
    <row r="970" spans="2:9">
      <c r="B970" s="598" t="s">
        <v>2595</v>
      </c>
      <c r="C970" s="604" t="s">
        <v>1102</v>
      </c>
      <c r="D970" s="745">
        <v>2022</v>
      </c>
      <c r="E970" s="650" t="s">
        <v>2573</v>
      </c>
      <c r="F970" s="897">
        <v>0.2</v>
      </c>
      <c r="G970" s="898">
        <v>10409.84</v>
      </c>
      <c r="H970" s="703">
        <f t="shared" si="30"/>
        <v>6.1283834698939782E-4</v>
      </c>
      <c r="I970" s="704">
        <f t="shared" si="31"/>
        <v>1.2256766939787957E-4</v>
      </c>
    </row>
    <row r="971" spans="2:9">
      <c r="B971" s="598" t="s">
        <v>2595</v>
      </c>
      <c r="C971" s="604" t="s">
        <v>1102</v>
      </c>
      <c r="D971" s="745">
        <v>2022</v>
      </c>
      <c r="E971" s="650" t="s">
        <v>2574</v>
      </c>
      <c r="F971" s="897">
        <v>0.2</v>
      </c>
      <c r="G971" s="898">
        <v>10409.84</v>
      </c>
      <c r="H971" s="703">
        <f t="shared" si="30"/>
        <v>6.1283834698939782E-4</v>
      </c>
      <c r="I971" s="704">
        <f t="shared" si="31"/>
        <v>1.2256766939787957E-4</v>
      </c>
    </row>
    <row r="972" spans="2:9">
      <c r="B972" s="598" t="s">
        <v>2595</v>
      </c>
      <c r="C972" s="604" t="s">
        <v>1102</v>
      </c>
      <c r="D972" s="745">
        <v>2022</v>
      </c>
      <c r="E972" s="650" t="s">
        <v>2575</v>
      </c>
      <c r="F972" s="897">
        <v>0.2</v>
      </c>
      <c r="G972" s="898">
        <v>300</v>
      </c>
      <c r="H972" s="703">
        <f t="shared" si="30"/>
        <v>1.7661318915258963E-5</v>
      </c>
      <c r="I972" s="704">
        <f t="shared" si="31"/>
        <v>3.5322637830517927E-6</v>
      </c>
    </row>
    <row r="973" spans="2:9">
      <c r="B973" s="598" t="s">
        <v>2595</v>
      </c>
      <c r="C973" s="604" t="s">
        <v>1102</v>
      </c>
      <c r="D973" s="745">
        <v>2022</v>
      </c>
      <c r="E973" s="650" t="s">
        <v>2576</v>
      </c>
      <c r="F973" s="897">
        <v>0.2</v>
      </c>
      <c r="G973" s="898">
        <v>145</v>
      </c>
      <c r="H973" s="703">
        <f t="shared" si="30"/>
        <v>8.5363041423751652E-6</v>
      </c>
      <c r="I973" s="704">
        <f t="shared" si="31"/>
        <v>1.7072608284750332E-6</v>
      </c>
    </row>
    <row r="974" spans="2:9">
      <c r="B974" s="598" t="s">
        <v>2595</v>
      </c>
      <c r="C974" s="604" t="s">
        <v>1102</v>
      </c>
      <c r="D974" s="745">
        <v>2022</v>
      </c>
      <c r="E974" s="650" t="s">
        <v>2577</v>
      </c>
      <c r="F974" s="897">
        <v>0.2</v>
      </c>
      <c r="G974" s="898">
        <v>145</v>
      </c>
      <c r="H974" s="703">
        <f t="shared" si="30"/>
        <v>8.5363041423751652E-6</v>
      </c>
      <c r="I974" s="704">
        <f t="shared" si="31"/>
        <v>1.7072608284750332E-6</v>
      </c>
    </row>
    <row r="975" spans="2:9">
      <c r="B975" s="598" t="s">
        <v>2595</v>
      </c>
      <c r="C975" s="604" t="s">
        <v>1102</v>
      </c>
      <c r="D975" s="745">
        <v>2022</v>
      </c>
      <c r="E975" s="650" t="s">
        <v>2578</v>
      </c>
      <c r="F975" s="897">
        <v>0.2</v>
      </c>
      <c r="G975" s="898">
        <v>145</v>
      </c>
      <c r="H975" s="703">
        <f t="shared" si="30"/>
        <v>8.5363041423751652E-6</v>
      </c>
      <c r="I975" s="704">
        <f t="shared" si="31"/>
        <v>1.7072608284750332E-6</v>
      </c>
    </row>
    <row r="976" spans="2:9">
      <c r="B976" s="598" t="s">
        <v>2595</v>
      </c>
      <c r="C976" s="604" t="s">
        <v>1102</v>
      </c>
      <c r="D976" s="745">
        <v>2022</v>
      </c>
      <c r="E976" s="650" t="s">
        <v>2579</v>
      </c>
      <c r="F976" s="897">
        <v>0.2</v>
      </c>
      <c r="G976" s="898">
        <v>145</v>
      </c>
      <c r="H976" s="703">
        <f t="shared" si="30"/>
        <v>8.5363041423751652E-6</v>
      </c>
      <c r="I976" s="704">
        <f t="shared" si="31"/>
        <v>1.7072608284750332E-6</v>
      </c>
    </row>
    <row r="977" spans="2:9">
      <c r="B977" s="598" t="s">
        <v>2595</v>
      </c>
      <c r="C977" s="604" t="s">
        <v>1102</v>
      </c>
      <c r="D977" s="745">
        <v>2022</v>
      </c>
      <c r="E977" s="650" t="s">
        <v>2580</v>
      </c>
      <c r="F977" s="897">
        <v>0.2</v>
      </c>
      <c r="G977" s="898">
        <v>11000</v>
      </c>
      <c r="H977" s="703">
        <f t="shared" si="30"/>
        <v>6.4758169355949525E-4</v>
      </c>
      <c r="I977" s="704">
        <f t="shared" si="31"/>
        <v>1.2951633871189906E-4</v>
      </c>
    </row>
    <row r="978" spans="2:9">
      <c r="B978" s="598" t="s">
        <v>2595</v>
      </c>
      <c r="C978" s="604" t="s">
        <v>1102</v>
      </c>
      <c r="D978" s="745">
        <v>2022</v>
      </c>
      <c r="E978" s="650" t="s">
        <v>2581</v>
      </c>
      <c r="F978" s="897">
        <v>0.2</v>
      </c>
      <c r="G978" s="898">
        <v>215</v>
      </c>
      <c r="H978" s="703">
        <f t="shared" si="30"/>
        <v>1.2657278555935589E-5</v>
      </c>
      <c r="I978" s="704">
        <f t="shared" si="31"/>
        <v>2.5314557111871178E-6</v>
      </c>
    </row>
    <row r="979" spans="2:9">
      <c r="B979" s="598" t="s">
        <v>2595</v>
      </c>
      <c r="C979" s="604" t="s">
        <v>1102</v>
      </c>
      <c r="D979" s="745">
        <v>2022</v>
      </c>
      <c r="E979" s="650" t="s">
        <v>2582</v>
      </c>
      <c r="F979" s="897">
        <v>0.2</v>
      </c>
      <c r="G979" s="898">
        <v>215</v>
      </c>
      <c r="H979" s="703">
        <f t="shared" si="30"/>
        <v>1.2657278555935589E-5</v>
      </c>
      <c r="I979" s="704">
        <f t="shared" si="31"/>
        <v>2.5314557111871178E-6</v>
      </c>
    </row>
    <row r="980" spans="2:9">
      <c r="B980" s="598" t="s">
        <v>2595</v>
      </c>
      <c r="C980" s="604" t="s">
        <v>1102</v>
      </c>
      <c r="D980" s="745">
        <v>2022</v>
      </c>
      <c r="E980" s="650" t="s">
        <v>2583</v>
      </c>
      <c r="F980" s="897">
        <v>0.2</v>
      </c>
      <c r="G980" s="898">
        <v>235</v>
      </c>
      <c r="H980" s="703">
        <f t="shared" si="30"/>
        <v>1.3834699816952853E-5</v>
      </c>
      <c r="I980" s="704">
        <f t="shared" si="31"/>
        <v>2.7669399633905706E-6</v>
      </c>
    </row>
    <row r="981" spans="2:9">
      <c r="B981" s="598" t="s">
        <v>2595</v>
      </c>
      <c r="C981" s="604" t="s">
        <v>1103</v>
      </c>
      <c r="D981" s="745">
        <v>2018</v>
      </c>
      <c r="E981" s="650" t="s">
        <v>1732</v>
      </c>
      <c r="F981" s="897">
        <v>0.25</v>
      </c>
      <c r="G981" s="898">
        <v>9622</v>
      </c>
      <c r="H981" s="703">
        <f t="shared" si="30"/>
        <v>5.6645736867540577E-4</v>
      </c>
      <c r="I981" s="704">
        <f t="shared" si="31"/>
        <v>1.4161434216885144E-4</v>
      </c>
    </row>
    <row r="982" spans="2:9">
      <c r="B982" s="598" t="s">
        <v>2595</v>
      </c>
      <c r="C982" s="604" t="s">
        <v>1103</v>
      </c>
      <c r="D982" s="745">
        <v>2021</v>
      </c>
      <c r="E982" s="650" t="s">
        <v>1733</v>
      </c>
      <c r="F982" s="897">
        <v>0.25</v>
      </c>
      <c r="G982" s="898">
        <v>16451.259999999998</v>
      </c>
      <c r="H982" s="703">
        <f t="shared" si="30"/>
        <v>9.6850316472614376E-4</v>
      </c>
      <c r="I982" s="704">
        <f t="shared" si="31"/>
        <v>2.4212579118153594E-4</v>
      </c>
    </row>
    <row r="983" spans="2:9">
      <c r="B983" s="598" t="s">
        <v>2595</v>
      </c>
      <c r="C983" s="604" t="s">
        <v>1108</v>
      </c>
      <c r="D983" s="745">
        <v>2013</v>
      </c>
      <c r="E983" s="650" t="s">
        <v>1734</v>
      </c>
      <c r="F983" s="897">
        <v>0.2</v>
      </c>
      <c r="G983" s="898">
        <v>33000</v>
      </c>
      <c r="H983" s="703">
        <f t="shared" si="30"/>
        <v>1.9427450806784859E-3</v>
      </c>
      <c r="I983" s="704">
        <f t="shared" si="31"/>
        <v>3.8854901613569719E-4</v>
      </c>
    </row>
    <row r="984" spans="2:9">
      <c r="B984" s="598" t="s">
        <v>2595</v>
      </c>
      <c r="C984" s="604" t="s">
        <v>1108</v>
      </c>
      <c r="D984" s="745">
        <v>2013</v>
      </c>
      <c r="E984" s="650"/>
      <c r="F984" s="897">
        <v>0.2</v>
      </c>
      <c r="G984" s="898">
        <v>9621.5400000000009</v>
      </c>
      <c r="H984" s="703">
        <f t="shared" si="30"/>
        <v>5.6643028798640245E-4</v>
      </c>
      <c r="I984" s="704">
        <f t="shared" si="31"/>
        <v>1.132860575972805E-4</v>
      </c>
    </row>
    <row r="985" spans="2:9">
      <c r="B985" s="598" t="s">
        <v>2595</v>
      </c>
      <c r="C985" s="604" t="s">
        <v>1108</v>
      </c>
      <c r="D985" s="745">
        <v>2013</v>
      </c>
      <c r="E985" s="650" t="s">
        <v>1735</v>
      </c>
      <c r="F985" s="897">
        <v>0.2</v>
      </c>
      <c r="G985" s="898">
        <v>12000</v>
      </c>
      <c r="H985" s="703">
        <f t="shared" si="30"/>
        <v>7.0645275661035845E-4</v>
      </c>
      <c r="I985" s="704">
        <f t="shared" si="31"/>
        <v>1.4129055132207171E-4</v>
      </c>
    </row>
    <row r="986" spans="2:9">
      <c r="B986" s="598" t="s">
        <v>2595</v>
      </c>
      <c r="C986" s="604" t="s">
        <v>1108</v>
      </c>
      <c r="D986" s="745">
        <v>2013</v>
      </c>
      <c r="E986" s="650" t="s">
        <v>1736</v>
      </c>
      <c r="F986" s="897">
        <v>0.2</v>
      </c>
      <c r="G986" s="898">
        <v>25900</v>
      </c>
      <c r="H986" s="703">
        <f t="shared" si="30"/>
        <v>1.524760533017357E-3</v>
      </c>
      <c r="I986" s="704">
        <f t="shared" si="31"/>
        <v>3.0495210660347143E-4</v>
      </c>
    </row>
    <row r="987" spans="2:9">
      <c r="B987" s="598" t="s">
        <v>2595</v>
      </c>
      <c r="C987" s="604" t="s">
        <v>1108</v>
      </c>
      <c r="D987" s="745">
        <v>2014</v>
      </c>
      <c r="E987" s="650" t="s">
        <v>1737</v>
      </c>
      <c r="F987" s="897">
        <v>0.2</v>
      </c>
      <c r="G987" s="898">
        <v>24000</v>
      </c>
      <c r="H987" s="703">
        <f t="shared" si="30"/>
        <v>1.4129055132207169E-3</v>
      </c>
      <c r="I987" s="704">
        <f t="shared" si="31"/>
        <v>2.8258110264414341E-4</v>
      </c>
    </row>
    <row r="988" spans="2:9">
      <c r="B988" s="598" t="s">
        <v>2595</v>
      </c>
      <c r="C988" s="604" t="s">
        <v>1108</v>
      </c>
      <c r="D988" s="745">
        <v>2014</v>
      </c>
      <c r="E988" s="650" t="s">
        <v>1738</v>
      </c>
      <c r="F988" s="897">
        <v>0.2</v>
      </c>
      <c r="G988" s="898">
        <v>14000</v>
      </c>
      <c r="H988" s="703">
        <f t="shared" si="30"/>
        <v>8.2419488271208484E-4</v>
      </c>
      <c r="I988" s="704">
        <f t="shared" si="31"/>
        <v>1.6483897654241697E-4</v>
      </c>
    </row>
    <row r="989" spans="2:9">
      <c r="B989" s="598" t="s">
        <v>2595</v>
      </c>
      <c r="C989" s="604" t="s">
        <v>1108</v>
      </c>
      <c r="D989" s="745">
        <v>2014</v>
      </c>
      <c r="E989" s="650" t="s">
        <v>1739</v>
      </c>
      <c r="F989" s="897">
        <v>0.2</v>
      </c>
      <c r="G989" s="898">
        <v>3000</v>
      </c>
      <c r="H989" s="703">
        <f t="shared" si="30"/>
        <v>1.7661318915258961E-4</v>
      </c>
      <c r="I989" s="704">
        <f t="shared" si="31"/>
        <v>3.5322637830517927E-5</v>
      </c>
    </row>
    <row r="990" spans="2:9">
      <c r="B990" s="598" t="s">
        <v>2595</v>
      </c>
      <c r="C990" s="604" t="s">
        <v>1108</v>
      </c>
      <c r="D990" s="745">
        <v>2014</v>
      </c>
      <c r="E990" s="650" t="s">
        <v>1740</v>
      </c>
      <c r="F990" s="897">
        <v>0.2</v>
      </c>
      <c r="G990" s="898">
        <v>13000</v>
      </c>
      <c r="H990" s="703">
        <f t="shared" si="30"/>
        <v>7.6532381966122164E-4</v>
      </c>
      <c r="I990" s="704">
        <f t="shared" si="31"/>
        <v>1.5306476393224435E-4</v>
      </c>
    </row>
    <row r="991" spans="2:9">
      <c r="B991" s="598" t="s">
        <v>2595</v>
      </c>
      <c r="C991" s="604" t="s">
        <v>1108</v>
      </c>
      <c r="D991" s="745">
        <v>2014</v>
      </c>
      <c r="E991" s="650" t="s">
        <v>1741</v>
      </c>
      <c r="F991" s="897">
        <v>0.2</v>
      </c>
      <c r="G991" s="898">
        <v>2100</v>
      </c>
      <c r="H991" s="703">
        <f t="shared" si="30"/>
        <v>1.2362923240681273E-4</v>
      </c>
      <c r="I991" s="704">
        <f t="shared" si="31"/>
        <v>2.4725846481362548E-5</v>
      </c>
    </row>
    <row r="992" spans="2:9">
      <c r="B992" s="598" t="s">
        <v>2595</v>
      </c>
      <c r="C992" s="604" t="s">
        <v>1108</v>
      </c>
      <c r="D992" s="745">
        <v>2015</v>
      </c>
      <c r="E992" s="650" t="s">
        <v>1742</v>
      </c>
      <c r="F992" s="897">
        <v>0.2</v>
      </c>
      <c r="G992" s="898">
        <v>40000</v>
      </c>
      <c r="H992" s="703">
        <f t="shared" si="30"/>
        <v>2.3548425220345282E-3</v>
      </c>
      <c r="I992" s="704">
        <f t="shared" si="31"/>
        <v>4.7096850440690567E-4</v>
      </c>
    </row>
    <row r="993" spans="2:9">
      <c r="B993" s="598" t="s">
        <v>2595</v>
      </c>
      <c r="C993" s="604" t="s">
        <v>1108</v>
      </c>
      <c r="D993" s="745">
        <v>2015</v>
      </c>
      <c r="E993" s="650" t="s">
        <v>1743</v>
      </c>
      <c r="F993" s="897">
        <v>0.2</v>
      </c>
      <c r="G993" s="898">
        <v>40000</v>
      </c>
      <c r="H993" s="703">
        <f t="shared" si="30"/>
        <v>2.3548425220345282E-3</v>
      </c>
      <c r="I993" s="704">
        <f t="shared" si="31"/>
        <v>4.7096850440690567E-4</v>
      </c>
    </row>
    <row r="994" spans="2:9">
      <c r="B994" s="598" t="s">
        <v>2595</v>
      </c>
      <c r="C994" s="604" t="s">
        <v>1108</v>
      </c>
      <c r="D994" s="745">
        <v>2016</v>
      </c>
      <c r="E994" s="650" t="s">
        <v>1744</v>
      </c>
      <c r="F994" s="897">
        <v>0.2</v>
      </c>
      <c r="G994" s="898">
        <v>21000</v>
      </c>
      <c r="H994" s="703">
        <f t="shared" si="30"/>
        <v>1.2362923240681273E-3</v>
      </c>
      <c r="I994" s="704">
        <f t="shared" si="31"/>
        <v>2.4725846481362545E-4</v>
      </c>
    </row>
    <row r="995" spans="2:9">
      <c r="B995" s="598" t="s">
        <v>2595</v>
      </c>
      <c r="C995" s="604" t="s">
        <v>1108</v>
      </c>
      <c r="D995" s="745">
        <v>2016</v>
      </c>
      <c r="E995" s="650" t="s">
        <v>1745</v>
      </c>
      <c r="F995" s="897">
        <v>0.2</v>
      </c>
      <c r="G995" s="898">
        <v>21000</v>
      </c>
      <c r="H995" s="703">
        <f t="shared" si="30"/>
        <v>1.2362923240681273E-3</v>
      </c>
      <c r="I995" s="704">
        <f t="shared" si="31"/>
        <v>2.4725846481362545E-4</v>
      </c>
    </row>
    <row r="996" spans="2:9">
      <c r="B996" s="598" t="s">
        <v>2595</v>
      </c>
      <c r="C996" s="604" t="s">
        <v>1108</v>
      </c>
      <c r="D996" s="745">
        <v>2016</v>
      </c>
      <c r="E996" s="650" t="s">
        <v>1746</v>
      </c>
      <c r="F996" s="897">
        <v>0.2</v>
      </c>
      <c r="G996" s="898">
        <v>10000</v>
      </c>
      <c r="H996" s="703">
        <f t="shared" si="30"/>
        <v>5.8871063050863206E-4</v>
      </c>
      <c r="I996" s="704">
        <f t="shared" si="31"/>
        <v>1.1774212610172642E-4</v>
      </c>
    </row>
    <row r="997" spans="2:9">
      <c r="B997" s="598" t="s">
        <v>2595</v>
      </c>
      <c r="C997" s="604" t="s">
        <v>1108</v>
      </c>
      <c r="D997" s="745">
        <v>2017</v>
      </c>
      <c r="E997" s="650" t="s">
        <v>1747</v>
      </c>
      <c r="F997" s="897">
        <v>0.2</v>
      </c>
      <c r="G997" s="898">
        <v>30000</v>
      </c>
      <c r="H997" s="703">
        <f t="shared" si="30"/>
        <v>1.7661318915258963E-3</v>
      </c>
      <c r="I997" s="704">
        <f t="shared" si="31"/>
        <v>3.5322637830517928E-4</v>
      </c>
    </row>
    <row r="998" spans="2:9">
      <c r="B998" s="598" t="s">
        <v>2595</v>
      </c>
      <c r="C998" s="604" t="s">
        <v>1108</v>
      </c>
      <c r="D998" s="745">
        <v>2017</v>
      </c>
      <c r="E998" s="650" t="s">
        <v>1748</v>
      </c>
      <c r="F998" s="897">
        <v>0.2</v>
      </c>
      <c r="G998" s="898">
        <v>4500</v>
      </c>
      <c r="H998" s="703">
        <f t="shared" si="30"/>
        <v>2.6491978372888443E-4</v>
      </c>
      <c r="I998" s="704">
        <f t="shared" si="31"/>
        <v>5.2983956745776886E-5</v>
      </c>
    </row>
    <row r="999" spans="2:9">
      <c r="B999" s="598" t="s">
        <v>2595</v>
      </c>
      <c r="C999" s="604" t="s">
        <v>1108</v>
      </c>
      <c r="D999" s="745">
        <v>2017</v>
      </c>
      <c r="E999" s="650" t="s">
        <v>1749</v>
      </c>
      <c r="F999" s="897">
        <v>0.2</v>
      </c>
      <c r="G999" s="898">
        <v>20500</v>
      </c>
      <c r="H999" s="703">
        <f t="shared" si="30"/>
        <v>1.2068567925426958E-3</v>
      </c>
      <c r="I999" s="704">
        <f t="shared" si="31"/>
        <v>2.4137135850853917E-4</v>
      </c>
    </row>
    <row r="1000" spans="2:9">
      <c r="B1000" s="598" t="s">
        <v>2595</v>
      </c>
      <c r="C1000" s="604" t="s">
        <v>1108</v>
      </c>
      <c r="D1000" s="745">
        <v>2018</v>
      </c>
      <c r="E1000" s="650" t="s">
        <v>1750</v>
      </c>
      <c r="F1000" s="897">
        <v>0.2</v>
      </c>
      <c r="G1000" s="898">
        <v>25000</v>
      </c>
      <c r="H1000" s="703">
        <f t="shared" si="30"/>
        <v>1.4717765762715801E-3</v>
      </c>
      <c r="I1000" s="704">
        <f t="shared" si="31"/>
        <v>2.9435531525431603E-4</v>
      </c>
    </row>
    <row r="1001" spans="2:9">
      <c r="B1001" s="598" t="s">
        <v>2595</v>
      </c>
      <c r="C1001" s="604" t="s">
        <v>1108</v>
      </c>
      <c r="D1001" s="745">
        <v>2018</v>
      </c>
      <c r="E1001" s="650" t="s">
        <v>1751</v>
      </c>
      <c r="F1001" s="897">
        <v>0.2</v>
      </c>
      <c r="G1001" s="898">
        <v>24000</v>
      </c>
      <c r="H1001" s="703">
        <f t="shared" si="30"/>
        <v>1.4129055132207169E-3</v>
      </c>
      <c r="I1001" s="704">
        <f t="shared" si="31"/>
        <v>2.8258110264414341E-4</v>
      </c>
    </row>
    <row r="1002" spans="2:9">
      <c r="B1002" s="598" t="s">
        <v>2595</v>
      </c>
      <c r="C1002" s="604" t="s">
        <v>1108</v>
      </c>
      <c r="D1002" s="745">
        <v>2018</v>
      </c>
      <c r="E1002" s="650" t="s">
        <v>1752</v>
      </c>
      <c r="F1002" s="897">
        <v>0.2</v>
      </c>
      <c r="G1002" s="898">
        <v>17000</v>
      </c>
      <c r="H1002" s="703">
        <f t="shared" si="30"/>
        <v>1.0008080718646745E-3</v>
      </c>
      <c r="I1002" s="704">
        <f t="shared" si="31"/>
        <v>2.0016161437293493E-4</v>
      </c>
    </row>
    <row r="1003" spans="2:9">
      <c r="B1003" s="598" t="s">
        <v>2595</v>
      </c>
      <c r="C1003" s="604" t="s">
        <v>1108</v>
      </c>
      <c r="D1003" s="745">
        <v>2018</v>
      </c>
      <c r="E1003" s="650" t="s">
        <v>1753</v>
      </c>
      <c r="F1003" s="897">
        <v>0.2</v>
      </c>
      <c r="G1003" s="898">
        <v>19000</v>
      </c>
      <c r="H1003" s="703">
        <f t="shared" si="30"/>
        <v>1.1185501979664009E-3</v>
      </c>
      <c r="I1003" s="704">
        <f t="shared" si="31"/>
        <v>2.2371003959328019E-4</v>
      </c>
    </row>
    <row r="1004" spans="2:9">
      <c r="B1004" s="598" t="s">
        <v>2595</v>
      </c>
      <c r="C1004" s="604" t="s">
        <v>1108</v>
      </c>
      <c r="D1004" s="745">
        <v>2019</v>
      </c>
      <c r="E1004" s="650" t="s">
        <v>1754</v>
      </c>
      <c r="F1004" s="897">
        <v>0.2</v>
      </c>
      <c r="G1004" s="898">
        <v>21500</v>
      </c>
      <c r="H1004" s="703">
        <f t="shared" si="30"/>
        <v>1.265727855593559E-3</v>
      </c>
      <c r="I1004" s="704">
        <f t="shared" si="31"/>
        <v>2.5314557111871181E-4</v>
      </c>
    </row>
    <row r="1005" spans="2:9">
      <c r="B1005" s="598" t="s">
        <v>2595</v>
      </c>
      <c r="C1005" s="604" t="s">
        <v>1108</v>
      </c>
      <c r="D1005" s="745">
        <v>2019</v>
      </c>
      <c r="E1005" s="650" t="s">
        <v>1755</v>
      </c>
      <c r="F1005" s="897">
        <v>0.2</v>
      </c>
      <c r="G1005" s="898">
        <v>65500</v>
      </c>
      <c r="H1005" s="703">
        <f t="shared" si="30"/>
        <v>3.85605462983154E-3</v>
      </c>
      <c r="I1005" s="704">
        <f t="shared" si="31"/>
        <v>7.7121092596630801E-4</v>
      </c>
    </row>
    <row r="1006" spans="2:9">
      <c r="B1006" s="598" t="s">
        <v>2595</v>
      </c>
      <c r="C1006" s="604" t="s">
        <v>1108</v>
      </c>
      <c r="D1006" s="745">
        <v>2022</v>
      </c>
      <c r="E1006" s="650"/>
      <c r="F1006" s="897">
        <v>0.2</v>
      </c>
      <c r="G1006" s="898">
        <v>35000</v>
      </c>
      <c r="H1006" s="703">
        <f t="shared" si="30"/>
        <v>2.060487206780212E-3</v>
      </c>
      <c r="I1006" s="704">
        <f t="shared" si="31"/>
        <v>4.1209744135604242E-4</v>
      </c>
    </row>
    <row r="1007" spans="2:9">
      <c r="B1007" s="598" t="s">
        <v>2595</v>
      </c>
      <c r="C1007" s="604" t="s">
        <v>1108</v>
      </c>
      <c r="D1007" s="745">
        <v>2022</v>
      </c>
      <c r="E1007" s="650" t="s">
        <v>2584</v>
      </c>
      <c r="F1007" s="897">
        <v>0.2</v>
      </c>
      <c r="G1007" s="898">
        <v>40000</v>
      </c>
      <c r="H1007" s="703">
        <f t="shared" si="30"/>
        <v>2.3548425220345282E-3</v>
      </c>
      <c r="I1007" s="704">
        <f t="shared" si="31"/>
        <v>4.7096850440690567E-4</v>
      </c>
    </row>
    <row r="1008" spans="2:9">
      <c r="B1008" s="598" t="s">
        <v>2595</v>
      </c>
      <c r="C1008" s="604" t="s">
        <v>1108</v>
      </c>
      <c r="D1008" s="745">
        <v>2022</v>
      </c>
      <c r="E1008" s="650" t="s">
        <v>2585</v>
      </c>
      <c r="F1008" s="897">
        <v>0.2</v>
      </c>
      <c r="G1008" s="898">
        <v>68500</v>
      </c>
      <c r="H1008" s="703">
        <f t="shared" si="30"/>
        <v>4.0326678189841298E-3</v>
      </c>
      <c r="I1008" s="704">
        <f t="shared" si="31"/>
        <v>8.0653356379682597E-4</v>
      </c>
    </row>
    <row r="1009" spans="2:9">
      <c r="B1009" s="598" t="s">
        <v>2595</v>
      </c>
      <c r="C1009" s="604" t="s">
        <v>1108</v>
      </c>
      <c r="D1009" s="745">
        <v>2022</v>
      </c>
      <c r="E1009" s="650" t="s">
        <v>2586</v>
      </c>
      <c r="F1009" s="897">
        <v>0.2</v>
      </c>
      <c r="G1009" s="898">
        <v>9500</v>
      </c>
      <c r="H1009" s="703">
        <f t="shared" si="30"/>
        <v>5.5927509898320046E-4</v>
      </c>
      <c r="I1009" s="704">
        <f t="shared" si="31"/>
        <v>1.118550197966401E-4</v>
      </c>
    </row>
    <row r="1010" spans="2:9">
      <c r="B1010" s="598" t="s">
        <v>2595</v>
      </c>
      <c r="C1010" s="604" t="s">
        <v>1106</v>
      </c>
      <c r="D1010" s="745">
        <v>2001</v>
      </c>
      <c r="E1010" s="650" t="s">
        <v>1756</v>
      </c>
      <c r="F1010" s="897">
        <v>0.125</v>
      </c>
      <c r="G1010" s="898">
        <v>1947.04</v>
      </c>
      <c r="H1010" s="703">
        <f t="shared" si="30"/>
        <v>1.146243146025527E-4</v>
      </c>
      <c r="I1010" s="704">
        <f t="shared" si="31"/>
        <v>1.4328039325319088E-5</v>
      </c>
    </row>
    <row r="1011" spans="2:9">
      <c r="B1011" s="598" t="s">
        <v>2595</v>
      </c>
      <c r="C1011" s="604" t="s">
        <v>1106</v>
      </c>
      <c r="D1011" s="745">
        <v>2001</v>
      </c>
      <c r="E1011" s="650" t="s">
        <v>1757</v>
      </c>
      <c r="F1011" s="897">
        <v>0.125</v>
      </c>
      <c r="G1011" s="898">
        <v>1962.54</v>
      </c>
      <c r="H1011" s="703">
        <f t="shared" si="30"/>
        <v>1.1553681607984107E-4</v>
      </c>
      <c r="I1011" s="704">
        <f t="shared" si="31"/>
        <v>1.4442102009980134E-5</v>
      </c>
    </row>
    <row r="1012" spans="2:9">
      <c r="B1012" s="598" t="s">
        <v>2595</v>
      </c>
      <c r="C1012" s="604" t="s">
        <v>1106</v>
      </c>
      <c r="D1012" s="745">
        <v>2001</v>
      </c>
      <c r="E1012" s="650" t="s">
        <v>1758</v>
      </c>
      <c r="F1012" s="897">
        <v>0.125</v>
      </c>
      <c r="G1012" s="898">
        <v>516.46</v>
      </c>
      <c r="H1012" s="703">
        <f t="shared" si="30"/>
        <v>3.0404549223248812E-5</v>
      </c>
      <c r="I1012" s="704">
        <f t="shared" si="31"/>
        <v>3.8005686529061015E-6</v>
      </c>
    </row>
    <row r="1013" spans="2:9">
      <c r="B1013" s="598" t="s">
        <v>2595</v>
      </c>
      <c r="C1013" s="604" t="s">
        <v>1106</v>
      </c>
      <c r="D1013" s="745">
        <v>2002</v>
      </c>
      <c r="E1013" s="650" t="s">
        <v>1759</v>
      </c>
      <c r="F1013" s="897">
        <v>0.125</v>
      </c>
      <c r="G1013" s="898">
        <v>2050</v>
      </c>
      <c r="H1013" s="703">
        <f t="shared" si="30"/>
        <v>1.2068567925426957E-4</v>
      </c>
      <c r="I1013" s="704">
        <f t="shared" si="31"/>
        <v>1.5085709906783696E-5</v>
      </c>
    </row>
    <row r="1014" spans="2:9">
      <c r="B1014" s="598" t="s">
        <v>2595</v>
      </c>
      <c r="C1014" s="604" t="s">
        <v>1106</v>
      </c>
      <c r="D1014" s="745">
        <v>2006</v>
      </c>
      <c r="E1014" s="650" t="s">
        <v>1760</v>
      </c>
      <c r="F1014" s="897">
        <v>0.125</v>
      </c>
      <c r="G1014" s="898">
        <v>488.05</v>
      </c>
      <c r="H1014" s="703">
        <f t="shared" si="30"/>
        <v>2.873202232197379E-5</v>
      </c>
      <c r="I1014" s="704">
        <f t="shared" si="31"/>
        <v>3.5915027902467238E-6</v>
      </c>
    </row>
    <row r="1015" spans="2:9">
      <c r="B1015" s="598" t="s">
        <v>2595</v>
      </c>
      <c r="C1015" s="604" t="s">
        <v>1106</v>
      </c>
      <c r="D1015" s="745">
        <v>2011</v>
      </c>
      <c r="E1015" s="650" t="s">
        <v>1761</v>
      </c>
      <c r="F1015" s="897">
        <v>0.125</v>
      </c>
      <c r="G1015" s="898">
        <v>7885</v>
      </c>
      <c r="H1015" s="703">
        <f t="shared" si="30"/>
        <v>4.6419833215605638E-4</v>
      </c>
      <c r="I1015" s="704">
        <f t="shared" si="31"/>
        <v>5.8024791519507047E-5</v>
      </c>
    </row>
    <row r="1016" spans="2:9">
      <c r="B1016" s="598" t="s">
        <v>2595</v>
      </c>
      <c r="C1016" s="604" t="s">
        <v>1106</v>
      </c>
      <c r="D1016" s="745">
        <v>2011</v>
      </c>
      <c r="E1016" s="650" t="s">
        <v>1762</v>
      </c>
      <c r="F1016" s="897">
        <v>0.125</v>
      </c>
      <c r="G1016" s="898">
        <v>4490</v>
      </c>
      <c r="H1016" s="703">
        <f t="shared" si="30"/>
        <v>2.643310730983758E-4</v>
      </c>
      <c r="I1016" s="704">
        <f t="shared" si="31"/>
        <v>3.3041384137296974E-5</v>
      </c>
    </row>
    <row r="1017" spans="2:9">
      <c r="B1017" s="598" t="s">
        <v>2595</v>
      </c>
      <c r="C1017" s="604" t="s">
        <v>1106</v>
      </c>
      <c r="D1017" s="745">
        <v>2011</v>
      </c>
      <c r="E1017" s="650"/>
      <c r="F1017" s="897">
        <v>0.125</v>
      </c>
      <c r="G1017" s="898">
        <v>1615</v>
      </c>
      <c r="H1017" s="703">
        <f t="shared" si="30"/>
        <v>9.5076766827144083E-5</v>
      </c>
      <c r="I1017" s="704">
        <f t="shared" si="31"/>
        <v>1.188459585339301E-5</v>
      </c>
    </row>
    <row r="1018" spans="2:9">
      <c r="B1018" s="598" t="s">
        <v>2595</v>
      </c>
      <c r="C1018" s="604" t="s">
        <v>1106</v>
      </c>
      <c r="D1018" s="745">
        <v>2011</v>
      </c>
      <c r="E1018" s="650" t="s">
        <v>1763</v>
      </c>
      <c r="F1018" s="897">
        <v>0.125</v>
      </c>
      <c r="G1018" s="898">
        <v>4500</v>
      </c>
      <c r="H1018" s="703">
        <f t="shared" si="30"/>
        <v>2.6491978372888443E-4</v>
      </c>
      <c r="I1018" s="704">
        <f t="shared" si="31"/>
        <v>3.3114972966110554E-5</v>
      </c>
    </row>
    <row r="1019" spans="2:9">
      <c r="B1019" s="598" t="s">
        <v>2595</v>
      </c>
      <c r="C1019" s="604" t="s">
        <v>1106</v>
      </c>
      <c r="D1019" s="745">
        <v>2011</v>
      </c>
      <c r="E1019" s="650" t="s">
        <v>1764</v>
      </c>
      <c r="F1019" s="897">
        <v>0.125</v>
      </c>
      <c r="G1019" s="898">
        <v>3500</v>
      </c>
      <c r="H1019" s="703">
        <f t="shared" si="30"/>
        <v>2.0604872067802121E-4</v>
      </c>
      <c r="I1019" s="704">
        <f t="shared" si="31"/>
        <v>2.5756090084752651E-5</v>
      </c>
    </row>
    <row r="1020" spans="2:9">
      <c r="B1020" s="598" t="s">
        <v>2595</v>
      </c>
      <c r="C1020" s="604" t="s">
        <v>1106</v>
      </c>
      <c r="D1020" s="745">
        <v>2011</v>
      </c>
      <c r="E1020" s="650"/>
      <c r="F1020" s="897">
        <v>0.125</v>
      </c>
      <c r="G1020" s="898">
        <v>540</v>
      </c>
      <c r="H1020" s="703">
        <f t="shared" si="30"/>
        <v>3.1790374047466129E-5</v>
      </c>
      <c r="I1020" s="704">
        <f t="shared" si="31"/>
        <v>3.9737967559332661E-6</v>
      </c>
    </row>
    <row r="1021" spans="2:9">
      <c r="B1021" s="598" t="s">
        <v>2595</v>
      </c>
      <c r="C1021" s="604" t="s">
        <v>1106</v>
      </c>
      <c r="D1021" s="745">
        <v>2014</v>
      </c>
      <c r="E1021" s="650" t="s">
        <v>1765</v>
      </c>
      <c r="F1021" s="897">
        <v>0.125</v>
      </c>
      <c r="G1021" s="898">
        <v>3900</v>
      </c>
      <c r="H1021" s="703">
        <f t="shared" si="30"/>
        <v>2.295971458983665E-4</v>
      </c>
      <c r="I1021" s="704">
        <f t="shared" si="31"/>
        <v>2.8699643237295812E-5</v>
      </c>
    </row>
    <row r="1022" spans="2:9">
      <c r="B1022" s="598" t="s">
        <v>2595</v>
      </c>
      <c r="C1022" s="604" t="s">
        <v>1106</v>
      </c>
      <c r="D1022" s="745">
        <v>2014</v>
      </c>
      <c r="E1022" s="650" t="s">
        <v>1766</v>
      </c>
      <c r="F1022" s="897">
        <v>0.125</v>
      </c>
      <c r="G1022" s="898">
        <v>600</v>
      </c>
      <c r="H1022" s="703">
        <f t="shared" si="30"/>
        <v>3.5322637830517927E-5</v>
      </c>
      <c r="I1022" s="704">
        <f t="shared" si="31"/>
        <v>4.4153297288147408E-6</v>
      </c>
    </row>
    <row r="1023" spans="2:9">
      <c r="B1023" s="598" t="s">
        <v>2595</v>
      </c>
      <c r="C1023" s="604" t="s">
        <v>1106</v>
      </c>
      <c r="D1023" s="745">
        <v>2014</v>
      </c>
      <c r="E1023" s="650" t="s">
        <v>1767</v>
      </c>
      <c r="F1023" s="897">
        <v>0.125</v>
      </c>
      <c r="G1023" s="898">
        <v>1100</v>
      </c>
      <c r="H1023" s="703">
        <f t="shared" si="30"/>
        <v>6.4758169355949531E-5</v>
      </c>
      <c r="I1023" s="704">
        <f t="shared" si="31"/>
        <v>8.0947711694936914E-6</v>
      </c>
    </row>
    <row r="1024" spans="2:9">
      <c r="B1024" s="598" t="s">
        <v>2595</v>
      </c>
      <c r="C1024" s="604" t="s">
        <v>1106</v>
      </c>
      <c r="D1024" s="745">
        <v>2014</v>
      </c>
      <c r="E1024" s="650" t="s">
        <v>1768</v>
      </c>
      <c r="F1024" s="897">
        <v>0.125</v>
      </c>
      <c r="G1024" s="898">
        <v>750</v>
      </c>
      <c r="H1024" s="703">
        <f t="shared" si="30"/>
        <v>4.4153297288147403E-5</v>
      </c>
      <c r="I1024" s="704">
        <f t="shared" si="31"/>
        <v>5.5191621610184254E-6</v>
      </c>
    </row>
    <row r="1025" spans="2:9">
      <c r="B1025" s="598" t="s">
        <v>2595</v>
      </c>
      <c r="C1025" s="604" t="s">
        <v>1106</v>
      </c>
      <c r="D1025" s="745">
        <v>2014</v>
      </c>
      <c r="E1025" s="650" t="s">
        <v>1769</v>
      </c>
      <c r="F1025" s="897">
        <v>0.125</v>
      </c>
      <c r="G1025" s="898">
        <v>2500</v>
      </c>
      <c r="H1025" s="703">
        <f t="shared" si="30"/>
        <v>1.4717765762715801E-4</v>
      </c>
      <c r="I1025" s="704">
        <f t="shared" si="31"/>
        <v>1.8397207203394752E-5</v>
      </c>
    </row>
    <row r="1026" spans="2:9">
      <c r="B1026" s="598" t="s">
        <v>2595</v>
      </c>
      <c r="C1026" s="604" t="s">
        <v>1106</v>
      </c>
      <c r="D1026" s="745">
        <v>2014</v>
      </c>
      <c r="E1026" s="650" t="s">
        <v>1770</v>
      </c>
      <c r="F1026" s="897">
        <v>0.125</v>
      </c>
      <c r="G1026" s="898">
        <v>1600</v>
      </c>
      <c r="H1026" s="703">
        <f t="shared" si="30"/>
        <v>9.4193700881381128E-5</v>
      </c>
      <c r="I1026" s="704">
        <f t="shared" si="31"/>
        <v>1.1774212610172641E-5</v>
      </c>
    </row>
    <row r="1027" spans="2:9">
      <c r="B1027" s="598" t="s">
        <v>2595</v>
      </c>
      <c r="C1027" s="604" t="s">
        <v>1106</v>
      </c>
      <c r="D1027" s="745">
        <v>2014</v>
      </c>
      <c r="E1027" s="650" t="s">
        <v>1771</v>
      </c>
      <c r="F1027" s="897">
        <v>0.125</v>
      </c>
      <c r="G1027" s="898">
        <v>1000</v>
      </c>
      <c r="H1027" s="703">
        <f t="shared" si="30"/>
        <v>5.8871063050863209E-5</v>
      </c>
      <c r="I1027" s="704">
        <f t="shared" si="31"/>
        <v>7.3588828813579011E-6</v>
      </c>
    </row>
    <row r="1028" spans="2:9">
      <c r="B1028" s="598" t="s">
        <v>2595</v>
      </c>
      <c r="C1028" s="604" t="s">
        <v>1106</v>
      </c>
      <c r="D1028" s="745">
        <v>2014</v>
      </c>
      <c r="E1028" s="650" t="s">
        <v>1772</v>
      </c>
      <c r="F1028" s="897">
        <v>0.125</v>
      </c>
      <c r="G1028" s="898">
        <v>1700</v>
      </c>
      <c r="H1028" s="703">
        <f t="shared" si="30"/>
        <v>1.0008080718646745E-4</v>
      </c>
      <c r="I1028" s="704">
        <f t="shared" si="31"/>
        <v>1.2510100898308431E-5</v>
      </c>
    </row>
    <row r="1029" spans="2:9">
      <c r="B1029" s="598" t="s">
        <v>2595</v>
      </c>
      <c r="C1029" s="604" t="s">
        <v>1106</v>
      </c>
      <c r="D1029" s="745">
        <v>2014</v>
      </c>
      <c r="E1029" s="650" t="s">
        <v>1773</v>
      </c>
      <c r="F1029" s="897">
        <v>0.125</v>
      </c>
      <c r="G1029" s="898">
        <v>2500</v>
      </c>
      <c r="H1029" s="703">
        <f t="shared" ref="H1029:H1079" si="32">+G1029/$G$1080</f>
        <v>1.4717765762715801E-4</v>
      </c>
      <c r="I1029" s="704">
        <f t="shared" ref="I1029:I1079" si="33">+H1029*F1029</f>
        <v>1.8397207203394752E-5</v>
      </c>
    </row>
    <row r="1030" spans="2:9">
      <c r="B1030" s="598" t="s">
        <v>2595</v>
      </c>
      <c r="C1030" s="604" t="s">
        <v>1106</v>
      </c>
      <c r="D1030" s="745">
        <v>2014</v>
      </c>
      <c r="E1030" s="650" t="s">
        <v>1774</v>
      </c>
      <c r="F1030" s="897">
        <v>0.125</v>
      </c>
      <c r="G1030" s="898">
        <v>5400</v>
      </c>
      <c r="H1030" s="703">
        <f t="shared" si="32"/>
        <v>3.1790374047466132E-4</v>
      </c>
      <c r="I1030" s="704">
        <f t="shared" si="33"/>
        <v>3.9737967559332665E-5</v>
      </c>
    </row>
    <row r="1031" spans="2:9">
      <c r="B1031" s="598" t="s">
        <v>2595</v>
      </c>
      <c r="C1031" s="604" t="s">
        <v>1106</v>
      </c>
      <c r="D1031" s="745">
        <v>2015</v>
      </c>
      <c r="E1031" s="650" t="s">
        <v>1775</v>
      </c>
      <c r="F1031" s="897">
        <v>0.125</v>
      </c>
      <c r="G1031" s="898">
        <v>10000</v>
      </c>
      <c r="H1031" s="703">
        <f t="shared" si="32"/>
        <v>5.8871063050863206E-4</v>
      </c>
      <c r="I1031" s="704">
        <f t="shared" si="33"/>
        <v>7.3588828813579007E-5</v>
      </c>
    </row>
    <row r="1032" spans="2:9">
      <c r="B1032" s="598" t="s">
        <v>2595</v>
      </c>
      <c r="C1032" s="604" t="s">
        <v>1106</v>
      </c>
      <c r="D1032" s="745">
        <v>2015</v>
      </c>
      <c r="E1032" s="650"/>
      <c r="F1032" s="897">
        <v>0.125</v>
      </c>
      <c r="G1032" s="898">
        <v>15550</v>
      </c>
      <c r="H1032" s="703">
        <f t="shared" si="32"/>
        <v>9.1544503044092287E-4</v>
      </c>
      <c r="I1032" s="704">
        <f t="shared" si="33"/>
        <v>1.1443062880511536E-4</v>
      </c>
    </row>
    <row r="1033" spans="2:9">
      <c r="B1033" s="598" t="s">
        <v>2595</v>
      </c>
      <c r="C1033" s="604" t="s">
        <v>1106</v>
      </c>
      <c r="D1033" s="745">
        <v>2015</v>
      </c>
      <c r="E1033" s="650" t="s">
        <v>1776</v>
      </c>
      <c r="F1033" s="897">
        <v>0.125</v>
      </c>
      <c r="G1033" s="898">
        <v>3000</v>
      </c>
      <c r="H1033" s="703">
        <f t="shared" si="32"/>
        <v>1.7661318915258961E-4</v>
      </c>
      <c r="I1033" s="704">
        <f t="shared" si="33"/>
        <v>2.2076648644073702E-5</v>
      </c>
    </row>
    <row r="1034" spans="2:9">
      <c r="B1034" s="598" t="s">
        <v>2595</v>
      </c>
      <c r="C1034" s="604" t="s">
        <v>1106</v>
      </c>
      <c r="D1034" s="745">
        <v>2015</v>
      </c>
      <c r="E1034" s="650" t="s">
        <v>1777</v>
      </c>
      <c r="F1034" s="897">
        <v>0.125</v>
      </c>
      <c r="G1034" s="898">
        <v>1600</v>
      </c>
      <c r="H1034" s="703">
        <f t="shared" si="32"/>
        <v>9.4193700881381128E-5</v>
      </c>
      <c r="I1034" s="704">
        <f t="shared" si="33"/>
        <v>1.1774212610172641E-5</v>
      </c>
    </row>
    <row r="1035" spans="2:9">
      <c r="B1035" s="598" t="s">
        <v>2595</v>
      </c>
      <c r="C1035" s="604" t="s">
        <v>1106</v>
      </c>
      <c r="D1035" s="745">
        <v>2015</v>
      </c>
      <c r="E1035" s="650" t="s">
        <v>1778</v>
      </c>
      <c r="F1035" s="897">
        <v>0.125</v>
      </c>
      <c r="G1035" s="898">
        <v>3500</v>
      </c>
      <c r="H1035" s="703">
        <f t="shared" si="32"/>
        <v>2.0604872067802121E-4</v>
      </c>
      <c r="I1035" s="704">
        <f t="shared" si="33"/>
        <v>2.5756090084752651E-5</v>
      </c>
    </row>
    <row r="1036" spans="2:9">
      <c r="B1036" s="598" t="s">
        <v>2595</v>
      </c>
      <c r="C1036" s="604" t="s">
        <v>1106</v>
      </c>
      <c r="D1036" s="745">
        <v>2016</v>
      </c>
      <c r="E1036" s="650" t="s">
        <v>1779</v>
      </c>
      <c r="F1036" s="897">
        <v>0.125</v>
      </c>
      <c r="G1036" s="898">
        <v>2100</v>
      </c>
      <c r="H1036" s="703">
        <f t="shared" si="32"/>
        <v>1.2362923240681273E-4</v>
      </c>
      <c r="I1036" s="704">
        <f t="shared" si="33"/>
        <v>1.5453654050851591E-5</v>
      </c>
    </row>
    <row r="1037" spans="2:9">
      <c r="B1037" s="598" t="s">
        <v>2595</v>
      </c>
      <c r="C1037" s="604" t="s">
        <v>1106</v>
      </c>
      <c r="D1037" s="745">
        <v>2016</v>
      </c>
      <c r="E1037" s="650" t="s">
        <v>1780</v>
      </c>
      <c r="F1037" s="897">
        <v>0.125</v>
      </c>
      <c r="G1037" s="898">
        <v>2100</v>
      </c>
      <c r="H1037" s="703">
        <f t="shared" si="32"/>
        <v>1.2362923240681273E-4</v>
      </c>
      <c r="I1037" s="704">
        <f t="shared" si="33"/>
        <v>1.5453654050851591E-5</v>
      </c>
    </row>
    <row r="1038" spans="2:9">
      <c r="B1038" s="598" t="s">
        <v>2595</v>
      </c>
      <c r="C1038" s="604" t="s">
        <v>1106</v>
      </c>
      <c r="D1038" s="745">
        <v>2016</v>
      </c>
      <c r="E1038" s="650" t="s">
        <v>1781</v>
      </c>
      <c r="F1038" s="897">
        <v>0.125</v>
      </c>
      <c r="G1038" s="898">
        <v>4300</v>
      </c>
      <c r="H1038" s="703">
        <f t="shared" si="32"/>
        <v>2.5314557111871176E-4</v>
      </c>
      <c r="I1038" s="704">
        <f t="shared" si="33"/>
        <v>3.164319638983897E-5</v>
      </c>
    </row>
    <row r="1039" spans="2:9">
      <c r="B1039" s="598" t="s">
        <v>2595</v>
      </c>
      <c r="C1039" s="604" t="s">
        <v>1106</v>
      </c>
      <c r="D1039" s="745">
        <v>2016</v>
      </c>
      <c r="E1039" s="650" t="s">
        <v>1782</v>
      </c>
      <c r="F1039" s="897">
        <v>0.125</v>
      </c>
      <c r="G1039" s="898">
        <v>2600</v>
      </c>
      <c r="H1039" s="703">
        <f t="shared" si="32"/>
        <v>1.5306476393224432E-4</v>
      </c>
      <c r="I1039" s="704">
        <f t="shared" si="33"/>
        <v>1.913309549153054E-5</v>
      </c>
    </row>
    <row r="1040" spans="2:9">
      <c r="B1040" s="598" t="s">
        <v>2595</v>
      </c>
      <c r="C1040" s="604" t="s">
        <v>1106</v>
      </c>
      <c r="D1040" s="745">
        <v>2016</v>
      </c>
      <c r="E1040" s="650" t="s">
        <v>1783</v>
      </c>
      <c r="F1040" s="897">
        <v>0.125</v>
      </c>
      <c r="G1040" s="898">
        <v>2310</v>
      </c>
      <c r="H1040" s="703">
        <f t="shared" si="32"/>
        <v>1.3599215564749401E-4</v>
      </c>
      <c r="I1040" s="704">
        <f t="shared" si="33"/>
        <v>1.6999019455936751E-5</v>
      </c>
    </row>
    <row r="1041" spans="2:9">
      <c r="B1041" s="598" t="s">
        <v>2595</v>
      </c>
      <c r="C1041" s="604" t="s">
        <v>1106</v>
      </c>
      <c r="D1041" s="745">
        <v>2016</v>
      </c>
      <c r="E1041" s="650"/>
      <c r="F1041" s="897">
        <v>0.125</v>
      </c>
      <c r="G1041" s="898">
        <v>7500</v>
      </c>
      <c r="H1041" s="703">
        <f t="shared" si="32"/>
        <v>4.4153297288147407E-4</v>
      </c>
      <c r="I1041" s="704">
        <f t="shared" si="33"/>
        <v>5.5191621610184259E-5</v>
      </c>
    </row>
    <row r="1042" spans="2:9">
      <c r="B1042" s="598" t="s">
        <v>2595</v>
      </c>
      <c r="C1042" s="604" t="s">
        <v>1106</v>
      </c>
      <c r="D1042" s="745">
        <v>2016</v>
      </c>
      <c r="E1042" s="650" t="s">
        <v>1784</v>
      </c>
      <c r="F1042" s="897">
        <v>0.125</v>
      </c>
      <c r="G1042" s="898">
        <v>4300</v>
      </c>
      <c r="H1042" s="703">
        <f t="shared" si="32"/>
        <v>2.5314557111871176E-4</v>
      </c>
      <c r="I1042" s="704">
        <f t="shared" si="33"/>
        <v>3.164319638983897E-5</v>
      </c>
    </row>
    <row r="1043" spans="2:9">
      <c r="B1043" s="598" t="s">
        <v>2595</v>
      </c>
      <c r="C1043" s="604" t="s">
        <v>1106</v>
      </c>
      <c r="D1043" s="745">
        <v>2016</v>
      </c>
      <c r="E1043" s="650" t="s">
        <v>1785</v>
      </c>
      <c r="F1043" s="897">
        <v>0.125</v>
      </c>
      <c r="G1043" s="898">
        <v>4300</v>
      </c>
      <c r="H1043" s="703">
        <f t="shared" si="32"/>
        <v>2.5314557111871176E-4</v>
      </c>
      <c r="I1043" s="704">
        <f t="shared" si="33"/>
        <v>3.164319638983897E-5</v>
      </c>
    </row>
    <row r="1044" spans="2:9">
      <c r="B1044" s="598" t="s">
        <v>2595</v>
      </c>
      <c r="C1044" s="604" t="s">
        <v>1106</v>
      </c>
      <c r="D1044" s="745">
        <v>2017</v>
      </c>
      <c r="E1044" s="650" t="s">
        <v>1786</v>
      </c>
      <c r="F1044" s="897">
        <v>0.125</v>
      </c>
      <c r="G1044" s="898">
        <v>1634</v>
      </c>
      <c r="H1044" s="703">
        <f t="shared" si="32"/>
        <v>9.6195317025110478E-5</v>
      </c>
      <c r="I1044" s="704">
        <f t="shared" si="33"/>
        <v>1.202441462813881E-5</v>
      </c>
    </row>
    <row r="1045" spans="2:9">
      <c r="B1045" s="598" t="s">
        <v>2595</v>
      </c>
      <c r="C1045" s="604" t="s">
        <v>1106</v>
      </c>
      <c r="D1045" s="745">
        <v>2017</v>
      </c>
      <c r="E1045" s="650" t="s">
        <v>1787</v>
      </c>
      <c r="F1045" s="897">
        <v>0.125</v>
      </c>
      <c r="G1045" s="898">
        <v>2000</v>
      </c>
      <c r="H1045" s="703">
        <f t="shared" si="32"/>
        <v>1.1774212610172642E-4</v>
      </c>
      <c r="I1045" s="704">
        <f t="shared" si="33"/>
        <v>1.4717765762715802E-5</v>
      </c>
    </row>
    <row r="1046" spans="2:9">
      <c r="B1046" s="598" t="s">
        <v>2595</v>
      </c>
      <c r="C1046" s="604" t="s">
        <v>1106</v>
      </c>
      <c r="D1046" s="745">
        <v>2017</v>
      </c>
      <c r="E1046" s="650" t="s">
        <v>1788</v>
      </c>
      <c r="F1046" s="897">
        <v>0.125</v>
      </c>
      <c r="G1046" s="898">
        <v>750</v>
      </c>
      <c r="H1046" s="703">
        <f t="shared" si="32"/>
        <v>4.4153297288147403E-5</v>
      </c>
      <c r="I1046" s="704">
        <f t="shared" si="33"/>
        <v>5.5191621610184254E-6</v>
      </c>
    </row>
    <row r="1047" spans="2:9">
      <c r="B1047" s="598" t="s">
        <v>2595</v>
      </c>
      <c r="C1047" s="604" t="s">
        <v>1106</v>
      </c>
      <c r="D1047" s="745">
        <v>2017</v>
      </c>
      <c r="E1047" s="650"/>
      <c r="F1047" s="897">
        <v>0.125</v>
      </c>
      <c r="G1047" s="898">
        <v>1750</v>
      </c>
      <c r="H1047" s="703">
        <f t="shared" si="32"/>
        <v>1.0302436033901061E-4</v>
      </c>
      <c r="I1047" s="704">
        <f t="shared" si="33"/>
        <v>1.2878045042376326E-5</v>
      </c>
    </row>
    <row r="1048" spans="2:9">
      <c r="B1048" s="598" t="s">
        <v>2595</v>
      </c>
      <c r="C1048" s="604" t="s">
        <v>1106</v>
      </c>
      <c r="D1048" s="745">
        <v>2017</v>
      </c>
      <c r="E1048" s="650" t="s">
        <v>1789</v>
      </c>
      <c r="F1048" s="897">
        <v>0.125</v>
      </c>
      <c r="G1048" s="898">
        <v>2730</v>
      </c>
      <c r="H1048" s="703">
        <f t="shared" si="32"/>
        <v>1.6071800212885654E-4</v>
      </c>
      <c r="I1048" s="704">
        <f t="shared" si="33"/>
        <v>2.0089750266107068E-5</v>
      </c>
    </row>
    <row r="1049" spans="2:9">
      <c r="B1049" s="598" t="s">
        <v>2595</v>
      </c>
      <c r="C1049" s="604" t="s">
        <v>1106</v>
      </c>
      <c r="D1049" s="745">
        <v>2018</v>
      </c>
      <c r="E1049" s="650"/>
      <c r="F1049" s="897">
        <v>0.125</v>
      </c>
      <c r="G1049" s="898">
        <v>2730</v>
      </c>
      <c r="H1049" s="703">
        <f t="shared" si="32"/>
        <v>1.6071800212885654E-4</v>
      </c>
      <c r="I1049" s="704">
        <f t="shared" si="33"/>
        <v>2.0089750266107068E-5</v>
      </c>
    </row>
    <row r="1050" spans="2:9">
      <c r="B1050" s="598" t="s">
        <v>2595</v>
      </c>
      <c r="C1050" s="604" t="s">
        <v>1106</v>
      </c>
      <c r="D1050" s="745">
        <v>2018</v>
      </c>
      <c r="E1050" s="650"/>
      <c r="F1050" s="897">
        <v>0.125</v>
      </c>
      <c r="G1050" s="898">
        <v>3640</v>
      </c>
      <c r="H1050" s="703">
        <f t="shared" si="32"/>
        <v>2.1429066950514206E-4</v>
      </c>
      <c r="I1050" s="704">
        <f t="shared" si="33"/>
        <v>2.6786333688142758E-5</v>
      </c>
    </row>
    <row r="1051" spans="2:9">
      <c r="B1051" s="598" t="s">
        <v>2595</v>
      </c>
      <c r="C1051" s="604" t="s">
        <v>1106</v>
      </c>
      <c r="D1051" s="745">
        <v>2017</v>
      </c>
      <c r="E1051" s="650" t="s">
        <v>1790</v>
      </c>
      <c r="F1051" s="897">
        <v>0.125</v>
      </c>
      <c r="G1051" s="898">
        <v>2200</v>
      </c>
      <c r="H1051" s="703">
        <f t="shared" si="32"/>
        <v>1.2951633871189906E-4</v>
      </c>
      <c r="I1051" s="704">
        <f t="shared" si="33"/>
        <v>1.6189542338987383E-5</v>
      </c>
    </row>
    <row r="1052" spans="2:9">
      <c r="B1052" s="598" t="s">
        <v>2595</v>
      </c>
      <c r="C1052" s="604" t="s">
        <v>1106</v>
      </c>
      <c r="D1052" s="745">
        <v>2018</v>
      </c>
      <c r="E1052" s="650" t="s">
        <v>1791</v>
      </c>
      <c r="F1052" s="897">
        <v>0.125</v>
      </c>
      <c r="G1052" s="898">
        <v>2200</v>
      </c>
      <c r="H1052" s="703">
        <f t="shared" si="32"/>
        <v>1.2951633871189906E-4</v>
      </c>
      <c r="I1052" s="704">
        <f t="shared" si="33"/>
        <v>1.6189542338987383E-5</v>
      </c>
    </row>
    <row r="1053" spans="2:9">
      <c r="B1053" s="598" t="s">
        <v>2595</v>
      </c>
      <c r="C1053" s="604" t="s">
        <v>1106</v>
      </c>
      <c r="D1053" s="745">
        <v>2018</v>
      </c>
      <c r="E1053" s="650" t="s">
        <v>1792</v>
      </c>
      <c r="F1053" s="897">
        <v>0.125</v>
      </c>
      <c r="G1053" s="898">
        <v>1900</v>
      </c>
      <c r="H1053" s="703">
        <f t="shared" si="32"/>
        <v>1.118550197966401E-4</v>
      </c>
      <c r="I1053" s="704">
        <f t="shared" si="33"/>
        <v>1.3981877474580012E-5</v>
      </c>
    </row>
    <row r="1054" spans="2:9">
      <c r="B1054" s="598" t="s">
        <v>2595</v>
      </c>
      <c r="C1054" s="604" t="s">
        <v>1106</v>
      </c>
      <c r="D1054" s="745">
        <v>2018</v>
      </c>
      <c r="E1054" s="650" t="s">
        <v>1792</v>
      </c>
      <c r="F1054" s="897">
        <v>0.125</v>
      </c>
      <c r="G1054" s="898">
        <v>1900</v>
      </c>
      <c r="H1054" s="703">
        <f t="shared" si="32"/>
        <v>1.118550197966401E-4</v>
      </c>
      <c r="I1054" s="704">
        <f t="shared" si="33"/>
        <v>1.3981877474580012E-5</v>
      </c>
    </row>
    <row r="1055" spans="2:9">
      <c r="B1055" s="598" t="s">
        <v>2595</v>
      </c>
      <c r="C1055" s="604" t="s">
        <v>1106</v>
      </c>
      <c r="D1055" s="745">
        <v>2018</v>
      </c>
      <c r="E1055" s="650" t="s">
        <v>1792</v>
      </c>
      <c r="F1055" s="897">
        <v>0.125</v>
      </c>
      <c r="G1055" s="898">
        <v>1900</v>
      </c>
      <c r="H1055" s="703">
        <f t="shared" si="32"/>
        <v>1.118550197966401E-4</v>
      </c>
      <c r="I1055" s="704">
        <f t="shared" si="33"/>
        <v>1.3981877474580012E-5</v>
      </c>
    </row>
    <row r="1056" spans="2:9">
      <c r="B1056" s="598" t="s">
        <v>2595</v>
      </c>
      <c r="C1056" s="604" t="s">
        <v>1106</v>
      </c>
      <c r="D1056" s="745">
        <v>2018</v>
      </c>
      <c r="E1056" s="650" t="s">
        <v>1793</v>
      </c>
      <c r="F1056" s="897">
        <v>0.125</v>
      </c>
      <c r="G1056" s="898">
        <v>500</v>
      </c>
      <c r="H1056" s="703">
        <f t="shared" si="32"/>
        <v>2.9435531525431604E-5</v>
      </c>
      <c r="I1056" s="704">
        <f t="shared" si="33"/>
        <v>3.6794414406789505E-6</v>
      </c>
    </row>
    <row r="1057" spans="2:9">
      <c r="B1057" s="598" t="s">
        <v>2595</v>
      </c>
      <c r="C1057" s="604" t="s">
        <v>1106</v>
      </c>
      <c r="D1057" s="745">
        <v>2019</v>
      </c>
      <c r="E1057" s="650" t="s">
        <v>1794</v>
      </c>
      <c r="F1057" s="897">
        <v>0.125</v>
      </c>
      <c r="G1057" s="898">
        <v>4000</v>
      </c>
      <c r="H1057" s="703">
        <f t="shared" si="32"/>
        <v>2.3548425220345283E-4</v>
      </c>
      <c r="I1057" s="704">
        <f t="shared" si="33"/>
        <v>2.9435531525431604E-5</v>
      </c>
    </row>
    <row r="1058" spans="2:9">
      <c r="B1058" s="598" t="s">
        <v>2595</v>
      </c>
      <c r="C1058" s="604" t="s">
        <v>1106</v>
      </c>
      <c r="D1058" s="745">
        <v>2019</v>
      </c>
      <c r="E1058" s="650" t="s">
        <v>1795</v>
      </c>
      <c r="F1058" s="897">
        <v>0.125</v>
      </c>
      <c r="G1058" s="898">
        <v>500</v>
      </c>
      <c r="H1058" s="703">
        <f t="shared" si="32"/>
        <v>2.9435531525431604E-5</v>
      </c>
      <c r="I1058" s="704">
        <f t="shared" si="33"/>
        <v>3.6794414406789505E-6</v>
      </c>
    </row>
    <row r="1059" spans="2:9">
      <c r="B1059" s="598" t="s">
        <v>2595</v>
      </c>
      <c r="C1059" s="604" t="s">
        <v>1106</v>
      </c>
      <c r="D1059" s="745">
        <v>2019</v>
      </c>
      <c r="E1059" s="650" t="s">
        <v>1796</v>
      </c>
      <c r="F1059" s="897">
        <v>0.125</v>
      </c>
      <c r="G1059" s="898">
        <v>2200</v>
      </c>
      <c r="H1059" s="703">
        <f t="shared" si="32"/>
        <v>1.2951633871189906E-4</v>
      </c>
      <c r="I1059" s="704">
        <f t="shared" si="33"/>
        <v>1.6189542338987383E-5</v>
      </c>
    </row>
    <row r="1060" spans="2:9">
      <c r="B1060" s="598" t="s">
        <v>2595</v>
      </c>
      <c r="C1060" s="604" t="s">
        <v>1106</v>
      </c>
      <c r="D1060" s="745">
        <v>2019</v>
      </c>
      <c r="E1060" s="650" t="s">
        <v>1797</v>
      </c>
      <c r="F1060" s="897">
        <v>0.125</v>
      </c>
      <c r="G1060" s="898">
        <v>2200</v>
      </c>
      <c r="H1060" s="703">
        <f t="shared" si="32"/>
        <v>1.2951633871189906E-4</v>
      </c>
      <c r="I1060" s="704">
        <f t="shared" si="33"/>
        <v>1.6189542338987383E-5</v>
      </c>
    </row>
    <row r="1061" spans="2:9">
      <c r="B1061" s="598" t="s">
        <v>2595</v>
      </c>
      <c r="C1061" s="604" t="s">
        <v>1106</v>
      </c>
      <c r="D1061" s="745">
        <v>2019</v>
      </c>
      <c r="E1061" s="650" t="s">
        <v>1798</v>
      </c>
      <c r="F1061" s="897">
        <v>0.125</v>
      </c>
      <c r="G1061" s="898">
        <v>2200</v>
      </c>
      <c r="H1061" s="703">
        <f t="shared" si="32"/>
        <v>1.2951633871189906E-4</v>
      </c>
      <c r="I1061" s="704">
        <f t="shared" si="33"/>
        <v>1.6189542338987383E-5</v>
      </c>
    </row>
    <row r="1062" spans="2:9">
      <c r="B1062" s="598" t="s">
        <v>2595</v>
      </c>
      <c r="C1062" s="604" t="s">
        <v>1106</v>
      </c>
      <c r="D1062" s="745">
        <v>2019</v>
      </c>
      <c r="E1062" s="650" t="s">
        <v>1799</v>
      </c>
      <c r="F1062" s="897">
        <v>0.125</v>
      </c>
      <c r="G1062" s="898">
        <v>3650</v>
      </c>
      <c r="H1062" s="703">
        <f t="shared" si="32"/>
        <v>2.148793801356507E-4</v>
      </c>
      <c r="I1062" s="704">
        <f t="shared" si="33"/>
        <v>2.6859922516956338E-5</v>
      </c>
    </row>
    <row r="1063" spans="2:9">
      <c r="B1063" s="598" t="s">
        <v>2595</v>
      </c>
      <c r="C1063" s="604" t="s">
        <v>1106</v>
      </c>
      <c r="D1063" s="745">
        <v>2019</v>
      </c>
      <c r="E1063" s="650" t="s">
        <v>1800</v>
      </c>
      <c r="F1063" s="897">
        <v>0.125</v>
      </c>
      <c r="G1063" s="898">
        <v>3650</v>
      </c>
      <c r="H1063" s="703">
        <f t="shared" si="32"/>
        <v>2.148793801356507E-4</v>
      </c>
      <c r="I1063" s="704">
        <f t="shared" si="33"/>
        <v>2.6859922516956338E-5</v>
      </c>
    </row>
    <row r="1064" spans="2:9">
      <c r="B1064" s="598" t="s">
        <v>2595</v>
      </c>
      <c r="C1064" s="604" t="s">
        <v>1106</v>
      </c>
      <c r="D1064" s="745">
        <v>2019</v>
      </c>
      <c r="E1064" s="650" t="s">
        <v>1801</v>
      </c>
      <c r="F1064" s="897">
        <v>0.125</v>
      </c>
      <c r="G1064" s="898">
        <v>2800</v>
      </c>
      <c r="H1064" s="703">
        <f t="shared" si="32"/>
        <v>1.6483897654241697E-4</v>
      </c>
      <c r="I1064" s="704">
        <f t="shared" si="33"/>
        <v>2.0604872067802121E-5</v>
      </c>
    </row>
    <row r="1065" spans="2:9">
      <c r="B1065" s="598" t="s">
        <v>2595</v>
      </c>
      <c r="C1065" s="604" t="s">
        <v>1106</v>
      </c>
      <c r="D1065" s="745">
        <v>2019</v>
      </c>
      <c r="E1065" s="650" t="s">
        <v>1802</v>
      </c>
      <c r="F1065" s="897">
        <v>0.125</v>
      </c>
      <c r="G1065" s="898">
        <v>100</v>
      </c>
      <c r="H1065" s="703">
        <f t="shared" si="32"/>
        <v>5.8871063050863205E-6</v>
      </c>
      <c r="I1065" s="704">
        <f t="shared" si="33"/>
        <v>7.3588828813579007E-7</v>
      </c>
    </row>
    <row r="1066" spans="2:9">
      <c r="B1066" s="598" t="s">
        <v>2595</v>
      </c>
      <c r="C1066" s="604" t="s">
        <v>1106</v>
      </c>
      <c r="D1066" s="745">
        <v>2019</v>
      </c>
      <c r="E1066" s="650" t="s">
        <v>1803</v>
      </c>
      <c r="F1066" s="897">
        <v>0.125</v>
      </c>
      <c r="G1066" s="898">
        <v>100</v>
      </c>
      <c r="H1066" s="703">
        <f t="shared" si="32"/>
        <v>5.8871063050863205E-6</v>
      </c>
      <c r="I1066" s="704">
        <f t="shared" si="33"/>
        <v>7.3588828813579007E-7</v>
      </c>
    </row>
    <row r="1067" spans="2:9">
      <c r="B1067" s="598" t="s">
        <v>2595</v>
      </c>
      <c r="C1067" s="604" t="s">
        <v>1106</v>
      </c>
      <c r="D1067" s="745">
        <v>2020</v>
      </c>
      <c r="E1067" s="650" t="s">
        <v>1804</v>
      </c>
      <c r="F1067" s="897">
        <v>0.125</v>
      </c>
      <c r="G1067" s="898">
        <v>3200</v>
      </c>
      <c r="H1067" s="703">
        <f t="shared" si="32"/>
        <v>1.8838740176276226E-4</v>
      </c>
      <c r="I1067" s="704">
        <f t="shared" si="33"/>
        <v>2.3548425220345282E-5</v>
      </c>
    </row>
    <row r="1068" spans="2:9">
      <c r="B1068" s="598" t="s">
        <v>2595</v>
      </c>
      <c r="C1068" s="604" t="s">
        <v>1106</v>
      </c>
      <c r="D1068" s="745">
        <v>2020</v>
      </c>
      <c r="E1068" s="650" t="s">
        <v>1805</v>
      </c>
      <c r="F1068" s="897">
        <v>0.125</v>
      </c>
      <c r="G1068" s="898">
        <v>3200</v>
      </c>
      <c r="H1068" s="703">
        <f t="shared" si="32"/>
        <v>1.8838740176276226E-4</v>
      </c>
      <c r="I1068" s="704">
        <f t="shared" si="33"/>
        <v>2.3548425220345282E-5</v>
      </c>
    </row>
    <row r="1069" spans="2:9">
      <c r="B1069" s="598" t="s">
        <v>2595</v>
      </c>
      <c r="C1069" s="604" t="s">
        <v>1106</v>
      </c>
      <c r="D1069" s="745">
        <v>2020</v>
      </c>
      <c r="E1069" s="650" t="s">
        <v>1806</v>
      </c>
      <c r="F1069" s="897">
        <v>0.125</v>
      </c>
      <c r="G1069" s="898">
        <v>2800</v>
      </c>
      <c r="H1069" s="703">
        <f t="shared" si="32"/>
        <v>1.6483897654241697E-4</v>
      </c>
      <c r="I1069" s="704">
        <f t="shared" si="33"/>
        <v>2.0604872067802121E-5</v>
      </c>
    </row>
    <row r="1070" spans="2:9">
      <c r="B1070" s="598" t="s">
        <v>2595</v>
      </c>
      <c r="C1070" s="604" t="s">
        <v>1106</v>
      </c>
      <c r="D1070" s="745">
        <v>2020</v>
      </c>
      <c r="E1070" s="650" t="s">
        <v>1807</v>
      </c>
      <c r="F1070" s="897">
        <v>0.125</v>
      </c>
      <c r="G1070" s="898">
        <v>7950</v>
      </c>
      <c r="H1070" s="703">
        <f t="shared" si="32"/>
        <v>4.6802495125436249E-4</v>
      </c>
      <c r="I1070" s="704">
        <f t="shared" si="33"/>
        <v>5.8503118906795311E-5</v>
      </c>
    </row>
    <row r="1071" spans="2:9">
      <c r="B1071" s="598" t="s">
        <v>2595</v>
      </c>
      <c r="C1071" s="604" t="s">
        <v>1106</v>
      </c>
      <c r="D1071" s="745">
        <v>2020</v>
      </c>
      <c r="E1071" s="650" t="s">
        <v>1808</v>
      </c>
      <c r="F1071" s="897">
        <v>0.125</v>
      </c>
      <c r="G1071" s="898">
        <v>2380</v>
      </c>
      <c r="H1071" s="703">
        <f t="shared" si="32"/>
        <v>1.4011313006105443E-4</v>
      </c>
      <c r="I1071" s="704">
        <f t="shared" si="33"/>
        <v>1.7514141257631804E-5</v>
      </c>
    </row>
    <row r="1072" spans="2:9">
      <c r="B1072" s="598" t="s">
        <v>2595</v>
      </c>
      <c r="C1072" s="604" t="s">
        <v>1106</v>
      </c>
      <c r="D1072" s="745">
        <v>2020</v>
      </c>
      <c r="E1072" s="650" t="s">
        <v>1809</v>
      </c>
      <c r="F1072" s="897">
        <v>0.125</v>
      </c>
      <c r="G1072" s="898">
        <v>5490</v>
      </c>
      <c r="H1072" s="703">
        <f t="shared" si="32"/>
        <v>3.2320213614923899E-4</v>
      </c>
      <c r="I1072" s="704">
        <f t="shared" si="33"/>
        <v>4.0400267018654874E-5</v>
      </c>
    </row>
    <row r="1073" spans="2:9">
      <c r="B1073" s="598" t="s">
        <v>2595</v>
      </c>
      <c r="C1073" s="604" t="s">
        <v>1106</v>
      </c>
      <c r="D1073" s="745">
        <v>2020</v>
      </c>
      <c r="E1073" s="650" t="s">
        <v>1810</v>
      </c>
      <c r="F1073" s="897">
        <v>0.125</v>
      </c>
      <c r="G1073" s="898">
        <v>5160</v>
      </c>
      <c r="H1073" s="703">
        <f t="shared" si="32"/>
        <v>3.0377468534245416E-4</v>
      </c>
      <c r="I1073" s="704">
        <f t="shared" si="33"/>
        <v>3.797183566780677E-5</v>
      </c>
    </row>
    <row r="1074" spans="2:9">
      <c r="B1074" s="598" t="s">
        <v>2595</v>
      </c>
      <c r="C1074" s="604" t="s">
        <v>1106</v>
      </c>
      <c r="D1074" s="745">
        <v>2020</v>
      </c>
      <c r="E1074" s="650" t="s">
        <v>1811</v>
      </c>
      <c r="F1074" s="897">
        <v>0.125</v>
      </c>
      <c r="G1074" s="898">
        <v>5400</v>
      </c>
      <c r="H1074" s="703">
        <f t="shared" si="32"/>
        <v>3.1790374047466132E-4</v>
      </c>
      <c r="I1074" s="704">
        <f t="shared" si="33"/>
        <v>3.9737967559332665E-5</v>
      </c>
    </row>
    <row r="1075" spans="2:9">
      <c r="B1075" s="598" t="s">
        <v>2595</v>
      </c>
      <c r="C1075" s="604" t="s">
        <v>1106</v>
      </c>
      <c r="D1075" s="745">
        <v>2021</v>
      </c>
      <c r="E1075" s="650"/>
      <c r="F1075" s="897">
        <v>0.125</v>
      </c>
      <c r="G1075" s="898">
        <v>12600</v>
      </c>
      <c r="H1075" s="703">
        <f t="shared" si="32"/>
        <v>7.4177539444087641E-4</v>
      </c>
      <c r="I1075" s="704">
        <f t="shared" si="33"/>
        <v>9.2721924305109551E-5</v>
      </c>
    </row>
    <row r="1076" spans="2:9">
      <c r="B1076" s="598" t="s">
        <v>2595</v>
      </c>
      <c r="C1076" s="604" t="s">
        <v>1106</v>
      </c>
      <c r="D1076" s="745">
        <v>2021</v>
      </c>
      <c r="E1076" s="650" t="s">
        <v>1812</v>
      </c>
      <c r="F1076" s="897">
        <v>1</v>
      </c>
      <c r="G1076" s="898">
        <v>2700</v>
      </c>
      <c r="H1076" s="703">
        <f t="shared" si="32"/>
        <v>1.5895187023733066E-4</v>
      </c>
      <c r="I1076" s="704">
        <f t="shared" si="33"/>
        <v>1.5895187023733066E-4</v>
      </c>
    </row>
    <row r="1077" spans="2:9">
      <c r="B1077" s="598" t="s">
        <v>2595</v>
      </c>
      <c r="C1077" s="604" t="s">
        <v>1106</v>
      </c>
      <c r="D1077" s="745">
        <v>2022</v>
      </c>
      <c r="E1077" s="650" t="s">
        <v>2587</v>
      </c>
      <c r="F1077" s="897">
        <v>0.125</v>
      </c>
      <c r="G1077" s="898">
        <v>4600</v>
      </c>
      <c r="H1077" s="703">
        <f t="shared" si="32"/>
        <v>2.7080689003397074E-4</v>
      </c>
      <c r="I1077" s="704">
        <f t="shared" si="33"/>
        <v>3.3850861254246343E-5</v>
      </c>
    </row>
    <row r="1078" spans="2:9">
      <c r="B1078" s="598" t="s">
        <v>2595</v>
      </c>
      <c r="C1078" s="604" t="s">
        <v>1106</v>
      </c>
      <c r="D1078" s="745">
        <v>2022</v>
      </c>
      <c r="E1078" s="650" t="s">
        <v>2588</v>
      </c>
      <c r="F1078" s="897">
        <v>0.125</v>
      </c>
      <c r="G1078" s="898">
        <v>1000</v>
      </c>
      <c r="H1078" s="703">
        <f t="shared" si="32"/>
        <v>5.8871063050863209E-5</v>
      </c>
      <c r="I1078" s="704">
        <f t="shared" si="33"/>
        <v>7.3588828813579011E-6</v>
      </c>
    </row>
    <row r="1079" spans="2:9">
      <c r="B1079" s="598" t="s">
        <v>2595</v>
      </c>
      <c r="C1079" s="604" t="s">
        <v>1106</v>
      </c>
      <c r="D1079" s="745">
        <v>2022</v>
      </c>
      <c r="E1079" s="650" t="s">
        <v>2589</v>
      </c>
      <c r="F1079" s="897">
        <v>0.125</v>
      </c>
      <c r="G1079" s="898">
        <v>3090</v>
      </c>
      <c r="H1079" s="703">
        <f t="shared" si="32"/>
        <v>1.8191158482716731E-4</v>
      </c>
      <c r="I1079" s="704">
        <f t="shared" si="33"/>
        <v>2.2738948103395914E-5</v>
      </c>
    </row>
    <row r="1080" spans="2:9">
      <c r="G1080" s="1261">
        <f>+SUM(G4:G1079)</f>
        <v>16986273.869999997</v>
      </c>
      <c r="H1080" s="636">
        <f>+SUM(H4:H1079)</f>
        <v>1.0000000000000004</v>
      </c>
      <c r="I1080" s="1262">
        <f>+SUM(I4:I1079)</f>
        <v>0.16934519750858115</v>
      </c>
    </row>
  </sheetData>
  <autoFilter ref="B1:G1079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Z58"/>
  <sheetViews>
    <sheetView showGridLines="0" zoomScale="90" zoomScaleNormal="110" workbookViewId="0">
      <selection activeCell="I12" sqref="I12"/>
    </sheetView>
  </sheetViews>
  <sheetFormatPr defaultColWidth="8.7109375" defaultRowHeight="12"/>
  <cols>
    <col min="1" max="1" width="2.5703125" style="706" customWidth="1"/>
    <col min="2" max="2" width="25.85546875" style="706" bestFit="1" customWidth="1"/>
    <col min="3" max="3" width="9.28515625" style="706" bestFit="1" customWidth="1"/>
    <col min="4" max="5" width="10.5703125" style="706" bestFit="1" customWidth="1"/>
    <col min="6" max="6" width="9.28515625" style="706" bestFit="1" customWidth="1"/>
    <col min="7" max="7" width="10.28515625" style="706" bestFit="1" customWidth="1"/>
    <col min="8" max="8" width="10.28515625" style="706" customWidth="1"/>
    <col min="9" max="9" width="10.42578125" style="706" bestFit="1" customWidth="1"/>
    <col min="10" max="13" width="10.5703125" style="706" bestFit="1" customWidth="1"/>
    <col min="14" max="14" width="8.7109375" style="706"/>
    <col min="15" max="15" width="10.5703125" style="706" customWidth="1"/>
    <col min="16" max="16384" width="8.7109375" style="706"/>
  </cols>
  <sheetData>
    <row r="2" spans="2:26">
      <c r="B2" s="707" t="s">
        <v>2520</v>
      </c>
    </row>
    <row r="3" spans="2:26">
      <c r="C3" s="718"/>
      <c r="D3" s="718"/>
      <c r="E3" s="718"/>
      <c r="F3" s="718"/>
      <c r="G3" s="718"/>
      <c r="H3" s="718"/>
    </row>
    <row r="4" spans="2:26">
      <c r="B4" s="599" t="s">
        <v>413</v>
      </c>
      <c r="C4" s="606">
        <v>2018</v>
      </c>
      <c r="D4" s="606">
        <f>+C4+1</f>
        <v>2019</v>
      </c>
      <c r="E4" s="606">
        <f t="shared" ref="E4:M4" si="0">+D4+1</f>
        <v>2020</v>
      </c>
      <c r="F4" s="606">
        <f t="shared" si="0"/>
        <v>2021</v>
      </c>
      <c r="G4" s="606">
        <f t="shared" si="0"/>
        <v>2022</v>
      </c>
      <c r="H4" s="1049">
        <v>45078</v>
      </c>
      <c r="I4" s="599">
        <f>+G4+1</f>
        <v>2023</v>
      </c>
      <c r="J4" s="599">
        <f t="shared" si="0"/>
        <v>2024</v>
      </c>
      <c r="K4" s="599">
        <f t="shared" si="0"/>
        <v>2025</v>
      </c>
      <c r="L4" s="599">
        <f t="shared" si="0"/>
        <v>2026</v>
      </c>
      <c r="M4" s="599">
        <f t="shared" si="0"/>
        <v>2027</v>
      </c>
    </row>
    <row r="5" spans="2:26">
      <c r="B5" s="604" t="s">
        <v>2344</v>
      </c>
      <c r="C5" s="613">
        <f>+SP!C12</f>
        <v>794.50555000000008</v>
      </c>
      <c r="D5" s="613">
        <f>+SP!D12</f>
        <v>1100.3050000000001</v>
      </c>
      <c r="E5" s="613">
        <f>+SP!E12</f>
        <v>1028.0787499999999</v>
      </c>
      <c r="F5" s="613">
        <f>+SP!F12</f>
        <v>985.12792000000002</v>
      </c>
      <c r="G5" s="613">
        <f>+SP!I12</f>
        <v>701.56955000000005</v>
      </c>
      <c r="H5" s="613">
        <f>+SP!J12</f>
        <v>864.18901000000005</v>
      </c>
      <c r="I5" s="609">
        <f>+(BdV!K457+BdV!K458-BdV!K657)/1000</f>
        <v>2119.3035951735465</v>
      </c>
      <c r="J5" s="609">
        <f>+(BdV!L457+BdV!L458-BdV!L657)/1000</f>
        <v>2242.1513192393572</v>
      </c>
      <c r="K5" s="609">
        <f>+(BdV!M457+BdV!M458-BdV!M657)/1000</f>
        <v>2325.7546192692066</v>
      </c>
      <c r="L5" s="609">
        <f>+(BdV!N457+BdV!N458-BdV!N657)/1000</f>
        <v>2428.4330775196022</v>
      </c>
      <c r="M5" s="609">
        <f>+(BdV!O457+BdV!O458-BdV!O657)/1000</f>
        <v>2535.8954677561178</v>
      </c>
    </row>
    <row r="6" spans="2:26">
      <c r="B6" s="604" t="s">
        <v>2526</v>
      </c>
      <c r="C6" s="613">
        <f>+SP!C13</f>
        <v>14317.311210000002</v>
      </c>
      <c r="D6" s="613">
        <f>+SP!D13</f>
        <v>13154.665749999998</v>
      </c>
      <c r="E6" s="613">
        <f>+SP!E13</f>
        <v>17593.991219999996</v>
      </c>
      <c r="F6" s="613">
        <f>+SP!F13</f>
        <v>17572.798529999996</v>
      </c>
      <c r="G6" s="613">
        <f>+SP!I13</f>
        <v>30513.71428</v>
      </c>
      <c r="H6" s="613">
        <f>+SP!J13</f>
        <v>32053.624660000001</v>
      </c>
      <c r="I6" s="609">
        <f>+CE!L6/360*CCN!I20</f>
        <v>32361.306086111115</v>
      </c>
      <c r="J6" s="609">
        <f>+CE!M6/360*CCN!J20</f>
        <v>34394.323207222224</v>
      </c>
      <c r="K6" s="609">
        <f>+CE!N6/360*CCN!K20</f>
        <v>35662.671627222218</v>
      </c>
      <c r="L6" s="609">
        <f>+CE!O6/360*CCN!L20</f>
        <v>37240.806915675661</v>
      </c>
      <c r="M6" s="609">
        <f>+CE!P6/360*CCN!M20</f>
        <v>38888.777437302175</v>
      </c>
    </row>
    <row r="7" spans="2:26">
      <c r="B7" s="604" t="s">
        <v>3471</v>
      </c>
      <c r="C7" s="613">
        <f>+SP!C14</f>
        <v>-7466.1214600000012</v>
      </c>
      <c r="D7" s="613">
        <f>+SP!D14</f>
        <v>-7397.4661399999995</v>
      </c>
      <c r="E7" s="613">
        <f>+SP!E14</f>
        <v>-8084.8894900000005</v>
      </c>
      <c r="F7" s="613">
        <f>+SP!F14</f>
        <v>-9231.1495099999993</v>
      </c>
      <c r="G7" s="613">
        <f>+SP!I14</f>
        <v>-18313.998540000001</v>
      </c>
      <c r="H7" s="613">
        <f>+SP!J14</f>
        <v>-14097.93909</v>
      </c>
      <c r="I7" s="609">
        <f>+(CE!L13+CE!L21+CE!L22)/360*CCN!I21</f>
        <v>-16865.645890889082</v>
      </c>
      <c r="J7" s="609">
        <f>+(CE!M13+CE!M21+CE!M22)/360*CCN!J21</f>
        <v>-17375.249002266424</v>
      </c>
      <c r="K7" s="609">
        <f>+(CE!N13+CE!N21+CE!N22)/360*CCN!K21</f>
        <v>-16683.26507737282</v>
      </c>
      <c r="L7" s="609">
        <f>+(CE!O13+CE!O21+CE!O22)/360*CCN!L21</f>
        <v>-17215.7067623851</v>
      </c>
      <c r="M7" s="609">
        <f>+(CE!P13+CE!P21+CE!P22)/360*CCN!M21</f>
        <v>-16545.987085017587</v>
      </c>
    </row>
    <row r="8" spans="2:26">
      <c r="B8" s="604" t="s">
        <v>2527</v>
      </c>
      <c r="C8" s="613">
        <f>+SP!C16</f>
        <v>3035.2536</v>
      </c>
      <c r="D8" s="613">
        <f>+SP!D16</f>
        <v>4446.6181900000001</v>
      </c>
      <c r="E8" s="613">
        <f>+SP!E16</f>
        <v>4877.9992000000002</v>
      </c>
      <c r="F8" s="613">
        <f>+SP!F16</f>
        <v>7449.8008899999995</v>
      </c>
      <c r="G8" s="613">
        <f>+SP!I16</f>
        <v>5504.8043900000011</v>
      </c>
      <c r="H8" s="613">
        <f>+SP!J16</f>
        <v>7070.6184400000011</v>
      </c>
      <c r="I8" s="609">
        <f>+I26+I29</f>
        <v>9736.056990905061</v>
      </c>
      <c r="J8" s="609">
        <f t="shared" ref="J8:M8" si="1">+J26+J29</f>
        <v>10139.83029103674</v>
      </c>
      <c r="K8" s="609">
        <f t="shared" si="1"/>
        <v>10507.579648066778</v>
      </c>
      <c r="L8" s="609">
        <f t="shared" si="1"/>
        <v>10972.700017314306</v>
      </c>
      <c r="M8" s="609">
        <f t="shared" si="1"/>
        <v>11456.841370350794</v>
      </c>
      <c r="O8" s="725">
        <f>+D8/C8-1</f>
        <v>0.46499066503042785</v>
      </c>
      <c r="P8" s="725">
        <f>+E8/D8-1</f>
        <v>9.7013278758705468E-2</v>
      </c>
      <c r="Q8" s="725">
        <f>+F8/E8-1</f>
        <v>0.52722470516190301</v>
      </c>
      <c r="R8" s="725">
        <f>+G8/F8-1</f>
        <v>-0.26108033338324543</v>
      </c>
      <c r="S8" s="725"/>
      <c r="T8" s="725">
        <f>+C8/CE!C11</f>
        <v>0.11600326885262766</v>
      </c>
      <c r="U8" s="725">
        <f>+D8/CE!D11</f>
        <v>0.16750271106846804</v>
      </c>
      <c r="V8" s="725">
        <f>+E8/CE!E11</f>
        <v>0.17642727065906724</v>
      </c>
      <c r="W8" s="725">
        <f>+F8/CE!F11</f>
        <v>0.22902134841067462</v>
      </c>
      <c r="X8" s="725">
        <f>+G8/CE!I11</f>
        <v>0.10332992069998977</v>
      </c>
      <c r="Y8" s="726">
        <f>+AVERAGE(T8:X8)</f>
        <v>0.1584569039381655</v>
      </c>
    </row>
    <row r="9" spans="2:26">
      <c r="B9" s="604" t="s">
        <v>2528</v>
      </c>
      <c r="C9" s="613">
        <f>+SP!C17</f>
        <v>-924.78734999999972</v>
      </c>
      <c r="D9" s="613">
        <f>+SP!D17</f>
        <v>-1194.5848600000002</v>
      </c>
      <c r="E9" s="613">
        <f>+SP!E17</f>
        <v>-2554.5690800000002</v>
      </c>
      <c r="F9" s="613">
        <f>+SP!F17</f>
        <v>-3572.9592200000002</v>
      </c>
      <c r="G9" s="613">
        <f>+SP!I17</f>
        <v>-4473.3825299999999</v>
      </c>
      <c r="H9" s="613">
        <f>+SP!J17</f>
        <v>-8071.5645600000007</v>
      </c>
      <c r="I9" s="609">
        <f>+I27-I30</f>
        <v>-4924.5714934361467</v>
      </c>
      <c r="J9" s="609">
        <f t="shared" ref="J9:M9" si="2">+J27-J30</f>
        <v>-5128.347320802889</v>
      </c>
      <c r="K9" s="609">
        <f t="shared" si="2"/>
        <v>-5316.7783228020689</v>
      </c>
      <c r="L9" s="609">
        <f t="shared" si="2"/>
        <v>-5544.5718723837199</v>
      </c>
      <c r="M9" s="609">
        <f t="shared" si="2"/>
        <v>-5783.5940509663642</v>
      </c>
      <c r="O9" s="725">
        <f>+D9/C9-1</f>
        <v>0.29174005245638424</v>
      </c>
      <c r="P9" s="725">
        <f t="shared" ref="P9" si="3">+E9/D9-1</f>
        <v>1.1384576061009177</v>
      </c>
      <c r="Q9" s="725">
        <f t="shared" ref="Q9" si="4">+F9/E9-1</f>
        <v>0.39865437500715384</v>
      </c>
      <c r="R9" s="725">
        <f>+G9/F9-1</f>
        <v>0.25201051972823785</v>
      </c>
      <c r="T9" s="902">
        <f>+C9/(CE!C13+CE!C20+CE!C21)</f>
        <v>4.2536635301312041E-2</v>
      </c>
      <c r="U9" s="902">
        <f>+D9/(CE!D13+CE!D20+CE!D21)</f>
        <v>5.5234939368533124E-2</v>
      </c>
      <c r="V9" s="902">
        <f>+E9/(CE!E13+CE!E20+CE!E21)</f>
        <v>0.11344086406318686</v>
      </c>
      <c r="W9" s="902">
        <f>+F9/(CE!F13+CE!F20+CE!F21)</f>
        <v>0.13785698382731223</v>
      </c>
      <c r="X9" s="902">
        <f>+G9/(CE!I13+CE!I20+CE!I21)</f>
        <v>0.11006925100134982</v>
      </c>
      <c r="Y9" s="903">
        <f>+AVERAGE(T9:X9)</f>
        <v>9.1827734712338807E-2</v>
      </c>
      <c r="Z9" s="706" t="s">
        <v>4275</v>
      </c>
    </row>
    <row r="10" spans="2:26" ht="12.75" thickBot="1">
      <c r="B10" s="708" t="s">
        <v>2522</v>
      </c>
      <c r="C10" s="709">
        <f t="shared" ref="C10:M10" si="5">+SUM(C5:C9)</f>
        <v>9756.1615499999989</v>
      </c>
      <c r="D10" s="709">
        <f t="shared" si="5"/>
        <v>10109.537939999998</v>
      </c>
      <c r="E10" s="709">
        <f t="shared" si="5"/>
        <v>12860.610599999996</v>
      </c>
      <c r="F10" s="709">
        <f t="shared" si="5"/>
        <v>13203.618609999994</v>
      </c>
      <c r="G10" s="709">
        <f t="shared" si="5"/>
        <v>13932.707150000002</v>
      </c>
      <c r="H10" s="709">
        <f t="shared" ref="H10" si="6">+SUM(H5:H9)</f>
        <v>17818.928460000003</v>
      </c>
      <c r="I10" s="709">
        <f t="shared" si="5"/>
        <v>22426.449287864492</v>
      </c>
      <c r="J10" s="709">
        <f t="shared" si="5"/>
        <v>24272.708494429004</v>
      </c>
      <c r="K10" s="709">
        <f t="shared" si="5"/>
        <v>26495.962494383319</v>
      </c>
      <c r="L10" s="709">
        <f t="shared" si="5"/>
        <v>27881.661375740747</v>
      </c>
      <c r="M10" s="709">
        <f t="shared" si="5"/>
        <v>30551.933139425135</v>
      </c>
    </row>
    <row r="11" spans="2:26" ht="12.75" thickTop="1">
      <c r="B11" s="710"/>
      <c r="C11" s="718">
        <f>+C10-SP!C20</f>
        <v>0</v>
      </c>
      <c r="D11" s="718">
        <f>+D10-SP!D20</f>
        <v>0</v>
      </c>
      <c r="E11" s="718">
        <f>+E10-SP!E20</f>
        <v>0</v>
      </c>
      <c r="F11" s="718">
        <f>+F10-SP!F20</f>
        <v>0</v>
      </c>
      <c r="G11" s="718">
        <f>+G10-SP!I20</f>
        <v>0</v>
      </c>
      <c r="H11" s="718">
        <f>+H10-SP!J20</f>
        <v>0</v>
      </c>
      <c r="I11" s="718"/>
      <c r="J11" s="718"/>
      <c r="K11" s="718"/>
      <c r="L11" s="718"/>
      <c r="M11" s="718"/>
    </row>
    <row r="12" spans="2:26">
      <c r="B12" s="604" t="s">
        <v>415</v>
      </c>
      <c r="C12" s="613">
        <f>+SP!C22</f>
        <v>-1085.0686000000001</v>
      </c>
      <c r="D12" s="613">
        <f>+SP!D22</f>
        <v>-1186.78225</v>
      </c>
      <c r="E12" s="613">
        <f>+SP!E22</f>
        <v>-1222.8712700000001</v>
      </c>
      <c r="F12" s="613">
        <f>+SP!F22</f>
        <v>-1417.9748400000001</v>
      </c>
      <c r="G12" s="613">
        <f>+SP!I22</f>
        <v>-1700.3478500000001</v>
      </c>
      <c r="H12" s="613">
        <f>+SP!J22</f>
        <v>-1693.8855600000002</v>
      </c>
      <c r="I12" s="609">
        <f>+G12-(Personale!J13+Personale!J14)/1000</f>
        <v>-2485.171269048863</v>
      </c>
      <c r="J12" s="609">
        <f>+I12-(Personale!K13+Personale!K14)/1000</f>
        <v>-3319.2992323497292</v>
      </c>
      <c r="K12" s="609">
        <f>+J12-(Personale!L13+Personale!L14)/1000</f>
        <v>-4184.187064887049</v>
      </c>
      <c r="L12" s="609">
        <f>+K12-(Personale!M13+Personale!M14)/1000</f>
        <v>-5087.3476893045845</v>
      </c>
      <c r="M12" s="609">
        <f>+L12-(Personale!N13+Personale!N14)/1000</f>
        <v>-6030.4747432547574</v>
      </c>
    </row>
    <row r="13" spans="2:26">
      <c r="B13" s="604" t="s">
        <v>2523</v>
      </c>
      <c r="C13" s="613">
        <f>+SP!C21</f>
        <v>0</v>
      </c>
      <c r="D13" s="613">
        <f>+SP!D21</f>
        <v>0</v>
      </c>
      <c r="E13" s="613">
        <f>+SP!E21</f>
        <v>0</v>
      </c>
      <c r="F13" s="613">
        <f>+SP!F21</f>
        <v>-2187.36</v>
      </c>
      <c r="G13" s="613">
        <f>+SP!I21</f>
        <v>-2439.0590300000003</v>
      </c>
      <c r="H13" s="613">
        <f>+SP!J21</f>
        <v>-2379.83871</v>
      </c>
      <c r="I13" s="609">
        <f>-I38</f>
        <v>-2474.8747582209362</v>
      </c>
      <c r="J13" s="609">
        <f t="shared" ref="J13:M13" si="7">-J38</f>
        <v>-2397.6647653756941</v>
      </c>
      <c r="K13" s="609">
        <f t="shared" si="7"/>
        <v>-2307.5198287814992</v>
      </c>
      <c r="L13" s="609">
        <f t="shared" si="7"/>
        <v>-2222.6151690703346</v>
      </c>
      <c r="M13" s="609">
        <f t="shared" si="7"/>
        <v>-2138.8918246287449</v>
      </c>
    </row>
    <row r="14" spans="2:26" ht="12.75" thickBot="1">
      <c r="B14" s="708" t="s">
        <v>2524</v>
      </c>
      <c r="C14" s="709">
        <f t="shared" ref="C14:I14" si="8">+C10+C12+C13</f>
        <v>8671.0929499999984</v>
      </c>
      <c r="D14" s="709">
        <f t="shared" si="8"/>
        <v>8922.7556899999981</v>
      </c>
      <c r="E14" s="709">
        <f t="shared" si="8"/>
        <v>11637.739329999997</v>
      </c>
      <c r="F14" s="709">
        <f t="shared" si="8"/>
        <v>9598.2837699999927</v>
      </c>
      <c r="G14" s="709">
        <f t="shared" si="8"/>
        <v>9793.3002700000015</v>
      </c>
      <c r="H14" s="709">
        <f t="shared" ref="H14" si="9">+H10+H12+H13</f>
        <v>13745.204190000002</v>
      </c>
      <c r="I14" s="709">
        <f t="shared" si="8"/>
        <v>17466.403260594692</v>
      </c>
      <c r="J14" s="709">
        <f>+J10+J12+J13</f>
        <v>18555.744496703577</v>
      </c>
      <c r="K14" s="709">
        <f>+K10+K12+K13</f>
        <v>20004.255600714769</v>
      </c>
      <c r="L14" s="709">
        <f>+L10+L12+L13</f>
        <v>20571.698517365829</v>
      </c>
      <c r="M14" s="709">
        <f>+M10+M12+M13</f>
        <v>22382.566571541633</v>
      </c>
    </row>
    <row r="15" spans="2:26" ht="12.75" thickTop="1">
      <c r="B15" s="712" t="s">
        <v>363</v>
      </c>
      <c r="C15" s="718"/>
      <c r="D15" s="719"/>
      <c r="E15" s="719"/>
      <c r="F15" s="719"/>
      <c r="G15" s="719"/>
      <c r="H15" s="719"/>
      <c r="I15" s="719"/>
      <c r="J15" s="719"/>
      <c r="K15" s="718"/>
      <c r="L15" s="718"/>
      <c r="M15" s="718"/>
    </row>
    <row r="16" spans="2:26" ht="12.75">
      <c r="B16" s="713" t="s">
        <v>2437</v>
      </c>
      <c r="C16" s="719"/>
      <c r="D16" s="827">
        <f t="shared" ref="D16:J16" si="10">+D14-C14</f>
        <v>251.66273999999976</v>
      </c>
      <c r="E16" s="827">
        <f t="shared" si="10"/>
        <v>2714.9836399999986</v>
      </c>
      <c r="F16" s="827">
        <f t="shared" si="10"/>
        <v>-2039.455560000004</v>
      </c>
      <c r="G16" s="827">
        <f t="shared" si="10"/>
        <v>195.01650000000882</v>
      </c>
      <c r="H16" s="827">
        <f t="shared" si="10"/>
        <v>3951.9039200000007</v>
      </c>
      <c r="I16" s="827">
        <f>+I14-G14</f>
        <v>7673.1029905946907</v>
      </c>
      <c r="J16" s="827">
        <f t="shared" si="10"/>
        <v>1089.3412361088849</v>
      </c>
      <c r="K16" s="827">
        <f>+K14-J14</f>
        <v>1448.5111040111915</v>
      </c>
      <c r="L16" s="827">
        <f t="shared" ref="L16:M16" si="11">+L14-K14</f>
        <v>567.44291665105993</v>
      </c>
      <c r="M16" s="827">
        <f t="shared" si="11"/>
        <v>1810.868054175804</v>
      </c>
      <c r="N16" s="712"/>
    </row>
    <row r="17" spans="2:26" ht="12.75">
      <c r="B17" s="713"/>
    </row>
    <row r="18" spans="2:26">
      <c r="B18" s="714" t="s">
        <v>2525</v>
      </c>
      <c r="C18" s="714">
        <f>+C4</f>
        <v>2018</v>
      </c>
      <c r="D18" s="714">
        <f t="shared" ref="D18:M18" si="12">+D4</f>
        <v>2019</v>
      </c>
      <c r="E18" s="714">
        <f t="shared" si="12"/>
        <v>2020</v>
      </c>
      <c r="F18" s="714">
        <f t="shared" si="12"/>
        <v>2021</v>
      </c>
      <c r="G18" s="714">
        <f t="shared" si="12"/>
        <v>2022</v>
      </c>
      <c r="H18" s="1053">
        <v>45078</v>
      </c>
      <c r="I18" s="714">
        <f t="shared" si="12"/>
        <v>2023</v>
      </c>
      <c r="J18" s="714">
        <f t="shared" si="12"/>
        <v>2024</v>
      </c>
      <c r="K18" s="714">
        <f t="shared" si="12"/>
        <v>2025</v>
      </c>
      <c r="L18" s="714">
        <f t="shared" si="12"/>
        <v>2026</v>
      </c>
      <c r="M18" s="714">
        <f t="shared" si="12"/>
        <v>2027</v>
      </c>
    </row>
    <row r="19" spans="2:26">
      <c r="B19" s="715" t="s">
        <v>2521</v>
      </c>
      <c r="C19" s="613">
        <f>+C5/-CE!C13*360</f>
        <v>29.037433616813839</v>
      </c>
      <c r="D19" s="613">
        <f>+D5/-CE!D13*360</f>
        <v>41.891444682050214</v>
      </c>
      <c r="E19" s="613">
        <f>+E5/-CE!E13*360</f>
        <v>35.519829796117165</v>
      </c>
      <c r="F19" s="613">
        <f>+F5/-CE!F13*360</f>
        <v>32.037247676787217</v>
      </c>
      <c r="G19" s="613">
        <f>+G5/-CE!I13*360</f>
        <v>11.585297495349376</v>
      </c>
      <c r="H19" s="613">
        <f>+H5/-CE!J13*180</f>
        <v>14.756222479556207</v>
      </c>
      <c r="I19" s="613">
        <f>+I5/-CE!L13*360</f>
        <v>28.053348450155582</v>
      </c>
      <c r="J19" s="613">
        <f>+J5/-CE!M13*360</f>
        <v>28.685192938434266</v>
      </c>
      <c r="K19" s="613">
        <f>+K5/-CE!N13*360</f>
        <v>28.607563875801276</v>
      </c>
      <c r="L19" s="613">
        <f>+L5/-CE!O13*360</f>
        <v>28.626925972475235</v>
      </c>
      <c r="M19" s="613">
        <f>+M5/-CE!P13*360</f>
        <v>28.626925972475235</v>
      </c>
      <c r="N19" s="721"/>
    </row>
    <row r="20" spans="2:26">
      <c r="B20" s="715" t="s">
        <v>2345</v>
      </c>
      <c r="C20" s="613">
        <f>+C6/CE!C6*360</f>
        <v>213.37251423145506</v>
      </c>
      <c r="D20" s="613">
        <f>+D6/CE!D6*360</f>
        <v>199.58853464971929</v>
      </c>
      <c r="E20" s="613">
        <f>+E6/CE!E6*360</f>
        <v>253.78898744930316</v>
      </c>
      <c r="F20" s="1446">
        <f>+F57</f>
        <v>185.1610850139412</v>
      </c>
      <c r="G20" s="1446">
        <f t="shared" ref="G20:H21" si="13">+G57</f>
        <v>191.36787945767657</v>
      </c>
      <c r="H20" s="1446">
        <f t="shared" si="13"/>
        <v>200.06106461750167</v>
      </c>
      <c r="I20" s="716">
        <v>190</v>
      </c>
      <c r="J20" s="716">
        <v>190</v>
      </c>
      <c r="K20" s="716">
        <v>190</v>
      </c>
      <c r="L20" s="716">
        <v>190</v>
      </c>
      <c r="M20" s="716">
        <v>190</v>
      </c>
      <c r="N20" s="721"/>
    </row>
    <row r="21" spans="2:26">
      <c r="B21" s="715" t="s">
        <v>2346</v>
      </c>
      <c r="C21" s="613">
        <f>+C7/(CE!C13+CE!C21+CE!C22)*360</f>
        <v>159.65002667101524</v>
      </c>
      <c r="D21" s="613">
        <f>+D7/(CE!D13+CE!D21+CE!D22)*360</f>
        <v>165.4267874205953</v>
      </c>
      <c r="E21" s="613">
        <f>+E7/(CE!E13+CE!E21+CE!E22)*360</f>
        <v>175.55003659426302</v>
      </c>
      <c r="F21" s="1446">
        <f>+F58</f>
        <v>144.0824681549465</v>
      </c>
      <c r="G21" s="1446">
        <f t="shared" si="13"/>
        <v>156.73250671886478</v>
      </c>
      <c r="H21" s="1446">
        <f t="shared" si="13"/>
        <v>123.81287592197828</v>
      </c>
      <c r="I21" s="716">
        <v>150</v>
      </c>
      <c r="J21" s="716">
        <v>150</v>
      </c>
      <c r="K21" s="716">
        <v>140</v>
      </c>
      <c r="L21" s="716">
        <v>140</v>
      </c>
      <c r="M21" s="716">
        <v>130</v>
      </c>
      <c r="N21" s="721"/>
    </row>
    <row r="22" spans="2:26">
      <c r="B22" s="717"/>
      <c r="C22" s="727">
        <f>-C7/CE!C11</f>
        <v>0.285345018620768</v>
      </c>
      <c r="D22" s="727">
        <f>-D7/CE!D11</f>
        <v>0.27866022683795916</v>
      </c>
      <c r="E22" s="727">
        <f>-E7/CE!E11</f>
        <v>0.29241394428700973</v>
      </c>
      <c r="F22" s="727">
        <f>-F7/CE!H11</f>
        <v>0.28378346473642979</v>
      </c>
      <c r="G22" s="727">
        <f>-G7/CE!I11</f>
        <v>0.34376952980847481</v>
      </c>
      <c r="H22" s="727">
        <f>-H7/CE!J11</f>
        <v>0.51712552652449806</v>
      </c>
      <c r="I22" s="727">
        <f>-I7/CE!L11</f>
        <v>0.24622403981418137</v>
      </c>
      <c r="J22" s="727">
        <f>-J7/CE!M11</f>
        <v>0.2435600187324361</v>
      </c>
      <c r="K22" s="727">
        <f>-K7/CE!N11</f>
        <v>0.22568852044518614</v>
      </c>
      <c r="L22" s="727">
        <f>-L7/CE!O11</f>
        <v>0.22298049801175099</v>
      </c>
      <c r="M22" s="727">
        <f>-M7/CE!P11</f>
        <v>0.20522463771423835</v>
      </c>
    </row>
    <row r="23" spans="2:26">
      <c r="B23" s="711"/>
    </row>
    <row r="25" spans="2:26">
      <c r="B25" s="599" t="s">
        <v>4280</v>
      </c>
      <c r="C25" s="606">
        <v>2018</v>
      </c>
      <c r="D25" s="606">
        <f>+C25+1</f>
        <v>2019</v>
      </c>
      <c r="E25" s="606">
        <f t="shared" ref="E25" si="14">+D25+1</f>
        <v>2020</v>
      </c>
      <c r="F25" s="606">
        <f t="shared" ref="F25" si="15">+E25+1</f>
        <v>2021</v>
      </c>
      <c r="G25" s="606">
        <f t="shared" ref="G25" si="16">+F25+1</f>
        <v>2022</v>
      </c>
      <c r="H25" s="1049">
        <v>45078</v>
      </c>
      <c r="I25" s="599">
        <f>+G25+1</f>
        <v>2023</v>
      </c>
      <c r="J25" s="599">
        <f t="shared" ref="J25" si="17">+I25+1</f>
        <v>2024</v>
      </c>
      <c r="K25" s="599">
        <f t="shared" ref="K25" si="18">+J25+1</f>
        <v>2025</v>
      </c>
      <c r="L25" s="599">
        <f t="shared" ref="L25" si="19">+K25+1</f>
        <v>2026</v>
      </c>
      <c r="M25" s="599">
        <f t="shared" ref="M25" si="20">+L25+1</f>
        <v>2027</v>
      </c>
    </row>
    <row r="26" spans="2:26">
      <c r="B26" s="604" t="s">
        <v>4276</v>
      </c>
      <c r="C26" s="613">
        <f>+C8-C29</f>
        <v>2853.6162899999999</v>
      </c>
      <c r="D26" s="613">
        <f t="shared" ref="D26:H26" si="21">+D8-D29</f>
        <v>4244.56106</v>
      </c>
      <c r="E26" s="613">
        <f t="shared" si="21"/>
        <v>4489.2897600000006</v>
      </c>
      <c r="F26" s="613">
        <f t="shared" si="21"/>
        <v>6865.8273299999992</v>
      </c>
      <c r="G26" s="613">
        <f>+G8-G29</f>
        <v>4978.0695100000012</v>
      </c>
      <c r="H26" s="613">
        <f t="shared" si="21"/>
        <v>6105.3284900000008</v>
      </c>
      <c r="I26" s="609">
        <f>+$Y$26*CE!L11</f>
        <v>8986.2052437917628</v>
      </c>
      <c r="J26" s="609">
        <f>+$Y$26*CE!M11</f>
        <v>9358.9870593143296</v>
      </c>
      <c r="K26" s="609">
        <f>+$Y$26*CE!N11</f>
        <v>9697.8483663952156</v>
      </c>
      <c r="L26" s="609">
        <f>+$Y$26*CE!O11</f>
        <v>10128.888350814621</v>
      </c>
      <c r="M26" s="609">
        <f>+$Y$26*CE!P11</f>
        <v>10577.10928911987</v>
      </c>
      <c r="T26" s="725">
        <f>+C26/CE!C11</f>
        <v>0.1090613376395</v>
      </c>
      <c r="U26" s="725">
        <f>+D26/CE!D11</f>
        <v>0.15989128242324993</v>
      </c>
      <c r="V26" s="725">
        <f>+E26/CE!E11</f>
        <v>0.16236844392153632</v>
      </c>
      <c r="W26" s="725">
        <f>+F26/CE!F11</f>
        <v>0.21106886697900215</v>
      </c>
      <c r="X26" s="725">
        <f>+G26/CE!I11</f>
        <v>9.3442653228834702E-2</v>
      </c>
      <c r="Y26" s="726">
        <f>+AVERAGE(T26:V26,X26)</f>
        <v>0.13119092930328025</v>
      </c>
      <c r="Z26" s="712" t="s">
        <v>4486</v>
      </c>
    </row>
    <row r="27" spans="2:26">
      <c r="B27" s="604" t="s">
        <v>4277</v>
      </c>
      <c r="C27" s="613">
        <f>+C9+C30</f>
        <v>-907.78925999999967</v>
      </c>
      <c r="D27" s="613">
        <f t="shared" ref="D27:H27" si="22">+D9+D30</f>
        <v>-1154.5140100000001</v>
      </c>
      <c r="E27" s="613">
        <f t="shared" si="22"/>
        <v>-1463.9938400000003</v>
      </c>
      <c r="F27" s="613">
        <f t="shared" si="22"/>
        <v>-1937.1648600000003</v>
      </c>
      <c r="G27" s="613">
        <f t="shared" si="22"/>
        <v>-3229.3878100000002</v>
      </c>
      <c r="H27" s="613">
        <f t="shared" si="22"/>
        <v>-4707.4402000000009</v>
      </c>
      <c r="I27" s="609">
        <f>+$Y$27*(CE!L13+CE!L20+CE!L21)</f>
        <v>-3345.8309018828477</v>
      </c>
      <c r="J27" s="609">
        <f>+$Y$27*(CE!M13+CE!M20+CE!M21)</f>
        <v>-3484.1145923584368</v>
      </c>
      <c r="K27" s="609">
        <f>+$Y$27*(CE!N13+CE!N20+CE!N21)</f>
        <v>-3613.0127786827252</v>
      </c>
      <c r="L27" s="609">
        <f>+$Y$27*(CE!O13+CE!O20+CE!O21)</f>
        <v>-3765.0791106543011</v>
      </c>
      <c r="M27" s="609">
        <f>+$Y$27*(CE!P13+CE!P20+CE!P21)</f>
        <v>-3925.3556374196246</v>
      </c>
      <c r="T27" s="902">
        <f>+C27/(CE!C13+CE!C20+CE!C21)</f>
        <v>4.1754789015083234E-2</v>
      </c>
      <c r="U27" s="902">
        <f>+D27/(CE!D13+CE!D20+CE!D21)</f>
        <v>5.3382152643782918E-2</v>
      </c>
      <c r="V27" s="902">
        <f>+E27/(CE!E13+CE!E20+CE!E21)</f>
        <v>6.5011640316566796E-2</v>
      </c>
      <c r="W27" s="902">
        <f>+F27/(CE!F13+CE!F20+CE!F21)</f>
        <v>7.474244410095944E-2</v>
      </c>
      <c r="X27" s="902">
        <f>+G27/(CE!I13+CE!I20+CE!I21)</f>
        <v>7.9460295437687387E-2</v>
      </c>
      <c r="Y27" s="726">
        <f>+AVERAGE(T27:X27)</f>
        <v>6.2870264302815962E-2</v>
      </c>
      <c r="Z27" s="712" t="s">
        <v>4485</v>
      </c>
    </row>
    <row r="28" spans="2:26" ht="3.4" customHeight="1"/>
    <row r="29" spans="2:26">
      <c r="B29" s="604" t="s">
        <v>4278</v>
      </c>
      <c r="C29" s="613">
        <f>+SUM(BdV!E259:E262)/1000</f>
        <v>181.63731000000001</v>
      </c>
      <c r="D29" s="613">
        <f>+SUM(BdV!F259:F262)/1000</f>
        <v>202.05713</v>
      </c>
      <c r="E29" s="613">
        <f>+SUM(BdV!G259:G262)/1000</f>
        <v>388.70944000000003</v>
      </c>
      <c r="F29" s="613">
        <f>+SUM(BdV!H259:H262)/1000</f>
        <v>583.97356000000002</v>
      </c>
      <c r="G29" s="613">
        <f>+SUM(BdV!I259:I262)/1000</f>
        <v>526.73487999999998</v>
      </c>
      <c r="H29" s="613">
        <f>+SUM(BdV!J259:J262)/1000</f>
        <v>965.28994999999998</v>
      </c>
      <c r="I29" s="609">
        <f>$Y$29*(CE!L13+CE!L20+CE!L21)</f>
        <v>749.85174711329842</v>
      </c>
      <c r="J29" s="609">
        <f>$Y$29*(CE!M13+CE!M20+CE!M21)</f>
        <v>780.84323172241091</v>
      </c>
      <c r="K29" s="609">
        <f>$Y$29*(CE!N13+CE!N20+CE!N21)</f>
        <v>809.73128167156142</v>
      </c>
      <c r="L29" s="609">
        <f>$Y$29*(CE!O13+CE!O20+CE!O21)</f>
        <v>843.81166649968554</v>
      </c>
      <c r="M29" s="609">
        <f>$Y$29*(CE!P13+CE!P20+CE!P21)</f>
        <v>879.73208123092513</v>
      </c>
      <c r="T29" s="902">
        <f>+C29/(CE!C13+CE!C20+CE!C21)</f>
        <v>-8.354612563181537E-3</v>
      </c>
      <c r="U29" s="902">
        <f>+D29/(CE!D13+CE!D20+CE!D21)</f>
        <v>-9.3426709966254011E-3</v>
      </c>
      <c r="V29" s="902">
        <f>+E29/(CE!E13+CE!E20+CE!E21)</f>
        <v>-1.726143758974703E-2</v>
      </c>
      <c r="W29" s="902">
        <f>+F29/(CE!F13+CE!F20+CE!F21)</f>
        <v>-2.2531696741979034E-2</v>
      </c>
      <c r="X29" s="902">
        <f>+G29/(CE!I13+CE!I20+CE!I21)</f>
        <v>-1.2960508816107412E-2</v>
      </c>
      <c r="Y29" s="726">
        <f>+AVERAGE(T29:X29)</f>
        <v>-1.4090185341528083E-2</v>
      </c>
    </row>
    <row r="30" spans="2:26">
      <c r="B30" s="604" t="s">
        <v>4279</v>
      </c>
      <c r="C30" s="613">
        <f>+SUM(BdV!E436:E440)/1000</f>
        <v>16.998090000000001</v>
      </c>
      <c r="D30" s="613">
        <f>+SUM(BdV!F436:F440)/1000</f>
        <v>40.07085</v>
      </c>
      <c r="E30" s="613">
        <f>+SUM(BdV!G436:G440)/1000</f>
        <v>1090.5752399999999</v>
      </c>
      <c r="F30" s="613">
        <f>+SUM(BdV!H436:H440)/1000</f>
        <v>1635.7943599999999</v>
      </c>
      <c r="G30" s="613">
        <f>+SUM(BdV!I436:I440)/1000</f>
        <v>1243.9947199999999</v>
      </c>
      <c r="H30" s="613">
        <f>+SUM(BdV!J436:J440)/1000</f>
        <v>3364.1243599999998</v>
      </c>
      <c r="I30" s="609">
        <f>+$Y$30*CE!L11</f>
        <v>1578.7405915532991</v>
      </c>
      <c r="J30" s="609">
        <f>+$Y$30*CE!M11</f>
        <v>1644.2327284444521</v>
      </c>
      <c r="K30" s="609">
        <f>+$Y$30*CE!N11</f>
        <v>1703.7655441193442</v>
      </c>
      <c r="L30" s="609">
        <f>+$Y$30*CE!O11</f>
        <v>1779.492761729419</v>
      </c>
      <c r="M30" s="609">
        <f>+$Y$30*CE!P11</f>
        <v>1858.2384135467394</v>
      </c>
      <c r="T30" s="725">
        <f>+C30/CE!C11</f>
        <v>6.4964390594946062E-4</v>
      </c>
      <c r="U30" s="725">
        <f>+D30/CE!D11</f>
        <v>1.5094563380576469E-3</v>
      </c>
      <c r="V30" s="725">
        <f>+E30/CE!E11</f>
        <v>3.9443879581111285E-2</v>
      </c>
      <c r="W30" s="725">
        <f>+F30/CE!F11</f>
        <v>5.0287495676918217E-2</v>
      </c>
      <c r="X30" s="725">
        <f>+G30/CE!I11</f>
        <v>2.3350852575672709E-2</v>
      </c>
      <c r="Y30" s="726">
        <f>+AVERAGE(T30:X30)</f>
        <v>2.3048265615541862E-2</v>
      </c>
    </row>
    <row r="34" spans="2:19">
      <c r="B34" s="599" t="s">
        <v>414</v>
      </c>
      <c r="C34" s="606">
        <v>2018</v>
      </c>
      <c r="D34" s="606">
        <f>+C34+1</f>
        <v>2019</v>
      </c>
      <c r="E34" s="606">
        <f t="shared" ref="E34" si="23">+D34+1</f>
        <v>2020</v>
      </c>
      <c r="F34" s="606">
        <f t="shared" ref="F34" si="24">+E34+1</f>
        <v>2021</v>
      </c>
      <c r="G34" s="606">
        <f t="shared" ref="G34" si="25">+F34+1</f>
        <v>2022</v>
      </c>
      <c r="H34" s="1049">
        <v>45078</v>
      </c>
      <c r="I34" s="599">
        <f>+G34+1</f>
        <v>2023</v>
      </c>
      <c r="J34" s="599">
        <f t="shared" ref="J34" si="26">+I34+1</f>
        <v>2024</v>
      </c>
      <c r="K34" s="599">
        <f t="shared" ref="K34" si="27">+J34+1</f>
        <v>2025</v>
      </c>
      <c r="L34" s="599">
        <f t="shared" ref="L34" si="28">+K34+1</f>
        <v>2026</v>
      </c>
      <c r="M34" s="599">
        <f t="shared" ref="M34" si="29">+L34+1</f>
        <v>2027</v>
      </c>
    </row>
    <row r="35" spans="2:19">
      <c r="B35" s="604" t="s">
        <v>3748</v>
      </c>
      <c r="C35" s="613">
        <f>+BdV!E290/1000</f>
        <v>0</v>
      </c>
      <c r="D35" s="613">
        <f>+BdV!F290/1000</f>
        <v>0</v>
      </c>
      <c r="E35" s="613">
        <f>+BdV!G290/1000</f>
        <v>0</v>
      </c>
      <c r="F35" s="613">
        <f>+BdV!H290/1000</f>
        <v>2187.36</v>
      </c>
      <c r="G35" s="613">
        <f>+BdV!I290/1000</f>
        <v>2039.0590300000001</v>
      </c>
      <c r="H35" s="613">
        <f>+BdV!J290/1000</f>
        <v>1979.83871</v>
      </c>
      <c r="I35" s="1055">
        <f>+G35-I40</f>
        <v>1927.4590300000002</v>
      </c>
      <c r="J35" s="1055">
        <f>+I35-J40</f>
        <v>1815.8590300000003</v>
      </c>
      <c r="K35" s="1055">
        <f t="shared" ref="K35:M35" si="30">+J35-K40</f>
        <v>1704.2590300000004</v>
      </c>
      <c r="L35" s="1055">
        <f t="shared" si="30"/>
        <v>1592.6590300000005</v>
      </c>
      <c r="M35" s="1055">
        <f t="shared" si="30"/>
        <v>1481.0590300000006</v>
      </c>
    </row>
    <row r="36" spans="2:19">
      <c r="B36" s="775" t="s">
        <v>3749</v>
      </c>
      <c r="C36" s="1263">
        <f>+BdV!E292/1000</f>
        <v>0</v>
      </c>
      <c r="D36" s="1263">
        <f>+BdV!F292/1000</f>
        <v>0</v>
      </c>
      <c r="E36" s="1263">
        <f>+BdV!G292/1000</f>
        <v>0</v>
      </c>
      <c r="F36" s="1263">
        <f>+BdV!H292/1000</f>
        <v>0</v>
      </c>
      <c r="G36" s="1263">
        <f>+BdV!I292/1000</f>
        <v>400</v>
      </c>
      <c r="H36" s="1263">
        <f>+BdV!J292/1000</f>
        <v>400</v>
      </c>
      <c r="I36" s="1055">
        <f>+Costi!I158/1000</f>
        <v>-65.745860779064216</v>
      </c>
      <c r="J36" s="1055">
        <f>+Costi!J158/1000</f>
        <v>-69.876178024306384</v>
      </c>
      <c r="K36" s="1055">
        <f>+Costi!K158/1000</f>
        <v>-72.452979418501485</v>
      </c>
      <c r="L36" s="1055">
        <f>+Costi!L158/1000</f>
        <v>-75.659149858257578</v>
      </c>
      <c r="M36" s="1055">
        <f>+Costi!M158/1000</f>
        <v>-79.007198920138904</v>
      </c>
    </row>
    <row r="37" spans="2:19">
      <c r="B37" s="775" t="s">
        <v>2523</v>
      </c>
      <c r="C37" s="1263"/>
      <c r="D37" s="1263"/>
      <c r="E37" s="1263"/>
      <c r="F37" s="1263"/>
      <c r="G37" s="1263"/>
      <c r="H37" s="1263"/>
      <c r="I37" s="1055">
        <f>+O37*Ricavi!J5/1000</f>
        <v>613.16158900000005</v>
      </c>
      <c r="J37" s="1055">
        <f>+P37*Ricavi!K5/1000</f>
        <v>651.6819134000001</v>
      </c>
      <c r="K37" s="1055">
        <f>+Q37*Ricavi!L5/1000</f>
        <v>675.71377819999998</v>
      </c>
      <c r="L37" s="1055">
        <f>+R37*Ricavi!M5/1000</f>
        <v>705.61528892859155</v>
      </c>
      <c r="M37" s="1055">
        <f>+S37*Ricavi!N5/1000</f>
        <v>736.8399935488834</v>
      </c>
      <c r="O37" s="1519">
        <v>0.01</v>
      </c>
      <c r="P37" s="1519">
        <v>0.01</v>
      </c>
      <c r="Q37" s="1519">
        <v>0.01</v>
      </c>
      <c r="R37" s="1519">
        <v>0.01</v>
      </c>
      <c r="S37" s="1519">
        <v>0.01</v>
      </c>
    </row>
    <row r="38" spans="2:19" ht="12.75" thickBot="1">
      <c r="B38" s="1277" t="s">
        <v>4281</v>
      </c>
      <c r="C38" s="1278">
        <f>+C35+C36</f>
        <v>0</v>
      </c>
      <c r="D38" s="1278">
        <f t="shared" ref="D38:H38" si="31">+D35+D36</f>
        <v>0</v>
      </c>
      <c r="E38" s="1278">
        <f t="shared" si="31"/>
        <v>0</v>
      </c>
      <c r="F38" s="1278">
        <f t="shared" si="31"/>
        <v>2187.36</v>
      </c>
      <c r="G38" s="1278">
        <f t="shared" si="31"/>
        <v>2439.0590300000003</v>
      </c>
      <c r="H38" s="1278">
        <f t="shared" si="31"/>
        <v>2379.83871</v>
      </c>
      <c r="I38" s="1278">
        <f>+I35+I36+I37</f>
        <v>2474.8747582209362</v>
      </c>
      <c r="J38" s="1278">
        <f t="shared" ref="J38:M38" si="32">+J35+J36+J37</f>
        <v>2397.6647653756941</v>
      </c>
      <c r="K38" s="1278">
        <f t="shared" si="32"/>
        <v>2307.5198287814992</v>
      </c>
      <c r="L38" s="1278">
        <f t="shared" si="32"/>
        <v>2222.6151690703346</v>
      </c>
      <c r="M38" s="1278">
        <f t="shared" si="32"/>
        <v>2138.8918246287449</v>
      </c>
    </row>
    <row r="39" spans="2:19" ht="12.75" thickTop="1"/>
    <row r="40" spans="2:19">
      <c r="B40" s="1279" t="s">
        <v>4282</v>
      </c>
      <c r="C40" s="1280"/>
      <c r="D40" s="1280"/>
      <c r="E40" s="1280"/>
      <c r="F40" s="1280"/>
      <c r="G40" s="1281"/>
      <c r="H40" s="1281"/>
      <c r="I40" s="1282">
        <v>111.6</v>
      </c>
      <c r="J40" s="1282">
        <f>+I40</f>
        <v>111.6</v>
      </c>
      <c r="K40" s="1282">
        <f t="shared" ref="K40:M40" si="33">+J40</f>
        <v>111.6</v>
      </c>
      <c r="L40" s="1282">
        <f t="shared" si="33"/>
        <v>111.6</v>
      </c>
      <c r="M40" s="1282">
        <f t="shared" si="33"/>
        <v>111.6</v>
      </c>
    </row>
    <row r="44" spans="2:19">
      <c r="B44" s="599" t="s">
        <v>4527</v>
      </c>
      <c r="C44" s="606"/>
      <c r="D44" s="606"/>
      <c r="E44" s="606"/>
      <c r="F44" s="606">
        <v>2021</v>
      </c>
      <c r="G44" s="606">
        <f t="shared" ref="G44" si="34">+F44+1</f>
        <v>2022</v>
      </c>
      <c r="H44" s="1049">
        <v>45078</v>
      </c>
      <c r="I44" s="1514" t="s">
        <v>1</v>
      </c>
    </row>
    <row r="45" spans="2:19">
      <c r="B45" s="604" t="s">
        <v>4528</v>
      </c>
      <c r="F45" s="613">
        <v>1467.259</v>
      </c>
      <c r="G45" s="613">
        <v>4249.5379999999996</v>
      </c>
      <c r="H45" s="613">
        <f>2891.184-745.202</f>
        <v>2145.982</v>
      </c>
    </row>
    <row r="46" spans="2:19">
      <c r="B46" s="604" t="s">
        <v>4529</v>
      </c>
      <c r="F46" s="613">
        <v>4154.3879999999999</v>
      </c>
      <c r="G46" s="613">
        <v>8482.0779999999995</v>
      </c>
      <c r="H46" s="613">
        <v>5107.0370000000003</v>
      </c>
    </row>
    <row r="47" spans="2:19">
      <c r="F47" s="718"/>
      <c r="G47" s="718"/>
      <c r="H47" s="718"/>
    </row>
    <row r="48" spans="2:19">
      <c r="B48" s="604" t="s">
        <v>4530</v>
      </c>
      <c r="F48" s="613">
        <v>30621.088</v>
      </c>
      <c r="G48" s="613">
        <v>59090.260999999999</v>
      </c>
      <c r="H48" s="1515" t="s">
        <v>3453</v>
      </c>
      <c r="J48" s="712" t="s">
        <v>4531</v>
      </c>
    </row>
    <row r="49" spans="2:11">
      <c r="B49" s="604" t="s">
        <v>4532</v>
      </c>
      <c r="F49" s="613">
        <v>20007.493999999999</v>
      </c>
      <c r="G49" s="613">
        <v>39935.584999999999</v>
      </c>
      <c r="H49" s="1515" t="s">
        <v>3453</v>
      </c>
      <c r="J49" s="712" t="s">
        <v>4531</v>
      </c>
    </row>
    <row r="51" spans="2:11">
      <c r="B51" s="706" t="s">
        <v>4533</v>
      </c>
      <c r="F51" s="727">
        <f>+F45/F48</f>
        <v>4.7916618769391864E-2</v>
      </c>
      <c r="G51" s="727">
        <f>+G45/G48</f>
        <v>7.1916047214616294E-2</v>
      </c>
      <c r="H51" s="727">
        <f>+AVERAGE(F51:G51)</f>
        <v>5.9916332992004079E-2</v>
      </c>
      <c r="I51" s="1516">
        <f>+AVERAGE(F51:H51)</f>
        <v>5.9916332992004079E-2</v>
      </c>
    </row>
    <row r="52" spans="2:11">
      <c r="B52" s="706" t="s">
        <v>4534</v>
      </c>
      <c r="F52" s="727">
        <f>+F46/F49</f>
        <v>0.20764159669371887</v>
      </c>
      <c r="G52" s="727">
        <f t="shared" ref="G52" si="35">+G46/G49</f>
        <v>0.21239398396192266</v>
      </c>
      <c r="H52" s="727">
        <f>+AVERAGE(F52:G52)</f>
        <v>0.21001779032782075</v>
      </c>
      <c r="I52" s="1516">
        <f>+AVERAGE(F52:H52)</f>
        <v>0.21001779032782075</v>
      </c>
    </row>
    <row r="54" spans="2:11">
      <c r="B54" s="706" t="s">
        <v>4535</v>
      </c>
      <c r="F54" s="613">
        <f>+F6</f>
        <v>17572.798529999996</v>
      </c>
      <c r="G54" s="613">
        <f t="shared" ref="G54:H54" si="36">+G6</f>
        <v>30513.71428</v>
      </c>
      <c r="H54" s="613">
        <f t="shared" si="36"/>
        <v>32053.624660000001</v>
      </c>
    </row>
    <row r="55" spans="2:11">
      <c r="B55" s="706" t="s">
        <v>4536</v>
      </c>
      <c r="F55" s="613">
        <f>+F7</f>
        <v>-9231.1495099999993</v>
      </c>
      <c r="G55" s="613">
        <f t="shared" ref="G55:H55" si="37">+G7</f>
        <v>-18313.998540000001</v>
      </c>
      <c r="H55" s="613">
        <f t="shared" si="37"/>
        <v>-14097.93909</v>
      </c>
    </row>
    <row r="57" spans="2:11">
      <c r="B57" s="706" t="s">
        <v>436</v>
      </c>
      <c r="F57" s="613">
        <v>185.1610850139412</v>
      </c>
      <c r="G57" s="613">
        <v>191.36787945767657</v>
      </c>
      <c r="H57" s="613">
        <v>200.06106461750167</v>
      </c>
      <c r="K57" s="1517"/>
    </row>
    <row r="58" spans="2:11">
      <c r="B58" s="706" t="s">
        <v>364</v>
      </c>
      <c r="F58" s="613">
        <v>144.0824681549465</v>
      </c>
      <c r="G58" s="613">
        <v>156.73250671886478</v>
      </c>
      <c r="H58" s="613">
        <v>123.81287592197828</v>
      </c>
      <c r="K58" s="1517"/>
    </row>
  </sheetData>
  <pageMargins left="0.7" right="0.7" top="0.75" bottom="0.75" header="0.3" footer="0.3"/>
  <ignoredErrors>
    <ignoredError sqref="H10 I16" formula="1"/>
    <ignoredError sqref="C29:H29 F30 G30:H30" formulaRange="1"/>
  </ignoredError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2:U190"/>
  <sheetViews>
    <sheetView showGridLines="0" zoomScale="82" zoomScaleNormal="80" workbookViewId="0">
      <selection activeCell="P26" sqref="P26"/>
    </sheetView>
  </sheetViews>
  <sheetFormatPr defaultRowHeight="15"/>
  <cols>
    <col min="1" max="1" width="3" customWidth="1"/>
    <col min="2" max="2" width="51.140625" bestFit="1" customWidth="1"/>
    <col min="3" max="13" width="12.5703125" bestFit="1" customWidth="1"/>
    <col min="14" max="14" width="9.85546875" customWidth="1"/>
    <col min="16" max="17" width="10.42578125" bestFit="1" customWidth="1"/>
    <col min="18" max="18" width="11.140625" bestFit="1" customWidth="1"/>
    <col min="19" max="19" width="9.140625" bestFit="1" customWidth="1"/>
    <col min="21" max="21" width="9.140625" bestFit="1" customWidth="1"/>
  </cols>
  <sheetData>
    <row r="2" spans="2:13">
      <c r="B2" s="597" t="s">
        <v>2638</v>
      </c>
      <c r="C2" s="605"/>
      <c r="D2" s="605"/>
      <c r="E2" s="605"/>
      <c r="F2" s="605"/>
      <c r="G2" s="605"/>
      <c r="H2" s="605"/>
      <c r="I2" s="597"/>
      <c r="J2" s="597"/>
      <c r="K2" s="597"/>
      <c r="L2" s="597"/>
      <c r="M2" s="597"/>
    </row>
    <row r="3" spans="2:13">
      <c r="B3" s="598"/>
      <c r="C3" s="603"/>
      <c r="D3" s="603"/>
      <c r="E3" s="603"/>
      <c r="F3" s="603"/>
      <c r="G3" s="603"/>
      <c r="H3" s="603"/>
      <c r="I3" s="720"/>
      <c r="J3" s="720"/>
      <c r="K3" s="720"/>
      <c r="L3" s="720"/>
      <c r="M3" s="720"/>
    </row>
    <row r="4" spans="2:13">
      <c r="B4" s="599" t="s">
        <v>2452</v>
      </c>
      <c r="C4" s="606">
        <v>2018</v>
      </c>
      <c r="D4" s="606">
        <f>+C4+1</f>
        <v>2019</v>
      </c>
      <c r="E4" s="606">
        <f t="shared" ref="E4:M4" si="0">+D4+1</f>
        <v>2020</v>
      </c>
      <c r="F4" s="606">
        <f t="shared" si="0"/>
        <v>2021</v>
      </c>
      <c r="G4" s="606">
        <f t="shared" si="0"/>
        <v>2022</v>
      </c>
      <c r="H4" s="1049">
        <v>45078</v>
      </c>
      <c r="I4" s="599">
        <f>+G4+1</f>
        <v>2023</v>
      </c>
      <c r="J4" s="599">
        <f t="shared" si="0"/>
        <v>2024</v>
      </c>
      <c r="K4" s="599">
        <f t="shared" si="0"/>
        <v>2025</v>
      </c>
      <c r="L4" s="599">
        <f t="shared" si="0"/>
        <v>2026</v>
      </c>
      <c r="M4" s="599">
        <f t="shared" si="0"/>
        <v>2027</v>
      </c>
    </row>
    <row r="5" spans="2:13">
      <c r="B5" s="604" t="s">
        <v>2639</v>
      </c>
      <c r="C5" s="613">
        <f>+BdV!E314</f>
        <v>2016.03</v>
      </c>
      <c r="D5" s="613">
        <f>+BdV!F314</f>
        <v>2834.03</v>
      </c>
      <c r="E5" s="613">
        <f>+BdV!G314</f>
        <v>3250.36</v>
      </c>
      <c r="F5" s="613">
        <f>+BdV!H314</f>
        <v>4220.3500000000004</v>
      </c>
      <c r="G5" s="613">
        <f>+BdV!I314</f>
        <v>4001.46</v>
      </c>
      <c r="H5" s="613">
        <f>+BdV!J314</f>
        <v>4017.0299999999997</v>
      </c>
      <c r="I5" s="609">
        <f>+H5</f>
        <v>4017.0299999999997</v>
      </c>
      <c r="J5" s="609">
        <v>0</v>
      </c>
      <c r="K5" s="609">
        <v>0</v>
      </c>
      <c r="L5" s="609">
        <v>0</v>
      </c>
      <c r="M5" s="609">
        <v>0</v>
      </c>
    </row>
    <row r="6" spans="2:13">
      <c r="B6" s="604" t="s">
        <v>2431</v>
      </c>
      <c r="C6" s="613">
        <f>+BdV!E315</f>
        <v>1119658.8500000001</v>
      </c>
      <c r="D6" s="613">
        <f>+BdV!F315</f>
        <v>0</v>
      </c>
      <c r="E6" s="613">
        <f>+BdV!G315</f>
        <v>0</v>
      </c>
      <c r="F6" s="613">
        <f>+BdV!H315</f>
        <v>0</v>
      </c>
      <c r="G6" s="613">
        <f>+BdV!I315</f>
        <v>0</v>
      </c>
      <c r="H6" s="613">
        <f>+BdV!J315</f>
        <v>0</v>
      </c>
      <c r="I6" s="609">
        <f>+'Dettaglio Affidamenti'!F29</f>
        <v>150000</v>
      </c>
      <c r="J6" s="609">
        <f>+'Dettaglio Affidamenti'!G29</f>
        <v>150000</v>
      </c>
      <c r="K6" s="609">
        <f>+'Dettaglio Affidamenti'!H29</f>
        <v>150000</v>
      </c>
      <c r="L6" s="609">
        <f>+'Dettaglio Affidamenti'!I29</f>
        <v>150000</v>
      </c>
      <c r="M6" s="609">
        <f>+'Dettaglio Affidamenti'!J29</f>
        <v>150000</v>
      </c>
    </row>
    <row r="7" spans="2:13">
      <c r="B7" s="604" t="s">
        <v>2432</v>
      </c>
      <c r="C7" s="613">
        <f>+BdV!E316</f>
        <v>198738</v>
      </c>
      <c r="D7" s="613">
        <f>+BdV!F316</f>
        <v>0</v>
      </c>
      <c r="E7" s="613">
        <f>+BdV!G316</f>
        <v>0</v>
      </c>
      <c r="F7" s="613">
        <f>+BdV!H316</f>
        <v>0</v>
      </c>
      <c r="G7" s="613">
        <f>+BdV!I316</f>
        <v>0</v>
      </c>
      <c r="H7" s="613">
        <f>+BdV!J316</f>
        <v>0</v>
      </c>
      <c r="I7" s="609">
        <f t="shared" ref="I7:M7" si="1">+J157</f>
        <v>0</v>
      </c>
      <c r="J7" s="609">
        <f t="shared" si="1"/>
        <v>0</v>
      </c>
      <c r="K7" s="609">
        <f t="shared" si="1"/>
        <v>0</v>
      </c>
      <c r="L7" s="609">
        <f t="shared" si="1"/>
        <v>0</v>
      </c>
      <c r="M7" s="609">
        <f t="shared" si="1"/>
        <v>0</v>
      </c>
    </row>
    <row r="8" spans="2:13">
      <c r="B8" s="604" t="s">
        <v>2640</v>
      </c>
      <c r="C8" s="613">
        <f>+BdV!E317</f>
        <v>724831.87</v>
      </c>
      <c r="D8" s="613">
        <f>+BdV!F317</f>
        <v>996239.07</v>
      </c>
      <c r="E8" s="613">
        <f>+BdV!G317</f>
        <v>1220000</v>
      </c>
      <c r="F8" s="613">
        <f>+BdV!H317</f>
        <v>735000</v>
      </c>
      <c r="G8" s="613">
        <f>+BdV!I317</f>
        <v>1290000</v>
      </c>
      <c r="H8" s="613">
        <f>+BdV!J317</f>
        <v>68743.360000000001</v>
      </c>
      <c r="I8" s="609">
        <f>+'Dettaglio Affidamenti'!F33</f>
        <v>1000000</v>
      </c>
      <c r="J8" s="609">
        <f>+'Dettaglio Affidamenti'!G33</f>
        <v>1020589</v>
      </c>
      <c r="K8" s="609">
        <f>+'Dettaglio Affidamenti'!H33</f>
        <v>1200000</v>
      </c>
      <c r="L8" s="609">
        <f>+'Dettaglio Affidamenti'!I33</f>
        <v>1200000</v>
      </c>
      <c r="M8" s="609">
        <f>+'Dettaglio Affidamenti'!J33</f>
        <v>1200000</v>
      </c>
    </row>
    <row r="9" spans="2:13">
      <c r="B9" s="604" t="s">
        <v>2641</v>
      </c>
      <c r="C9" s="613">
        <f>+BdV!E318</f>
        <v>0</v>
      </c>
      <c r="D9" s="613">
        <f>+BdV!F318</f>
        <v>-1122.01</v>
      </c>
      <c r="E9" s="613">
        <f>+BdV!G318</f>
        <v>-1786.62</v>
      </c>
      <c r="F9" s="613">
        <f>+BdV!H318</f>
        <v>-4173.2</v>
      </c>
      <c r="G9" s="613">
        <f>+BdV!I318</f>
        <v>0</v>
      </c>
      <c r="H9" s="613">
        <f>+BdV!J318</f>
        <v>0</v>
      </c>
      <c r="I9" s="609"/>
      <c r="J9" s="609"/>
      <c r="K9" s="609"/>
      <c r="L9" s="609"/>
      <c r="M9" s="609"/>
    </row>
    <row r="10" spans="2:13">
      <c r="B10" s="604" t="s">
        <v>2642</v>
      </c>
      <c r="C10" s="613">
        <f>+BdV!E319</f>
        <v>514599.01</v>
      </c>
      <c r="D10" s="613">
        <f>+BdV!F319</f>
        <v>0</v>
      </c>
      <c r="E10" s="613">
        <f>+BdV!G319</f>
        <v>0</v>
      </c>
      <c r="F10" s="613">
        <f>+BdV!H319</f>
        <v>360000</v>
      </c>
      <c r="G10" s="613">
        <f>+BdV!I319</f>
        <v>600000</v>
      </c>
      <c r="H10" s="613">
        <f>+BdV!J319</f>
        <v>500000</v>
      </c>
      <c r="I10" s="609">
        <f>+'Dettaglio Affidamenti'!F28</f>
        <v>1000000</v>
      </c>
      <c r="J10" s="609">
        <f>+'Dettaglio Affidamenti'!G28</f>
        <v>1500000</v>
      </c>
      <c r="K10" s="609">
        <f>+'Dettaglio Affidamenti'!H28</f>
        <v>1500000</v>
      </c>
      <c r="L10" s="609">
        <f>+'Dettaglio Affidamenti'!I28</f>
        <v>1500000</v>
      </c>
      <c r="M10" s="609">
        <f>+'Dettaglio Affidamenti'!J28</f>
        <v>1500000</v>
      </c>
    </row>
    <row r="11" spans="2:13">
      <c r="B11" s="604" t="s">
        <v>2643</v>
      </c>
      <c r="C11" s="613">
        <f>+BdV!E320</f>
        <v>0</v>
      </c>
      <c r="D11" s="613">
        <f>+BdV!F320</f>
        <v>0</v>
      </c>
      <c r="E11" s="613">
        <f>+BdV!G320</f>
        <v>0</v>
      </c>
      <c r="F11" s="613">
        <f>+BdV!H320</f>
        <v>51.29</v>
      </c>
      <c r="G11" s="613">
        <f>+BdV!I320</f>
        <v>0</v>
      </c>
      <c r="H11" s="613">
        <f>+BdV!J320</f>
        <v>0</v>
      </c>
      <c r="I11" s="609"/>
      <c r="J11" s="609"/>
      <c r="K11" s="609"/>
      <c r="L11" s="609"/>
      <c r="M11" s="609"/>
    </row>
    <row r="12" spans="2:13">
      <c r="B12" s="604" t="s">
        <v>2644</v>
      </c>
      <c r="C12" s="613">
        <f>+BdV!E321</f>
        <v>-8426.56</v>
      </c>
      <c r="D12" s="613">
        <f>+BdV!F321</f>
        <v>-9305.7099999999991</v>
      </c>
      <c r="E12" s="613">
        <f>+BdV!G321</f>
        <v>-5053.79</v>
      </c>
      <c r="F12" s="613">
        <f>+BdV!H321</f>
        <v>-6816.73</v>
      </c>
      <c r="G12" s="613">
        <f>+BdV!I321</f>
        <v>0</v>
      </c>
      <c r="H12" s="613">
        <f>+BdV!J321</f>
        <v>0</v>
      </c>
      <c r="I12" s="609"/>
      <c r="J12" s="609"/>
      <c r="K12" s="609"/>
      <c r="L12" s="609"/>
      <c r="M12" s="609"/>
    </row>
    <row r="13" spans="2:13">
      <c r="B13" s="604" t="s">
        <v>2645</v>
      </c>
      <c r="C13" s="613">
        <f>+BdV!E322</f>
        <v>41600</v>
      </c>
      <c r="D13" s="613">
        <f>+BdV!F322</f>
        <v>148920</v>
      </c>
      <c r="E13" s="613">
        <f>+BdV!G322</f>
        <v>0</v>
      </c>
      <c r="F13" s="613">
        <f>+BdV!H322</f>
        <v>0</v>
      </c>
      <c r="G13" s="613">
        <f>+BdV!I322</f>
        <v>150000</v>
      </c>
      <c r="H13" s="613">
        <f>+BdV!J322</f>
        <v>85000</v>
      </c>
      <c r="I13" s="609">
        <f>+'Dettaglio Affidamenti'!F32</f>
        <v>500000</v>
      </c>
      <c r="J13" s="609">
        <f>+'Dettaglio Affidamenti'!G32</f>
        <v>500000</v>
      </c>
      <c r="K13" s="609">
        <f>+'Dettaglio Affidamenti'!H32</f>
        <v>500000</v>
      </c>
      <c r="L13" s="609">
        <f>+'Dettaglio Affidamenti'!I32</f>
        <v>500000</v>
      </c>
      <c r="M13" s="609">
        <f>+'Dettaglio Affidamenti'!J32</f>
        <v>500000</v>
      </c>
    </row>
    <row r="14" spans="2:13">
      <c r="B14" s="604" t="s">
        <v>2382</v>
      </c>
      <c r="C14" s="613">
        <f>+BdV!E323</f>
        <v>0</v>
      </c>
      <c r="D14" s="613">
        <f>+BdV!F323</f>
        <v>239212.79999999999</v>
      </c>
      <c r="E14" s="613">
        <f>+BdV!G323</f>
        <v>69200</v>
      </c>
      <c r="F14" s="613">
        <f>+BdV!H323</f>
        <v>0</v>
      </c>
      <c r="G14" s="613">
        <f>+BdV!I323</f>
        <v>0</v>
      </c>
      <c r="H14" s="613">
        <f>+BdV!J323</f>
        <v>0</v>
      </c>
      <c r="I14" s="609">
        <f>+'Dettaglio Affidamenti'!F31</f>
        <v>1000000</v>
      </c>
      <c r="J14" s="609">
        <f>+'Dettaglio Affidamenti'!G31</f>
        <v>1000000</v>
      </c>
      <c r="K14" s="609">
        <f>+'Dettaglio Affidamenti'!H31</f>
        <v>1000000</v>
      </c>
      <c r="L14" s="609">
        <f>+'Dettaglio Affidamenti'!I31</f>
        <v>1000000</v>
      </c>
      <c r="M14" s="609">
        <f>+'Dettaglio Affidamenti'!J31</f>
        <v>1000000</v>
      </c>
    </row>
    <row r="15" spans="2:13">
      <c r="B15" s="604" t="s">
        <v>2383</v>
      </c>
      <c r="C15" s="613">
        <f>+BdV!E324</f>
        <v>0</v>
      </c>
      <c r="D15" s="613">
        <f>+BdV!F324</f>
        <v>1066457.06</v>
      </c>
      <c r="E15" s="613">
        <f>+BdV!G324</f>
        <v>910000</v>
      </c>
      <c r="F15" s="613">
        <f>+BdV!H324</f>
        <v>0</v>
      </c>
      <c r="G15" s="613">
        <f>+BdV!I324</f>
        <v>0</v>
      </c>
      <c r="H15" s="613">
        <f>+BdV!J324</f>
        <v>0</v>
      </c>
      <c r="I15" s="609"/>
      <c r="J15" s="609"/>
      <c r="K15" s="609"/>
      <c r="L15" s="609"/>
      <c r="M15" s="609"/>
    </row>
    <row r="16" spans="2:13">
      <c r="B16" s="604" t="s">
        <v>2384</v>
      </c>
      <c r="C16" s="613">
        <f>+BdV!E325</f>
        <v>83223.72</v>
      </c>
      <c r="D16" s="613">
        <f>+BdV!F325</f>
        <v>60375.86</v>
      </c>
      <c r="E16" s="613">
        <f>+BdV!G325</f>
        <v>0</v>
      </c>
      <c r="F16" s="613">
        <f>+BdV!H325</f>
        <v>0</v>
      </c>
      <c r="G16" s="613">
        <f>+BdV!I325</f>
        <v>0</v>
      </c>
      <c r="H16" s="613">
        <f>+BdV!J325</f>
        <v>0</v>
      </c>
      <c r="I16" s="609">
        <f>+'Dettaglio Affidamenti'!F30</f>
        <v>84920</v>
      </c>
      <c r="J16" s="609">
        <f>+'Dettaglio Affidamenti'!G30</f>
        <v>0</v>
      </c>
      <c r="K16" s="609">
        <f>+'Dettaglio Affidamenti'!H30</f>
        <v>92392</v>
      </c>
      <c r="L16" s="609">
        <f>+'Dettaglio Affidamenti'!I30</f>
        <v>300000</v>
      </c>
      <c r="M16" s="609">
        <f>+'Dettaglio Affidamenti'!J30</f>
        <v>383735</v>
      </c>
    </row>
    <row r="17" spans="2:14">
      <c r="B17" s="604" t="s">
        <v>2385</v>
      </c>
      <c r="C17" s="613">
        <f>+BdV!E326</f>
        <v>0</v>
      </c>
      <c r="D17" s="613">
        <f>+BdV!F326</f>
        <v>75947.97</v>
      </c>
      <c r="E17" s="613">
        <f>+BdV!G326</f>
        <v>0</v>
      </c>
      <c r="F17" s="613">
        <f>+BdV!H326</f>
        <v>0</v>
      </c>
      <c r="G17" s="613">
        <f>+BdV!I326</f>
        <v>0</v>
      </c>
      <c r="H17" s="613">
        <f>+BdV!J326</f>
        <v>0</v>
      </c>
      <c r="I17" s="609">
        <f>+'Dettaglio Affidamenti'!F34</f>
        <v>0</v>
      </c>
      <c r="J17" s="609">
        <f>+'Dettaglio Affidamenti'!G34</f>
        <v>0</v>
      </c>
      <c r="K17" s="609">
        <f>+'Dettaglio Affidamenti'!H34</f>
        <v>0</v>
      </c>
      <c r="L17" s="609">
        <f>+'Dettaglio Affidamenti'!I34</f>
        <v>130581</v>
      </c>
      <c r="M17" s="609">
        <f>+'Dettaglio Affidamenti'!J34</f>
        <v>400000</v>
      </c>
    </row>
    <row r="18" spans="2:14">
      <c r="B18" s="604" t="s">
        <v>2646</v>
      </c>
      <c r="C18" s="613">
        <f>+BdV!E327</f>
        <v>2251504.65</v>
      </c>
      <c r="D18" s="613">
        <f>+BdV!F327</f>
        <v>1669749.5</v>
      </c>
      <c r="E18" s="613">
        <f>+BdV!G327</f>
        <v>2624880</v>
      </c>
      <c r="F18" s="613">
        <f>+BdV!H327</f>
        <v>2497000</v>
      </c>
      <c r="G18" s="613">
        <f>+BdV!I327</f>
        <v>2420000</v>
      </c>
      <c r="H18" s="613">
        <f>+BdV!J327</f>
        <v>2475000</v>
      </c>
      <c r="I18" s="609">
        <f>+'Dettaglio Affidamenti'!F27</f>
        <v>3200000</v>
      </c>
      <c r="J18" s="609">
        <f>+'Dettaglio Affidamenti'!G27</f>
        <v>3200000</v>
      </c>
      <c r="K18" s="609">
        <f>+'Dettaglio Affidamenti'!H27</f>
        <v>3200000</v>
      </c>
      <c r="L18" s="609">
        <f>+'Dettaglio Affidamenti'!I27</f>
        <v>3200000</v>
      </c>
      <c r="M18" s="609">
        <f>+'Dettaglio Affidamenti'!J27</f>
        <v>3200000</v>
      </c>
    </row>
    <row r="19" spans="2:14">
      <c r="B19" s="650" t="s">
        <v>3750</v>
      </c>
      <c r="C19" s="651">
        <f>+BdV!E328</f>
        <v>0</v>
      </c>
      <c r="D19" s="651">
        <f>+BdV!F328</f>
        <v>0</v>
      </c>
      <c r="E19" s="651">
        <f>+BdV!G328</f>
        <v>0</v>
      </c>
      <c r="F19" s="651">
        <f>+BdV!H328</f>
        <v>0</v>
      </c>
      <c r="G19" s="651">
        <f>+BdV!I328</f>
        <v>1582452.61</v>
      </c>
      <c r="H19" s="651">
        <f>+BdV!J328</f>
        <v>3757280</v>
      </c>
      <c r="I19" s="609">
        <v>0</v>
      </c>
      <c r="J19" s="609">
        <v>0</v>
      </c>
      <c r="K19" s="609">
        <v>0</v>
      </c>
      <c r="L19" s="609">
        <v>0</v>
      </c>
      <c r="M19" s="609">
        <v>0</v>
      </c>
      <c r="N19" s="840"/>
    </row>
    <row r="20" spans="2:14">
      <c r="B20" s="604" t="s">
        <v>3751</v>
      </c>
      <c r="C20" s="613">
        <f>+BdV!E329</f>
        <v>0</v>
      </c>
      <c r="D20" s="613">
        <f>+BdV!F329</f>
        <v>0</v>
      </c>
      <c r="E20" s="613">
        <f>+BdV!G329</f>
        <v>0</v>
      </c>
      <c r="F20" s="613">
        <f>+BdV!H329</f>
        <v>0</v>
      </c>
      <c r="G20" s="613">
        <f>+BdV!I329</f>
        <v>10328.549999999999</v>
      </c>
      <c r="H20" s="613">
        <f>+BdV!J329</f>
        <v>69529.649999999994</v>
      </c>
      <c r="I20" s="609">
        <f>+H20</f>
        <v>69529.649999999994</v>
      </c>
      <c r="J20" s="609">
        <v>0</v>
      </c>
      <c r="K20" s="609">
        <v>0</v>
      </c>
      <c r="L20" s="609">
        <v>0</v>
      </c>
      <c r="M20" s="609">
        <v>0</v>
      </c>
    </row>
    <row r="21" spans="2:14" ht="15.75" thickBot="1">
      <c r="B21" s="776" t="s">
        <v>2658</v>
      </c>
      <c r="C21" s="777">
        <f>+SUM(C5:C20)</f>
        <v>4927745.57</v>
      </c>
      <c r="D21" s="777">
        <f t="shared" ref="D21:G21" si="2">+SUM(D5:D20)</f>
        <v>4249308.57</v>
      </c>
      <c r="E21" s="777">
        <f t="shared" si="2"/>
        <v>4820489.95</v>
      </c>
      <c r="F21" s="777">
        <f t="shared" si="2"/>
        <v>3585281.71</v>
      </c>
      <c r="G21" s="777">
        <f t="shared" si="2"/>
        <v>6056782.6200000001</v>
      </c>
      <c r="H21" s="777">
        <f t="shared" ref="H21" si="3">+SUM(H5:H20)</f>
        <v>6959570.040000001</v>
      </c>
      <c r="I21" s="777">
        <f>+SUM(I5:I18)</f>
        <v>6938937.0300000003</v>
      </c>
      <c r="J21" s="777">
        <f>+SUM(J5:J18)</f>
        <v>7370589</v>
      </c>
      <c r="K21" s="777">
        <f>+SUM(K5:K18)</f>
        <v>7642392</v>
      </c>
      <c r="L21" s="777">
        <f>+SUM(L5:L18)</f>
        <v>7980581</v>
      </c>
      <c r="M21" s="777">
        <f>+SUM(M5:M18)</f>
        <v>8333735</v>
      </c>
    </row>
    <row r="22" spans="2:14" ht="15.75" thickTop="1">
      <c r="B22" s="778" t="s">
        <v>363</v>
      </c>
      <c r="C22" s="779"/>
      <c r="D22" s="779"/>
      <c r="E22" s="779"/>
      <c r="F22" s="779">
        <f>+F21-SP!F32*1000</f>
        <v>-556000.84999999963</v>
      </c>
      <c r="G22" s="779">
        <f>+G21-SP!I32*1000</f>
        <v>-351634.19000000041</v>
      </c>
      <c r="H22" s="779">
        <f>+H21-SP!J32*1000</f>
        <v>-3261351.5699999984</v>
      </c>
      <c r="I22" s="3"/>
      <c r="J22" s="3"/>
      <c r="K22" s="3"/>
      <c r="L22" s="3"/>
      <c r="M22" s="3"/>
    </row>
    <row r="25" spans="2:14">
      <c r="B25" s="604" t="s">
        <v>2647</v>
      </c>
      <c r="C25" s="613">
        <f>+BdV!E331</f>
        <v>0</v>
      </c>
      <c r="D25" s="613">
        <f>+BdV!F331</f>
        <v>0</v>
      </c>
      <c r="E25" s="613">
        <f>+BdV!G331</f>
        <v>0</v>
      </c>
      <c r="F25" s="613">
        <f>+BdV!H331</f>
        <v>800000</v>
      </c>
      <c r="G25" s="613">
        <f>+BdV!I331</f>
        <v>685714.29</v>
      </c>
      <c r="H25" s="613">
        <f>+BdV!J331</f>
        <v>571428.57999999996</v>
      </c>
      <c r="I25" s="784">
        <f>+I60</f>
        <v>685714.29</v>
      </c>
      <c r="J25" s="784">
        <f t="shared" ref="J25:M25" si="4">+J60</f>
        <v>457142.87</v>
      </c>
      <c r="K25" s="784">
        <f t="shared" si="4"/>
        <v>228571.43999999997</v>
      </c>
      <c r="L25" s="784">
        <f t="shared" si="4"/>
        <v>0</v>
      </c>
      <c r="M25" s="784">
        <f t="shared" si="4"/>
        <v>0</v>
      </c>
    </row>
    <row r="26" spans="2:14">
      <c r="B26" s="604" t="s">
        <v>2648</v>
      </c>
      <c r="C26" s="613">
        <f>+BdV!E332</f>
        <v>783041.73</v>
      </c>
      <c r="D26" s="613">
        <f>+BdV!F332</f>
        <v>605872.44999999995</v>
      </c>
      <c r="E26" s="613">
        <f>+BdV!G332</f>
        <v>576140.73</v>
      </c>
      <c r="F26" s="613">
        <f>+BdV!H332</f>
        <v>486594.37</v>
      </c>
      <c r="G26" s="613">
        <f>+BdV!I332</f>
        <v>123085.86</v>
      </c>
      <c r="H26" s="613">
        <f>+BdV!J332</f>
        <v>30862.19</v>
      </c>
      <c r="I26" s="784">
        <f>+I66</f>
        <v>123041.26000000001</v>
      </c>
      <c r="J26" s="784">
        <f t="shared" ref="J26:M26" si="5">+J66</f>
        <v>0</v>
      </c>
      <c r="K26" s="784">
        <f t="shared" si="5"/>
        <v>0</v>
      </c>
      <c r="L26" s="784">
        <f t="shared" si="5"/>
        <v>0</v>
      </c>
      <c r="M26" s="784">
        <f t="shared" si="5"/>
        <v>0</v>
      </c>
    </row>
    <row r="27" spans="2:14">
      <c r="B27" s="604" t="s">
        <v>2649</v>
      </c>
      <c r="C27" s="613">
        <f>+BdV!E333</f>
        <v>0</v>
      </c>
      <c r="D27" s="613">
        <f>+BdV!F333</f>
        <v>900000</v>
      </c>
      <c r="E27" s="613">
        <f>+BdV!G333</f>
        <v>900000</v>
      </c>
      <c r="F27" s="613">
        <f>+BdV!H333</f>
        <v>700000</v>
      </c>
      <c r="G27" s="613">
        <f>+BdV!I333</f>
        <v>300000</v>
      </c>
      <c r="H27" s="613">
        <f>+BdV!J333</f>
        <v>200000</v>
      </c>
      <c r="I27" s="784">
        <f>+I72</f>
        <v>300000</v>
      </c>
      <c r="J27" s="784">
        <f>+J72</f>
        <v>100000</v>
      </c>
      <c r="K27" s="784">
        <f t="shared" ref="K27:M27" si="6">+K72</f>
        <v>0</v>
      </c>
      <c r="L27" s="784">
        <f t="shared" si="6"/>
        <v>0</v>
      </c>
      <c r="M27" s="784">
        <f t="shared" si="6"/>
        <v>0</v>
      </c>
    </row>
    <row r="28" spans="2:14">
      <c r="B28" s="604" t="s">
        <v>2386</v>
      </c>
      <c r="C28" s="613">
        <f>+BdV!E334</f>
        <v>2516.9899999999998</v>
      </c>
      <c r="D28" s="613">
        <f>+BdV!F334</f>
        <v>0</v>
      </c>
      <c r="E28" s="613">
        <f>+BdV!G334</f>
        <v>0</v>
      </c>
      <c r="F28" s="613">
        <f>+BdV!H334</f>
        <v>0</v>
      </c>
      <c r="G28" s="613">
        <f>+BdV!I334</f>
        <v>0</v>
      </c>
      <c r="H28" s="613">
        <f>+BdV!J334</f>
        <v>0</v>
      </c>
      <c r="I28" s="784">
        <v>0</v>
      </c>
      <c r="J28" s="784">
        <v>0</v>
      </c>
      <c r="K28" s="784">
        <v>0</v>
      </c>
      <c r="L28" s="784">
        <v>0</v>
      </c>
      <c r="M28" s="784">
        <v>0</v>
      </c>
    </row>
    <row r="29" spans="2:14">
      <c r="B29" s="604" t="s">
        <v>2387</v>
      </c>
      <c r="C29" s="613">
        <f>+BdV!E335</f>
        <v>100000</v>
      </c>
      <c r="D29" s="613">
        <f>+BdV!F335</f>
        <v>0</v>
      </c>
      <c r="E29" s="613">
        <f>+BdV!G335</f>
        <v>0</v>
      </c>
      <c r="F29" s="613">
        <f>+BdV!H335</f>
        <v>0</v>
      </c>
      <c r="G29" s="613">
        <f>+BdV!I335</f>
        <v>0</v>
      </c>
      <c r="H29" s="613">
        <f>+BdV!J335</f>
        <v>0</v>
      </c>
      <c r="I29" s="784">
        <v>0</v>
      </c>
      <c r="J29" s="784">
        <v>0</v>
      </c>
      <c r="K29" s="784">
        <v>0</v>
      </c>
      <c r="L29" s="784">
        <v>0</v>
      </c>
      <c r="M29" s="784">
        <v>0</v>
      </c>
    </row>
    <row r="30" spans="2:14">
      <c r="B30" s="604" t="s">
        <v>2388</v>
      </c>
      <c r="C30" s="613">
        <f>+BdV!E336</f>
        <v>631578.84</v>
      </c>
      <c r="D30" s="613">
        <f>+BdV!F336</f>
        <v>0</v>
      </c>
      <c r="E30" s="613">
        <f>+BdV!G336</f>
        <v>0</v>
      </c>
      <c r="F30" s="613">
        <f>+BdV!H336</f>
        <v>0</v>
      </c>
      <c r="G30" s="613">
        <f>+BdV!I336</f>
        <v>0</v>
      </c>
      <c r="H30" s="613">
        <f>+BdV!J336</f>
        <v>0</v>
      </c>
      <c r="I30" s="784">
        <v>0</v>
      </c>
      <c r="J30" s="784">
        <v>0</v>
      </c>
      <c r="K30" s="784">
        <v>0</v>
      </c>
      <c r="L30" s="784">
        <v>0</v>
      </c>
      <c r="M30" s="784">
        <v>0</v>
      </c>
    </row>
    <row r="31" spans="2:14">
      <c r="B31" s="604" t="s">
        <v>2650</v>
      </c>
      <c r="C31" s="613">
        <f>+BdV!E337</f>
        <v>335988.56</v>
      </c>
      <c r="D31" s="613">
        <f>+BdV!F337</f>
        <v>202950.04</v>
      </c>
      <c r="E31" s="613">
        <f>+BdV!G337</f>
        <v>202950.04</v>
      </c>
      <c r="F31" s="613">
        <f>+BdV!H337</f>
        <v>135755.38</v>
      </c>
      <c r="G31" s="613">
        <f>+BdV!I337</f>
        <v>0</v>
      </c>
      <c r="H31" s="613">
        <f>+BdV!J337</f>
        <v>0</v>
      </c>
      <c r="I31" s="784">
        <v>0</v>
      </c>
      <c r="J31" s="784">
        <v>0</v>
      </c>
      <c r="K31" s="784">
        <v>0</v>
      </c>
      <c r="L31" s="784">
        <v>0</v>
      </c>
      <c r="M31" s="784">
        <v>0</v>
      </c>
    </row>
    <row r="32" spans="2:14">
      <c r="B32" s="604" t="s">
        <v>2390</v>
      </c>
      <c r="C32" s="613">
        <f>+BdV!E338</f>
        <v>34776.17</v>
      </c>
      <c r="D32" s="613">
        <f>+BdV!F338</f>
        <v>0</v>
      </c>
      <c r="E32" s="613">
        <f>+BdV!G338</f>
        <v>0</v>
      </c>
      <c r="F32" s="613">
        <f>+BdV!H338</f>
        <v>0</v>
      </c>
      <c r="G32" s="613">
        <f>+BdV!I338</f>
        <v>0</v>
      </c>
      <c r="H32" s="613">
        <f>+BdV!J338</f>
        <v>0</v>
      </c>
      <c r="I32" s="784">
        <v>0</v>
      </c>
      <c r="J32" s="784">
        <v>0</v>
      </c>
      <c r="K32" s="784">
        <v>0</v>
      </c>
      <c r="L32" s="784">
        <v>0</v>
      </c>
      <c r="M32" s="784">
        <v>0</v>
      </c>
    </row>
    <row r="33" spans="2:13">
      <c r="B33" s="604" t="s">
        <v>2391</v>
      </c>
      <c r="C33" s="613">
        <f>+BdV!E339</f>
        <v>166666.70000000001</v>
      </c>
      <c r="D33" s="613">
        <f>+BdV!F339</f>
        <v>0</v>
      </c>
      <c r="E33" s="613">
        <f>+BdV!G339</f>
        <v>0</v>
      </c>
      <c r="F33" s="613">
        <f>+BdV!H339</f>
        <v>0</v>
      </c>
      <c r="G33" s="613">
        <f>+BdV!I339</f>
        <v>0</v>
      </c>
      <c r="H33" s="613">
        <f>+BdV!J339</f>
        <v>0</v>
      </c>
      <c r="I33" s="784">
        <v>0</v>
      </c>
      <c r="J33" s="784">
        <v>0</v>
      </c>
      <c r="K33" s="784">
        <v>0</v>
      </c>
      <c r="L33" s="784">
        <v>0</v>
      </c>
      <c r="M33" s="784">
        <v>0</v>
      </c>
    </row>
    <row r="34" spans="2:13">
      <c r="B34" s="604" t="s">
        <v>2651</v>
      </c>
      <c r="C34" s="613">
        <f>+BdV!E340</f>
        <v>504573.33</v>
      </c>
      <c r="D34" s="613">
        <f>+BdV!F340</f>
        <v>502368.52</v>
      </c>
      <c r="E34" s="613">
        <f>+BdV!G340</f>
        <v>502804.18</v>
      </c>
      <c r="F34" s="613">
        <f>+BdV!H340</f>
        <v>300000</v>
      </c>
      <c r="G34" s="613">
        <f>+BdV!I340</f>
        <v>0</v>
      </c>
      <c r="H34" s="613">
        <f>+BdV!J340</f>
        <v>0</v>
      </c>
      <c r="I34" s="784">
        <v>0</v>
      </c>
      <c r="J34" s="784">
        <v>0</v>
      </c>
      <c r="K34" s="784">
        <v>0</v>
      </c>
      <c r="L34" s="784">
        <v>0</v>
      </c>
      <c r="M34" s="784">
        <v>0</v>
      </c>
    </row>
    <row r="35" spans="2:13">
      <c r="B35" s="604" t="s">
        <v>2652</v>
      </c>
      <c r="C35" s="613">
        <f>+BdV!E341</f>
        <v>0</v>
      </c>
      <c r="D35" s="613">
        <f>+BdV!F341</f>
        <v>0</v>
      </c>
      <c r="E35" s="613">
        <f>+BdV!G341</f>
        <v>500000</v>
      </c>
      <c r="F35" s="613">
        <f>+BdV!H341</f>
        <v>500000</v>
      </c>
      <c r="G35" s="613">
        <f>+BdV!I341</f>
        <v>304479.88</v>
      </c>
      <c r="H35" s="613">
        <f>+BdV!J341</f>
        <v>254678.2</v>
      </c>
      <c r="I35" s="784">
        <f>+I78</f>
        <v>205988</v>
      </c>
      <c r="J35" s="784">
        <f t="shared" ref="J35:M35" si="7">+J78</f>
        <v>106010.42000000001</v>
      </c>
      <c r="K35" s="784">
        <f t="shared" si="7"/>
        <v>4524.7100000000064</v>
      </c>
      <c r="L35" s="784">
        <f t="shared" si="7"/>
        <v>0</v>
      </c>
      <c r="M35" s="784">
        <f t="shared" si="7"/>
        <v>0</v>
      </c>
    </row>
    <row r="36" spans="2:13">
      <c r="B36" s="604" t="s">
        <v>2653</v>
      </c>
      <c r="C36" s="613">
        <f>+BdV!E342</f>
        <v>0</v>
      </c>
      <c r="D36" s="613">
        <f>+BdV!F342</f>
        <v>0</v>
      </c>
      <c r="E36" s="613">
        <f>+BdV!G342</f>
        <v>0</v>
      </c>
      <c r="F36" s="613">
        <f>+BdV!H342</f>
        <v>1300000</v>
      </c>
      <c r="G36" s="613">
        <f>+BdV!I342</f>
        <v>1006375.1</v>
      </c>
      <c r="H36" s="613">
        <f>+BdV!J342</f>
        <v>845149.15</v>
      </c>
      <c r="I36" s="784">
        <f>+I84</f>
        <v>1006375.1</v>
      </c>
      <c r="J36" s="784">
        <f t="shared" ref="J36:M36" si="8">+J84</f>
        <v>683165.59</v>
      </c>
      <c r="K36" s="784">
        <f t="shared" si="8"/>
        <v>356911.31</v>
      </c>
      <c r="L36" s="784">
        <f t="shared" si="8"/>
        <v>27583.609999999986</v>
      </c>
      <c r="M36" s="784">
        <f t="shared" si="8"/>
        <v>0</v>
      </c>
    </row>
    <row r="37" spans="2:13">
      <c r="B37" s="604" t="s">
        <v>2418</v>
      </c>
      <c r="C37" s="613">
        <f>+BdV!E343</f>
        <v>0</v>
      </c>
      <c r="D37" s="613">
        <f>+BdV!F343</f>
        <v>0</v>
      </c>
      <c r="E37" s="613">
        <f>+BdV!G343</f>
        <v>0</v>
      </c>
      <c r="F37" s="613">
        <f>+BdV!H343</f>
        <v>450000</v>
      </c>
      <c r="G37" s="613">
        <f>+BdV!I343</f>
        <v>253378.6</v>
      </c>
      <c r="H37" s="613">
        <f>+BdV!J343</f>
        <v>199378.23</v>
      </c>
      <c r="I37" s="784">
        <f>+I90</f>
        <v>253378.6</v>
      </c>
      <c r="J37" s="784">
        <f t="shared" ref="J37:M37" si="9">+J90</f>
        <v>145215.67000000001</v>
      </c>
      <c r="K37" s="784">
        <f t="shared" si="9"/>
        <v>36401.989999999991</v>
      </c>
      <c r="L37" s="784">
        <f t="shared" si="9"/>
        <v>0</v>
      </c>
      <c r="M37" s="784">
        <f t="shared" si="9"/>
        <v>0</v>
      </c>
    </row>
    <row r="38" spans="2:13">
      <c r="B38" s="604" t="s">
        <v>2654</v>
      </c>
      <c r="C38" s="613">
        <f>+BdV!E344</f>
        <v>0</v>
      </c>
      <c r="D38" s="613">
        <f>+BdV!F344</f>
        <v>0</v>
      </c>
      <c r="E38" s="613">
        <f>+BdV!G344</f>
        <v>0</v>
      </c>
      <c r="F38" s="613">
        <f>+BdV!H344</f>
        <v>650000</v>
      </c>
      <c r="G38" s="613">
        <f>+BdV!I344</f>
        <v>433333.4</v>
      </c>
      <c r="H38" s="613">
        <f>+BdV!J344</f>
        <v>368333.42</v>
      </c>
      <c r="I38" s="784">
        <f>+I96</f>
        <v>433333.4</v>
      </c>
      <c r="J38" s="784">
        <f t="shared" ref="J38:M38" si="10">+J96</f>
        <v>303333.44</v>
      </c>
      <c r="K38" s="784">
        <f t="shared" si="10"/>
        <v>173333.48</v>
      </c>
      <c r="L38" s="784">
        <f t="shared" si="10"/>
        <v>43333.51999999999</v>
      </c>
      <c r="M38" s="784">
        <f t="shared" si="10"/>
        <v>0</v>
      </c>
    </row>
    <row r="39" spans="2:13">
      <c r="B39" s="604" t="s">
        <v>2655</v>
      </c>
      <c r="C39" s="613">
        <f>+BdV!E345</f>
        <v>0</v>
      </c>
      <c r="D39" s="613">
        <f>+BdV!F345</f>
        <v>0</v>
      </c>
      <c r="E39" s="613">
        <f>+BdV!G345</f>
        <v>0</v>
      </c>
      <c r="F39" s="613">
        <f>+BdV!H345</f>
        <v>102000</v>
      </c>
      <c r="G39" s="613">
        <f>+BdV!I345</f>
        <v>384200</v>
      </c>
      <c r="H39" s="613">
        <f>+BdV!J345</f>
        <v>336175</v>
      </c>
      <c r="I39" s="784">
        <f>+I102</f>
        <v>384200</v>
      </c>
      <c r="J39" s="784">
        <f t="shared" ref="J39:M39" si="11">+J102</f>
        <v>288150</v>
      </c>
      <c r="K39" s="784">
        <f t="shared" si="11"/>
        <v>192100</v>
      </c>
      <c r="L39" s="784">
        <f t="shared" si="11"/>
        <v>96050</v>
      </c>
      <c r="M39" s="784">
        <f t="shared" si="11"/>
        <v>0</v>
      </c>
    </row>
    <row r="40" spans="2:13">
      <c r="B40" s="604" t="s">
        <v>2656</v>
      </c>
      <c r="C40" s="613">
        <f>+BdV!E346</f>
        <v>0</v>
      </c>
      <c r="D40" s="613">
        <f>+BdV!F346</f>
        <v>0</v>
      </c>
      <c r="E40" s="613">
        <f>+BdV!G346</f>
        <v>0</v>
      </c>
      <c r="F40" s="613">
        <f>+BdV!H346</f>
        <v>0</v>
      </c>
      <c r="G40" s="613">
        <f>+BdV!I346</f>
        <v>0</v>
      </c>
      <c r="H40" s="613">
        <f>+BdV!J346</f>
        <v>0</v>
      </c>
      <c r="I40" s="784">
        <f>+I108</f>
        <v>0</v>
      </c>
      <c r="J40" s="784">
        <f t="shared" ref="J40:M40" si="12">+J108</f>
        <v>0</v>
      </c>
      <c r="K40" s="784">
        <f t="shared" si="12"/>
        <v>0</v>
      </c>
      <c r="L40" s="784">
        <f t="shared" si="12"/>
        <v>0</v>
      </c>
      <c r="M40" s="784">
        <f t="shared" si="12"/>
        <v>0</v>
      </c>
    </row>
    <row r="41" spans="2:13">
      <c r="B41" s="604" t="s">
        <v>2389</v>
      </c>
      <c r="C41" s="613">
        <f>+BdV!E347</f>
        <v>158960.63</v>
      </c>
      <c r="D41" s="613">
        <f>+BdV!F347</f>
        <v>58727.75</v>
      </c>
      <c r="E41" s="613">
        <f>+BdV!G347</f>
        <v>25191.89</v>
      </c>
      <c r="F41" s="613">
        <f>+BdV!H347</f>
        <v>0</v>
      </c>
      <c r="G41" s="613">
        <f>+BdV!I347</f>
        <v>0</v>
      </c>
      <c r="H41" s="613">
        <f>+BdV!J347</f>
        <v>0</v>
      </c>
      <c r="I41" s="784">
        <v>0</v>
      </c>
      <c r="J41" s="784">
        <v>0</v>
      </c>
      <c r="K41" s="784">
        <v>0</v>
      </c>
      <c r="L41" s="784">
        <v>0</v>
      </c>
      <c r="M41" s="784">
        <v>0</v>
      </c>
    </row>
    <row r="42" spans="2:13">
      <c r="B42" s="604" t="s">
        <v>2392</v>
      </c>
      <c r="C42" s="613">
        <f>+BdV!E348</f>
        <v>0</v>
      </c>
      <c r="D42" s="613">
        <f>+BdV!F348</f>
        <v>50102.39</v>
      </c>
      <c r="E42" s="613">
        <f>+BdV!G348</f>
        <v>27858.33</v>
      </c>
      <c r="F42" s="613">
        <f>+BdV!H348</f>
        <v>0</v>
      </c>
      <c r="G42" s="613">
        <f>+BdV!I348</f>
        <v>0</v>
      </c>
      <c r="H42" s="613">
        <f>+BdV!J348</f>
        <v>0</v>
      </c>
      <c r="I42" s="784">
        <v>0</v>
      </c>
      <c r="J42" s="784">
        <v>0</v>
      </c>
      <c r="K42" s="784">
        <v>0</v>
      </c>
      <c r="L42" s="784">
        <v>0</v>
      </c>
      <c r="M42" s="784">
        <v>0</v>
      </c>
    </row>
    <row r="43" spans="2:13">
      <c r="B43" s="604" t="s">
        <v>2393</v>
      </c>
      <c r="C43" s="613">
        <f>+BdV!E349</f>
        <v>0</v>
      </c>
      <c r="D43" s="613">
        <f>+BdV!F349</f>
        <v>988804.8</v>
      </c>
      <c r="E43" s="613">
        <f>+BdV!G349</f>
        <v>966365.12</v>
      </c>
      <c r="F43" s="613">
        <f>+BdV!H349</f>
        <v>0</v>
      </c>
      <c r="G43" s="613">
        <f>+BdV!I349</f>
        <v>0</v>
      </c>
      <c r="H43" s="613">
        <f>+BdV!J349</f>
        <v>0</v>
      </c>
      <c r="I43" s="784">
        <v>0</v>
      </c>
      <c r="J43" s="784">
        <v>0</v>
      </c>
      <c r="K43" s="784">
        <v>0</v>
      </c>
      <c r="L43" s="784">
        <v>0</v>
      </c>
      <c r="M43" s="784">
        <v>0</v>
      </c>
    </row>
    <row r="44" spans="2:13">
      <c r="B44" s="604" t="s">
        <v>2394</v>
      </c>
      <c r="C44" s="613">
        <f>+BdV!E350</f>
        <v>103728.61</v>
      </c>
      <c r="D44" s="613">
        <f>+BdV!F350</f>
        <v>0</v>
      </c>
      <c r="E44" s="613">
        <f>+BdV!G350</f>
        <v>0</v>
      </c>
      <c r="F44" s="613">
        <f>+BdV!H350</f>
        <v>0</v>
      </c>
      <c r="G44" s="613">
        <f>+BdV!I350</f>
        <v>0</v>
      </c>
      <c r="H44" s="613">
        <f>+BdV!J350</f>
        <v>0</v>
      </c>
      <c r="I44" s="784">
        <v>0</v>
      </c>
      <c r="J44" s="784">
        <v>0</v>
      </c>
      <c r="K44" s="784">
        <v>0</v>
      </c>
      <c r="L44" s="784">
        <v>0</v>
      </c>
      <c r="M44" s="784">
        <v>0</v>
      </c>
    </row>
    <row r="45" spans="2:13">
      <c r="B45" s="604" t="s">
        <v>2395</v>
      </c>
      <c r="C45" s="613">
        <f>+BdV!E351</f>
        <v>214554.39</v>
      </c>
      <c r="D45" s="613">
        <f>+BdV!F351</f>
        <v>0</v>
      </c>
      <c r="E45" s="613">
        <f>+BdV!G351</f>
        <v>0</v>
      </c>
      <c r="F45" s="613">
        <f>+BdV!H351</f>
        <v>0</v>
      </c>
      <c r="G45" s="613">
        <f>+BdV!I351</f>
        <v>0</v>
      </c>
      <c r="H45" s="613">
        <f>+BdV!J351</f>
        <v>0</v>
      </c>
      <c r="I45" s="784">
        <v>0</v>
      </c>
      <c r="J45" s="784">
        <v>0</v>
      </c>
      <c r="K45" s="784">
        <v>0</v>
      </c>
      <c r="L45" s="784">
        <v>0</v>
      </c>
      <c r="M45" s="784">
        <v>0</v>
      </c>
    </row>
    <row r="46" spans="2:13">
      <c r="B46" s="604" t="s">
        <v>2657</v>
      </c>
      <c r="C46" s="613">
        <f>+BdV!E353</f>
        <v>0</v>
      </c>
      <c r="D46" s="613">
        <f>+BdV!F353</f>
        <v>0</v>
      </c>
      <c r="E46" s="613">
        <f>+BdV!G353</f>
        <v>0</v>
      </c>
      <c r="F46" s="613">
        <f>+BdV!H353</f>
        <v>0</v>
      </c>
      <c r="G46" s="613">
        <f>+BdV!I353</f>
        <v>807007.75</v>
      </c>
      <c r="H46" s="613">
        <f>+BdV!J353</f>
        <v>680531.83</v>
      </c>
      <c r="I46" s="784">
        <f>+I114</f>
        <v>778033.17</v>
      </c>
      <c r="J46" s="784">
        <f t="shared" ref="J46:M46" si="13">+J114</f>
        <v>553486.76</v>
      </c>
      <c r="K46" s="784">
        <f t="shared" si="13"/>
        <v>326330.78000000003</v>
      </c>
      <c r="L46" s="784">
        <f t="shared" si="13"/>
        <v>96534.94</v>
      </c>
      <c r="M46" s="784">
        <f t="shared" si="13"/>
        <v>0</v>
      </c>
    </row>
    <row r="47" spans="2:13">
      <c r="B47" s="604" t="s">
        <v>2669</v>
      </c>
      <c r="C47" s="613"/>
      <c r="D47" s="613"/>
      <c r="E47" s="613"/>
      <c r="F47" s="613"/>
      <c r="G47" s="613"/>
      <c r="H47" s="613"/>
      <c r="I47" s="784">
        <f>+I121</f>
        <v>333333.34000000008</v>
      </c>
      <c r="J47" s="784">
        <f t="shared" ref="J47:M47" si="14">+J121</f>
        <v>0</v>
      </c>
      <c r="K47" s="784">
        <f t="shared" si="14"/>
        <v>0</v>
      </c>
      <c r="L47" s="784">
        <f t="shared" si="14"/>
        <v>0</v>
      </c>
      <c r="M47" s="784">
        <f t="shared" si="14"/>
        <v>0</v>
      </c>
    </row>
    <row r="48" spans="2:13">
      <c r="B48" s="604" t="s">
        <v>4142</v>
      </c>
      <c r="C48" s="613"/>
      <c r="D48" s="613"/>
      <c r="E48" s="613"/>
      <c r="F48" s="613"/>
      <c r="G48" s="613"/>
      <c r="H48" s="613">
        <f>+BdV!J352</f>
        <v>625000</v>
      </c>
      <c r="I48" s="784">
        <f>+I127</f>
        <v>750000</v>
      </c>
      <c r="J48" s="784">
        <f t="shared" ref="J48:M48" si="15">+J127</f>
        <v>500000</v>
      </c>
      <c r="K48" s="784">
        <f t="shared" si="15"/>
        <v>250000</v>
      </c>
      <c r="L48" s="784">
        <f t="shared" si="15"/>
        <v>0</v>
      </c>
      <c r="M48" s="784">
        <f t="shared" si="15"/>
        <v>0</v>
      </c>
    </row>
    <row r="49" spans="1:20">
      <c r="B49" s="604" t="s">
        <v>4143</v>
      </c>
      <c r="C49" s="613"/>
      <c r="D49" s="613"/>
      <c r="E49" s="613"/>
      <c r="F49" s="613"/>
      <c r="G49" s="613"/>
      <c r="H49" s="613"/>
      <c r="I49" s="784">
        <f>+I133</f>
        <v>543431.92000000004</v>
      </c>
      <c r="J49" s="784">
        <f t="shared" ref="J49:M49" si="16">+J133</f>
        <v>0</v>
      </c>
      <c r="K49" s="784">
        <f t="shared" si="16"/>
        <v>0</v>
      </c>
      <c r="L49" s="784">
        <f t="shared" si="16"/>
        <v>0</v>
      </c>
      <c r="M49" s="784">
        <f t="shared" si="16"/>
        <v>0</v>
      </c>
    </row>
    <row r="50" spans="1:20" ht="15.75" thickBot="1">
      <c r="B50" s="776" t="s">
        <v>2659</v>
      </c>
      <c r="C50" s="777">
        <f t="shared" ref="C50:H50" si="17">+SUM(C25:C48)</f>
        <v>3036385.9499999997</v>
      </c>
      <c r="D50" s="777">
        <f t="shared" si="17"/>
        <v>3308825.95</v>
      </c>
      <c r="E50" s="777">
        <f t="shared" si="17"/>
        <v>3701310.2900000005</v>
      </c>
      <c r="F50" s="777">
        <f t="shared" si="17"/>
        <v>5424349.75</v>
      </c>
      <c r="G50" s="777">
        <f t="shared" si="17"/>
        <v>4297574.88</v>
      </c>
      <c r="H50" s="777">
        <f t="shared" si="17"/>
        <v>4111536.6</v>
      </c>
      <c r="I50" s="777">
        <f>+SUM(I25:I49)</f>
        <v>5796829.0800000001</v>
      </c>
      <c r="J50" s="777">
        <f t="shared" ref="J50:M50" si="18">+SUM(J25:J49)</f>
        <v>3136504.75</v>
      </c>
      <c r="K50" s="777">
        <f t="shared" si="18"/>
        <v>1568173.71</v>
      </c>
      <c r="L50" s="777">
        <f t="shared" si="18"/>
        <v>263502.06999999995</v>
      </c>
      <c r="M50" s="777">
        <f t="shared" si="18"/>
        <v>0</v>
      </c>
    </row>
    <row r="51" spans="1:20" ht="15.75" thickTop="1">
      <c r="B51" s="778" t="s">
        <v>363</v>
      </c>
      <c r="C51" s="595">
        <f>+C50-SP!C33*1000</f>
        <v>0</v>
      </c>
      <c r="D51" s="595">
        <f>+D50-SP!D33*1000</f>
        <v>0</v>
      </c>
      <c r="E51" s="595">
        <f>+E50-SP!E33*1000</f>
        <v>0</v>
      </c>
      <c r="F51" s="595">
        <f>+F50-SP!F33*1000</f>
        <v>0</v>
      </c>
      <c r="G51" s="595">
        <f>+G50-SP!I33*1000</f>
        <v>0</v>
      </c>
      <c r="H51" s="595">
        <f>+H50-SP!J33*1000</f>
        <v>0</v>
      </c>
    </row>
    <row r="52" spans="1:20" ht="15.75" thickBot="1">
      <c r="H52" s="780"/>
    </row>
    <row r="53" spans="1:20">
      <c r="B53" s="1482" t="s">
        <v>4501</v>
      </c>
      <c r="C53" s="1485">
        <f>+C21</f>
        <v>4927745.57</v>
      </c>
      <c r="D53" s="1485">
        <f t="shared" ref="D53:H53" si="19">+D21</f>
        <v>4249308.57</v>
      </c>
      <c r="E53" s="1485">
        <f t="shared" si="19"/>
        <v>4820489.95</v>
      </c>
      <c r="F53" s="1485">
        <f t="shared" si="19"/>
        <v>3585281.71</v>
      </c>
      <c r="G53" s="1485">
        <f t="shared" si="19"/>
        <v>6056782.6200000001</v>
      </c>
      <c r="H53" s="1485">
        <f t="shared" si="19"/>
        <v>6959570.040000001</v>
      </c>
      <c r="I53" s="1485">
        <f>+I21+P138</f>
        <v>9599261.3599999994</v>
      </c>
      <c r="J53" s="1485">
        <f t="shared" ref="J53:M53" si="20">+J21+Q138</f>
        <v>8938920.0399999991</v>
      </c>
      <c r="K53" s="1485">
        <f t="shared" si="20"/>
        <v>8947063.6400000006</v>
      </c>
      <c r="L53" s="1485">
        <f t="shared" si="20"/>
        <v>8244083.0700000003</v>
      </c>
      <c r="M53" s="1487">
        <f t="shared" si="20"/>
        <v>8333735</v>
      </c>
    </row>
    <row r="54" spans="1:20">
      <c r="B54" s="1490" t="s">
        <v>4502</v>
      </c>
      <c r="C54" s="1486">
        <f>+C50</f>
        <v>3036385.9499999997</v>
      </c>
      <c r="D54" s="1486">
        <f t="shared" ref="D54:H54" si="21">+D50</f>
        <v>3308825.95</v>
      </c>
      <c r="E54" s="1486">
        <f t="shared" si="21"/>
        <v>3701310.2900000005</v>
      </c>
      <c r="F54" s="1486">
        <f t="shared" si="21"/>
        <v>5424349.75</v>
      </c>
      <c r="G54" s="1486">
        <f t="shared" si="21"/>
        <v>4297574.88</v>
      </c>
      <c r="H54" s="1486">
        <f t="shared" si="21"/>
        <v>4111536.6</v>
      </c>
      <c r="I54" s="1486">
        <f>+P139</f>
        <v>3136504.75</v>
      </c>
      <c r="J54" s="1486">
        <f t="shared" ref="J54:M54" si="22">+Q139</f>
        <v>1568173.71</v>
      </c>
      <c r="K54" s="1486">
        <f t="shared" si="22"/>
        <v>263502.06999999995</v>
      </c>
      <c r="L54" s="1486">
        <f t="shared" si="22"/>
        <v>0</v>
      </c>
      <c r="M54" s="1491">
        <f t="shared" si="22"/>
        <v>0</v>
      </c>
    </row>
    <row r="55" spans="1:20" ht="15.75" thickBot="1">
      <c r="B55" s="1483"/>
      <c r="C55" s="1484"/>
      <c r="D55" s="1484"/>
      <c r="E55" s="1484"/>
      <c r="F55" s="1484"/>
      <c r="G55" s="1484"/>
      <c r="H55" s="1488"/>
      <c r="I55" s="1488">
        <f>+I53+I54-I50-I21</f>
        <v>0</v>
      </c>
      <c r="J55" s="1488">
        <f t="shared" ref="J55:M55" si="23">+J53+J54-J50-J21</f>
        <v>0</v>
      </c>
      <c r="K55" s="1488">
        <f t="shared" si="23"/>
        <v>0</v>
      </c>
      <c r="L55" s="1488">
        <f t="shared" si="23"/>
        <v>0</v>
      </c>
      <c r="M55" s="1489">
        <f t="shared" si="23"/>
        <v>0</v>
      </c>
    </row>
    <row r="56" spans="1:20">
      <c r="H56" s="780"/>
    </row>
    <row r="57" spans="1:20">
      <c r="B57" s="1" t="s">
        <v>4250</v>
      </c>
      <c r="H57" s="780"/>
      <c r="I57" s="780"/>
    </row>
    <row r="58" spans="1:20">
      <c r="C58" s="606">
        <v>2018</v>
      </c>
      <c r="D58" s="606">
        <f>+C58+1</f>
        <v>2019</v>
      </c>
      <c r="E58" s="606">
        <f t="shared" ref="E58" si="24">+D58+1</f>
        <v>2020</v>
      </c>
      <c r="F58" s="606">
        <f t="shared" ref="F58" si="25">+E58+1</f>
        <v>2021</v>
      </c>
      <c r="G58" s="606">
        <f t="shared" ref="G58" si="26">+F58+1</f>
        <v>2022</v>
      </c>
      <c r="H58" s="1049">
        <v>45078</v>
      </c>
      <c r="I58" s="599">
        <f t="shared" ref="I58" si="27">+G58+1</f>
        <v>2023</v>
      </c>
      <c r="J58" s="599">
        <f t="shared" ref="J58" si="28">+I58+1</f>
        <v>2024</v>
      </c>
      <c r="K58" s="599">
        <f t="shared" ref="K58" si="29">+J58+1</f>
        <v>2025</v>
      </c>
      <c r="L58" s="599">
        <f t="shared" ref="L58" si="30">+K58+1</f>
        <v>2026</v>
      </c>
      <c r="M58" s="599">
        <f t="shared" ref="M58" si="31">+L58+1</f>
        <v>2027</v>
      </c>
    </row>
    <row r="59" spans="1:20">
      <c r="A59" t="s">
        <v>4172</v>
      </c>
      <c r="B59" s="645" t="s">
        <v>2647</v>
      </c>
      <c r="P59" s="5">
        <v>2023</v>
      </c>
      <c r="Q59" s="5">
        <v>2024</v>
      </c>
      <c r="R59" s="5">
        <v>2025</v>
      </c>
      <c r="S59" s="5">
        <v>2026</v>
      </c>
      <c r="T59" s="1481">
        <f>+S59+1</f>
        <v>2027</v>
      </c>
    </row>
    <row r="60" spans="1:20">
      <c r="B60" s="604" t="s">
        <v>2667</v>
      </c>
      <c r="C60" s="613"/>
      <c r="D60" s="613"/>
      <c r="E60" s="613"/>
      <c r="F60" s="613"/>
      <c r="G60" s="613">
        <v>800000</v>
      </c>
      <c r="H60" s="613">
        <f>+G60+H61</f>
        <v>685714.29</v>
      </c>
      <c r="I60" s="609">
        <f>+G60+I61</f>
        <v>685714.29</v>
      </c>
      <c r="J60" s="609">
        <f t="shared" ref="J60:M60" si="32">+I60+J61</f>
        <v>457142.87</v>
      </c>
      <c r="K60" s="609">
        <f t="shared" si="32"/>
        <v>228571.43999999997</v>
      </c>
      <c r="L60" s="609">
        <f t="shared" si="32"/>
        <v>0</v>
      </c>
      <c r="M60" s="609">
        <f t="shared" si="32"/>
        <v>0</v>
      </c>
      <c r="O60" t="s">
        <v>4499</v>
      </c>
      <c r="P60" s="780">
        <f>-J61</f>
        <v>228571.42</v>
      </c>
      <c r="Q60" s="780">
        <f t="shared" ref="Q60:T60" si="33">-K61</f>
        <v>228571.43000000002</v>
      </c>
      <c r="R60" s="780">
        <f t="shared" si="33"/>
        <v>228571.44</v>
      </c>
      <c r="S60" s="780">
        <f t="shared" si="33"/>
        <v>0</v>
      </c>
      <c r="T60" s="780">
        <f t="shared" si="33"/>
        <v>0</v>
      </c>
    </row>
    <row r="61" spans="1:20">
      <c r="B61" s="604" t="s">
        <v>2666</v>
      </c>
      <c r="C61" s="613"/>
      <c r="D61" s="613"/>
      <c r="E61" s="613"/>
      <c r="F61" s="613"/>
      <c r="G61" s="613"/>
      <c r="H61" s="613">
        <f>+I61</f>
        <v>-114285.71</v>
      </c>
      <c r="I61" s="609">
        <v>-114285.71</v>
      </c>
      <c r="J61" s="609">
        <f>-114285.71*2</f>
        <v>-228571.42</v>
      </c>
      <c r="K61" s="609">
        <f>-114285.71*2-0.01</f>
        <v>-228571.43000000002</v>
      </c>
      <c r="L61" s="609">
        <f>-114285.71*2-0.02</f>
        <v>-228571.44</v>
      </c>
      <c r="M61" s="609"/>
      <c r="O61" t="s">
        <v>4500</v>
      </c>
      <c r="P61" s="780">
        <f>+J60</f>
        <v>457142.87</v>
      </c>
      <c r="Q61" s="780">
        <f t="shared" ref="Q61:T61" si="34">+K60</f>
        <v>228571.43999999997</v>
      </c>
      <c r="R61" s="780">
        <f t="shared" si="34"/>
        <v>0</v>
      </c>
      <c r="S61" s="780">
        <f t="shared" si="34"/>
        <v>0</v>
      </c>
      <c r="T61" s="780">
        <f t="shared" si="34"/>
        <v>0</v>
      </c>
    </row>
    <row r="62" spans="1:20">
      <c r="B62" s="604" t="s">
        <v>2665</v>
      </c>
      <c r="C62" s="613"/>
      <c r="D62" s="613"/>
      <c r="E62" s="613"/>
      <c r="F62" s="613"/>
      <c r="G62" s="613"/>
      <c r="H62" s="613"/>
      <c r="I62" s="609">
        <v>-6096.66</v>
      </c>
      <c r="J62" s="609">
        <f>-5211.43-4342.86</f>
        <v>-9554.2900000000009</v>
      </c>
      <c r="K62" s="609">
        <f>-3464.77-2612.85</f>
        <v>-6077.62</v>
      </c>
      <c r="L62" s="609">
        <f>-1732.38-870.95</f>
        <v>-2603.33</v>
      </c>
      <c r="M62" s="609"/>
      <c r="P62" s="780">
        <f>+P60+P61</f>
        <v>685714.29</v>
      </c>
      <c r="Q62" s="780">
        <f t="shared" ref="Q62:R62" si="35">+Q60+Q61</f>
        <v>457142.87</v>
      </c>
      <c r="R62" s="780">
        <f t="shared" si="35"/>
        <v>228571.44</v>
      </c>
      <c r="S62" s="780">
        <f>+S60+S61</f>
        <v>0</v>
      </c>
      <c r="T62" s="780">
        <f>+T60+T61</f>
        <v>0</v>
      </c>
    </row>
    <row r="63" spans="1:20">
      <c r="P63" s="780">
        <f>+P62-I60</f>
        <v>0</v>
      </c>
      <c r="Q63" s="780">
        <f t="shared" ref="Q63:T63" si="36">+Q62-J60</f>
        <v>0</v>
      </c>
      <c r="R63" s="780">
        <f t="shared" si="36"/>
        <v>0</v>
      </c>
      <c r="S63" s="780">
        <f t="shared" si="36"/>
        <v>0</v>
      </c>
      <c r="T63" s="780">
        <f t="shared" si="36"/>
        <v>0</v>
      </c>
    </row>
    <row r="64" spans="1:20">
      <c r="C64" s="606">
        <v>2018</v>
      </c>
      <c r="D64" s="606">
        <f>+C64+1</f>
        <v>2019</v>
      </c>
      <c r="E64" s="606">
        <f t="shared" ref="E64" si="37">+D64+1</f>
        <v>2020</v>
      </c>
      <c r="F64" s="606">
        <f t="shared" ref="F64" si="38">+E64+1</f>
        <v>2021</v>
      </c>
      <c r="G64" s="606">
        <f t="shared" ref="G64" si="39">+F64+1</f>
        <v>2022</v>
      </c>
      <c r="H64" s="1049">
        <v>45078</v>
      </c>
      <c r="I64" s="599">
        <f t="shared" ref="I64" si="40">+G64+1</f>
        <v>2023</v>
      </c>
      <c r="J64" s="599">
        <f t="shared" ref="J64" si="41">+I64+1</f>
        <v>2024</v>
      </c>
      <c r="K64" s="599">
        <f t="shared" ref="K64" si="42">+J64+1</f>
        <v>2025</v>
      </c>
      <c r="L64" s="599">
        <f t="shared" ref="L64" si="43">+K64+1</f>
        <v>2026</v>
      </c>
      <c r="M64" s="599">
        <f t="shared" ref="M64" si="44">+L64+1</f>
        <v>2027</v>
      </c>
    </row>
    <row r="65" spans="1:21">
      <c r="A65" t="s">
        <v>4172</v>
      </c>
      <c r="B65" s="645" t="str">
        <f>+B26</f>
        <v>150121 Mutuo Intesa 1048067620</v>
      </c>
      <c r="P65" s="5">
        <v>2023</v>
      </c>
      <c r="Q65" s="5">
        <v>2024</v>
      </c>
      <c r="R65" s="5">
        <v>2025</v>
      </c>
      <c r="S65" s="5">
        <v>2026</v>
      </c>
      <c r="T65" s="1481">
        <f>+S65+1</f>
        <v>2027</v>
      </c>
    </row>
    <row r="66" spans="1:21">
      <c r="B66" s="604" t="s">
        <v>2667</v>
      </c>
      <c r="C66" s="613"/>
      <c r="D66" s="613"/>
      <c r="E66" s="613"/>
      <c r="F66" s="613"/>
      <c r="G66" s="613">
        <v>305911.02</v>
      </c>
      <c r="H66" s="613">
        <f>+G66+H67</f>
        <v>214229.13</v>
      </c>
      <c r="I66" s="609">
        <f>+G66+I67</f>
        <v>123041.26000000001</v>
      </c>
      <c r="J66" s="609">
        <f t="shared" ref="J66" si="45">+I66+J67</f>
        <v>0</v>
      </c>
      <c r="K66" s="609">
        <f t="shared" ref="K66" si="46">+J66+K67</f>
        <v>0</v>
      </c>
      <c r="L66" s="609">
        <f t="shared" ref="L66" si="47">+K66+L67</f>
        <v>0</v>
      </c>
      <c r="M66" s="609">
        <f t="shared" ref="M66" si="48">+L66+M67</f>
        <v>0</v>
      </c>
      <c r="O66" t="s">
        <v>4499</v>
      </c>
      <c r="P66" s="780">
        <f>-J67</f>
        <v>123041.26000000001</v>
      </c>
      <c r="Q66" s="780">
        <f t="shared" ref="Q66" si="49">-K67</f>
        <v>0</v>
      </c>
      <c r="R66" s="780">
        <f t="shared" ref="R66" si="50">-L67</f>
        <v>0</v>
      </c>
      <c r="S66" s="780">
        <f t="shared" ref="S66" si="51">-M67</f>
        <v>0</v>
      </c>
      <c r="T66" s="780">
        <f t="shared" ref="T66" si="52">-N67</f>
        <v>0</v>
      </c>
    </row>
    <row r="67" spans="1:21">
      <c r="B67" s="604" t="s">
        <v>2666</v>
      </c>
      <c r="C67" s="613"/>
      <c r="D67" s="613"/>
      <c r="E67" s="613"/>
      <c r="F67" s="613"/>
      <c r="G67" s="613"/>
      <c r="H67" s="613">
        <f>-'Finanziamenti al 30.06'!L4</f>
        <v>-91681.89</v>
      </c>
      <c r="I67" s="609">
        <v>-182869.76000000001</v>
      </c>
      <c r="J67" s="609">
        <v>-123041.26000000001</v>
      </c>
      <c r="K67" s="609"/>
      <c r="L67" s="609"/>
      <c r="M67" s="609"/>
      <c r="O67" t="s">
        <v>4500</v>
      </c>
      <c r="P67" s="780">
        <f>+J66</f>
        <v>0</v>
      </c>
      <c r="Q67" s="780">
        <f t="shared" ref="Q67" si="53">+K66</f>
        <v>0</v>
      </c>
      <c r="R67" s="780">
        <f t="shared" ref="R67" si="54">+L66</f>
        <v>0</v>
      </c>
      <c r="S67" s="780">
        <f t="shared" ref="S67" si="55">+M66</f>
        <v>0</v>
      </c>
      <c r="T67" s="780">
        <f t="shared" ref="T67" si="56">+N66</f>
        <v>0</v>
      </c>
      <c r="U67" s="644"/>
    </row>
    <row r="68" spans="1:21">
      <c r="B68" s="604" t="s">
        <v>2665</v>
      </c>
      <c r="C68" s="613"/>
      <c r="D68" s="613"/>
      <c r="E68" s="613"/>
      <c r="F68" s="613"/>
      <c r="G68" s="613"/>
      <c r="H68" s="613"/>
      <c r="I68" s="609">
        <v>-3383.0905600000001</v>
      </c>
      <c r="J68" s="609">
        <v>-2276.2633100000003</v>
      </c>
      <c r="K68" s="609"/>
      <c r="L68" s="609"/>
      <c r="M68" s="609"/>
      <c r="P68" s="780">
        <f>+P66+P67</f>
        <v>123041.26000000001</v>
      </c>
      <c r="Q68" s="780">
        <f t="shared" ref="Q68" si="57">+Q66+Q67</f>
        <v>0</v>
      </c>
      <c r="R68" s="780">
        <f t="shared" ref="R68" si="58">+R66+R67</f>
        <v>0</v>
      </c>
      <c r="S68" s="780">
        <f>+S66+S67</f>
        <v>0</v>
      </c>
      <c r="T68" s="780">
        <f>+T66+T67</f>
        <v>0</v>
      </c>
      <c r="U68" s="644"/>
    </row>
    <row r="69" spans="1:21">
      <c r="I69" s="780"/>
      <c r="P69" s="780">
        <f>+P68-I66</f>
        <v>0</v>
      </c>
      <c r="Q69" s="780">
        <f t="shared" ref="Q69" si="59">+Q68-J66</f>
        <v>0</v>
      </c>
      <c r="R69" s="780">
        <f t="shared" ref="R69" si="60">+R68-K66</f>
        <v>0</v>
      </c>
      <c r="S69" s="780">
        <f t="shared" ref="S69" si="61">+S68-L66</f>
        <v>0</v>
      </c>
      <c r="T69" s="780">
        <f t="shared" ref="T69" si="62">+T68-M66</f>
        <v>0</v>
      </c>
    </row>
    <row r="70" spans="1:21">
      <c r="C70" s="606">
        <v>2018</v>
      </c>
      <c r="D70" s="606">
        <f>+C70+1</f>
        <v>2019</v>
      </c>
      <c r="E70" s="606">
        <f t="shared" ref="E70" si="63">+D70+1</f>
        <v>2020</v>
      </c>
      <c r="F70" s="606">
        <f t="shared" ref="F70" si="64">+E70+1</f>
        <v>2021</v>
      </c>
      <c r="G70" s="606">
        <f t="shared" ref="G70" si="65">+F70+1</f>
        <v>2022</v>
      </c>
      <c r="H70" s="1049">
        <v>45078</v>
      </c>
      <c r="I70" s="599">
        <f t="shared" ref="I70" si="66">+G70+1</f>
        <v>2023</v>
      </c>
      <c r="J70" s="599">
        <f t="shared" ref="J70" si="67">+I70+1</f>
        <v>2024</v>
      </c>
      <c r="K70" s="599">
        <f t="shared" ref="K70" si="68">+J70+1</f>
        <v>2025</v>
      </c>
      <c r="L70" s="599">
        <f t="shared" ref="L70" si="69">+K70+1</f>
        <v>2026</v>
      </c>
      <c r="M70" s="599">
        <f t="shared" ref="M70" si="70">+L70+1</f>
        <v>2027</v>
      </c>
      <c r="Q70" s="595"/>
      <c r="R70" s="595"/>
      <c r="S70" s="595"/>
    </row>
    <row r="71" spans="1:21">
      <c r="A71" t="s">
        <v>4172</v>
      </c>
      <c r="B71" s="645" t="str">
        <f>+B27</f>
        <v>150122 Mutuo MPS 994009252</v>
      </c>
      <c r="P71" s="5">
        <v>2023</v>
      </c>
      <c r="Q71" s="5">
        <v>2024</v>
      </c>
      <c r="R71" s="5">
        <v>2025</v>
      </c>
      <c r="S71" s="5">
        <v>2026</v>
      </c>
      <c r="T71" s="1481">
        <f>+S71+1</f>
        <v>2027</v>
      </c>
    </row>
    <row r="72" spans="1:21">
      <c r="B72" s="604" t="s">
        <v>2667</v>
      </c>
      <c r="C72" s="613"/>
      <c r="D72" s="613"/>
      <c r="E72" s="613"/>
      <c r="F72" s="613"/>
      <c r="G72" s="613">
        <v>500000</v>
      </c>
      <c r="H72" s="613">
        <f>+G72+H73</f>
        <v>400000</v>
      </c>
      <c r="I72" s="609">
        <f>+G72+I73</f>
        <v>300000</v>
      </c>
      <c r="J72" s="609">
        <f>+I72+J73</f>
        <v>100000</v>
      </c>
      <c r="K72" s="609">
        <f t="shared" ref="K72" si="71">+J72+K73</f>
        <v>0</v>
      </c>
      <c r="L72" s="609">
        <f t="shared" ref="L72" si="72">+K72+L73</f>
        <v>0</v>
      </c>
      <c r="M72" s="609">
        <f t="shared" ref="M72" si="73">+L72+M73</f>
        <v>0</v>
      </c>
      <c r="O72" t="s">
        <v>4499</v>
      </c>
      <c r="P72" s="780">
        <f>-J73</f>
        <v>200000</v>
      </c>
      <c r="Q72" s="780">
        <f t="shared" ref="Q72" si="74">-K73</f>
        <v>100000</v>
      </c>
      <c r="R72" s="780">
        <f t="shared" ref="R72" si="75">-L73</f>
        <v>0</v>
      </c>
      <c r="S72" s="780">
        <f t="shared" ref="S72" si="76">-M73</f>
        <v>0</v>
      </c>
      <c r="T72" s="780">
        <f t="shared" ref="T72" si="77">-N73</f>
        <v>0</v>
      </c>
    </row>
    <row r="73" spans="1:21">
      <c r="B73" s="604" t="s">
        <v>2666</v>
      </c>
      <c r="C73" s="613"/>
      <c r="D73" s="613"/>
      <c r="E73" s="613"/>
      <c r="F73" s="613"/>
      <c r="G73" s="613"/>
      <c r="H73" s="613">
        <v>-100000</v>
      </c>
      <c r="I73" s="609">
        <v>-200000</v>
      </c>
      <c r="J73" s="609">
        <v>-200000</v>
      </c>
      <c r="K73" s="609">
        <v>-100000</v>
      </c>
      <c r="L73" s="609"/>
      <c r="M73" s="609"/>
      <c r="O73" t="s">
        <v>4500</v>
      </c>
      <c r="P73" s="780">
        <f>+J72</f>
        <v>100000</v>
      </c>
      <c r="Q73" s="780">
        <f t="shared" ref="Q73" si="78">+K72</f>
        <v>0</v>
      </c>
      <c r="R73" s="780">
        <f t="shared" ref="R73" si="79">+L72</f>
        <v>0</v>
      </c>
      <c r="S73" s="780">
        <f t="shared" ref="S73" si="80">+M72</f>
        <v>0</v>
      </c>
      <c r="T73" s="780">
        <f t="shared" ref="T73" si="81">+N72</f>
        <v>0</v>
      </c>
    </row>
    <row r="74" spans="1:21">
      <c r="B74" s="604" t="s">
        <v>2665</v>
      </c>
      <c r="C74" s="613"/>
      <c r="D74" s="613"/>
      <c r="E74" s="613"/>
      <c r="F74" s="613"/>
      <c r="G74" s="613"/>
      <c r="H74" s="613"/>
      <c r="I74" s="609">
        <f>-4215.07-3427.95-9</f>
        <v>-7652.0199999999995</v>
      </c>
      <c r="J74" s="609">
        <f>-2529.04-1713.97-9</f>
        <v>-4252.01</v>
      </c>
      <c r="K74" s="609">
        <f>-845.36-4.5</f>
        <v>-849.86</v>
      </c>
      <c r="L74" s="609"/>
      <c r="M74" s="609"/>
      <c r="P74" s="780">
        <f>+P72+P73</f>
        <v>300000</v>
      </c>
      <c r="Q74" s="780">
        <f t="shared" ref="Q74" si="82">+Q72+Q73</f>
        <v>100000</v>
      </c>
      <c r="R74" s="780">
        <f t="shared" ref="R74" si="83">+R72+R73</f>
        <v>0</v>
      </c>
      <c r="S74" s="780">
        <f>+S72+S73</f>
        <v>0</v>
      </c>
      <c r="T74" s="780">
        <f>+T72+T73</f>
        <v>0</v>
      </c>
    </row>
    <row r="75" spans="1:21">
      <c r="P75" s="780">
        <f>+P74-I72</f>
        <v>0</v>
      </c>
      <c r="Q75" s="780">
        <f t="shared" ref="Q75" si="84">+Q74-J72</f>
        <v>0</v>
      </c>
      <c r="R75" s="780">
        <f t="shared" ref="R75" si="85">+R74-K72</f>
        <v>0</v>
      </c>
      <c r="S75" s="780">
        <f t="shared" ref="S75" si="86">+S74-L72</f>
        <v>0</v>
      </c>
      <c r="T75" s="780">
        <f t="shared" ref="T75" si="87">+T74-M72</f>
        <v>0</v>
      </c>
    </row>
    <row r="76" spans="1:21">
      <c r="C76" s="606">
        <v>2018</v>
      </c>
      <c r="D76" s="606">
        <f>+C76+1</f>
        <v>2019</v>
      </c>
      <c r="E76" s="606">
        <f t="shared" ref="E76" si="88">+D76+1</f>
        <v>2020</v>
      </c>
      <c r="F76" s="606">
        <f t="shared" ref="F76" si="89">+E76+1</f>
        <v>2021</v>
      </c>
      <c r="G76" s="606">
        <f t="shared" ref="G76" si="90">+F76+1</f>
        <v>2022</v>
      </c>
      <c r="H76" s="1049">
        <v>45078</v>
      </c>
      <c r="I76" s="599">
        <f t="shared" ref="I76" si="91">+G76+1</f>
        <v>2023</v>
      </c>
      <c r="J76" s="599">
        <f t="shared" ref="J76" si="92">+I76+1</f>
        <v>2024</v>
      </c>
      <c r="K76" s="599">
        <f t="shared" ref="K76" si="93">+J76+1</f>
        <v>2025</v>
      </c>
      <c r="L76" s="599">
        <f t="shared" ref="L76" si="94">+K76+1</f>
        <v>2026</v>
      </c>
      <c r="M76" s="599">
        <f t="shared" ref="M76" si="95">+L76+1</f>
        <v>2027</v>
      </c>
      <c r="Q76" s="595"/>
      <c r="R76" s="595"/>
      <c r="S76" s="595"/>
    </row>
    <row r="77" spans="1:21">
      <c r="A77" t="s">
        <v>4172</v>
      </c>
      <c r="B77" s="645" t="str">
        <f>+B35</f>
        <v>150174 Finanziamento BPM 04886613</v>
      </c>
      <c r="P77" s="5">
        <v>2023</v>
      </c>
      <c r="Q77" s="5">
        <v>2024</v>
      </c>
      <c r="R77" s="5">
        <v>2025</v>
      </c>
      <c r="S77" s="5">
        <v>2026</v>
      </c>
      <c r="T77" s="1481">
        <f>+S77+1</f>
        <v>2027</v>
      </c>
    </row>
    <row r="78" spans="1:21">
      <c r="B78" s="604" t="s">
        <v>2667</v>
      </c>
      <c r="C78" s="613"/>
      <c r="D78" s="613"/>
      <c r="E78" s="613"/>
      <c r="F78" s="613"/>
      <c r="G78" s="613">
        <f>+G35</f>
        <v>304479.88</v>
      </c>
      <c r="H78" s="613">
        <f>+G78+H79</f>
        <v>255049.61000000002</v>
      </c>
      <c r="I78" s="609">
        <f>+G78+I79</f>
        <v>205988</v>
      </c>
      <c r="J78" s="609">
        <f>+I78+J79</f>
        <v>106010.42000000001</v>
      </c>
      <c r="K78" s="609">
        <f t="shared" ref="K78" si="96">+J78+K79</f>
        <v>4524.7100000000064</v>
      </c>
      <c r="L78" s="609">
        <f t="shared" ref="L78" si="97">+K78+L79</f>
        <v>0</v>
      </c>
      <c r="M78" s="609">
        <f t="shared" ref="M78" si="98">+L78+M79</f>
        <v>0</v>
      </c>
      <c r="O78" t="s">
        <v>4499</v>
      </c>
      <c r="P78" s="780">
        <f>-J79</f>
        <v>99977.579999999987</v>
      </c>
      <c r="Q78" s="780">
        <f t="shared" ref="Q78" si="99">-K79</f>
        <v>101485.71</v>
      </c>
      <c r="R78" s="780">
        <f t="shared" ref="R78" si="100">-L79</f>
        <v>4524.7100000000064</v>
      </c>
      <c r="S78" s="780">
        <f t="shared" ref="S78" si="101">-M79</f>
        <v>0</v>
      </c>
      <c r="T78" s="780">
        <f t="shared" ref="T78" si="102">-N79</f>
        <v>0</v>
      </c>
    </row>
    <row r="79" spans="1:21">
      <c r="B79" s="604" t="s">
        <v>2666</v>
      </c>
      <c r="C79" s="613"/>
      <c r="D79" s="613"/>
      <c r="E79" s="613"/>
      <c r="F79" s="613"/>
      <c r="G79" s="613"/>
      <c r="H79" s="613">
        <f>-'Finanziamenti al 30.06'!L6</f>
        <v>-49430.27</v>
      </c>
      <c r="I79" s="609">
        <f>-24484.9-24576.71-24668.88-24761.39</f>
        <v>-98491.88</v>
      </c>
      <c r="J79" s="609">
        <f>-24854.24-24947.44-25041-25134.9</f>
        <v>-99977.579999999987</v>
      </c>
      <c r="K79" s="609">
        <f>-25229.16-25323.77-25418.73-25514.05</f>
        <v>-101485.71</v>
      </c>
      <c r="L79" s="609">
        <f>-K78</f>
        <v>-4524.7100000000064</v>
      </c>
      <c r="M79" s="609"/>
      <c r="O79" t="s">
        <v>4500</v>
      </c>
      <c r="P79" s="780">
        <f>+J78</f>
        <v>106010.42000000001</v>
      </c>
      <c r="Q79" s="780">
        <f t="shared" ref="Q79" si="103">+K78</f>
        <v>4524.7100000000064</v>
      </c>
      <c r="R79" s="780">
        <f t="shared" ref="R79" si="104">+L78</f>
        <v>0</v>
      </c>
      <c r="S79" s="780">
        <f t="shared" ref="S79" si="105">+M78</f>
        <v>0</v>
      </c>
      <c r="T79" s="780">
        <f t="shared" ref="T79" si="106">+N78</f>
        <v>0</v>
      </c>
    </row>
    <row r="80" spans="1:21">
      <c r="B80" s="604" t="s">
        <v>2665</v>
      </c>
      <c r="C80" s="613"/>
      <c r="D80" s="613"/>
      <c r="E80" s="613"/>
      <c r="F80" s="613"/>
      <c r="G80" s="613"/>
      <c r="H80" s="613"/>
      <c r="I80" s="609">
        <f>-1544.73-1403.56-1356.66-1262.09</f>
        <v>-5567.04</v>
      </c>
      <c r="J80" s="609">
        <f>-1167.17-1048.6-976.27-880.28</f>
        <v>-4072.3199999999997</v>
      </c>
      <c r="K80" s="609">
        <f>-783.93-664.8-590.14-492.7</f>
        <v>-2531.5699999999997</v>
      </c>
      <c r="L80" s="609">
        <f>-394.9-287.05-198.19-99.28</f>
        <v>-979.42000000000007</v>
      </c>
      <c r="M80" s="609"/>
      <c r="P80" s="780">
        <f>+P78+P79</f>
        <v>205988</v>
      </c>
      <c r="Q80" s="780">
        <f t="shared" ref="Q80" si="107">+Q78+Q79</f>
        <v>106010.42000000001</v>
      </c>
      <c r="R80" s="780">
        <f t="shared" ref="R80" si="108">+R78+R79</f>
        <v>4524.7100000000064</v>
      </c>
      <c r="S80" s="780">
        <f>+S78+S79</f>
        <v>0</v>
      </c>
      <c r="T80" s="780">
        <f>+T78+T79</f>
        <v>0</v>
      </c>
    </row>
    <row r="81" spans="1:20">
      <c r="P81" s="780">
        <f>+P80-I78</f>
        <v>0</v>
      </c>
      <c r="Q81" s="780">
        <f t="shared" ref="Q81" si="109">+Q80-J78</f>
        <v>0</v>
      </c>
      <c r="R81" s="780">
        <f t="shared" ref="R81" si="110">+R80-K78</f>
        <v>0</v>
      </c>
      <c r="S81" s="780">
        <f t="shared" ref="S81" si="111">+S80-L78</f>
        <v>0</v>
      </c>
      <c r="T81" s="780">
        <f t="shared" ref="T81" si="112">+T80-M78</f>
        <v>0</v>
      </c>
    </row>
    <row r="82" spans="1:20">
      <c r="C82" s="606">
        <v>2018</v>
      </c>
      <c r="D82" s="606">
        <f>+C82+1</f>
        <v>2019</v>
      </c>
      <c r="E82" s="606">
        <f t="shared" ref="E82" si="113">+D82+1</f>
        <v>2020</v>
      </c>
      <c r="F82" s="606">
        <f t="shared" ref="F82" si="114">+E82+1</f>
        <v>2021</v>
      </c>
      <c r="G82" s="606">
        <f t="shared" ref="G82" si="115">+F82+1</f>
        <v>2022</v>
      </c>
      <c r="H82" s="1049">
        <v>45078</v>
      </c>
      <c r="I82" s="599">
        <f t="shared" ref="I82" si="116">+G82+1</f>
        <v>2023</v>
      </c>
      <c r="J82" s="599">
        <f t="shared" ref="J82" si="117">+I82+1</f>
        <v>2024</v>
      </c>
      <c r="K82" s="599">
        <f t="shared" ref="K82" si="118">+J82+1</f>
        <v>2025</v>
      </c>
      <c r="L82" s="599">
        <f t="shared" ref="L82" si="119">+K82+1</f>
        <v>2026</v>
      </c>
      <c r="M82" s="599">
        <f t="shared" ref="M82" si="120">+L82+1</f>
        <v>2027</v>
      </c>
      <c r="Q82" s="595"/>
      <c r="R82" s="595"/>
      <c r="S82" s="595"/>
    </row>
    <row r="83" spans="1:20">
      <c r="A83" t="s">
        <v>4172</v>
      </c>
      <c r="B83" s="645" t="str">
        <f>+B36</f>
        <v>150175 Mutuo Intesa 11222876</v>
      </c>
      <c r="P83" s="5">
        <v>2023</v>
      </c>
      <c r="Q83" s="5">
        <v>2024</v>
      </c>
      <c r="R83" s="5">
        <v>2025</v>
      </c>
      <c r="S83" s="5">
        <v>2026</v>
      </c>
      <c r="T83" s="1481">
        <f>+S83+1</f>
        <v>2027</v>
      </c>
    </row>
    <row r="84" spans="1:20">
      <c r="B84" s="604" t="s">
        <v>2667</v>
      </c>
      <c r="C84" s="613"/>
      <c r="D84" s="613"/>
      <c r="E84" s="613"/>
      <c r="F84" s="613"/>
      <c r="G84" s="613">
        <v>1300000</v>
      </c>
      <c r="H84" s="613">
        <f>+G84+H85</f>
        <v>1139528.1400000001</v>
      </c>
      <c r="I84" s="609">
        <f>+G84+I85</f>
        <v>1006375.1</v>
      </c>
      <c r="J84" s="609">
        <f>+I84+J85</f>
        <v>683165.59</v>
      </c>
      <c r="K84" s="609">
        <f t="shared" ref="K84" si="121">+J84+K85</f>
        <v>356911.31</v>
      </c>
      <c r="L84" s="609">
        <f t="shared" ref="L84" si="122">+K84+L85</f>
        <v>27583.609999999986</v>
      </c>
      <c r="M84" s="609">
        <f t="shared" ref="M84" si="123">+L84+M85</f>
        <v>0</v>
      </c>
      <c r="O84" t="s">
        <v>4499</v>
      </c>
      <c r="P84" s="780">
        <f>-J85</f>
        <v>323209.51</v>
      </c>
      <c r="Q84" s="780">
        <f t="shared" ref="Q84" si="124">-K85</f>
        <v>326254.27999999997</v>
      </c>
      <c r="R84" s="780">
        <f t="shared" ref="R84" si="125">-L85</f>
        <v>329327.7</v>
      </c>
      <c r="S84" s="780">
        <f t="shared" ref="S84" si="126">-M85</f>
        <v>27583.609999999986</v>
      </c>
      <c r="T84" s="780">
        <f t="shared" ref="T84" si="127">-N85</f>
        <v>0</v>
      </c>
    </row>
    <row r="85" spans="1:20">
      <c r="B85" s="604" t="s">
        <v>2666</v>
      </c>
      <c r="C85" s="613"/>
      <c r="D85" s="613"/>
      <c r="E85" s="613"/>
      <c r="F85" s="613"/>
      <c r="G85" s="613"/>
      <c r="H85" s="613">
        <f>-'Finanziamenti al 30.06'!L7</f>
        <v>-160471.85999999999</v>
      </c>
      <c r="I85" s="609">
        <v>-293624.90000000002</v>
      </c>
      <c r="J85" s="609">
        <v>-323209.51</v>
      </c>
      <c r="K85" s="609">
        <v>-326254.27999999997</v>
      </c>
      <c r="L85" s="609">
        <v>-329327.7</v>
      </c>
      <c r="M85" s="609">
        <v>-27583.609999999986</v>
      </c>
      <c r="O85" t="s">
        <v>4500</v>
      </c>
      <c r="P85" s="780">
        <f>+J84</f>
        <v>683165.59</v>
      </c>
      <c r="Q85" s="780">
        <f t="shared" ref="Q85" si="128">+K84</f>
        <v>356911.31</v>
      </c>
      <c r="R85" s="780">
        <f t="shared" ref="R85" si="129">+L84</f>
        <v>27583.609999999986</v>
      </c>
      <c r="S85" s="780">
        <f t="shared" ref="S85" si="130">+M84</f>
        <v>0</v>
      </c>
      <c r="T85" s="780">
        <f t="shared" ref="T85" si="131">+N84</f>
        <v>0</v>
      </c>
    </row>
    <row r="86" spans="1:20">
      <c r="B86" s="604" t="s">
        <v>2665</v>
      </c>
      <c r="C86" s="613"/>
      <c r="D86" s="613"/>
      <c r="E86" s="613"/>
      <c r="F86" s="613"/>
      <c r="G86" s="613"/>
      <c r="H86" s="613"/>
      <c r="I86" s="609">
        <f>-I85-Finanziamenti2023!Q7</f>
        <v>-10246.849999999977</v>
      </c>
      <c r="J86" s="609">
        <f>-J85-Finanziamenti2023!R7</f>
        <v>-8266.070000000007</v>
      </c>
      <c r="K86" s="609">
        <f>-K85-Finanziamenti2023!S7</f>
        <v>-5124.4110000000219</v>
      </c>
      <c r="L86" s="609">
        <f>-L85-Finanziamenti2023!T7</f>
        <v>-1978.2699999999604</v>
      </c>
      <c r="M86" s="609">
        <f>-M85-Finanziamenti2023!U7</f>
        <v>-22.490000000012515</v>
      </c>
      <c r="P86" s="780">
        <f>+P84+P85</f>
        <v>1006375.1</v>
      </c>
      <c r="Q86" s="780">
        <f t="shared" ref="Q86" si="132">+Q84+Q85</f>
        <v>683165.59</v>
      </c>
      <c r="R86" s="780">
        <f t="shared" ref="R86" si="133">+R84+R85</f>
        <v>356911.31</v>
      </c>
      <c r="S86" s="780">
        <f>+S84+S85</f>
        <v>27583.609999999986</v>
      </c>
      <c r="T86" s="780">
        <f>+T84+T85</f>
        <v>0</v>
      </c>
    </row>
    <row r="87" spans="1:20">
      <c r="P87" s="780">
        <f>+P86-I84</f>
        <v>0</v>
      </c>
      <c r="Q87" s="780">
        <f t="shared" ref="Q87" si="134">+Q86-J84</f>
        <v>0</v>
      </c>
      <c r="R87" s="780">
        <f t="shared" ref="R87" si="135">+R86-K84</f>
        <v>0</v>
      </c>
      <c r="S87" s="780">
        <f t="shared" ref="S87" si="136">+S86-L84</f>
        <v>0</v>
      </c>
      <c r="T87" s="780">
        <f t="shared" ref="T87" si="137">+T86-M84</f>
        <v>0</v>
      </c>
    </row>
    <row r="88" spans="1:20">
      <c r="C88" s="606">
        <v>2018</v>
      </c>
      <c r="D88" s="606">
        <f>+C88+1</f>
        <v>2019</v>
      </c>
      <c r="E88" s="606">
        <f t="shared" ref="E88" si="138">+D88+1</f>
        <v>2020</v>
      </c>
      <c r="F88" s="606">
        <f t="shared" ref="F88" si="139">+E88+1</f>
        <v>2021</v>
      </c>
      <c r="G88" s="606">
        <f t="shared" ref="G88" si="140">+F88+1</f>
        <v>2022</v>
      </c>
      <c r="H88" s="1049">
        <v>45078</v>
      </c>
      <c r="I88" s="599">
        <f t="shared" ref="I88" si="141">+G88+1</f>
        <v>2023</v>
      </c>
      <c r="J88" s="599">
        <f t="shared" ref="J88" si="142">+I88+1</f>
        <v>2024</v>
      </c>
      <c r="K88" s="599">
        <f t="shared" ref="K88" si="143">+J88+1</f>
        <v>2025</v>
      </c>
      <c r="L88" s="599">
        <f t="shared" ref="L88" si="144">+K88+1</f>
        <v>2026</v>
      </c>
      <c r="M88" s="599">
        <f t="shared" ref="M88" si="145">+L88+1</f>
        <v>2027</v>
      </c>
      <c r="R88" s="780"/>
    </row>
    <row r="89" spans="1:20">
      <c r="A89" t="s">
        <v>4172</v>
      </c>
      <c r="B89" s="645" t="str">
        <f>+B37</f>
        <v>150176 Finanziamento CREDEM 7563530</v>
      </c>
      <c r="P89" s="5">
        <v>2023</v>
      </c>
      <c r="Q89" s="5">
        <v>2024</v>
      </c>
      <c r="R89" s="5">
        <v>2025</v>
      </c>
      <c r="S89" s="5">
        <v>2026</v>
      </c>
      <c r="T89" s="1481">
        <f>+S89+1</f>
        <v>2027</v>
      </c>
    </row>
    <row r="90" spans="1:20">
      <c r="B90" s="604" t="s">
        <v>2667</v>
      </c>
      <c r="C90" s="613"/>
      <c r="D90" s="613"/>
      <c r="E90" s="613"/>
      <c r="F90" s="613"/>
      <c r="G90" s="613">
        <v>360894.65</v>
      </c>
      <c r="H90" s="613">
        <f>+H91+G90</f>
        <v>307056.01</v>
      </c>
      <c r="I90" s="609">
        <f>+G90+I91</f>
        <v>253378.6</v>
      </c>
      <c r="J90" s="609">
        <f>+I90+J91</f>
        <v>145215.67000000001</v>
      </c>
      <c r="K90" s="609">
        <f t="shared" ref="K90" si="146">+J90+K91</f>
        <v>36401.989999999991</v>
      </c>
      <c r="L90" s="609">
        <f t="shared" ref="L90" si="147">+K90+L91</f>
        <v>0</v>
      </c>
      <c r="M90" s="609">
        <f t="shared" ref="M90" si="148">+L90+M91</f>
        <v>0</v>
      </c>
      <c r="O90" t="s">
        <v>4499</v>
      </c>
      <c r="P90" s="780">
        <f>-J91</f>
        <v>108162.93</v>
      </c>
      <c r="Q90" s="780">
        <f t="shared" ref="Q90" si="149">-K91</f>
        <v>108813.68000000002</v>
      </c>
      <c r="R90" s="780">
        <f t="shared" ref="R90" si="150">-L91</f>
        <v>36401.989999999991</v>
      </c>
      <c r="S90" s="780">
        <f t="shared" ref="S90" si="151">-M91</f>
        <v>0</v>
      </c>
      <c r="T90" s="780">
        <f t="shared" ref="T90" si="152">-N91</f>
        <v>0</v>
      </c>
    </row>
    <row r="91" spans="1:20">
      <c r="B91" s="604" t="s">
        <v>2666</v>
      </c>
      <c r="C91" s="613"/>
      <c r="D91" s="613"/>
      <c r="E91" s="613"/>
      <c r="F91" s="613"/>
      <c r="G91" s="613"/>
      <c r="H91" s="613">
        <f>-'Finanziamenti al 30.06'!L9</f>
        <v>-53838.64</v>
      </c>
      <c r="I91" s="609">
        <v>-107516.05000000002</v>
      </c>
      <c r="J91" s="609">
        <v>-108162.93</v>
      </c>
      <c r="K91" s="609">
        <v>-108813.68000000002</v>
      </c>
      <c r="L91" s="609">
        <v>-36401.989999999991</v>
      </c>
      <c r="M91" s="609"/>
      <c r="O91" t="s">
        <v>4500</v>
      </c>
      <c r="P91" s="780">
        <f>+J90</f>
        <v>145215.67000000001</v>
      </c>
      <c r="Q91" s="780">
        <f t="shared" ref="Q91" si="153">+K90</f>
        <v>36401.989999999991</v>
      </c>
      <c r="R91" s="780">
        <f t="shared" ref="R91" si="154">+L90</f>
        <v>0</v>
      </c>
      <c r="S91" s="780">
        <f t="shared" ref="S91" si="155">+M90</f>
        <v>0</v>
      </c>
      <c r="T91" s="780">
        <f t="shared" ref="T91" si="156">+N90</f>
        <v>0</v>
      </c>
    </row>
    <row r="92" spans="1:20">
      <c r="B92" s="604" t="s">
        <v>2665</v>
      </c>
      <c r="C92" s="613"/>
      <c r="D92" s="613"/>
      <c r="E92" s="613"/>
      <c r="F92" s="613"/>
      <c r="G92" s="613"/>
      <c r="H92" s="613"/>
      <c r="I92" s="609">
        <f>-I91-Finanziamenti2023!Q9</f>
        <v>-1869.9499999999825</v>
      </c>
      <c r="J92" s="609">
        <f>-J91-Finanziamenti2023!R9</f>
        <v>-1223.070000000007</v>
      </c>
      <c r="K92" s="609">
        <f>-K91-Finanziamenti2023!S9</f>
        <v>-572.31999999997788</v>
      </c>
      <c r="L92" s="609">
        <f>-L91-Finanziamenti2023!T9</f>
        <v>-60.010000000009313</v>
      </c>
      <c r="M92" s="609">
        <f>-M91-Finanziamenti2023!U9</f>
        <v>0</v>
      </c>
      <c r="P92" s="780">
        <f>+P90+P91</f>
        <v>253378.6</v>
      </c>
      <c r="Q92" s="780">
        <f t="shared" ref="Q92" si="157">+Q90+Q91</f>
        <v>145215.67000000001</v>
      </c>
      <c r="R92" s="780">
        <f t="shared" ref="R92" si="158">+R90+R91</f>
        <v>36401.989999999991</v>
      </c>
      <c r="S92" s="780">
        <f>+S90+S91</f>
        <v>0</v>
      </c>
      <c r="T92" s="780">
        <f>+T90+T91</f>
        <v>0</v>
      </c>
    </row>
    <row r="93" spans="1:20">
      <c r="P93" s="780">
        <f>+P92-I90</f>
        <v>0</v>
      </c>
      <c r="Q93" s="780">
        <f t="shared" ref="Q93" si="159">+Q92-J90</f>
        <v>0</v>
      </c>
      <c r="R93" s="780">
        <f t="shared" ref="R93" si="160">+R92-K90</f>
        <v>0</v>
      </c>
      <c r="S93" s="780">
        <f t="shared" ref="S93" si="161">+S92-L90</f>
        <v>0</v>
      </c>
      <c r="T93" s="780">
        <f t="shared" ref="T93" si="162">+T92-M90</f>
        <v>0</v>
      </c>
    </row>
    <row r="94" spans="1:20">
      <c r="C94" s="606">
        <v>2018</v>
      </c>
      <c r="D94" s="606">
        <f>+C94+1</f>
        <v>2019</v>
      </c>
      <c r="E94" s="606">
        <f t="shared" ref="E94" si="163">+D94+1</f>
        <v>2020</v>
      </c>
      <c r="F94" s="606">
        <f t="shared" ref="F94" si="164">+E94+1</f>
        <v>2021</v>
      </c>
      <c r="G94" s="606">
        <f t="shared" ref="G94" si="165">+F94+1</f>
        <v>2022</v>
      </c>
      <c r="H94" s="1049">
        <v>45078</v>
      </c>
      <c r="I94" s="599">
        <f t="shared" ref="I94" si="166">+G94+1</f>
        <v>2023</v>
      </c>
      <c r="J94" s="599">
        <f t="shared" ref="J94" si="167">+I94+1</f>
        <v>2024</v>
      </c>
      <c r="K94" s="599">
        <f t="shared" ref="K94" si="168">+J94+1</f>
        <v>2025</v>
      </c>
      <c r="L94" s="599">
        <f t="shared" ref="L94" si="169">+K94+1</f>
        <v>2026</v>
      </c>
      <c r="M94" s="599">
        <f t="shared" ref="M94" si="170">+L94+1</f>
        <v>2027</v>
      </c>
    </row>
    <row r="95" spans="1:20">
      <c r="A95" t="s">
        <v>4172</v>
      </c>
      <c r="B95" s="645" t="str">
        <f>+B38</f>
        <v>150177 Finanziamento MPS 994148952</v>
      </c>
      <c r="P95" s="5">
        <v>2023</v>
      </c>
      <c r="Q95" s="5">
        <v>2024</v>
      </c>
      <c r="R95" s="5">
        <v>2025</v>
      </c>
      <c r="S95" s="5">
        <v>2026</v>
      </c>
      <c r="T95" s="1481">
        <f>+S95+1</f>
        <v>2027</v>
      </c>
    </row>
    <row r="96" spans="1:20">
      <c r="B96" s="604" t="s">
        <v>2667</v>
      </c>
      <c r="C96" s="613"/>
      <c r="D96" s="613"/>
      <c r="E96" s="613"/>
      <c r="F96" s="613"/>
      <c r="G96" s="613">
        <v>563333.36</v>
      </c>
      <c r="H96" s="613">
        <f>+G96+H97</f>
        <v>498333.38</v>
      </c>
      <c r="I96" s="609">
        <f>+G96+I97</f>
        <v>433333.4</v>
      </c>
      <c r="J96" s="609">
        <f>+I96+J97</f>
        <v>303333.44</v>
      </c>
      <c r="K96" s="609">
        <f t="shared" ref="K96" si="171">+J96+K97</f>
        <v>173333.48</v>
      </c>
      <c r="L96" s="609">
        <f t="shared" ref="L96" si="172">+K96+L97</f>
        <v>43333.51999999999</v>
      </c>
      <c r="M96" s="609">
        <f t="shared" ref="M96" si="173">+L96+M97</f>
        <v>0</v>
      </c>
      <c r="O96" t="s">
        <v>4499</v>
      </c>
      <c r="P96" s="780">
        <f>-J97</f>
        <v>129999.96000000002</v>
      </c>
      <c r="Q96" s="780">
        <f t="shared" ref="Q96" si="174">-K97</f>
        <v>129999.95999999999</v>
      </c>
      <c r="R96" s="780">
        <f t="shared" ref="R96" si="175">-L97</f>
        <v>129999.96000000002</v>
      </c>
      <c r="S96" s="780">
        <f t="shared" ref="S96" si="176">-M97</f>
        <v>43333.51999999999</v>
      </c>
      <c r="T96" s="780">
        <f t="shared" ref="T96" si="177">-N97</f>
        <v>0</v>
      </c>
    </row>
    <row r="97" spans="1:20">
      <c r="B97" s="604" t="s">
        <v>2666</v>
      </c>
      <c r="C97" s="613"/>
      <c r="D97" s="613"/>
      <c r="E97" s="613"/>
      <c r="F97" s="613"/>
      <c r="G97" s="613"/>
      <c r="H97" s="613">
        <f>-'Finanziamenti al 30.06'!L10</f>
        <v>-64999.98</v>
      </c>
      <c r="I97" s="609">
        <v>-129999.95999999996</v>
      </c>
      <c r="J97" s="609">
        <v>-129999.96000000002</v>
      </c>
      <c r="K97" s="609">
        <v>-129999.95999999999</v>
      </c>
      <c r="L97" s="609">
        <v>-129999.96000000002</v>
      </c>
      <c r="M97" s="609">
        <v>-43333.51999999999</v>
      </c>
      <c r="O97" t="s">
        <v>4500</v>
      </c>
      <c r="P97" s="780">
        <f>+J96</f>
        <v>303333.44</v>
      </c>
      <c r="Q97" s="780">
        <f t="shared" ref="Q97" si="178">+K96</f>
        <v>173333.48</v>
      </c>
      <c r="R97" s="780">
        <f t="shared" ref="R97" si="179">+L96</f>
        <v>43333.51999999999</v>
      </c>
      <c r="S97" s="780">
        <f t="shared" ref="S97" si="180">+M96</f>
        <v>0</v>
      </c>
      <c r="T97" s="780">
        <f t="shared" ref="T97" si="181">+N96</f>
        <v>0</v>
      </c>
    </row>
    <row r="98" spans="1:20">
      <c r="B98" s="604" t="s">
        <v>2665</v>
      </c>
      <c r="C98" s="613"/>
      <c r="D98" s="613"/>
      <c r="E98" s="613"/>
      <c r="F98" s="613"/>
      <c r="G98" s="613"/>
      <c r="H98" s="613"/>
      <c r="I98" s="609">
        <f>-I97-Finanziamenti2023!Q10</f>
        <v>-5064.6800000000512</v>
      </c>
      <c r="J98" s="609">
        <f>-J97-Finanziamenti2023!R10</f>
        <v>-3766.0199999999604</v>
      </c>
      <c r="K98" s="609">
        <f>-K97-Finanziamenti2023!S10</f>
        <v>-2464.6700000000128</v>
      </c>
      <c r="L98" s="609">
        <f>-L97-Finanziamenti2023!T10</f>
        <v>-1164.6699999999837</v>
      </c>
      <c r="M98" s="609">
        <f>-M97-Finanziamenti2023!U10</f>
        <v>-99.030000000013388</v>
      </c>
      <c r="P98" s="780">
        <f>+P96+P97</f>
        <v>433333.4</v>
      </c>
      <c r="Q98" s="780">
        <f t="shared" ref="Q98" si="182">+Q96+Q97</f>
        <v>303333.44</v>
      </c>
      <c r="R98" s="780">
        <f t="shared" ref="R98" si="183">+R96+R97</f>
        <v>173333.48</v>
      </c>
      <c r="S98" s="780">
        <f>+S96+S97</f>
        <v>43333.51999999999</v>
      </c>
      <c r="T98" s="780">
        <f>+T96+T97</f>
        <v>0</v>
      </c>
    </row>
    <row r="99" spans="1:20">
      <c r="P99" s="780">
        <f>+P98-I96</f>
        <v>0</v>
      </c>
      <c r="Q99" s="780">
        <f t="shared" ref="Q99" si="184">+Q98-J96</f>
        <v>0</v>
      </c>
      <c r="R99" s="780">
        <f t="shared" ref="R99" si="185">+R98-K96</f>
        <v>0</v>
      </c>
      <c r="S99" s="780">
        <f t="shared" ref="S99" si="186">+S98-L96</f>
        <v>0</v>
      </c>
      <c r="T99" s="780">
        <f t="shared" ref="T99" si="187">+T98-M96</f>
        <v>0</v>
      </c>
    </row>
    <row r="100" spans="1:20">
      <c r="C100" s="606">
        <v>2018</v>
      </c>
      <c r="D100" s="606">
        <f>+C100+1</f>
        <v>2019</v>
      </c>
      <c r="E100" s="606">
        <f t="shared" ref="E100" si="188">+D100+1</f>
        <v>2020</v>
      </c>
      <c r="F100" s="606">
        <f t="shared" ref="F100" si="189">+E100+1</f>
        <v>2021</v>
      </c>
      <c r="G100" s="606">
        <f t="shared" ref="G100" si="190">+F100+1</f>
        <v>2022</v>
      </c>
      <c r="H100" s="1049">
        <v>45078</v>
      </c>
      <c r="I100" s="599">
        <f t="shared" ref="I100" si="191">+G100+1</f>
        <v>2023</v>
      </c>
      <c r="J100" s="599">
        <f t="shared" ref="J100" si="192">+I100+1</f>
        <v>2024</v>
      </c>
      <c r="K100" s="599">
        <f t="shared" ref="K100" si="193">+J100+1</f>
        <v>2025</v>
      </c>
      <c r="L100" s="599">
        <f t="shared" ref="L100" si="194">+K100+1</f>
        <v>2026</v>
      </c>
      <c r="M100" s="599">
        <f t="shared" ref="M100" si="195">+L100+1</f>
        <v>2027</v>
      </c>
    </row>
    <row r="101" spans="1:20">
      <c r="A101" t="s">
        <v>4172</v>
      </c>
      <c r="B101" s="645" t="str">
        <f>+B39</f>
        <v>150178 Finanz.AL VIA INTESA n.88044</v>
      </c>
      <c r="P101" s="5">
        <v>2023</v>
      </c>
      <c r="Q101" s="5">
        <v>2024</v>
      </c>
      <c r="R101" s="5">
        <v>2025</v>
      </c>
      <c r="S101" s="5">
        <v>2026</v>
      </c>
      <c r="T101" s="1481">
        <f>+S101+1</f>
        <v>2027</v>
      </c>
    </row>
    <row r="102" spans="1:20">
      <c r="B102" s="604" t="s">
        <v>2667</v>
      </c>
      <c r="C102" s="613"/>
      <c r="D102" s="613"/>
      <c r="E102" s="613"/>
      <c r="F102" s="613"/>
      <c r="G102" s="613">
        <v>480250</v>
      </c>
      <c r="H102" s="613">
        <f>+G102+H103</f>
        <v>432225</v>
      </c>
      <c r="I102" s="609">
        <f>+G102+I103</f>
        <v>384200</v>
      </c>
      <c r="J102" s="609">
        <f>+I102+J103</f>
        <v>288150</v>
      </c>
      <c r="K102" s="609">
        <f t="shared" ref="K102" si="196">+J102+K103</f>
        <v>192100</v>
      </c>
      <c r="L102" s="609">
        <f t="shared" ref="L102" si="197">+K102+L103</f>
        <v>96050</v>
      </c>
      <c r="M102" s="609">
        <f t="shared" ref="M102" si="198">+L102+M103</f>
        <v>0</v>
      </c>
      <c r="O102" t="s">
        <v>4499</v>
      </c>
      <c r="P102" s="780">
        <f>-J103</f>
        <v>96050</v>
      </c>
      <c r="Q102" s="780">
        <f t="shared" ref="Q102" si="199">-K103</f>
        <v>96050</v>
      </c>
      <c r="R102" s="780">
        <f t="shared" ref="R102" si="200">-L103</f>
        <v>96050</v>
      </c>
      <c r="S102" s="780">
        <f t="shared" ref="S102" si="201">-M103</f>
        <v>96050</v>
      </c>
      <c r="T102" s="780">
        <f t="shared" ref="T102" si="202">-N103</f>
        <v>0</v>
      </c>
    </row>
    <row r="103" spans="1:20">
      <c r="B103" s="604" t="s">
        <v>2666</v>
      </c>
      <c r="C103" s="613"/>
      <c r="D103" s="613"/>
      <c r="E103" s="613"/>
      <c r="F103" s="613"/>
      <c r="G103" s="613"/>
      <c r="H103" s="613">
        <f>-'Finanziamenti al 30.06'!L11</f>
        <v>-48025</v>
      </c>
      <c r="I103" s="609">
        <v>-96050</v>
      </c>
      <c r="J103" s="609">
        <v>-96050</v>
      </c>
      <c r="K103" s="609">
        <v>-96050</v>
      </c>
      <c r="L103" s="609">
        <v>-96050</v>
      </c>
      <c r="M103" s="609">
        <v>-96050</v>
      </c>
      <c r="O103" t="s">
        <v>4500</v>
      </c>
      <c r="P103" s="780">
        <f>+J102</f>
        <v>288150</v>
      </c>
      <c r="Q103" s="780">
        <f t="shared" ref="Q103" si="203">+K102</f>
        <v>192100</v>
      </c>
      <c r="R103" s="780">
        <f t="shared" ref="R103" si="204">+L102</f>
        <v>96050</v>
      </c>
      <c r="S103" s="780">
        <f t="shared" ref="S103" si="205">+M102</f>
        <v>0</v>
      </c>
      <c r="T103" s="780">
        <f t="shared" ref="T103" si="206">+N102</f>
        <v>0</v>
      </c>
    </row>
    <row r="104" spans="1:20">
      <c r="B104" s="604" t="s">
        <v>2665</v>
      </c>
      <c r="C104" s="613"/>
      <c r="D104" s="613"/>
      <c r="E104" s="613"/>
      <c r="F104" s="613"/>
      <c r="G104" s="613"/>
      <c r="H104" s="613"/>
      <c r="I104" s="609"/>
      <c r="J104" s="609"/>
      <c r="K104" s="609"/>
      <c r="L104" s="609"/>
      <c r="M104" s="609"/>
      <c r="P104" s="780">
        <f>+P102+P103</f>
        <v>384200</v>
      </c>
      <c r="Q104" s="780">
        <f t="shared" ref="Q104" si="207">+Q102+Q103</f>
        <v>288150</v>
      </c>
      <c r="R104" s="780">
        <f t="shared" ref="R104" si="208">+R102+R103</f>
        <v>192100</v>
      </c>
      <c r="S104" s="780">
        <f>+S102+S103</f>
        <v>96050</v>
      </c>
      <c r="T104" s="780">
        <f>+T102+T103</f>
        <v>0</v>
      </c>
    </row>
    <row r="105" spans="1:20">
      <c r="P105" s="780">
        <f>+P104-I102</f>
        <v>0</v>
      </c>
      <c r="Q105" s="780">
        <f t="shared" ref="Q105" si="209">+Q104-J102</f>
        <v>0</v>
      </c>
      <c r="R105" s="780">
        <f t="shared" ref="R105" si="210">+R104-K102</f>
        <v>0</v>
      </c>
      <c r="S105" s="780">
        <f t="shared" ref="S105" si="211">+S104-L102</f>
        <v>0</v>
      </c>
      <c r="T105" s="780">
        <f t="shared" ref="T105" si="212">+T104-M102</f>
        <v>0</v>
      </c>
    </row>
    <row r="106" spans="1:20">
      <c r="C106" s="606">
        <v>2018</v>
      </c>
      <c r="D106" s="606">
        <f>+C106+1</f>
        <v>2019</v>
      </c>
      <c r="E106" s="606">
        <f t="shared" ref="E106" si="213">+D106+1</f>
        <v>2020</v>
      </c>
      <c r="F106" s="606">
        <f t="shared" ref="F106" si="214">+E106+1</f>
        <v>2021</v>
      </c>
      <c r="G106" s="606">
        <f t="shared" ref="G106" si="215">+F106+1</f>
        <v>2022</v>
      </c>
      <c r="H106" s="1049">
        <v>45078</v>
      </c>
      <c r="I106" s="599">
        <f t="shared" ref="I106" si="216">+G106+1</f>
        <v>2023</v>
      </c>
      <c r="J106" s="599">
        <f t="shared" ref="J106" si="217">+I106+1</f>
        <v>2024</v>
      </c>
      <c r="K106" s="599">
        <f t="shared" ref="K106" si="218">+J106+1</f>
        <v>2025</v>
      </c>
      <c r="L106" s="599">
        <f t="shared" ref="L106" si="219">+K106+1</f>
        <v>2026</v>
      </c>
      <c r="M106" s="599">
        <f t="shared" ref="M106" si="220">+L106+1</f>
        <v>2027</v>
      </c>
    </row>
    <row r="107" spans="1:20">
      <c r="A107" t="s">
        <v>4172</v>
      </c>
      <c r="B107" s="645" t="str">
        <f>+B40</f>
        <v>150179 Finanziamento MPS n.994186309</v>
      </c>
      <c r="P107" s="5">
        <v>2023</v>
      </c>
      <c r="Q107" s="5">
        <v>2024</v>
      </c>
      <c r="R107" s="5">
        <v>2025</v>
      </c>
      <c r="S107" s="5">
        <v>2026</v>
      </c>
      <c r="T107" s="1481">
        <f>+S107+1</f>
        <v>2027</v>
      </c>
    </row>
    <row r="108" spans="1:20">
      <c r="B108" s="604" t="s">
        <v>2667</v>
      </c>
      <c r="C108" s="613"/>
      <c r="D108" s="613"/>
      <c r="E108" s="613"/>
      <c r="F108" s="613"/>
      <c r="G108" s="613">
        <v>166666.70000000001</v>
      </c>
      <c r="H108" s="613">
        <f>+G108-H109</f>
        <v>166666.70000000001</v>
      </c>
      <c r="I108" s="609">
        <f>+G108+I109</f>
        <v>0</v>
      </c>
      <c r="J108" s="609">
        <f>+I108+J109</f>
        <v>0</v>
      </c>
      <c r="K108" s="609">
        <f t="shared" ref="K108" si="221">+J108+K109</f>
        <v>0</v>
      </c>
      <c r="L108" s="609">
        <f t="shared" ref="L108" si="222">+K108+L109</f>
        <v>0</v>
      </c>
      <c r="M108" s="609">
        <f t="shared" ref="M108" si="223">+L108+M109</f>
        <v>0</v>
      </c>
      <c r="O108" t="s">
        <v>4499</v>
      </c>
      <c r="P108" s="780">
        <f>-J109</f>
        <v>0</v>
      </c>
      <c r="Q108" s="780">
        <f t="shared" ref="Q108" si="224">-K109</f>
        <v>0</v>
      </c>
      <c r="R108" s="780">
        <f t="shared" ref="R108" si="225">-L109</f>
        <v>0</v>
      </c>
      <c r="S108" s="780">
        <f t="shared" ref="S108" si="226">-M109</f>
        <v>0</v>
      </c>
      <c r="T108" s="780">
        <f t="shared" ref="T108" si="227">-N109</f>
        <v>0</v>
      </c>
    </row>
    <row r="109" spans="1:20">
      <c r="B109" s="604" t="s">
        <v>2666</v>
      </c>
      <c r="C109" s="613"/>
      <c r="D109" s="613"/>
      <c r="E109" s="613"/>
      <c r="F109" s="613"/>
      <c r="G109" s="613"/>
      <c r="H109" s="613">
        <f>-'Finanziamenti al 30.06'!K12</f>
        <v>0</v>
      </c>
      <c r="I109" s="609">
        <v>-166666.70000000001</v>
      </c>
      <c r="J109" s="609"/>
      <c r="K109" s="609"/>
      <c r="L109" s="609"/>
      <c r="M109" s="609"/>
      <c r="O109" t="s">
        <v>4500</v>
      </c>
      <c r="P109" s="780">
        <f>+J108</f>
        <v>0</v>
      </c>
      <c r="Q109" s="780">
        <f t="shared" ref="Q109" si="228">+K108</f>
        <v>0</v>
      </c>
      <c r="R109" s="780">
        <f t="shared" ref="R109" si="229">+L108</f>
        <v>0</v>
      </c>
      <c r="S109" s="780">
        <f t="shared" ref="S109" si="230">+M108</f>
        <v>0</v>
      </c>
      <c r="T109" s="780">
        <f t="shared" ref="T109" si="231">+N108</f>
        <v>0</v>
      </c>
    </row>
    <row r="110" spans="1:20">
      <c r="B110" s="604" t="s">
        <v>2665</v>
      </c>
      <c r="C110" s="613"/>
      <c r="D110" s="613"/>
      <c r="E110" s="613"/>
      <c r="F110" s="613"/>
      <c r="G110" s="613"/>
      <c r="H110" s="613"/>
      <c r="I110" s="609">
        <f>-83.33-55-56-27.78</f>
        <v>-222.10999999999999</v>
      </c>
      <c r="J110" s="609"/>
      <c r="K110" s="609"/>
      <c r="L110" s="609"/>
      <c r="M110" s="609"/>
      <c r="P110" s="780">
        <f>+P108+P109</f>
        <v>0</v>
      </c>
      <c r="Q110" s="780">
        <f t="shared" ref="Q110" si="232">+Q108+Q109</f>
        <v>0</v>
      </c>
      <c r="R110" s="780">
        <f t="shared" ref="R110" si="233">+R108+R109</f>
        <v>0</v>
      </c>
      <c r="S110" s="780">
        <f>+S108+S109</f>
        <v>0</v>
      </c>
      <c r="T110" s="780">
        <f>+T108+T109</f>
        <v>0</v>
      </c>
    </row>
    <row r="111" spans="1:20">
      <c r="P111" s="780">
        <f>+P110-I108</f>
        <v>0</v>
      </c>
      <c r="Q111" s="780">
        <f t="shared" ref="Q111" si="234">+Q110-J108</f>
        <v>0</v>
      </c>
      <c r="R111" s="780">
        <f t="shared" ref="R111" si="235">+R110-K108</f>
        <v>0</v>
      </c>
      <c r="S111" s="780">
        <f t="shared" ref="S111" si="236">+S110-L108</f>
        <v>0</v>
      </c>
      <c r="T111" s="780">
        <f t="shared" ref="T111" si="237">+T110-M108</f>
        <v>0</v>
      </c>
    </row>
    <row r="112" spans="1:20">
      <c r="C112" s="606">
        <v>2018</v>
      </c>
      <c r="D112" s="606">
        <f>+C112+1</f>
        <v>2019</v>
      </c>
      <c r="E112" s="606">
        <f t="shared" ref="E112" si="238">+D112+1</f>
        <v>2020</v>
      </c>
      <c r="F112" s="606">
        <f t="shared" ref="F112" si="239">+E112+1</f>
        <v>2021</v>
      </c>
      <c r="G112" s="606">
        <f t="shared" ref="G112" si="240">+F112+1</f>
        <v>2022</v>
      </c>
      <c r="H112" s="1049">
        <v>45078</v>
      </c>
      <c r="I112" s="599">
        <f t="shared" ref="I112" si="241">+G112+1</f>
        <v>2023</v>
      </c>
      <c r="J112" s="599">
        <f t="shared" ref="J112" si="242">+I112+1</f>
        <v>2024</v>
      </c>
      <c r="K112" s="599">
        <f t="shared" ref="K112" si="243">+J112+1</f>
        <v>2025</v>
      </c>
      <c r="L112" s="599">
        <f t="shared" ref="L112" si="244">+K112+1</f>
        <v>2026</v>
      </c>
      <c r="M112" s="599">
        <f t="shared" ref="M112" si="245">+L112+1</f>
        <v>2027</v>
      </c>
    </row>
    <row r="113" spans="1:20">
      <c r="A113" t="s">
        <v>4172</v>
      </c>
      <c r="B113" s="645" t="str">
        <f>+B46</f>
        <v>150180 Finanziamento BPM n.05657541</v>
      </c>
      <c r="P113" s="5">
        <v>2023</v>
      </c>
      <c r="Q113" s="5">
        <v>2024</v>
      </c>
      <c r="R113" s="5">
        <v>2025</v>
      </c>
      <c r="S113" s="5">
        <v>2026</v>
      </c>
      <c r="T113" s="1481">
        <f>+S113+1</f>
        <v>2027</v>
      </c>
    </row>
    <row r="114" spans="1:20">
      <c r="B114" s="604" t="s">
        <v>2667</v>
      </c>
      <c r="C114" s="613"/>
      <c r="D114" s="613"/>
      <c r="E114" s="613"/>
      <c r="F114" s="613"/>
      <c r="G114" s="613">
        <v>1000000</v>
      </c>
      <c r="H114" s="613">
        <f>+'Finanziamenti al 30.06'!P13</f>
        <v>896026.34</v>
      </c>
      <c r="I114" s="609">
        <f>+G114+I115</f>
        <v>778033.17</v>
      </c>
      <c r="J114" s="609">
        <f>+I114+J115</f>
        <v>553486.76</v>
      </c>
      <c r="K114" s="609">
        <f t="shared" ref="K114" si="246">+J114+K115</f>
        <v>326330.78000000003</v>
      </c>
      <c r="L114" s="609">
        <f t="shared" ref="L114" si="247">+K114+L115</f>
        <v>96534.94</v>
      </c>
      <c r="M114" s="609">
        <f t="shared" ref="M114" si="248">+L114+M115</f>
        <v>0</v>
      </c>
      <c r="O114" t="s">
        <v>4499</v>
      </c>
      <c r="P114" s="780">
        <f>-J115</f>
        <v>224546.41000000003</v>
      </c>
      <c r="Q114" s="780">
        <f t="shared" ref="Q114" si="249">-K115</f>
        <v>227155.97999999998</v>
      </c>
      <c r="R114" s="780">
        <f t="shared" ref="R114" si="250">-L115</f>
        <v>229795.84000000003</v>
      </c>
      <c r="S114" s="780">
        <f t="shared" ref="S114" si="251">-M115</f>
        <v>96534.94</v>
      </c>
      <c r="T114" s="780">
        <f t="shared" ref="T114" si="252">-N115</f>
        <v>0</v>
      </c>
    </row>
    <row r="115" spans="1:20">
      <c r="B115" s="604" t="s">
        <v>2666</v>
      </c>
      <c r="C115" s="613"/>
      <c r="D115" s="613"/>
      <c r="E115" s="613"/>
      <c r="F115" s="613"/>
      <c r="G115" s="613"/>
      <c r="H115" s="613">
        <f>+H114-G114</f>
        <v>-103973.66000000003</v>
      </c>
      <c r="I115" s="609">
        <v>-221966.82999999996</v>
      </c>
      <c r="J115" s="609">
        <v>-224546.41000000003</v>
      </c>
      <c r="K115" s="609">
        <v>-227155.97999999998</v>
      </c>
      <c r="L115" s="609">
        <v>-229795.84000000003</v>
      </c>
      <c r="M115" s="609">
        <v>-96534.94</v>
      </c>
      <c r="O115" t="s">
        <v>4500</v>
      </c>
      <c r="P115" s="780">
        <f>+J114</f>
        <v>553486.76</v>
      </c>
      <c r="Q115" s="780">
        <f t="shared" ref="Q115" si="253">+K114</f>
        <v>326330.78000000003</v>
      </c>
      <c r="R115" s="780">
        <f t="shared" ref="R115" si="254">+L114</f>
        <v>96534.94</v>
      </c>
      <c r="S115" s="780">
        <f t="shared" ref="S115" si="255">+M114</f>
        <v>0</v>
      </c>
      <c r="T115" s="780">
        <f t="shared" ref="T115" si="256">+N114</f>
        <v>0</v>
      </c>
    </row>
    <row r="116" spans="1:20">
      <c r="B116" s="604" t="s">
        <v>2665</v>
      </c>
      <c r="C116" s="613"/>
      <c r="D116" s="613"/>
      <c r="E116" s="613"/>
      <c r="F116" s="613"/>
      <c r="G116" s="613"/>
      <c r="H116" s="613"/>
      <c r="I116" s="609">
        <f>-3096.56-2952.93-3463.29-3291.39-3338.69-3170.39-3213.23-3150.17-2987.32-3023.4-2864.21-2895.75</f>
        <v>-37447.33</v>
      </c>
      <c r="J116" s="609">
        <f>-2831.59-2588.67-2702.6-2552.68-2572.71-2426.54-2441.92-2376.18-2235.69-2244.02-2107.36-2110.95</f>
        <v>-29190.91</v>
      </c>
      <c r="K116" s="609">
        <f>-2044.06-1785.63-1909.59-1782.59-1774.19-1651.1-1637.84-1569.32-1452.14-1431.54-1318.35-1292.81</f>
        <v>-19649.16</v>
      </c>
      <c r="L116" s="609">
        <f>-1223.09-1041.53-1082.91-979.79-941.75-842.72-799.62-728.18-635.31-584.55-495.84-439.93</f>
        <v>-9795.2199999999993</v>
      </c>
      <c r="M116" s="609">
        <f>-367.24-265.82-221.11-142.9-73.96</f>
        <v>-1071.03</v>
      </c>
      <c r="P116" s="780">
        <f>+P114+P115</f>
        <v>778033.17</v>
      </c>
      <c r="Q116" s="780">
        <f t="shared" ref="Q116" si="257">+Q114+Q115</f>
        <v>553486.76</v>
      </c>
      <c r="R116" s="780">
        <f t="shared" ref="R116" si="258">+R114+R115</f>
        <v>326330.78000000003</v>
      </c>
      <c r="S116" s="780">
        <f>+S114+S115</f>
        <v>96534.94</v>
      </c>
      <c r="T116" s="780">
        <f>+T114+T115</f>
        <v>0</v>
      </c>
    </row>
    <row r="117" spans="1:20">
      <c r="P117" s="780">
        <f>+P116-I114</f>
        <v>0</v>
      </c>
      <c r="Q117" s="780">
        <f t="shared" ref="Q117" si="259">+Q116-J114</f>
        <v>0</v>
      </c>
      <c r="R117" s="780">
        <f t="shared" ref="R117" si="260">+R116-K114</f>
        <v>0</v>
      </c>
      <c r="S117" s="780">
        <f t="shared" ref="S117" si="261">+S116-L114</f>
        <v>0</v>
      </c>
      <c r="T117" s="780">
        <f t="shared" ref="T117" si="262">+T116-M114</f>
        <v>0</v>
      </c>
    </row>
    <row r="119" spans="1:20">
      <c r="C119" s="606">
        <v>2018</v>
      </c>
      <c r="D119" s="606">
        <f>+C119+1</f>
        <v>2019</v>
      </c>
      <c r="E119" s="606">
        <f t="shared" ref="E119" si="263">+D119+1</f>
        <v>2020</v>
      </c>
      <c r="F119" s="606">
        <f t="shared" ref="F119" si="264">+E119+1</f>
        <v>2021</v>
      </c>
      <c r="G119" s="606">
        <f t="shared" ref="G119" si="265">+F119+1</f>
        <v>2022</v>
      </c>
      <c r="H119" s="1049">
        <v>45078</v>
      </c>
      <c r="I119" s="599">
        <f t="shared" ref="I119" si="266">+G119+1</f>
        <v>2023</v>
      </c>
      <c r="J119" s="599">
        <f t="shared" ref="J119" si="267">+I119+1</f>
        <v>2024</v>
      </c>
      <c r="K119" s="599">
        <f t="shared" ref="K119" si="268">+J119+1</f>
        <v>2025</v>
      </c>
      <c r="L119" s="599">
        <f t="shared" ref="L119" si="269">+K119+1</f>
        <v>2026</v>
      </c>
      <c r="M119" s="599">
        <f t="shared" ref="M119" si="270">+L119+1</f>
        <v>2027</v>
      </c>
    </row>
    <row r="120" spans="1:20">
      <c r="A120" t="s">
        <v>4172</v>
      </c>
      <c r="B120" s="645" t="str">
        <f>+B47</f>
        <v>Finanziamento Monte dei Paschi di Siena n.484-994233681</v>
      </c>
      <c r="P120" s="5">
        <v>2023</v>
      </c>
      <c r="Q120" s="5">
        <v>2024</v>
      </c>
      <c r="R120" s="5">
        <v>2025</v>
      </c>
      <c r="S120" s="5">
        <v>2026</v>
      </c>
      <c r="T120" s="1481">
        <f>+S120+1</f>
        <v>2027</v>
      </c>
    </row>
    <row r="121" spans="1:20">
      <c r="B121" s="604" t="s">
        <v>2667</v>
      </c>
      <c r="C121" s="613"/>
      <c r="D121" s="613"/>
      <c r="E121" s="613"/>
      <c r="F121" s="613"/>
      <c r="G121" s="613"/>
      <c r="H121" s="613">
        <f>1000000+H122</f>
        <v>666666.65999999992</v>
      </c>
      <c r="I121" s="609">
        <f>1000000+I122</f>
        <v>333333.34000000008</v>
      </c>
      <c r="J121" s="609">
        <f>+I121+J122</f>
        <v>0</v>
      </c>
      <c r="K121" s="609">
        <f t="shared" ref="K121" si="271">+J121+K122</f>
        <v>0</v>
      </c>
      <c r="L121" s="609">
        <f t="shared" ref="L121" si="272">+K121+L122</f>
        <v>0</v>
      </c>
      <c r="M121" s="609">
        <f t="shared" ref="M121" si="273">+L121+M122</f>
        <v>0</v>
      </c>
      <c r="O121" t="s">
        <v>4499</v>
      </c>
      <c r="P121" s="780">
        <f>-J122</f>
        <v>333333.34000000003</v>
      </c>
      <c r="Q121" s="780">
        <f t="shared" ref="Q121" si="274">-K122</f>
        <v>0</v>
      </c>
      <c r="R121" s="780">
        <f t="shared" ref="R121" si="275">-L122</f>
        <v>0</v>
      </c>
      <c r="S121" s="780">
        <f t="shared" ref="S121" si="276">-M122</f>
        <v>0</v>
      </c>
      <c r="T121" s="780">
        <f t="shared" ref="T121" si="277">-N122</f>
        <v>0</v>
      </c>
    </row>
    <row r="122" spans="1:20">
      <c r="B122" s="604" t="s">
        <v>2666</v>
      </c>
      <c r="C122" s="613"/>
      <c r="D122" s="613"/>
      <c r="E122" s="613"/>
      <c r="F122" s="613"/>
      <c r="G122" s="613"/>
      <c r="H122" s="613">
        <f>-'Finanziamenti al 30.06'!K15</f>
        <v>-333333.34000000003</v>
      </c>
      <c r="I122" s="609">
        <f>333333.34-1000000</f>
        <v>-666666.65999999992</v>
      </c>
      <c r="J122" s="609">
        <v>-333333.34000000003</v>
      </c>
      <c r="K122" s="609"/>
      <c r="L122" s="609"/>
      <c r="M122" s="609"/>
      <c r="O122" t="s">
        <v>4500</v>
      </c>
      <c r="P122" s="780">
        <f>+J121</f>
        <v>0</v>
      </c>
      <c r="Q122" s="780">
        <f t="shared" ref="Q122" si="278">+K121</f>
        <v>0</v>
      </c>
      <c r="R122" s="780">
        <f t="shared" ref="R122" si="279">+L121</f>
        <v>0</v>
      </c>
      <c r="S122" s="780">
        <f t="shared" ref="S122" si="280">+M121</f>
        <v>0</v>
      </c>
      <c r="T122" s="780">
        <f t="shared" ref="T122" si="281">+N121</f>
        <v>0</v>
      </c>
    </row>
    <row r="123" spans="1:20">
      <c r="B123" s="604" t="s">
        <v>2665</v>
      </c>
      <c r="C123" s="613"/>
      <c r="D123" s="613"/>
      <c r="E123" s="613"/>
      <c r="F123" s="613"/>
      <c r="G123" s="613"/>
      <c r="H123" s="613"/>
      <c r="I123" s="609">
        <f>-1678.11-2961.37-3060.08-2961.37-3060.08-2720.07-2303.29-2040.05-1645.21-1360.04</f>
        <v>-23789.670000000002</v>
      </c>
      <c r="J123" s="609">
        <f>-1017.24-634.41-339.08</f>
        <v>-1990.73</v>
      </c>
      <c r="K123" s="609"/>
      <c r="L123" s="609"/>
      <c r="M123" s="609"/>
      <c r="P123" s="780">
        <f>+P121+P122</f>
        <v>333333.34000000003</v>
      </c>
      <c r="Q123" s="780">
        <f t="shared" ref="Q123" si="282">+Q121+Q122</f>
        <v>0</v>
      </c>
      <c r="R123" s="780">
        <f t="shared" ref="R123" si="283">+R121+R122</f>
        <v>0</v>
      </c>
      <c r="S123" s="780">
        <f>+S121+S122</f>
        <v>0</v>
      </c>
      <c r="T123" s="780">
        <f>+T121+T122</f>
        <v>0</v>
      </c>
    </row>
    <row r="124" spans="1:20">
      <c r="P124" s="780">
        <f>+P123-I121</f>
        <v>0</v>
      </c>
      <c r="Q124" s="780">
        <f t="shared" ref="Q124" si="284">+Q123-J121</f>
        <v>0</v>
      </c>
      <c r="R124" s="780">
        <f t="shared" ref="R124" si="285">+R123-K121</f>
        <v>0</v>
      </c>
      <c r="S124" s="780">
        <f t="shared" ref="S124" si="286">+S123-L121</f>
        <v>0</v>
      </c>
      <c r="T124" s="780">
        <f t="shared" ref="T124" si="287">+T123-M121</f>
        <v>0</v>
      </c>
    </row>
    <row r="125" spans="1:20">
      <c r="C125" s="606">
        <v>2018</v>
      </c>
      <c r="D125" s="606">
        <f>+C125+1</f>
        <v>2019</v>
      </c>
      <c r="E125" s="606">
        <f t="shared" ref="E125" si="288">+D125+1</f>
        <v>2020</v>
      </c>
      <c r="F125" s="606">
        <f t="shared" ref="F125" si="289">+E125+1</f>
        <v>2021</v>
      </c>
      <c r="G125" s="606">
        <f t="shared" ref="G125" si="290">+F125+1</f>
        <v>2022</v>
      </c>
      <c r="H125" s="1049">
        <v>45078</v>
      </c>
      <c r="I125" s="599">
        <f t="shared" ref="I125" si="291">+G125+1</f>
        <v>2023</v>
      </c>
      <c r="J125" s="599">
        <f t="shared" ref="J125" si="292">+I125+1</f>
        <v>2024</v>
      </c>
      <c r="K125" s="599">
        <f t="shared" ref="K125" si="293">+J125+1</f>
        <v>2025</v>
      </c>
      <c r="L125" s="599">
        <f t="shared" ref="L125" si="294">+K125+1</f>
        <v>2026</v>
      </c>
      <c r="M125" s="599">
        <f t="shared" ref="M125" si="295">+L125+1</f>
        <v>2027</v>
      </c>
    </row>
    <row r="126" spans="1:20">
      <c r="A126" t="s">
        <v>4172</v>
      </c>
      <c r="B126" s="645" t="s">
        <v>4252</v>
      </c>
      <c r="P126" s="5">
        <v>2023</v>
      </c>
      <c r="Q126" s="5">
        <v>2024</v>
      </c>
      <c r="R126" s="5">
        <v>2025</v>
      </c>
      <c r="S126" s="5">
        <v>2026</v>
      </c>
      <c r="T126" s="1481">
        <f>+S126+1</f>
        <v>2027</v>
      </c>
    </row>
    <row r="127" spans="1:20">
      <c r="B127" s="604" t="s">
        <v>2667</v>
      </c>
      <c r="C127" s="613"/>
      <c r="D127" s="613"/>
      <c r="E127" s="613"/>
      <c r="F127" s="613"/>
      <c r="G127" s="613"/>
      <c r="H127" s="613">
        <v>875000</v>
      </c>
      <c r="I127" s="609">
        <v>750000</v>
      </c>
      <c r="J127" s="609">
        <v>500000</v>
      </c>
      <c r="K127" s="609">
        <v>250000</v>
      </c>
      <c r="L127" s="609">
        <v>0</v>
      </c>
      <c r="M127" s="609">
        <f t="shared" ref="M127" si="296">+L127+M128</f>
        <v>0</v>
      </c>
      <c r="O127" t="s">
        <v>4499</v>
      </c>
      <c r="P127" s="780">
        <f>-J128</f>
        <v>250000</v>
      </c>
      <c r="Q127" s="780">
        <f t="shared" ref="Q127" si="297">-K128</f>
        <v>250000</v>
      </c>
      <c r="R127" s="780">
        <f t="shared" ref="R127" si="298">-L128</f>
        <v>250000</v>
      </c>
      <c r="S127" s="780">
        <f t="shared" ref="S127" si="299">-M128</f>
        <v>0</v>
      </c>
      <c r="T127" s="780">
        <f t="shared" ref="T127" si="300">-N128</f>
        <v>0</v>
      </c>
    </row>
    <row r="128" spans="1:20">
      <c r="B128" s="604" t="s">
        <v>2666</v>
      </c>
      <c r="C128" s="613"/>
      <c r="D128" s="613"/>
      <c r="E128" s="613"/>
      <c r="F128" s="613"/>
      <c r="G128" s="613"/>
      <c r="H128" s="613"/>
      <c r="I128" s="609">
        <f>+I127-1000000</f>
        <v>-250000</v>
      </c>
      <c r="J128" s="609">
        <f>+J127-I127</f>
        <v>-250000</v>
      </c>
      <c r="K128" s="609">
        <f>+K127-J127</f>
        <v>-250000</v>
      </c>
      <c r="L128" s="609">
        <f>+L127-K127</f>
        <v>-250000</v>
      </c>
      <c r="M128" s="609"/>
      <c r="O128" t="s">
        <v>4500</v>
      </c>
      <c r="P128" s="780">
        <f>+J127</f>
        <v>500000</v>
      </c>
      <c r="Q128" s="780">
        <f t="shared" ref="Q128" si="301">+K127</f>
        <v>250000</v>
      </c>
      <c r="R128" s="780">
        <f t="shared" ref="R128" si="302">+L127</f>
        <v>0</v>
      </c>
      <c r="S128" s="780">
        <f t="shared" ref="S128" si="303">+M127</f>
        <v>0</v>
      </c>
      <c r="T128" s="780">
        <f t="shared" ref="T128" si="304">+N127</f>
        <v>0</v>
      </c>
    </row>
    <row r="129" spans="1:20">
      <c r="B129" s="604" t="s">
        <v>2665</v>
      </c>
      <c r="C129" s="613"/>
      <c r="D129" s="613"/>
      <c r="E129" s="613"/>
      <c r="F129" s="613"/>
      <c r="G129" s="613"/>
      <c r="H129" s="613"/>
      <c r="I129" s="609">
        <f>-3745.83-10308.59-9621.35-8934.11</f>
        <v>-32609.88</v>
      </c>
      <c r="J129" s="609">
        <f>-8156.25-7642.71-7098.96-6253.13</f>
        <v>-29151.05</v>
      </c>
      <c r="K129" s="609">
        <f>-5437.5-4810.68-4168.75-3473.96</f>
        <v>-17890.89</v>
      </c>
      <c r="L129" s="609">
        <f>-2718.75-2061.72-1389.58-694.79</f>
        <v>-6864.8399999999992</v>
      </c>
      <c r="M129" s="609"/>
      <c r="P129" s="780">
        <f>+P127+P128</f>
        <v>750000</v>
      </c>
      <c r="Q129" s="780">
        <f t="shared" ref="Q129" si="305">+Q127+Q128</f>
        <v>500000</v>
      </c>
      <c r="R129" s="780">
        <f t="shared" ref="R129" si="306">+R127+R128</f>
        <v>250000</v>
      </c>
      <c r="S129" s="780">
        <f>+S127+S128</f>
        <v>0</v>
      </c>
      <c r="T129" s="780">
        <f>+T127+T128</f>
        <v>0</v>
      </c>
    </row>
    <row r="130" spans="1:20">
      <c r="P130" s="780">
        <f>+P129-I127</f>
        <v>0</v>
      </c>
      <c r="Q130" s="780">
        <f t="shared" ref="Q130" si="307">+Q129-J127</f>
        <v>0</v>
      </c>
      <c r="R130" s="780">
        <f t="shared" ref="R130" si="308">+R129-K127</f>
        <v>0</v>
      </c>
      <c r="S130" s="780">
        <f t="shared" ref="S130" si="309">+S129-L127</f>
        <v>0</v>
      </c>
      <c r="T130" s="780">
        <f t="shared" ref="T130" si="310">+T129-M127</f>
        <v>0</v>
      </c>
    </row>
    <row r="131" spans="1:20">
      <c r="C131" s="606">
        <v>2018</v>
      </c>
      <c r="D131" s="606">
        <f>+C131+1</f>
        <v>2019</v>
      </c>
      <c r="E131" s="606">
        <f t="shared" ref="E131" si="311">+D131+1</f>
        <v>2020</v>
      </c>
      <c r="F131" s="606">
        <f t="shared" ref="F131" si="312">+E131+1</f>
        <v>2021</v>
      </c>
      <c r="G131" s="606">
        <f t="shared" ref="G131" si="313">+F131+1</f>
        <v>2022</v>
      </c>
      <c r="H131" s="1049">
        <v>45078</v>
      </c>
      <c r="I131" s="599">
        <f t="shared" ref="I131" si="314">+G131+1</f>
        <v>2023</v>
      </c>
      <c r="J131" s="599">
        <f t="shared" ref="J131" si="315">+I131+1</f>
        <v>2024</v>
      </c>
      <c r="K131" s="599">
        <f t="shared" ref="K131" si="316">+J131+1</f>
        <v>2025</v>
      </c>
      <c r="L131" s="599">
        <f t="shared" ref="L131" si="317">+K131+1</f>
        <v>2026</v>
      </c>
      <c r="M131" s="599">
        <f t="shared" ref="M131" si="318">+L131+1</f>
        <v>2027</v>
      </c>
    </row>
    <row r="132" spans="1:20">
      <c r="A132" t="s">
        <v>4172</v>
      </c>
      <c r="B132" s="645" t="s">
        <v>4272</v>
      </c>
      <c r="P132" s="5">
        <v>2023</v>
      </c>
      <c r="Q132" s="5">
        <v>2024</v>
      </c>
      <c r="R132" s="5">
        <v>2025</v>
      </c>
      <c r="S132" s="5">
        <v>2026</v>
      </c>
      <c r="T132" s="1481">
        <f>+S132+1</f>
        <v>2027</v>
      </c>
    </row>
    <row r="133" spans="1:20">
      <c r="B133" s="604" t="s">
        <v>2667</v>
      </c>
      <c r="C133" s="613"/>
      <c r="D133" s="613"/>
      <c r="E133" s="613"/>
      <c r="F133" s="613"/>
      <c r="G133" s="613"/>
      <c r="H133" s="613">
        <v>1000000</v>
      </c>
      <c r="I133" s="609">
        <v>543431.92000000004</v>
      </c>
      <c r="J133" s="609">
        <v>0</v>
      </c>
      <c r="K133" s="609"/>
      <c r="L133" s="609"/>
      <c r="M133" s="609"/>
      <c r="O133" t="s">
        <v>4499</v>
      </c>
      <c r="P133" s="780">
        <f>-J134</f>
        <v>543431.92000000004</v>
      </c>
      <c r="Q133" s="780">
        <f t="shared" ref="Q133" si="319">-K134</f>
        <v>0</v>
      </c>
      <c r="R133" s="780">
        <f t="shared" ref="R133" si="320">-L134</f>
        <v>0</v>
      </c>
      <c r="S133" s="780">
        <f t="shared" ref="S133" si="321">-M134</f>
        <v>0</v>
      </c>
      <c r="T133" s="780">
        <f t="shared" ref="T133" si="322">-N134</f>
        <v>0</v>
      </c>
    </row>
    <row r="134" spans="1:20">
      <c r="B134" s="604" t="s">
        <v>2666</v>
      </c>
      <c r="C134" s="613"/>
      <c r="D134" s="613"/>
      <c r="E134" s="613"/>
      <c r="F134" s="613"/>
      <c r="G134" s="613"/>
      <c r="H134" s="613"/>
      <c r="I134" s="609">
        <f>+I133-1000000</f>
        <v>-456568.07999999996</v>
      </c>
      <c r="J134" s="609">
        <f>+J133-I133</f>
        <v>-543431.92000000004</v>
      </c>
      <c r="K134" s="609">
        <f>+K133-J133</f>
        <v>0</v>
      </c>
      <c r="L134" s="609">
        <f>+L133-K133</f>
        <v>0</v>
      </c>
      <c r="M134" s="609"/>
      <c r="O134" t="s">
        <v>4500</v>
      </c>
      <c r="P134" s="780">
        <f>+J133</f>
        <v>0</v>
      </c>
      <c r="Q134" s="780">
        <f t="shared" ref="Q134" si="323">+K133</f>
        <v>0</v>
      </c>
      <c r="R134" s="780">
        <f t="shared" ref="R134" si="324">+L133</f>
        <v>0</v>
      </c>
      <c r="S134" s="780">
        <f t="shared" ref="S134" si="325">+M133</f>
        <v>0</v>
      </c>
      <c r="T134" s="780">
        <f t="shared" ref="T134" si="326">+N133</f>
        <v>0</v>
      </c>
    </row>
    <row r="135" spans="1:20">
      <c r="B135" s="604" t="s">
        <v>2665</v>
      </c>
      <c r="C135" s="613"/>
      <c r="D135" s="613"/>
      <c r="E135" s="613"/>
      <c r="F135" s="613"/>
      <c r="G135" s="613"/>
      <c r="H135" s="613"/>
      <c r="I135" s="609">
        <f>-5009.36-2850.36-2616.97-2382.71-2147.72-1912.02-1675.58</f>
        <v>-18594.719999999994</v>
      </c>
      <c r="J135" s="609">
        <f>-1438.42-1200.52-961.89-722.53-482.43-241.59</f>
        <v>-5047.38</v>
      </c>
      <c r="K135" s="609"/>
      <c r="L135" s="609"/>
      <c r="M135" s="609"/>
      <c r="P135" s="780">
        <f>+P133+P134</f>
        <v>543431.92000000004</v>
      </c>
      <c r="Q135" s="780">
        <f t="shared" ref="Q135" si="327">+Q133+Q134</f>
        <v>0</v>
      </c>
      <c r="R135" s="780">
        <f t="shared" ref="R135" si="328">+R133+R134</f>
        <v>0</v>
      </c>
      <c r="S135" s="780">
        <f>+S133+S134</f>
        <v>0</v>
      </c>
      <c r="T135" s="780">
        <f>+T133+T134</f>
        <v>0</v>
      </c>
    </row>
    <row r="136" spans="1:20">
      <c r="P136" s="780">
        <f>+P135-I133</f>
        <v>0</v>
      </c>
      <c r="Q136" s="780">
        <f t="shared" ref="Q136" si="329">+Q135-J133</f>
        <v>0</v>
      </c>
      <c r="R136" s="780">
        <f t="shared" ref="R136" si="330">+R135-K133</f>
        <v>0</v>
      </c>
      <c r="S136" s="780">
        <f t="shared" ref="S136" si="331">+S135-L133</f>
        <v>0</v>
      </c>
      <c r="T136" s="780">
        <f t="shared" ref="T136" si="332">+T135-M133</f>
        <v>0</v>
      </c>
    </row>
    <row r="137" spans="1:20" ht="15.75" thickBot="1">
      <c r="B137" s="785" t="s">
        <v>2668</v>
      </c>
      <c r="C137" s="786"/>
      <c r="D137" s="786"/>
      <c r="E137" s="786"/>
      <c r="F137" s="786"/>
      <c r="G137" s="786"/>
      <c r="H137" s="786"/>
      <c r="I137" s="787">
        <f>+I62+I68+I74+I80+I86+I92+I98+I104+I110+I116+I123+I129+I135</f>
        <v>-152544.00056000001</v>
      </c>
      <c r="J137" s="787">
        <f t="shared" ref="J137:M137" si="333">+J62+J68+J74+J80+J86+J92+J98+J104+J110+J116+J123+J129+J135</f>
        <v>-98790.113309999986</v>
      </c>
      <c r="K137" s="787">
        <f t="shared" si="333"/>
        <v>-55160.501000000011</v>
      </c>
      <c r="L137" s="787">
        <f t="shared" si="333"/>
        <v>-23445.759999999955</v>
      </c>
      <c r="M137" s="787">
        <f t="shared" si="333"/>
        <v>-1192.5500000000259</v>
      </c>
    </row>
    <row r="138" spans="1:20">
      <c r="O138" s="1482" t="s">
        <v>4499</v>
      </c>
      <c r="P138" s="1485">
        <f>+P60+P66+P72+P78+P84+P90+P96+P102+P108+P114+P121+P127+P133</f>
        <v>2660324.33</v>
      </c>
      <c r="Q138" s="1485">
        <f t="shared" ref="Q138:T139" si="334">+Q60+Q66+Q72+Q78+Q84+Q90+Q96+Q102+Q108+Q114+Q121+Q127+Q133</f>
        <v>1568331.04</v>
      </c>
      <c r="R138" s="1485">
        <f t="shared" si="334"/>
        <v>1304671.6400000001</v>
      </c>
      <c r="S138" s="1485">
        <f t="shared" si="334"/>
        <v>263502.06999999995</v>
      </c>
      <c r="T138" s="1487">
        <f t="shared" si="334"/>
        <v>0</v>
      </c>
    </row>
    <row r="139" spans="1:20" ht="15.75" thickBot="1">
      <c r="O139" s="1483" t="s">
        <v>4500</v>
      </c>
      <c r="P139" s="1488">
        <f>+P61+P67+P73+P79+P85+P91+P97+P103+P109+P115+P122+P128+P134</f>
        <v>3136504.75</v>
      </c>
      <c r="Q139" s="1488">
        <f t="shared" si="334"/>
        <v>1568173.71</v>
      </c>
      <c r="R139" s="1488">
        <f t="shared" si="334"/>
        <v>263502.06999999995</v>
      </c>
      <c r="S139" s="1488">
        <f t="shared" si="334"/>
        <v>0</v>
      </c>
      <c r="T139" s="1489">
        <f t="shared" si="334"/>
        <v>0</v>
      </c>
    </row>
    <row r="140" spans="1:20">
      <c r="P140" s="780">
        <f>+P139+P138-I50</f>
        <v>0</v>
      </c>
      <c r="Q140" s="780">
        <f t="shared" ref="Q140:T140" si="335">+Q139+Q138-J50</f>
        <v>0</v>
      </c>
      <c r="R140" s="780">
        <f t="shared" si="335"/>
        <v>0</v>
      </c>
      <c r="S140" s="780">
        <f t="shared" si="335"/>
        <v>0</v>
      </c>
      <c r="T140" s="780">
        <f t="shared" si="335"/>
        <v>0</v>
      </c>
    </row>
    <row r="143" spans="1:20">
      <c r="B143" s="599" t="s">
        <v>2452</v>
      </c>
      <c r="C143" s="606">
        <v>2018</v>
      </c>
      <c r="D143" s="606">
        <f>+C143+1</f>
        <v>2019</v>
      </c>
      <c r="E143" s="606">
        <f t="shared" ref="E143" si="336">+D143+1</f>
        <v>2020</v>
      </c>
      <c r="F143" s="606">
        <f t="shared" ref="F143" si="337">+E143+1</f>
        <v>2021</v>
      </c>
      <c r="G143" s="606">
        <f t="shared" ref="G143" si="338">+F143+1</f>
        <v>2022</v>
      </c>
      <c r="H143" s="1049">
        <v>45078</v>
      </c>
      <c r="I143" s="599">
        <f t="shared" ref="I143" si="339">+G143+1</f>
        <v>2023</v>
      </c>
      <c r="J143" s="599">
        <f t="shared" ref="J143" si="340">+I143+1</f>
        <v>2024</v>
      </c>
      <c r="K143" s="599">
        <f t="shared" ref="K143" si="341">+J143+1</f>
        <v>2025</v>
      </c>
      <c r="L143" s="599">
        <f t="shared" ref="L143" si="342">+K143+1</f>
        <v>2026</v>
      </c>
      <c r="M143" s="599">
        <f t="shared" ref="M143" si="343">+L143+1</f>
        <v>2027</v>
      </c>
    </row>
    <row r="144" spans="1:20">
      <c r="B144" s="604" t="s">
        <v>2661</v>
      </c>
      <c r="C144" s="613">
        <f>+BdV!E719</f>
        <v>45726.83</v>
      </c>
      <c r="D144" s="613">
        <f>+BdV!F719</f>
        <v>63992.59</v>
      </c>
      <c r="E144" s="613">
        <f>+BdV!G719</f>
        <v>54877.06</v>
      </c>
      <c r="F144" s="613">
        <f>+BdV!H719</f>
        <v>28258.35</v>
      </c>
      <c r="G144" s="613">
        <f>+BdV!I719</f>
        <v>22424.799999999999</v>
      </c>
      <c r="H144" s="613">
        <f>+BdV!J719</f>
        <v>84208.13</v>
      </c>
      <c r="I144" s="613">
        <f>+$I$149*I21</f>
        <v>291534.48293185717</v>
      </c>
      <c r="J144" s="613">
        <f t="shared" ref="J144:M144" si="344">+$I$149*J21</f>
        <v>309670.03212857147</v>
      </c>
      <c r="K144" s="613">
        <f t="shared" si="344"/>
        <v>321089.64102857147</v>
      </c>
      <c r="L144" s="613">
        <f t="shared" si="344"/>
        <v>335298.41030000005</v>
      </c>
      <c r="M144" s="613">
        <f t="shared" si="344"/>
        <v>350135.92335714289</v>
      </c>
    </row>
    <row r="145" spans="2:13">
      <c r="B145" s="604" t="s">
        <v>2662</v>
      </c>
      <c r="C145" s="613">
        <f>+BdV!E722</f>
        <v>42737.440000000002</v>
      </c>
      <c r="D145" s="613">
        <f>+BdV!F722</f>
        <v>37989.620000000003</v>
      </c>
      <c r="E145" s="613">
        <f>+BdV!G722</f>
        <v>44859.01</v>
      </c>
      <c r="F145" s="613">
        <f>+BdV!H722</f>
        <v>58634.22</v>
      </c>
      <c r="G145" s="613">
        <f>+BdV!I722</f>
        <v>84700.98</v>
      </c>
      <c r="H145" s="613">
        <f>+BdV!J722</f>
        <v>121668.94</v>
      </c>
      <c r="I145" s="613">
        <f>-I137</f>
        <v>152544.00056000001</v>
      </c>
      <c r="J145" s="613">
        <f t="shared" ref="J145:M145" si="345">-J137</f>
        <v>98790.113309999986</v>
      </c>
      <c r="K145" s="613">
        <f t="shared" si="345"/>
        <v>55160.501000000011</v>
      </c>
      <c r="L145" s="613">
        <f t="shared" si="345"/>
        <v>23445.759999999955</v>
      </c>
      <c r="M145" s="613">
        <f t="shared" si="345"/>
        <v>1192.5500000000259</v>
      </c>
    </row>
    <row r="146" spans="2:13">
      <c r="B146" s="604" t="s">
        <v>2663</v>
      </c>
      <c r="C146" s="613">
        <f>+BdV!E728</f>
        <v>0</v>
      </c>
      <c r="D146" s="613">
        <f>+BdV!F728</f>
        <v>0</v>
      </c>
      <c r="E146" s="613">
        <f>+BdV!G728</f>
        <v>0</v>
      </c>
      <c r="F146" s="613">
        <f>+BdV!H728</f>
        <v>0</v>
      </c>
      <c r="G146" s="613">
        <f>+BdV!I728</f>
        <v>0</v>
      </c>
      <c r="H146" s="613">
        <f>+BdV!J728</f>
        <v>0</v>
      </c>
      <c r="I146" s="613"/>
      <c r="J146" s="613"/>
      <c r="K146" s="613"/>
      <c r="L146" s="613"/>
      <c r="M146" s="613"/>
    </row>
    <row r="147" spans="2:13">
      <c r="B147" s="775" t="s">
        <v>2664</v>
      </c>
      <c r="C147" s="613">
        <f>+BdV!E729</f>
        <v>1772.11</v>
      </c>
      <c r="D147" s="613">
        <f>+BdV!F729</f>
        <v>589.80999999999995</v>
      </c>
      <c r="E147" s="613">
        <f>+BdV!G729</f>
        <v>1588.34</v>
      </c>
      <c r="F147" s="613">
        <f>+BdV!H729</f>
        <v>1652.48</v>
      </c>
      <c r="G147" s="613">
        <f>+BdV!I729</f>
        <v>1386.54</v>
      </c>
      <c r="H147" s="613">
        <f>+BdV!J729</f>
        <v>0</v>
      </c>
      <c r="I147" s="613"/>
      <c r="J147" s="613"/>
      <c r="K147" s="613"/>
      <c r="L147" s="613"/>
      <c r="M147" s="613"/>
    </row>
    <row r="148" spans="2:13" ht="15.75" thickBot="1">
      <c r="B148" s="777" t="s">
        <v>2598</v>
      </c>
      <c r="C148" s="777">
        <f>+SUM(C144:C147)</f>
        <v>90236.38</v>
      </c>
      <c r="D148" s="777">
        <f t="shared" ref="D148:G148" si="346">+SUM(D144:D147)</f>
        <v>102572.01999999999</v>
      </c>
      <c r="E148" s="777">
        <f t="shared" si="346"/>
        <v>101324.41</v>
      </c>
      <c r="F148" s="777">
        <f t="shared" si="346"/>
        <v>88545.05</v>
      </c>
      <c r="G148" s="777">
        <f t="shared" si="346"/>
        <v>108512.31999999999</v>
      </c>
      <c r="H148" s="777">
        <f t="shared" ref="H148:M148" si="347">+SUM(H144:H147)</f>
        <v>205877.07</v>
      </c>
      <c r="I148" s="1453">
        <f t="shared" si="347"/>
        <v>444078.48349185719</v>
      </c>
      <c r="J148" s="777">
        <f t="shared" si="347"/>
        <v>408460.14543857146</v>
      </c>
      <c r="K148" s="777">
        <f t="shared" si="347"/>
        <v>376250.14202857146</v>
      </c>
      <c r="L148" s="777">
        <f t="shared" si="347"/>
        <v>358744.1703</v>
      </c>
      <c r="M148" s="777">
        <f t="shared" si="347"/>
        <v>351328.47335714294</v>
      </c>
    </row>
    <row r="149" spans="2:13" ht="16.5" thickTop="1" thickBot="1">
      <c r="B149" s="778" t="s">
        <v>4274</v>
      </c>
      <c r="C149" s="1276">
        <f>+C144/C166</f>
        <v>9.267406436533291E-3</v>
      </c>
      <c r="D149" s="1276">
        <f t="shared" ref="D149:H149" si="348">+D144/D166</f>
        <v>1.5032666030720659E-2</v>
      </c>
      <c r="E149" s="1276">
        <f t="shared" si="348"/>
        <v>1.1375652974245866E-2</v>
      </c>
      <c r="F149" s="1276">
        <f t="shared" si="348"/>
        <v>7.8670239420935411E-3</v>
      </c>
      <c r="G149" s="1276">
        <f t="shared" si="348"/>
        <v>5.0279820627802691E-3</v>
      </c>
      <c r="H149" s="1276">
        <f t="shared" si="348"/>
        <v>2.6914361553770905E-2</v>
      </c>
      <c r="I149" s="1454">
        <f>+AVERAGE(G149:H149)*0+D189</f>
        <v>4.2014285714285719E-2</v>
      </c>
      <c r="J149" s="3" t="s">
        <v>4494</v>
      </c>
    </row>
    <row r="150" spans="2:13">
      <c r="B150" s="598"/>
      <c r="C150" s="598"/>
      <c r="D150" s="598"/>
      <c r="E150" s="598"/>
      <c r="F150" s="598"/>
      <c r="G150" s="598"/>
      <c r="H150" s="598"/>
      <c r="I150" s="598"/>
    </row>
    <row r="154" spans="2:13" ht="15.75" thickBot="1"/>
    <row r="155" spans="2:13">
      <c r="B155" s="599" t="s">
        <v>4273</v>
      </c>
      <c r="C155" s="606">
        <v>2018</v>
      </c>
      <c r="D155" s="606">
        <f>+C155+1</f>
        <v>2019</v>
      </c>
      <c r="E155" s="606">
        <f t="shared" ref="E155" si="349">+D155+1</f>
        <v>2020</v>
      </c>
      <c r="F155" s="606">
        <f t="shared" ref="F155" si="350">+E155+1</f>
        <v>2021</v>
      </c>
      <c r="G155" s="606">
        <f t="shared" ref="G155" si="351">+F155+1</f>
        <v>2022</v>
      </c>
      <c r="H155" s="1049">
        <v>45078</v>
      </c>
      <c r="I155" s="1275" t="s">
        <v>1</v>
      </c>
    </row>
    <row r="156" spans="2:13">
      <c r="B156" s="604" t="s">
        <v>2431</v>
      </c>
      <c r="C156" s="613">
        <f t="shared" ref="C156:C165" si="352">+IFERROR(VLOOKUP($B156,$B$5:$H$20,2,FALSE),0)</f>
        <v>1119658.8500000001</v>
      </c>
      <c r="D156" s="613">
        <f t="shared" ref="D156:D165" si="353">+IFERROR(VLOOKUP($B156,$B$5:$H$20,3,FALSE),0)</f>
        <v>0</v>
      </c>
      <c r="E156" s="613">
        <f t="shared" ref="E156:E165" si="354">+IFERROR(VLOOKUP($B156,$B$5:$H$20,4,FALSE),0)</f>
        <v>0</v>
      </c>
      <c r="F156" s="613">
        <f t="shared" ref="F156:F165" si="355">+IFERROR(VLOOKUP($B156,$B$5:$H$20,5,FALSE),0)</f>
        <v>0</v>
      </c>
      <c r="G156" s="613">
        <f t="shared" ref="G156:G165" si="356">+IFERROR(VLOOKUP($B156,$B$5:$H$20,6,FALSE),0)</f>
        <v>0</v>
      </c>
      <c r="H156" s="1268">
        <f t="shared" ref="H156:H165" si="357">+IFERROR(VLOOKUP($B156,$B$5:$H$20,7,FALSE),0)</f>
        <v>0</v>
      </c>
      <c r="I156" s="883"/>
    </row>
    <row r="157" spans="2:13">
      <c r="B157" s="604" t="s">
        <v>2432</v>
      </c>
      <c r="C157" s="613">
        <f t="shared" si="352"/>
        <v>198738</v>
      </c>
      <c r="D157" s="613">
        <f t="shared" si="353"/>
        <v>0</v>
      </c>
      <c r="E157" s="613">
        <f t="shared" si="354"/>
        <v>0</v>
      </c>
      <c r="F157" s="613">
        <f t="shared" si="355"/>
        <v>0</v>
      </c>
      <c r="G157" s="613">
        <f t="shared" si="356"/>
        <v>0</v>
      </c>
      <c r="H157" s="1268">
        <f t="shared" si="357"/>
        <v>0</v>
      </c>
      <c r="I157" s="883"/>
    </row>
    <row r="158" spans="2:13">
      <c r="B158" s="604" t="s">
        <v>2640</v>
      </c>
      <c r="C158" s="613">
        <f t="shared" si="352"/>
        <v>724831.87</v>
      </c>
      <c r="D158" s="613">
        <f t="shared" si="353"/>
        <v>996239.07</v>
      </c>
      <c r="E158" s="613">
        <f t="shared" si="354"/>
        <v>1220000</v>
      </c>
      <c r="F158" s="613">
        <f t="shared" si="355"/>
        <v>735000</v>
      </c>
      <c r="G158" s="613">
        <f t="shared" si="356"/>
        <v>1290000</v>
      </c>
      <c r="H158" s="1268">
        <f t="shared" si="357"/>
        <v>68743.360000000001</v>
      </c>
      <c r="I158" s="883"/>
    </row>
    <row r="159" spans="2:13">
      <c r="B159" s="604" t="s">
        <v>2642</v>
      </c>
      <c r="C159" s="613">
        <f t="shared" si="352"/>
        <v>514599.01</v>
      </c>
      <c r="D159" s="613">
        <f t="shared" si="353"/>
        <v>0</v>
      </c>
      <c r="E159" s="613">
        <f t="shared" si="354"/>
        <v>0</v>
      </c>
      <c r="F159" s="613">
        <f t="shared" si="355"/>
        <v>360000</v>
      </c>
      <c r="G159" s="613">
        <f t="shared" si="356"/>
        <v>600000</v>
      </c>
      <c r="H159" s="1268">
        <f t="shared" si="357"/>
        <v>500000</v>
      </c>
      <c r="I159" s="883"/>
    </row>
    <row r="160" spans="2:13">
      <c r="B160" s="604" t="s">
        <v>2645</v>
      </c>
      <c r="C160" s="613">
        <f t="shared" si="352"/>
        <v>41600</v>
      </c>
      <c r="D160" s="613">
        <f t="shared" si="353"/>
        <v>148920</v>
      </c>
      <c r="E160" s="613">
        <f t="shared" si="354"/>
        <v>0</v>
      </c>
      <c r="F160" s="613">
        <f t="shared" si="355"/>
        <v>0</v>
      </c>
      <c r="G160" s="613">
        <f t="shared" si="356"/>
        <v>150000</v>
      </c>
      <c r="H160" s="1268">
        <f t="shared" si="357"/>
        <v>85000</v>
      </c>
      <c r="I160" s="883"/>
    </row>
    <row r="161" spans="2:9">
      <c r="B161" s="604" t="s">
        <v>2382</v>
      </c>
      <c r="C161" s="613">
        <f t="shared" si="352"/>
        <v>0</v>
      </c>
      <c r="D161" s="613">
        <f t="shared" si="353"/>
        <v>239212.79999999999</v>
      </c>
      <c r="E161" s="613">
        <f t="shared" si="354"/>
        <v>69200</v>
      </c>
      <c r="F161" s="613">
        <f t="shared" si="355"/>
        <v>0</v>
      </c>
      <c r="G161" s="613">
        <f t="shared" si="356"/>
        <v>0</v>
      </c>
      <c r="H161" s="1268">
        <f t="shared" si="357"/>
        <v>0</v>
      </c>
      <c r="I161" s="883"/>
    </row>
    <row r="162" spans="2:9">
      <c r="B162" s="604" t="s">
        <v>2383</v>
      </c>
      <c r="C162" s="613">
        <f t="shared" si="352"/>
        <v>0</v>
      </c>
      <c r="D162" s="613">
        <f t="shared" si="353"/>
        <v>1066457.06</v>
      </c>
      <c r="E162" s="613">
        <f t="shared" si="354"/>
        <v>910000</v>
      </c>
      <c r="F162" s="613">
        <f t="shared" si="355"/>
        <v>0</v>
      </c>
      <c r="G162" s="613">
        <f t="shared" si="356"/>
        <v>0</v>
      </c>
      <c r="H162" s="1268">
        <f t="shared" si="357"/>
        <v>0</v>
      </c>
      <c r="I162" s="883"/>
    </row>
    <row r="163" spans="2:9">
      <c r="B163" s="604" t="s">
        <v>2384</v>
      </c>
      <c r="C163" s="613">
        <f t="shared" si="352"/>
        <v>83223.72</v>
      </c>
      <c r="D163" s="613">
        <f t="shared" si="353"/>
        <v>60375.86</v>
      </c>
      <c r="E163" s="613">
        <f t="shared" si="354"/>
        <v>0</v>
      </c>
      <c r="F163" s="613">
        <f t="shared" si="355"/>
        <v>0</v>
      </c>
      <c r="G163" s="613">
        <f t="shared" si="356"/>
        <v>0</v>
      </c>
      <c r="H163" s="1268">
        <f t="shared" si="357"/>
        <v>0</v>
      </c>
      <c r="I163" s="883"/>
    </row>
    <row r="164" spans="2:9">
      <c r="B164" s="604" t="s">
        <v>2385</v>
      </c>
      <c r="C164" s="613">
        <f t="shared" si="352"/>
        <v>0</v>
      </c>
      <c r="D164" s="613">
        <f t="shared" si="353"/>
        <v>75947.97</v>
      </c>
      <c r="E164" s="613">
        <f t="shared" si="354"/>
        <v>0</v>
      </c>
      <c r="F164" s="613">
        <f t="shared" si="355"/>
        <v>0</v>
      </c>
      <c r="G164" s="613">
        <f t="shared" si="356"/>
        <v>0</v>
      </c>
      <c r="H164" s="1268">
        <f t="shared" si="357"/>
        <v>0</v>
      </c>
      <c r="I164" s="883"/>
    </row>
    <row r="165" spans="2:9" ht="15.75" thickBot="1">
      <c r="B165" s="775" t="s">
        <v>2646</v>
      </c>
      <c r="C165" s="1263">
        <f t="shared" si="352"/>
        <v>2251504.65</v>
      </c>
      <c r="D165" s="1263">
        <f t="shared" si="353"/>
        <v>1669749.5</v>
      </c>
      <c r="E165" s="1263">
        <f t="shared" si="354"/>
        <v>2624880</v>
      </c>
      <c r="F165" s="1263">
        <f t="shared" si="355"/>
        <v>2497000</v>
      </c>
      <c r="G165" s="1263">
        <f t="shared" si="356"/>
        <v>2420000</v>
      </c>
      <c r="H165" s="1269">
        <f t="shared" si="357"/>
        <v>2475000</v>
      </c>
      <c r="I165" s="883"/>
    </row>
    <row r="166" spans="2:9" ht="15.75" thickBot="1">
      <c r="B166" s="1264" t="s">
        <v>0</v>
      </c>
      <c r="C166" s="1265">
        <f>+SUM(C156:C165)</f>
        <v>4934156.1000000006</v>
      </c>
      <c r="D166" s="1265">
        <f t="shared" ref="D166:H166" si="358">+SUM(D156:D165)</f>
        <v>4256902.26</v>
      </c>
      <c r="E166" s="1265">
        <f t="shared" si="358"/>
        <v>4824080</v>
      </c>
      <c r="F166" s="1265">
        <f t="shared" si="358"/>
        <v>3592000</v>
      </c>
      <c r="G166" s="1265">
        <f t="shared" si="358"/>
        <v>4460000</v>
      </c>
      <c r="H166" s="1270">
        <f t="shared" si="358"/>
        <v>3128743.36</v>
      </c>
      <c r="I166" s="883"/>
    </row>
    <row r="167" spans="2:9" ht="15.75" thickBot="1">
      <c r="B167" s="1266" t="s">
        <v>396</v>
      </c>
      <c r="C167" s="1267">
        <f>+Ricavi!C5</f>
        <v>24156026.16</v>
      </c>
      <c r="D167" s="1267">
        <f>+Ricavi!D5</f>
        <v>23727212.98</v>
      </c>
      <c r="E167" s="1267">
        <f>+Ricavi!E5</f>
        <v>24957098.82</v>
      </c>
      <c r="F167" s="1267">
        <f>+Ricavi!F5</f>
        <v>28909167.91</v>
      </c>
      <c r="G167" s="1267">
        <f>+Ricavi!G5</f>
        <v>47924038.689999998</v>
      </c>
      <c r="H167" s="1271">
        <f>+Ricavi!H5</f>
        <v>25647986.760000002</v>
      </c>
      <c r="I167" s="883"/>
    </row>
    <row r="168" spans="2:9">
      <c r="B168" s="830" t="s">
        <v>2431</v>
      </c>
      <c r="C168" s="700">
        <f t="shared" ref="C168:H168" si="359">+IFERROR(C$156/C$167,0)</f>
        <v>4.6351119285259132E-2</v>
      </c>
      <c r="D168" s="700">
        <f t="shared" si="359"/>
        <v>0</v>
      </c>
      <c r="E168" s="700">
        <f t="shared" si="359"/>
        <v>0</v>
      </c>
      <c r="F168" s="700">
        <f t="shared" si="359"/>
        <v>0</v>
      </c>
      <c r="G168" s="700">
        <f t="shared" si="359"/>
        <v>0</v>
      </c>
      <c r="H168" s="1272">
        <f t="shared" si="359"/>
        <v>0</v>
      </c>
      <c r="I168" s="1273">
        <v>0</v>
      </c>
    </row>
    <row r="169" spans="2:9">
      <c r="B169" s="604" t="s">
        <v>2432</v>
      </c>
      <c r="C169" s="700">
        <f t="shared" ref="C169:H169" si="360">+IFERROR(C$157/C$167,0)</f>
        <v>8.2272638174688915E-3</v>
      </c>
      <c r="D169" s="700">
        <f t="shared" si="360"/>
        <v>0</v>
      </c>
      <c r="E169" s="700">
        <f t="shared" si="360"/>
        <v>0</v>
      </c>
      <c r="F169" s="700">
        <f t="shared" si="360"/>
        <v>0</v>
      </c>
      <c r="G169" s="700">
        <f t="shared" si="360"/>
        <v>0</v>
      </c>
      <c r="H169" s="1272">
        <f t="shared" si="360"/>
        <v>0</v>
      </c>
      <c r="I169" s="1273">
        <v>0</v>
      </c>
    </row>
    <row r="170" spans="2:9">
      <c r="B170" s="604" t="s">
        <v>2640</v>
      </c>
      <c r="C170" s="700">
        <f t="shared" ref="C170:H170" si="361">+IFERROR(C$158/C$167,0)</f>
        <v>3.0006254555240142E-2</v>
      </c>
      <c r="D170" s="700">
        <f t="shared" si="361"/>
        <v>4.1987192968670352E-2</v>
      </c>
      <c r="E170" s="700">
        <f t="shared" si="361"/>
        <v>4.8883887057510157E-2</v>
      </c>
      <c r="F170" s="700">
        <f t="shared" si="361"/>
        <v>2.5424460582476861E-2</v>
      </c>
      <c r="G170" s="700">
        <f t="shared" si="361"/>
        <v>2.6917597833197145E-2</v>
      </c>
      <c r="H170" s="1272">
        <f t="shared" si="361"/>
        <v>2.6802633923380891E-3</v>
      </c>
      <c r="I170" s="1273">
        <f t="shared" ref="I170:I177" si="362">+AVERAGE(C170:H170)</f>
        <v>2.9316609398238786E-2</v>
      </c>
    </row>
    <row r="171" spans="2:9">
      <c r="B171" s="604" t="s">
        <v>2642</v>
      </c>
      <c r="C171" s="700">
        <f t="shared" ref="C171:H171" si="363">+IFERROR(C$159/C$167,0)</f>
        <v>2.1303131839297527E-2</v>
      </c>
      <c r="D171" s="700">
        <f t="shared" si="363"/>
        <v>0</v>
      </c>
      <c r="E171" s="700">
        <f t="shared" si="363"/>
        <v>0</v>
      </c>
      <c r="F171" s="700">
        <f t="shared" si="363"/>
        <v>1.2452797019988667E-2</v>
      </c>
      <c r="G171" s="700">
        <f t="shared" si="363"/>
        <v>1.251981294567309E-2</v>
      </c>
      <c r="H171" s="1272">
        <f t="shared" si="363"/>
        <v>1.9494707505845577E-2</v>
      </c>
      <c r="I171" s="1273">
        <f t="shared" si="362"/>
        <v>1.096174155180081E-2</v>
      </c>
    </row>
    <row r="172" spans="2:9">
      <c r="B172" s="604" t="s">
        <v>2645</v>
      </c>
      <c r="C172" s="700">
        <f t="shared" ref="C172:H172" si="364">+IFERROR(C$160/C$167,0)</f>
        <v>1.7221375620500652E-3</v>
      </c>
      <c r="D172" s="700">
        <f t="shared" si="364"/>
        <v>6.276337643427686E-3</v>
      </c>
      <c r="E172" s="700">
        <f t="shared" si="364"/>
        <v>0</v>
      </c>
      <c r="F172" s="700">
        <f t="shared" si="364"/>
        <v>0</v>
      </c>
      <c r="G172" s="700">
        <f t="shared" si="364"/>
        <v>3.1299532364182725E-3</v>
      </c>
      <c r="H172" s="1272">
        <f t="shared" si="364"/>
        <v>3.3141002759937482E-3</v>
      </c>
      <c r="I172" s="1273">
        <f t="shared" si="362"/>
        <v>2.4070881196482951E-3</v>
      </c>
    </row>
    <row r="173" spans="2:9">
      <c r="B173" s="604" t="s">
        <v>2382</v>
      </c>
      <c r="C173" s="700">
        <f t="shared" ref="C173:H173" si="365">+IFERROR(C$161/C$167,0)</f>
        <v>0</v>
      </c>
      <c r="D173" s="700">
        <f t="shared" si="365"/>
        <v>1.0081790904040681E-2</v>
      </c>
      <c r="E173" s="700">
        <f t="shared" si="365"/>
        <v>2.7727581839177892E-3</v>
      </c>
      <c r="F173" s="700">
        <f t="shared" si="365"/>
        <v>0</v>
      </c>
      <c r="G173" s="700">
        <f t="shared" si="365"/>
        <v>0</v>
      </c>
      <c r="H173" s="1272">
        <f t="shared" si="365"/>
        <v>0</v>
      </c>
      <c r="I173" s="1273">
        <v>0</v>
      </c>
    </row>
    <row r="174" spans="2:9">
      <c r="B174" s="604" t="s">
        <v>2383</v>
      </c>
      <c r="C174" s="700">
        <f t="shared" ref="C174:H174" si="366">+IFERROR(C$162/C$167,0)</f>
        <v>0</v>
      </c>
      <c r="D174" s="700">
        <f t="shared" si="366"/>
        <v>4.4946579309543502E-2</v>
      </c>
      <c r="E174" s="700">
        <f t="shared" si="366"/>
        <v>3.6462571493716595E-2</v>
      </c>
      <c r="F174" s="700">
        <f t="shared" si="366"/>
        <v>0</v>
      </c>
      <c r="G174" s="700">
        <f t="shared" si="366"/>
        <v>0</v>
      </c>
      <c r="H174" s="1272">
        <f t="shared" si="366"/>
        <v>0</v>
      </c>
      <c r="I174" s="1273">
        <v>0</v>
      </c>
    </row>
    <row r="175" spans="2:9">
      <c r="B175" s="604" t="s">
        <v>2384</v>
      </c>
      <c r="C175" s="700">
        <f t="shared" ref="C175:H175" si="367">+IFERROR(C$163/C$167,0)</f>
        <v>3.4452570736907993E-3</v>
      </c>
      <c r="D175" s="700">
        <f t="shared" si="367"/>
        <v>2.5445828825699695E-3</v>
      </c>
      <c r="E175" s="700">
        <f t="shared" si="367"/>
        <v>0</v>
      </c>
      <c r="F175" s="700">
        <f t="shared" si="367"/>
        <v>0</v>
      </c>
      <c r="G175" s="700">
        <f t="shared" si="367"/>
        <v>0</v>
      </c>
      <c r="H175" s="1272">
        <f t="shared" si="367"/>
        <v>0</v>
      </c>
      <c r="I175" s="1273">
        <v>0</v>
      </c>
    </row>
    <row r="176" spans="2:9">
      <c r="B176" s="604" t="s">
        <v>2385</v>
      </c>
      <c r="C176" s="700">
        <f t="shared" ref="C176:H176" si="368">+IFERROR(C$164/C$167,0)</f>
        <v>0</v>
      </c>
      <c r="D176" s="700">
        <f t="shared" si="368"/>
        <v>3.2008803589371245E-3</v>
      </c>
      <c r="E176" s="700">
        <f t="shared" si="368"/>
        <v>0</v>
      </c>
      <c r="F176" s="700">
        <f t="shared" si="368"/>
        <v>0</v>
      </c>
      <c r="G176" s="700">
        <f t="shared" si="368"/>
        <v>0</v>
      </c>
      <c r="H176" s="1272">
        <f t="shared" si="368"/>
        <v>0</v>
      </c>
      <c r="I176" s="1273">
        <v>0</v>
      </c>
    </row>
    <row r="177" spans="2:9" ht="15.75" thickBot="1">
      <c r="B177" s="775" t="s">
        <v>2646</v>
      </c>
      <c r="C177" s="700">
        <f t="shared" ref="C177:H177" si="369">+IFERROR(C$165/C$167,0)</f>
        <v>9.3206748290754454E-2</v>
      </c>
      <c r="D177" s="700">
        <f t="shared" si="369"/>
        <v>7.0372761495732988E-2</v>
      </c>
      <c r="E177" s="700">
        <f t="shared" si="369"/>
        <v>0.10517568644222726</v>
      </c>
      <c r="F177" s="700">
        <f t="shared" si="369"/>
        <v>8.637398377475472E-2</v>
      </c>
      <c r="G177" s="700">
        <f t="shared" si="369"/>
        <v>5.0496578880881465E-2</v>
      </c>
      <c r="H177" s="1272">
        <f t="shared" si="369"/>
        <v>9.6498802153935609E-2</v>
      </c>
      <c r="I177" s="1274">
        <f t="shared" si="362"/>
        <v>8.3687426839714404E-2</v>
      </c>
    </row>
    <row r="180" spans="2:9">
      <c r="B180" s="5" t="s">
        <v>4495</v>
      </c>
      <c r="C180" s="1455" t="s">
        <v>3729</v>
      </c>
      <c r="D180" s="804" t="s">
        <v>4493</v>
      </c>
    </row>
    <row r="181" spans="2:9">
      <c r="B181" s="791" t="s">
        <v>4462</v>
      </c>
      <c r="C181" s="1448">
        <v>4.1500000000000002E-2</v>
      </c>
      <c r="D181" s="1452">
        <f>+C181</f>
        <v>4.1500000000000002E-2</v>
      </c>
    </row>
    <row r="182" spans="2:9" ht="30">
      <c r="B182" s="791" t="s">
        <v>1098</v>
      </c>
      <c r="C182" s="901" t="s">
        <v>4489</v>
      </c>
      <c r="D182" s="1452">
        <f>3.95%+0.28%</f>
        <v>4.2300000000000004E-2</v>
      </c>
    </row>
    <row r="183" spans="2:9" ht="30">
      <c r="B183" s="791" t="s">
        <v>4467</v>
      </c>
      <c r="C183" s="901" t="s">
        <v>4490</v>
      </c>
      <c r="D183" s="1452">
        <f>3.95%+0.5%</f>
        <v>4.4499999999999998E-2</v>
      </c>
    </row>
    <row r="184" spans="2:9" ht="30">
      <c r="B184" s="791" t="s">
        <v>957</v>
      </c>
      <c r="C184" s="901" t="s">
        <v>4491</v>
      </c>
      <c r="D184" s="1452">
        <f>3.95%+0.4%</f>
        <v>4.3499999999999997E-2</v>
      </c>
    </row>
    <row r="185" spans="2:9">
      <c r="B185" s="791" t="s">
        <v>4469</v>
      </c>
      <c r="C185" s="1449">
        <v>3.6999999999999998E-2</v>
      </c>
      <c r="D185" s="1452">
        <f>+C185</f>
        <v>3.6999999999999998E-2</v>
      </c>
    </row>
    <row r="186" spans="2:9" ht="45">
      <c r="B186" s="791" t="s">
        <v>4470</v>
      </c>
      <c r="C186" s="901" t="s">
        <v>4492</v>
      </c>
      <c r="D186" s="1452">
        <f>3.86%+0.22%</f>
        <v>4.0799999999999996E-2</v>
      </c>
    </row>
    <row r="187" spans="2:9">
      <c r="B187" s="791" t="s">
        <v>4487</v>
      </c>
      <c r="C187" s="901" t="s">
        <v>3453</v>
      </c>
      <c r="D187" s="1452" t="s">
        <v>3453</v>
      </c>
    </row>
    <row r="188" spans="2:9" ht="30">
      <c r="B188" s="791" t="s">
        <v>4488</v>
      </c>
      <c r="C188" s="901" t="s">
        <v>4490</v>
      </c>
      <c r="D188" s="1452">
        <f>3.95%+0.5%</f>
        <v>4.4499999999999998E-2</v>
      </c>
    </row>
    <row r="189" spans="2:9" ht="15.75" thickBot="1">
      <c r="B189" s="1451" t="s">
        <v>1</v>
      </c>
      <c r="C189" s="1447"/>
      <c r="D189" s="1450">
        <f>+AVERAGE(D181:D188)</f>
        <v>4.2014285714285719E-2</v>
      </c>
    </row>
    <row r="190" spans="2:9" ht="15.75" thickTop="1"/>
  </sheetData>
  <pageMargins left="0.7" right="0.7" top="0.75" bottom="0.75" header="0.3" footer="0.3"/>
  <pageSetup orientation="portrait" r:id="rId1"/>
  <ignoredErrors>
    <ignoredError sqref="C148" formulaRange="1"/>
    <ignoredError sqref="I58 I72 I60 I78 I84 I96 I102 I66" formula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M34"/>
  <sheetViews>
    <sheetView showGridLines="0" workbookViewId="0">
      <selection activeCell="J17" sqref="J17"/>
    </sheetView>
  </sheetViews>
  <sheetFormatPr defaultRowHeight="15"/>
  <cols>
    <col min="1" max="1" width="1.7109375" customWidth="1"/>
    <col min="2" max="2" width="31.140625" bestFit="1" customWidth="1"/>
    <col min="3" max="3" width="10.140625" bestFit="1" customWidth="1"/>
  </cols>
  <sheetData>
    <row r="2" spans="2:13">
      <c r="B2" s="1510" t="s">
        <v>427</v>
      </c>
      <c r="C2" s="1511"/>
      <c r="D2" s="1511"/>
      <c r="E2" s="1511"/>
      <c r="F2" s="1511"/>
      <c r="G2" s="1511"/>
      <c r="H2" s="1511"/>
      <c r="I2" s="1510"/>
      <c r="J2" s="1510"/>
      <c r="K2" s="1510"/>
      <c r="L2" s="1510"/>
      <c r="M2" s="1510"/>
    </row>
    <row r="3" spans="2:13" ht="5.65" customHeight="1"/>
    <row r="4" spans="2:13">
      <c r="B4" s="599"/>
      <c r="C4" s="606">
        <v>2021</v>
      </c>
      <c r="D4" s="606">
        <v>2022</v>
      </c>
      <c r="E4" s="1512">
        <v>45107</v>
      </c>
    </row>
    <row r="5" spans="2:13">
      <c r="B5" s="604" t="s">
        <v>4504</v>
      </c>
      <c r="C5" s="613">
        <v>44776.53</v>
      </c>
      <c r="D5" s="613">
        <v>47676.53</v>
      </c>
      <c r="E5" s="613">
        <v>42871.71</v>
      </c>
    </row>
    <row r="6" spans="2:13">
      <c r="B6" s="604" t="s">
        <v>4505</v>
      </c>
      <c r="C6" s="613">
        <v>916.5</v>
      </c>
      <c r="D6" s="613">
        <v>916.5</v>
      </c>
      <c r="E6" s="613">
        <v>352.97</v>
      </c>
    </row>
    <row r="7" spans="2:13">
      <c r="B7" s="604" t="s">
        <v>4506</v>
      </c>
      <c r="C7" s="613">
        <v>0</v>
      </c>
      <c r="D7" s="613">
        <v>14582.46</v>
      </c>
      <c r="E7" s="613">
        <v>64049.48</v>
      </c>
    </row>
    <row r="11" spans="2:13">
      <c r="B11" s="599" t="s">
        <v>2667</v>
      </c>
      <c r="C11" s="1512">
        <v>45107</v>
      </c>
      <c r="D11" s="606">
        <v>2023</v>
      </c>
      <c r="E11" s="606">
        <v>2024</v>
      </c>
      <c r="F11" s="606">
        <v>2025</v>
      </c>
      <c r="G11" s="606">
        <v>2026</v>
      </c>
      <c r="H11" s="606">
        <v>2027</v>
      </c>
    </row>
    <row r="12" spans="2:13">
      <c r="B12" s="604" t="s">
        <v>4507</v>
      </c>
      <c r="C12" s="613">
        <v>20366.28</v>
      </c>
      <c r="D12" s="613">
        <v>17342.47</v>
      </c>
      <c r="E12" s="613">
        <v>12034.68</v>
      </c>
      <c r="F12" s="604">
        <v>6566</v>
      </c>
      <c r="G12" s="613">
        <v>931.53</v>
      </c>
      <c r="H12" s="613">
        <v>0</v>
      </c>
    </row>
    <row r="13" spans="2:13">
      <c r="B13" s="604" t="s">
        <v>4508</v>
      </c>
      <c r="C13" s="613">
        <v>157.68</v>
      </c>
      <c r="D13" s="613">
        <v>0</v>
      </c>
      <c r="E13" s="613">
        <v>0</v>
      </c>
      <c r="F13" s="604">
        <v>0</v>
      </c>
      <c r="G13" s="613">
        <v>0</v>
      </c>
      <c r="H13" s="613">
        <v>0</v>
      </c>
    </row>
    <row r="14" spans="2:13">
      <c r="B14" s="604" t="s">
        <v>4509</v>
      </c>
      <c r="C14" s="613">
        <v>2160.5300000000002</v>
      </c>
      <c r="D14" s="613">
        <v>0</v>
      </c>
      <c r="E14" s="613">
        <v>0</v>
      </c>
      <c r="F14" s="604">
        <v>0</v>
      </c>
      <c r="G14" s="613">
        <v>0</v>
      </c>
      <c r="H14" s="613">
        <v>0</v>
      </c>
    </row>
    <row r="15" spans="2:13">
      <c r="B15" s="604" t="s">
        <v>4510</v>
      </c>
      <c r="C15" s="613">
        <f>32.62+32.79+32.95+33.12+33.28+33.45+33.61+33.78+33.95+34.12+34.29+34.46+34.63+34.81</f>
        <v>471.86</v>
      </c>
      <c r="D15" s="613">
        <f>33.61+33.78+33.95+34.12+34.29+34.46+34.63+34.81</f>
        <v>273.64999999999998</v>
      </c>
      <c r="E15" s="613">
        <v>0</v>
      </c>
      <c r="F15" s="604">
        <v>0</v>
      </c>
      <c r="G15" s="613">
        <v>0</v>
      </c>
      <c r="H15" s="613">
        <v>0</v>
      </c>
    </row>
    <row r="16" spans="2:13">
      <c r="B16" s="604" t="s">
        <v>4511</v>
      </c>
      <c r="C16" s="613">
        <f>28.34+28.48+28.63+28.77+28.91+29.06+29.2+29.35+29.49+29.64+29.79+29.94+30.24</f>
        <v>379.84</v>
      </c>
      <c r="D16" s="613">
        <f>29.2+29.35+29.49+29.64+29.79+29.94+30.24</f>
        <v>207.65</v>
      </c>
      <c r="E16" s="613">
        <v>0</v>
      </c>
      <c r="F16" s="604">
        <v>0</v>
      </c>
      <c r="G16" s="613">
        <v>0</v>
      </c>
      <c r="H16" s="613">
        <v>0</v>
      </c>
    </row>
    <row r="17" spans="2:8">
      <c r="B17" s="604" t="s">
        <v>4512</v>
      </c>
      <c r="C17" s="613">
        <f>197.05+198.04+199.03+200.02+201.02+202.02+203.03+204.04+205.06+206.08+207.11+208.15+209.19+210.23</f>
        <v>2850.07</v>
      </c>
      <c r="D17" s="613">
        <f>204.04+205.06+206.08+207.11+208.15+209.19+210.23</f>
        <v>1449.8600000000001</v>
      </c>
      <c r="E17" s="613">
        <v>0</v>
      </c>
      <c r="F17" s="604">
        <v>0</v>
      </c>
      <c r="G17" s="613">
        <v>0</v>
      </c>
      <c r="H17" s="613">
        <v>0</v>
      </c>
    </row>
    <row r="18" spans="2:8">
      <c r="B18" s="604" t="s">
        <v>4513</v>
      </c>
      <c r="C18" s="613">
        <f>51.06+51.32+51.58+51.83+52.09+52.35+52.61+52.88+53.14+53.4+53.67+53.94+54.21+54.46</f>
        <v>738.54</v>
      </c>
      <c r="D18" s="613">
        <f>52.61+52.88+53.14+53.4+53.67+53.94+54.21+54.46</f>
        <v>428.30999999999995</v>
      </c>
      <c r="E18" s="613">
        <v>0</v>
      </c>
      <c r="F18" s="604">
        <v>0</v>
      </c>
      <c r="G18" s="613">
        <v>0</v>
      </c>
      <c r="H18" s="613">
        <v>0</v>
      </c>
    </row>
    <row r="19" spans="2:8">
      <c r="B19" s="604" t="s">
        <v>4514</v>
      </c>
      <c r="C19" s="613">
        <f>33.76+33.93+34.1+34.27+34.44+34.61+34.78+34.96+35.13+35.31+35.49+35.66+35.84+36.02</f>
        <v>488.30000000000007</v>
      </c>
      <c r="D19" s="613">
        <f>34.96+35.13+35.31+35.49+35.66+35.84+36.02</f>
        <v>248.41000000000003</v>
      </c>
      <c r="E19" s="613">
        <v>0</v>
      </c>
      <c r="F19" s="604">
        <v>0</v>
      </c>
      <c r="G19" s="613">
        <v>0</v>
      </c>
      <c r="H19" s="613">
        <v>0</v>
      </c>
    </row>
    <row r="20" spans="2:8">
      <c r="B20" s="604" t="s">
        <v>4515</v>
      </c>
      <c r="C20" s="613">
        <v>344.37</v>
      </c>
      <c r="D20" s="613">
        <v>0</v>
      </c>
      <c r="E20" s="613">
        <v>0</v>
      </c>
      <c r="F20" s="604">
        <v>0</v>
      </c>
      <c r="G20" s="613">
        <v>0</v>
      </c>
      <c r="H20" s="613">
        <v>0</v>
      </c>
    </row>
    <row r="21" spans="2:8">
      <c r="B21" s="604" t="s">
        <v>4516</v>
      </c>
      <c r="C21" s="613">
        <v>20366.28</v>
      </c>
      <c r="D21" s="613">
        <v>17342.47</v>
      </c>
      <c r="E21" s="613">
        <v>12034.68</v>
      </c>
      <c r="F21" s="604">
        <v>6566</v>
      </c>
      <c r="G21" s="613">
        <v>931.53</v>
      </c>
      <c r="H21" s="613">
        <v>0</v>
      </c>
    </row>
    <row r="22" spans="2:8">
      <c r="B22" s="604" t="s">
        <v>4517</v>
      </c>
      <c r="C22" s="613">
        <f>32.62+32.79+32.95+33.12+33.28+33.45+33.61+33.78+33.95+34.12+34.29+34.46+34.63+34.81</f>
        <v>471.86</v>
      </c>
      <c r="D22" s="613">
        <f>33.61+33.78+33.95+34.12+34.29+34.46+34.63+34.81</f>
        <v>273.64999999999998</v>
      </c>
      <c r="E22" s="613">
        <v>0</v>
      </c>
      <c r="F22" s="604">
        <v>0</v>
      </c>
      <c r="G22" s="613">
        <v>0</v>
      </c>
      <c r="H22" s="613">
        <v>0</v>
      </c>
    </row>
    <row r="23" spans="2:8">
      <c r="B23" s="604" t="s">
        <v>4518</v>
      </c>
      <c r="C23" s="613">
        <f>28.34+28.48+28.63+28.77+28.91+29.06+29.2+29.35+29.49+29.64+29.79+29.94+30.09+30.24</f>
        <v>409.92999999999995</v>
      </c>
      <c r="D23" s="613">
        <f>29.2+29.35+29.49+29.64+29.79+29.94+30.09+30.24</f>
        <v>237.74</v>
      </c>
      <c r="E23" s="613">
        <v>0</v>
      </c>
      <c r="F23" s="604">
        <v>0</v>
      </c>
      <c r="G23" s="613">
        <v>0</v>
      </c>
      <c r="H23" s="613">
        <v>0</v>
      </c>
    </row>
    <row r="24" spans="2:8">
      <c r="B24" s="604" t="s">
        <v>4519</v>
      </c>
      <c r="C24" s="613">
        <f>51.06+51.32+51.58+51.83+52.09+52.35+52.61+52.88+53.14+53.4+53.67+53.94+54.21+54.46</f>
        <v>738.54</v>
      </c>
      <c r="D24" s="613">
        <f>52.61+52.88+53.14+53.4+53.67+53.94+54.21+54.46</f>
        <v>428.30999999999995</v>
      </c>
      <c r="E24" s="613">
        <v>0</v>
      </c>
      <c r="F24" s="604">
        <v>0</v>
      </c>
      <c r="G24" s="613">
        <v>0</v>
      </c>
      <c r="H24" s="613">
        <v>0</v>
      </c>
    </row>
    <row r="25" spans="2:8">
      <c r="B25" s="604" t="s">
        <v>4520</v>
      </c>
      <c r="C25" s="613">
        <f>33.76+33.93+34.1+34.27+34.44+34.61+34.78+34.96+35.13+35.31+35.49+35.66+35.84+36.02</f>
        <v>488.30000000000007</v>
      </c>
      <c r="D25" s="613">
        <f>34.78+34.96+35.13+35.31+35.49+35.66+35.84+36.02</f>
        <v>283.19</v>
      </c>
      <c r="E25" s="613">
        <v>0</v>
      </c>
      <c r="F25" s="604">
        <v>0</v>
      </c>
      <c r="G25" s="613">
        <v>0</v>
      </c>
      <c r="H25" s="613">
        <v>0</v>
      </c>
    </row>
    <row r="26" spans="2:8">
      <c r="B26" s="604" t="s">
        <v>4521</v>
      </c>
      <c r="C26" s="613">
        <f>197.05+198.04+199.03+200.02+201.02+203.02+204.04+205.06+208.15+209.19+210.23</f>
        <v>2234.85</v>
      </c>
      <c r="D26" s="613">
        <f>203.02+204.04+205.06+208.15+209.19+210.23</f>
        <v>1239.69</v>
      </c>
      <c r="E26" s="613">
        <v>0</v>
      </c>
      <c r="F26" s="604">
        <v>0</v>
      </c>
      <c r="G26" s="613">
        <v>0</v>
      </c>
      <c r="H26" s="613">
        <v>0</v>
      </c>
    </row>
    <row r="27" spans="2:8">
      <c r="B27" s="604" t="s">
        <v>4522</v>
      </c>
      <c r="C27" s="613">
        <f>19700-489.74-492.8-495.88-498.97</f>
        <v>17722.609999999997</v>
      </c>
      <c r="D27" s="613">
        <f>19700-489.74-492.8-495.88-498.97-502.08-505.22-508.37-511.54-514.74-517.95</f>
        <v>14662.709999999992</v>
      </c>
      <c r="E27" s="613">
        <f>19700-489.74-492.8-495.88-498.97-502.08-505.22-508.37-511.54-514.74-517.95-521.18-524.44-527.71-531-534.32-537.65-541.01-544.38-547.78-551.2-554.64-558.1</f>
        <v>8189.2999999999902</v>
      </c>
      <c r="F27" s="613">
        <f>19700-489.74-492.8-495.88-498.97-502.08-505.22-508.37-511.54-514.74-517.95-521.18-524.44-527.71-531-534.32-537.65-541.01-544.38-547.78-551.2-554.64-558.1-561.59+565.09-568.62-572.17-575.74-579.33-582.95-586.59-590.25-593.93-597.64-601.37</f>
        <v>2344.2099999999909</v>
      </c>
      <c r="G27" s="613">
        <v>0</v>
      </c>
      <c r="H27" s="613">
        <v>0</v>
      </c>
    </row>
    <row r="28" spans="2:8">
      <c r="B28" s="604" t="s">
        <v>4523</v>
      </c>
      <c r="C28" s="613">
        <f>22.4+22.54+22.68+22.82+22.97+23.11+23.25+23.4+23.55+23.69+23.84+23.99+24.14+24.29+24.44+24.59+24.75+24.9+25.06+25.21+25.37+25.53+25.69+25.85+26.01+26.17+26.34+26.5+26.67+26.83+27+27.17</f>
        <v>790.75</v>
      </c>
      <c r="D28" s="613">
        <f>23.25+23.4+23.55+23.69+23.84+23.99+24.14+24.29+24.44+24.59+24.75+24.9+25.06+25.21+25.37+25.53+25.69+25.85+26.01+26.17+26.34+26.5+26.67+26.83+27+27.17</f>
        <v>654.23</v>
      </c>
      <c r="E28" s="613">
        <f>25.06+25.21+25.37+25.53+25.69+25.85+26.01+26.17+26.34+26.5+26.67+26.83+27+27.17</f>
        <v>365.40000000000003</v>
      </c>
      <c r="F28" s="613">
        <f>27+27.17</f>
        <v>54.17</v>
      </c>
      <c r="G28" s="613">
        <v>0</v>
      </c>
      <c r="H28" s="613">
        <v>0</v>
      </c>
    </row>
    <row r="29" spans="2:8">
      <c r="B29" s="604" t="s">
        <v>4524</v>
      </c>
      <c r="C29" s="613">
        <v>9322.61</v>
      </c>
      <c r="D29" s="613">
        <v>7585.73</v>
      </c>
      <c r="E29" s="613">
        <v>3925</v>
      </c>
      <c r="F29" s="604">
        <v>0</v>
      </c>
      <c r="G29" s="613">
        <v>0</v>
      </c>
      <c r="H29" s="613">
        <v>0</v>
      </c>
    </row>
    <row r="30" spans="2:8">
      <c r="B30" s="604" t="s">
        <v>4525</v>
      </c>
      <c r="C30" s="613">
        <v>2457.77</v>
      </c>
      <c r="D30" s="613">
        <v>1999.87</v>
      </c>
      <c r="E30" s="613">
        <v>867.28</v>
      </c>
      <c r="F30" s="604">
        <v>0</v>
      </c>
      <c r="G30" s="613">
        <v>0</v>
      </c>
      <c r="H30" s="613">
        <v>0</v>
      </c>
    </row>
    <row r="31" spans="2:8">
      <c r="B31" s="604" t="s">
        <v>4526</v>
      </c>
      <c r="C31" s="613">
        <v>20724.91</v>
      </c>
      <c r="D31" s="613">
        <v>17650.96</v>
      </c>
      <c r="E31" s="613">
        <v>12255.2</v>
      </c>
      <c r="F31" s="604">
        <v>6695.85</v>
      </c>
      <c r="G31" s="613">
        <v>968.01</v>
      </c>
      <c r="H31" s="613">
        <v>0</v>
      </c>
    </row>
    <row r="32" spans="2:8">
      <c r="B32" s="775"/>
      <c r="C32" s="1263"/>
      <c r="D32" s="1263"/>
      <c r="E32" s="1263"/>
      <c r="F32" s="775"/>
      <c r="G32" s="1263"/>
      <c r="H32" s="1263"/>
    </row>
    <row r="33" spans="2:8" ht="15.75" thickBot="1">
      <c r="B33" s="699" t="s">
        <v>0</v>
      </c>
      <c r="C33" s="1513">
        <f>+SUM(C12:C32)</f>
        <v>103685.88</v>
      </c>
      <c r="D33" s="1513">
        <f t="shared" ref="D33:H33" si="0">+SUM(D12:D32)</f>
        <v>82308.900000000009</v>
      </c>
      <c r="E33" s="1513">
        <f t="shared" si="0"/>
        <v>49671.539999999994</v>
      </c>
      <c r="F33" s="1513">
        <f t="shared" si="0"/>
        <v>22226.229999999992</v>
      </c>
      <c r="G33" s="1513">
        <f t="shared" si="0"/>
        <v>2831.0699999999997</v>
      </c>
      <c r="H33" s="1513">
        <f t="shared" si="0"/>
        <v>0</v>
      </c>
    </row>
    <row r="34" spans="2:8" ht="15.75" thickTop="1">
      <c r="C34" s="780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V48"/>
  <sheetViews>
    <sheetView showGridLines="0" zoomScale="95" workbookViewId="0">
      <selection activeCell="J1" sqref="J1"/>
    </sheetView>
  </sheetViews>
  <sheetFormatPr defaultColWidth="8.7109375" defaultRowHeight="12"/>
  <cols>
    <col min="1" max="1" width="2.85546875" style="598" customWidth="1"/>
    <col min="2" max="2" width="20" style="598" customWidth="1"/>
    <col min="3" max="3" width="20.7109375" style="598" customWidth="1"/>
    <col min="4" max="4" width="13.7109375" style="598" bestFit="1" customWidth="1"/>
    <col min="5" max="5" width="15.42578125" style="598" customWidth="1"/>
    <col min="6" max="8" width="13.7109375" style="598" bestFit="1" customWidth="1"/>
    <col min="9" max="9" width="12.7109375" style="598" bestFit="1" customWidth="1"/>
    <col min="10" max="10" width="13.7109375" style="598" bestFit="1" customWidth="1"/>
    <col min="11" max="11" width="12.140625" style="598" customWidth="1"/>
    <col min="12" max="12" width="8.7109375" style="598" bestFit="1" customWidth="1"/>
    <col min="13" max="13" width="3.42578125" style="598" customWidth="1"/>
    <col min="14" max="14" width="10.28515625" style="598" customWidth="1"/>
    <col min="15" max="16" width="10.28515625" style="598" bestFit="1" customWidth="1"/>
    <col min="17" max="17" width="1.7109375" style="598" customWidth="1"/>
    <col min="18" max="20" width="8.7109375" style="598"/>
    <col min="21" max="21" width="2.85546875" style="598" customWidth="1"/>
    <col min="22" max="22" width="20" style="598" bestFit="1" customWidth="1"/>
    <col min="23" max="16384" width="8.7109375" style="598"/>
  </cols>
  <sheetData>
    <row r="2" spans="2:22">
      <c r="B2" s="728" t="s">
        <v>4461</v>
      </c>
    </row>
    <row r="3" spans="2:22">
      <c r="F3" s="1527" t="s">
        <v>4273</v>
      </c>
      <c r="G3" s="1527"/>
      <c r="H3" s="1527"/>
      <c r="J3" s="1527" t="s">
        <v>4474</v>
      </c>
      <c r="K3" s="1527"/>
      <c r="L3" s="1527"/>
      <c r="N3" s="1527" t="s">
        <v>0</v>
      </c>
      <c r="O3" s="1527"/>
      <c r="P3" s="1527"/>
    </row>
    <row r="4" spans="2:22">
      <c r="B4" s="1492" t="s">
        <v>4473</v>
      </c>
      <c r="C4" s="1492" t="s">
        <v>4463</v>
      </c>
      <c r="D4" s="1492" t="s">
        <v>4464</v>
      </c>
      <c r="F4" s="1493">
        <v>2021</v>
      </c>
      <c r="G4" s="1493">
        <v>2022</v>
      </c>
      <c r="H4" s="1494">
        <v>45078</v>
      </c>
      <c r="J4" s="1493">
        <v>2021</v>
      </c>
      <c r="K4" s="1493">
        <v>2022</v>
      </c>
      <c r="L4" s="1494">
        <v>45078</v>
      </c>
      <c r="N4" s="1493">
        <v>2021</v>
      </c>
      <c r="O4" s="1493">
        <v>2022</v>
      </c>
      <c r="P4" s="1494">
        <v>45078</v>
      </c>
      <c r="R4" s="1495">
        <v>2021</v>
      </c>
      <c r="S4" s="1495">
        <v>2022</v>
      </c>
      <c r="T4" s="1496">
        <v>45078</v>
      </c>
      <c r="V4" s="1497" t="s">
        <v>4476</v>
      </c>
    </row>
    <row r="5" spans="2:22">
      <c r="B5" s="598" t="s">
        <v>4462</v>
      </c>
      <c r="C5" s="603">
        <v>3500000</v>
      </c>
      <c r="D5" s="603">
        <v>100000</v>
      </c>
      <c r="F5" s="603">
        <f>+Finanziamenti!F18</f>
        <v>2497000</v>
      </c>
      <c r="G5" s="603">
        <f>+Finanziamenti!G18</f>
        <v>2420000</v>
      </c>
      <c r="H5" s="603">
        <f>+Finanziamenti!H18</f>
        <v>2475000</v>
      </c>
      <c r="J5" s="603">
        <f>+BdV!H88</f>
        <v>671617.59</v>
      </c>
      <c r="K5" s="603">
        <f>+BdV!I88</f>
        <v>0</v>
      </c>
      <c r="L5" s="603">
        <f>+BdV!J88</f>
        <v>0</v>
      </c>
      <c r="N5" s="746">
        <f t="shared" ref="N5:N13" si="0">+F5+J5</f>
        <v>3168617.59</v>
      </c>
      <c r="O5" s="746">
        <f t="shared" ref="O5:P5" si="1">+G5+K5</f>
        <v>2420000</v>
      </c>
      <c r="P5" s="746">
        <f t="shared" si="1"/>
        <v>2475000</v>
      </c>
      <c r="R5" s="635">
        <f>+N5/$C5</f>
        <v>0.90531931142857136</v>
      </c>
      <c r="S5" s="635">
        <f>+O5/$C5</f>
        <v>0.69142857142857139</v>
      </c>
      <c r="T5" s="635">
        <f>+P5/$C5</f>
        <v>0.70714285714285718</v>
      </c>
      <c r="V5" s="746">
        <f>+C5-AVERAGE(J5:L5)</f>
        <v>3276127.47</v>
      </c>
    </row>
    <row r="6" spans="2:22">
      <c r="B6" s="598" t="s">
        <v>4465</v>
      </c>
      <c r="C6" s="603">
        <f>1400000+1000000</f>
        <v>2400000</v>
      </c>
      <c r="D6" s="603">
        <v>20000</v>
      </c>
      <c r="F6" s="603">
        <f>+Finanziamenti!F10</f>
        <v>360000</v>
      </c>
      <c r="G6" s="603">
        <f>+Finanziamenti!G10</f>
        <v>600000</v>
      </c>
      <c r="H6" s="603">
        <f>+Finanziamenti!H10</f>
        <v>500000</v>
      </c>
      <c r="J6" s="603">
        <f>+BdV!H81</f>
        <v>250479.58</v>
      </c>
      <c r="K6" s="603">
        <f>+BdV!I81</f>
        <v>307571.09999999998</v>
      </c>
      <c r="L6" s="603">
        <f>+BdV!J81</f>
        <v>0</v>
      </c>
      <c r="N6" s="746">
        <f t="shared" si="0"/>
        <v>610479.57999999996</v>
      </c>
      <c r="O6" s="746">
        <f t="shared" ref="O6:O13" si="2">+G6+K6</f>
        <v>907571.1</v>
      </c>
      <c r="P6" s="746">
        <f t="shared" ref="P6:P13" si="3">+H6+L6</f>
        <v>500000</v>
      </c>
      <c r="R6" s="635">
        <f>+N6/$C6</f>
        <v>0.25436649166666664</v>
      </c>
      <c r="S6" s="635">
        <f>+O6/$C6</f>
        <v>0.37815462499999997</v>
      </c>
      <c r="T6" s="635">
        <f t="shared" ref="T6:T13" si="4">+P6/$C6</f>
        <v>0.20833333333333334</v>
      </c>
      <c r="V6" s="746">
        <f t="shared" ref="V6:V13" si="5">+C6-AVERAGE(J6:L6)</f>
        <v>2213983.1066666665</v>
      </c>
    </row>
    <row r="7" spans="2:22">
      <c r="B7" s="598" t="s">
        <v>4466</v>
      </c>
      <c r="C7" s="603">
        <v>500000</v>
      </c>
      <c r="D7" s="603">
        <v>50000</v>
      </c>
      <c r="J7" s="603">
        <f>+BdV!H83</f>
        <v>105538.2</v>
      </c>
      <c r="K7" s="603">
        <f>+BdV!I83</f>
        <v>442165.92</v>
      </c>
      <c r="L7" s="603">
        <f>+BdV!J83</f>
        <v>36933.32</v>
      </c>
      <c r="N7" s="746">
        <f t="shared" si="0"/>
        <v>105538.2</v>
      </c>
      <c r="O7" s="746">
        <f t="shared" si="2"/>
        <v>442165.92</v>
      </c>
      <c r="P7" s="746">
        <f t="shared" si="3"/>
        <v>36933.32</v>
      </c>
      <c r="R7" s="635">
        <f t="shared" ref="R7:S13" si="6">+N7/$C7</f>
        <v>0.2110764</v>
      </c>
      <c r="S7" s="635">
        <f t="shared" si="6"/>
        <v>0.88433183999999998</v>
      </c>
      <c r="T7" s="635">
        <f t="shared" si="4"/>
        <v>7.3866639999999997E-2</v>
      </c>
      <c r="V7" s="746">
        <f t="shared" si="5"/>
        <v>305120.85333333339</v>
      </c>
    </row>
    <row r="8" spans="2:22">
      <c r="B8" s="598" t="s">
        <v>4467</v>
      </c>
      <c r="C8" s="603">
        <v>750000</v>
      </c>
      <c r="D8" s="603">
        <v>50000</v>
      </c>
      <c r="J8" s="603">
        <f>+BdV!H86</f>
        <v>487565.9</v>
      </c>
      <c r="K8" s="603">
        <f>+BdV!I86</f>
        <v>139681.1</v>
      </c>
      <c r="L8" s="603">
        <f>+BdV!J86</f>
        <v>61450.68</v>
      </c>
      <c r="N8" s="746">
        <f t="shared" si="0"/>
        <v>487565.9</v>
      </c>
      <c r="O8" s="746">
        <f t="shared" si="2"/>
        <v>139681.1</v>
      </c>
      <c r="P8" s="746">
        <f t="shared" si="3"/>
        <v>61450.68</v>
      </c>
      <c r="R8" s="635">
        <f t="shared" si="6"/>
        <v>0.65008786666666674</v>
      </c>
      <c r="S8" s="635">
        <f t="shared" si="6"/>
        <v>0.18624146666666666</v>
      </c>
      <c r="T8" s="635">
        <f t="shared" si="4"/>
        <v>8.1934240000000005E-2</v>
      </c>
      <c r="V8" s="746">
        <f t="shared" si="5"/>
        <v>520434.10666666669</v>
      </c>
    </row>
    <row r="9" spans="2:22">
      <c r="B9" s="598" t="s">
        <v>4468</v>
      </c>
      <c r="C9" s="603">
        <v>1500000</v>
      </c>
      <c r="D9" s="603">
        <v>50000</v>
      </c>
      <c r="J9" s="603">
        <f>+BdV!H82</f>
        <v>79812.3</v>
      </c>
      <c r="K9" s="603">
        <f>+BdV!I82</f>
        <v>179660.9</v>
      </c>
      <c r="L9" s="603">
        <f>+BdV!J82</f>
        <v>35601.599999999999</v>
      </c>
      <c r="N9" s="746">
        <f t="shared" si="0"/>
        <v>79812.3</v>
      </c>
      <c r="O9" s="746">
        <f t="shared" si="2"/>
        <v>179660.9</v>
      </c>
      <c r="P9" s="746">
        <f t="shared" si="3"/>
        <v>35601.599999999999</v>
      </c>
      <c r="R9" s="635">
        <f t="shared" si="6"/>
        <v>5.3208200000000004E-2</v>
      </c>
      <c r="S9" s="635">
        <f t="shared" si="6"/>
        <v>0.11977393333333333</v>
      </c>
      <c r="T9" s="635">
        <f t="shared" si="4"/>
        <v>2.3734399999999999E-2</v>
      </c>
      <c r="V9" s="746">
        <f t="shared" si="5"/>
        <v>1401641.7333333334</v>
      </c>
    </row>
    <row r="10" spans="2:22">
      <c r="B10" s="598" t="s">
        <v>4469</v>
      </c>
      <c r="C10" s="603">
        <v>1000000</v>
      </c>
      <c r="D10" s="603">
        <v>50000</v>
      </c>
      <c r="F10" s="603">
        <f>+Finanziamenti!F13</f>
        <v>0</v>
      </c>
      <c r="G10" s="603">
        <f>+Finanziamenti!G13</f>
        <v>150000</v>
      </c>
      <c r="H10" s="603">
        <f>+Finanziamenti!H13</f>
        <v>85000</v>
      </c>
      <c r="J10" s="603">
        <f>+BdV!H85</f>
        <v>139348.51</v>
      </c>
      <c r="K10" s="603">
        <f>+BdV!I85</f>
        <v>82983.839999999997</v>
      </c>
      <c r="L10" s="603">
        <f>+BdV!J85</f>
        <v>555626.72</v>
      </c>
      <c r="N10" s="746">
        <f t="shared" si="0"/>
        <v>139348.51</v>
      </c>
      <c r="O10" s="746">
        <f t="shared" si="2"/>
        <v>232983.84</v>
      </c>
      <c r="P10" s="746">
        <f t="shared" si="3"/>
        <v>640626.72</v>
      </c>
      <c r="R10" s="635">
        <f t="shared" si="6"/>
        <v>0.13934851000000001</v>
      </c>
      <c r="S10" s="635">
        <f t="shared" si="6"/>
        <v>0.23298384</v>
      </c>
      <c r="T10" s="635">
        <f t="shared" si="4"/>
        <v>0.64062671999999998</v>
      </c>
      <c r="V10" s="746">
        <f t="shared" si="5"/>
        <v>740680.31</v>
      </c>
    </row>
    <row r="11" spans="2:22">
      <c r="B11" s="598" t="s">
        <v>4470</v>
      </c>
      <c r="C11" s="603">
        <v>1300000</v>
      </c>
      <c r="D11" s="603">
        <v>50000</v>
      </c>
      <c r="F11" s="603">
        <f>+Finanziamenti!F8</f>
        <v>735000</v>
      </c>
      <c r="G11" s="603">
        <f>+Finanziamenti!G8</f>
        <v>1290000</v>
      </c>
      <c r="H11" s="603">
        <f>+Finanziamenti!H8</f>
        <v>68743.360000000001</v>
      </c>
      <c r="J11" s="603"/>
      <c r="K11" s="603"/>
      <c r="L11" s="603"/>
      <c r="N11" s="746">
        <f t="shared" si="0"/>
        <v>735000</v>
      </c>
      <c r="O11" s="746">
        <f t="shared" si="2"/>
        <v>1290000</v>
      </c>
      <c r="P11" s="746">
        <f t="shared" si="3"/>
        <v>68743.360000000001</v>
      </c>
      <c r="R11" s="635">
        <f t="shared" si="6"/>
        <v>0.56538461538461537</v>
      </c>
      <c r="S11" s="635">
        <f t="shared" si="6"/>
        <v>0.99230769230769234</v>
      </c>
      <c r="T11" s="635">
        <f t="shared" si="4"/>
        <v>5.287950769230769E-2</v>
      </c>
      <c r="V11" s="746">
        <f>+C11</f>
        <v>1300000</v>
      </c>
    </row>
    <row r="12" spans="2:22">
      <c r="B12" s="598" t="s">
        <v>4471</v>
      </c>
      <c r="C12" s="603">
        <v>500000</v>
      </c>
      <c r="D12" s="603">
        <v>50000</v>
      </c>
      <c r="J12" s="603">
        <f>+BdV!H87</f>
        <v>146363.29</v>
      </c>
      <c r="K12" s="603">
        <f>+BdV!I87</f>
        <v>68493.399999999994</v>
      </c>
      <c r="L12" s="603">
        <f>+BdV!J87</f>
        <v>4916.6000000000004</v>
      </c>
      <c r="N12" s="746">
        <f t="shared" si="0"/>
        <v>146363.29</v>
      </c>
      <c r="O12" s="746">
        <f t="shared" si="2"/>
        <v>68493.399999999994</v>
      </c>
      <c r="P12" s="746">
        <f t="shared" si="3"/>
        <v>4916.6000000000004</v>
      </c>
      <c r="R12" s="635">
        <f t="shared" si="6"/>
        <v>0.29272658000000001</v>
      </c>
      <c r="S12" s="635">
        <f t="shared" si="6"/>
        <v>0.13698679999999999</v>
      </c>
      <c r="T12" s="635">
        <f t="shared" si="4"/>
        <v>9.8332000000000003E-3</v>
      </c>
      <c r="V12" s="746">
        <f t="shared" si="5"/>
        <v>426742.23666666669</v>
      </c>
    </row>
    <row r="13" spans="2:22">
      <c r="B13" s="598" t="s">
        <v>4472</v>
      </c>
      <c r="C13" s="603">
        <v>800000</v>
      </c>
      <c r="D13" s="603">
        <v>20000</v>
      </c>
      <c r="J13" s="603">
        <f>+BdV!H84</f>
        <v>0</v>
      </c>
      <c r="K13" s="603">
        <f>+BdV!I84</f>
        <v>85030.59</v>
      </c>
      <c r="L13" s="603">
        <f>+BdV!J84</f>
        <v>227100.98</v>
      </c>
      <c r="N13" s="746">
        <f t="shared" si="0"/>
        <v>0</v>
      </c>
      <c r="O13" s="746">
        <f t="shared" si="2"/>
        <v>85030.59</v>
      </c>
      <c r="P13" s="746">
        <f t="shared" si="3"/>
        <v>227100.98</v>
      </c>
      <c r="R13" s="635">
        <f t="shared" si="6"/>
        <v>0</v>
      </c>
      <c r="S13" s="635">
        <f t="shared" si="6"/>
        <v>0.10628823749999999</v>
      </c>
      <c r="T13" s="635">
        <f t="shared" si="4"/>
        <v>0.28387622500000004</v>
      </c>
      <c r="V13" s="746">
        <f t="shared" si="5"/>
        <v>695956.14333333331</v>
      </c>
    </row>
    <row r="14" spans="2:22" ht="12.75" thickBot="1">
      <c r="B14" s="1498" t="s">
        <v>0</v>
      </c>
      <c r="C14" s="709">
        <f>+SUM(C5:C13)</f>
        <v>12250000</v>
      </c>
      <c r="D14" s="709">
        <f>+SUM(D5:D13)</f>
        <v>440000</v>
      </c>
      <c r="F14" s="709">
        <f t="shared" ref="F14:H14" si="7">+SUM(F5:F13)</f>
        <v>3592000</v>
      </c>
      <c r="G14" s="709">
        <f t="shared" si="7"/>
        <v>4460000</v>
      </c>
      <c r="H14" s="709">
        <f t="shared" si="7"/>
        <v>3128743.36</v>
      </c>
      <c r="J14" s="709">
        <f t="shared" ref="J14" si="8">+SUM(J5:J13)</f>
        <v>1880725.37</v>
      </c>
      <c r="K14" s="709">
        <f t="shared" ref="K14" si="9">+SUM(K5:K13)</f>
        <v>1305586.8500000001</v>
      </c>
      <c r="L14" s="709">
        <f t="shared" ref="L14" si="10">+SUM(L5:L13)</f>
        <v>921629.89999999991</v>
      </c>
      <c r="N14" s="709">
        <f t="shared" ref="N14" si="11">+SUM(N5:N13)</f>
        <v>5472725.3700000001</v>
      </c>
      <c r="O14" s="709">
        <f t="shared" ref="O14" si="12">+SUM(O5:O13)</f>
        <v>5765586.8500000006</v>
      </c>
      <c r="P14" s="709">
        <f t="shared" ref="P14" si="13">+SUM(P5:P13)</f>
        <v>4050373.2600000002</v>
      </c>
      <c r="R14" s="1499">
        <f>+N14/$C14</f>
        <v>0.44675309142857145</v>
      </c>
      <c r="S14" s="1499">
        <f t="shared" ref="S14" si="14">+O14/$C14</f>
        <v>0.4706601510204082</v>
      </c>
      <c r="T14" s="1499">
        <f t="shared" ref="T14" si="15">+P14/$C14</f>
        <v>0.33064271510204085</v>
      </c>
      <c r="V14" s="709">
        <f t="shared" ref="V14" si="16">+SUM(V5:V13)</f>
        <v>10880685.959999999</v>
      </c>
    </row>
    <row r="15" spans="2:22" ht="12.75" thickTop="1">
      <c r="F15" s="635">
        <f>+F14/C14</f>
        <v>0.29322448979591836</v>
      </c>
      <c r="G15" s="635">
        <f>+G14/C14</f>
        <v>0.3640816326530612</v>
      </c>
      <c r="H15" s="635">
        <f>+H14/C14</f>
        <v>0.25540762122448979</v>
      </c>
      <c r="J15" s="1500">
        <f>+J14/C14</f>
        <v>0.15352860163265308</v>
      </c>
      <c r="K15" s="1500">
        <f>+K14/C14</f>
        <v>0.10657851836734694</v>
      </c>
      <c r="L15" s="1500">
        <f>+L14/C14</f>
        <v>7.5235093877551007E-2</v>
      </c>
      <c r="V15" s="635">
        <f>+V14/C14</f>
        <v>0.88821926204081625</v>
      </c>
    </row>
    <row r="16" spans="2:22">
      <c r="L16" s="1501">
        <f>+AVERAGE(J15:L15)</f>
        <v>0.11178073795918368</v>
      </c>
    </row>
    <row r="17" spans="2:16">
      <c r="B17" s="1492"/>
      <c r="C17" s="1492">
        <v>2021</v>
      </c>
      <c r="D17" s="1492">
        <v>2022</v>
      </c>
      <c r="E17" s="1502">
        <v>45078</v>
      </c>
      <c r="F17" s="1503">
        <v>2023</v>
      </c>
      <c r="G17" s="1503">
        <f>+F17+1</f>
        <v>2024</v>
      </c>
      <c r="H17" s="1503">
        <f>+G17+1</f>
        <v>2025</v>
      </c>
      <c r="I17" s="1503">
        <f>+H17+1</f>
        <v>2026</v>
      </c>
      <c r="J17" s="1503">
        <f>+I17+1</f>
        <v>2027</v>
      </c>
    </row>
    <row r="18" spans="2:16">
      <c r="B18" s="598" t="s">
        <v>396</v>
      </c>
      <c r="C18" s="603">
        <f>+Ricavi!F5</f>
        <v>28909167.91</v>
      </c>
      <c r="D18" s="603">
        <f>+Ricavi!G5</f>
        <v>47924038.689999998</v>
      </c>
      <c r="E18" s="603">
        <f>+Ricavi!H5</f>
        <v>25647986.760000002</v>
      </c>
      <c r="F18" s="603">
        <f>+Ricavi!J5</f>
        <v>61316158.900000006</v>
      </c>
      <c r="G18" s="603">
        <f>+Ricavi!K5</f>
        <v>65168191.340000004</v>
      </c>
      <c r="H18" s="603">
        <f>+Ricavi!L5</f>
        <v>67571377.819999993</v>
      </c>
      <c r="I18" s="603">
        <f>+Ricavi!M5</f>
        <v>70561528.892859146</v>
      </c>
      <c r="J18" s="603">
        <f>+Ricavi!N5</f>
        <v>73683999.354888335</v>
      </c>
    </row>
    <row r="19" spans="2:16">
      <c r="B19" s="598" t="s">
        <v>4273</v>
      </c>
      <c r="C19" s="746">
        <f>+F14</f>
        <v>3592000</v>
      </c>
      <c r="D19" s="746">
        <f t="shared" ref="D19:E19" si="17">+G14</f>
        <v>4460000</v>
      </c>
      <c r="E19" s="746">
        <f t="shared" si="17"/>
        <v>3128743.36</v>
      </c>
      <c r="F19" s="747">
        <f>+F18*F20</f>
        <v>6934920.0650498765</v>
      </c>
      <c r="G19" s="747">
        <f t="shared" ref="G19:J19" si="18">+G18*G20</f>
        <v>7370588.8600072693</v>
      </c>
      <c r="H19" s="747">
        <f t="shared" si="18"/>
        <v>7642391.7002241323</v>
      </c>
      <c r="I19" s="747">
        <f t="shared" si="18"/>
        <v>7980580.8341279747</v>
      </c>
      <c r="J19" s="747">
        <f t="shared" si="18"/>
        <v>8333735.4258069349</v>
      </c>
      <c r="K19" s="840" t="s">
        <v>4477</v>
      </c>
    </row>
    <row r="20" spans="2:16">
      <c r="B20" s="598" t="s">
        <v>867</v>
      </c>
      <c r="C20" s="635">
        <f>+C19/C18</f>
        <v>0.12425124137722025</v>
      </c>
      <c r="D20" s="635">
        <f t="shared" ref="D20:E20" si="19">+D19/D18</f>
        <v>9.3063942896169968E-2</v>
      </c>
      <c r="E20" s="635">
        <f t="shared" si="19"/>
        <v>0.12198787332811301</v>
      </c>
      <c r="F20" s="1504">
        <f>+AVERAGE(C20:E20)</f>
        <v>0.11310101920050109</v>
      </c>
      <c r="G20" s="1504">
        <f>+F20</f>
        <v>0.11310101920050109</v>
      </c>
      <c r="H20" s="1504">
        <f t="shared" ref="H20:J20" si="20">+G20</f>
        <v>0.11310101920050109</v>
      </c>
      <c r="I20" s="1504">
        <f t="shared" si="20"/>
        <v>0.11310101920050109</v>
      </c>
      <c r="J20" s="1504">
        <f t="shared" si="20"/>
        <v>0.11310101920050109</v>
      </c>
      <c r="K20" s="840" t="s">
        <v>4475</v>
      </c>
    </row>
    <row r="24" spans="2:16">
      <c r="B24" s="598" t="s">
        <v>4478</v>
      </c>
    </row>
    <row r="26" spans="2:16">
      <c r="B26" s="1492" t="s">
        <v>4473</v>
      </c>
      <c r="C26" s="1492">
        <v>2021</v>
      </c>
      <c r="D26" s="1492">
        <v>2022</v>
      </c>
      <c r="E26" s="1502">
        <v>45078</v>
      </c>
      <c r="F26" s="1503">
        <v>2023</v>
      </c>
      <c r="G26" s="1503">
        <f>+F26+1</f>
        <v>2024</v>
      </c>
      <c r="H26" s="1503">
        <f>+G26+1</f>
        <v>2025</v>
      </c>
      <c r="I26" s="1503">
        <f>+H26+1</f>
        <v>2026</v>
      </c>
      <c r="J26" s="1503">
        <f>+I26+1</f>
        <v>2027</v>
      </c>
      <c r="K26" s="1505" t="s">
        <v>4479</v>
      </c>
    </row>
    <row r="27" spans="2:16">
      <c r="B27" s="598" t="s">
        <v>4462</v>
      </c>
      <c r="C27" s="603">
        <f t="shared" ref="C27:C35" si="21">+F5</f>
        <v>2497000</v>
      </c>
      <c r="D27" s="603">
        <f t="shared" ref="D27:E27" si="22">+G5</f>
        <v>2420000</v>
      </c>
      <c r="E27" s="603">
        <f t="shared" si="22"/>
        <v>2475000</v>
      </c>
      <c r="F27" s="1506">
        <v>3200000</v>
      </c>
      <c r="G27" s="1506">
        <v>3200000</v>
      </c>
      <c r="H27" s="1506">
        <v>3200000</v>
      </c>
      <c r="I27" s="1506">
        <v>3200000</v>
      </c>
      <c r="J27" s="1506">
        <v>3200000</v>
      </c>
      <c r="K27" s="746">
        <f>+V5</f>
        <v>3276127.47</v>
      </c>
      <c r="L27" s="1035" t="str">
        <f>+IF(F27&lt;$K$27,"OK","NO")</f>
        <v>OK</v>
      </c>
      <c r="M27" s="1035" t="str">
        <f t="shared" ref="M27:P27" si="23">+IF(G27&lt;$K$27,"OK","NO")</f>
        <v>OK</v>
      </c>
      <c r="N27" s="1035" t="str">
        <f t="shared" si="23"/>
        <v>OK</v>
      </c>
      <c r="O27" s="1035" t="str">
        <f t="shared" si="23"/>
        <v>OK</v>
      </c>
      <c r="P27" s="1035" t="str">
        <f t="shared" si="23"/>
        <v>OK</v>
      </c>
    </row>
    <row r="28" spans="2:16">
      <c r="B28" s="598" t="s">
        <v>4465</v>
      </c>
      <c r="C28" s="603">
        <f t="shared" si="21"/>
        <v>360000</v>
      </c>
      <c r="D28" s="603">
        <f t="shared" ref="D28:D35" si="24">+G6</f>
        <v>600000</v>
      </c>
      <c r="E28" s="603">
        <f t="shared" ref="E28:E35" si="25">+H6</f>
        <v>500000</v>
      </c>
      <c r="F28" s="1506">
        <v>1000000</v>
      </c>
      <c r="G28" s="1506">
        <v>1500000</v>
      </c>
      <c r="H28" s="1506">
        <v>1500000</v>
      </c>
      <c r="I28" s="1506">
        <v>1500000</v>
      </c>
      <c r="J28" s="1506">
        <v>1500000</v>
      </c>
      <c r="K28" s="746">
        <f t="shared" ref="K28:K35" si="26">+V6</f>
        <v>2213983.1066666665</v>
      </c>
      <c r="L28" s="1035" t="str">
        <f>+IF(F28&lt;$K$28,"OK","NO")</f>
        <v>OK</v>
      </c>
      <c r="M28" s="1035" t="str">
        <f>+IF(G28&lt;$K$28,"OK","NO")</f>
        <v>OK</v>
      </c>
      <c r="N28" s="1035" t="str">
        <f>+IF(H28&lt;$K$28,"OK","NO")</f>
        <v>OK</v>
      </c>
      <c r="O28" s="1035" t="str">
        <f>+IF(I28&lt;$K$28,"OK","NO")</f>
        <v>OK</v>
      </c>
      <c r="P28" s="1035" t="str">
        <f>+IF(J28&lt;$K$28,"OK","NO")</f>
        <v>OK</v>
      </c>
    </row>
    <row r="29" spans="2:16">
      <c r="B29" s="598" t="s">
        <v>4466</v>
      </c>
      <c r="C29" s="603">
        <f t="shared" si="21"/>
        <v>0</v>
      </c>
      <c r="D29" s="603">
        <f t="shared" si="24"/>
        <v>0</v>
      </c>
      <c r="E29" s="603">
        <f t="shared" si="25"/>
        <v>0</v>
      </c>
      <c r="F29" s="1506">
        <v>150000</v>
      </c>
      <c r="G29" s="1506">
        <v>150000</v>
      </c>
      <c r="H29" s="1506">
        <v>150000</v>
      </c>
      <c r="I29" s="1506">
        <v>150000</v>
      </c>
      <c r="J29" s="1506">
        <v>150000</v>
      </c>
      <c r="K29" s="746">
        <f t="shared" si="26"/>
        <v>305120.85333333339</v>
      </c>
      <c r="L29" s="1035" t="str">
        <f>+IF(F29&lt;$K$29,"OK","NO")</f>
        <v>OK</v>
      </c>
      <c r="M29" s="1035" t="str">
        <f>+IF(G29&lt;$K$29,"OK","NO")</f>
        <v>OK</v>
      </c>
      <c r="N29" s="1035" t="str">
        <f>+IF(H29&lt;$K$29,"OK","NO")</f>
        <v>OK</v>
      </c>
      <c r="O29" s="1035" t="str">
        <f>+IF(I29&lt;$K$29,"OK","NO")</f>
        <v>OK</v>
      </c>
      <c r="P29" s="1035" t="str">
        <f>+IF(J29&lt;$K$29,"OK","NO")</f>
        <v>OK</v>
      </c>
    </row>
    <row r="30" spans="2:16">
      <c r="B30" s="598" t="s">
        <v>4467</v>
      </c>
      <c r="C30" s="603">
        <f t="shared" si="21"/>
        <v>0</v>
      </c>
      <c r="D30" s="603">
        <f t="shared" si="24"/>
        <v>0</v>
      </c>
      <c r="E30" s="603">
        <f t="shared" si="25"/>
        <v>0</v>
      </c>
      <c r="F30" s="1506">
        <v>84920</v>
      </c>
      <c r="G30" s="1506"/>
      <c r="H30" s="1506">
        <v>92392</v>
      </c>
      <c r="I30" s="1506">
        <v>300000</v>
      </c>
      <c r="J30" s="1506">
        <v>383735</v>
      </c>
      <c r="K30" s="746">
        <f t="shared" si="26"/>
        <v>520434.10666666669</v>
      </c>
      <c r="L30" s="1035" t="str">
        <f>+IF(F30&lt;$K$30,"OK","NO")</f>
        <v>OK</v>
      </c>
      <c r="M30" s="1035" t="str">
        <f>+IF(G30&lt;$K$30,"OK","NO")</f>
        <v>OK</v>
      </c>
      <c r="N30" s="1035" t="str">
        <f>+IF(H30&lt;$K$30,"OK","NO")</f>
        <v>OK</v>
      </c>
      <c r="O30" s="1035" t="str">
        <f>+IF(I30&lt;$K$30,"OK","NO")</f>
        <v>OK</v>
      </c>
      <c r="P30" s="1035" t="str">
        <f>+IF(J30&lt;$K$30,"OK","NO")</f>
        <v>OK</v>
      </c>
    </row>
    <row r="31" spans="2:16">
      <c r="B31" s="598" t="s">
        <v>4468</v>
      </c>
      <c r="C31" s="603">
        <f t="shared" si="21"/>
        <v>0</v>
      </c>
      <c r="D31" s="603">
        <f t="shared" si="24"/>
        <v>0</v>
      </c>
      <c r="E31" s="603">
        <f t="shared" si="25"/>
        <v>0</v>
      </c>
      <c r="F31" s="1506">
        <v>1000000</v>
      </c>
      <c r="G31" s="1506">
        <v>1000000</v>
      </c>
      <c r="H31" s="1506">
        <v>1000000</v>
      </c>
      <c r="I31" s="1506">
        <v>1000000</v>
      </c>
      <c r="J31" s="1506">
        <v>1000000</v>
      </c>
      <c r="K31" s="746">
        <f t="shared" si="26"/>
        <v>1401641.7333333334</v>
      </c>
      <c r="L31" s="1035" t="str">
        <f>+IF(F31&lt;$K$31,"OK","NO")</f>
        <v>OK</v>
      </c>
      <c r="M31" s="1035" t="str">
        <f>+IF(G31&lt;$K$31,"OK","NO")</f>
        <v>OK</v>
      </c>
      <c r="N31" s="1035" t="str">
        <f>+IF(H31&lt;$K$31,"OK","NO")</f>
        <v>OK</v>
      </c>
      <c r="O31" s="1035" t="str">
        <f>+IF(I31&lt;$K$31,"OK","NO")</f>
        <v>OK</v>
      </c>
      <c r="P31" s="1035" t="str">
        <f>+IF(J31&lt;$K$31,"OK","NO")</f>
        <v>OK</v>
      </c>
    </row>
    <row r="32" spans="2:16">
      <c r="B32" s="598" t="s">
        <v>4469</v>
      </c>
      <c r="C32" s="603">
        <f t="shared" si="21"/>
        <v>0</v>
      </c>
      <c r="D32" s="603">
        <f t="shared" si="24"/>
        <v>150000</v>
      </c>
      <c r="E32" s="603">
        <f t="shared" si="25"/>
        <v>85000</v>
      </c>
      <c r="F32" s="1506">
        <v>500000</v>
      </c>
      <c r="G32" s="1506">
        <v>500000</v>
      </c>
      <c r="H32" s="1506">
        <v>500000</v>
      </c>
      <c r="I32" s="1506">
        <v>500000</v>
      </c>
      <c r="J32" s="1506">
        <v>500000</v>
      </c>
      <c r="K32" s="746">
        <f t="shared" si="26"/>
        <v>740680.31</v>
      </c>
      <c r="L32" s="1035" t="str">
        <f>+IF(F32&lt;$K$32,"OK","NO")</f>
        <v>OK</v>
      </c>
      <c r="M32" s="1035" t="str">
        <f>+IF(G32&lt;$K$32,"OK","NO")</f>
        <v>OK</v>
      </c>
      <c r="N32" s="1035" t="str">
        <f>+IF(H32&lt;$K$32,"OK","NO")</f>
        <v>OK</v>
      </c>
      <c r="O32" s="1035" t="str">
        <f>+IF(I32&lt;$K$32,"OK","NO")</f>
        <v>OK</v>
      </c>
      <c r="P32" s="1035" t="str">
        <f>+IF(J32&lt;$K$32,"OK","NO")</f>
        <v>OK</v>
      </c>
    </row>
    <row r="33" spans="2:16">
      <c r="B33" s="598" t="s">
        <v>4470</v>
      </c>
      <c r="C33" s="603">
        <f t="shared" si="21"/>
        <v>735000</v>
      </c>
      <c r="D33" s="603">
        <f t="shared" si="24"/>
        <v>1290000</v>
      </c>
      <c r="E33" s="603">
        <f t="shared" si="25"/>
        <v>68743.360000000001</v>
      </c>
      <c r="F33" s="1506">
        <v>1000000</v>
      </c>
      <c r="G33" s="1506">
        <v>1020589</v>
      </c>
      <c r="H33" s="1506">
        <v>1200000</v>
      </c>
      <c r="I33" s="1506">
        <v>1200000</v>
      </c>
      <c r="J33" s="1506">
        <v>1200000</v>
      </c>
      <c r="K33" s="746">
        <f t="shared" si="26"/>
        <v>1300000</v>
      </c>
      <c r="L33" s="1035" t="str">
        <f>+IF(F33&lt;$K$33,"OK","NO")</f>
        <v>OK</v>
      </c>
      <c r="M33" s="1035" t="str">
        <f>+IF(G33&lt;$K$33,"OK","NO")</f>
        <v>OK</v>
      </c>
      <c r="N33" s="1035" t="str">
        <f>+IF(H33&lt;$K$33,"OK","NO")</f>
        <v>OK</v>
      </c>
      <c r="O33" s="1035" t="str">
        <f>+IF(I33&lt;$K$33,"OK","NO")</f>
        <v>OK</v>
      </c>
      <c r="P33" s="1035" t="str">
        <f>+IF(J33&lt;$K$33,"OK","NO")</f>
        <v>OK</v>
      </c>
    </row>
    <row r="34" spans="2:16">
      <c r="B34" s="598" t="s">
        <v>4471</v>
      </c>
      <c r="C34" s="603">
        <f t="shared" si="21"/>
        <v>0</v>
      </c>
      <c r="D34" s="603">
        <f t="shared" si="24"/>
        <v>0</v>
      </c>
      <c r="E34" s="603">
        <f t="shared" si="25"/>
        <v>0</v>
      </c>
      <c r="F34" s="1506"/>
      <c r="G34" s="1506"/>
      <c r="H34" s="1506"/>
      <c r="I34" s="1506">
        <v>130581</v>
      </c>
      <c r="J34" s="1506">
        <v>400000</v>
      </c>
      <c r="K34" s="746">
        <f t="shared" si="26"/>
        <v>426742.23666666669</v>
      </c>
      <c r="L34" s="1035" t="str">
        <f>+IF(F34&lt;$K$34,"OK","NO")</f>
        <v>OK</v>
      </c>
      <c r="M34" s="1035" t="str">
        <f>+IF(G34&lt;$K$34,"OK","NO")</f>
        <v>OK</v>
      </c>
      <c r="N34" s="1035" t="str">
        <f>+IF(H34&lt;$K$34,"OK","NO")</f>
        <v>OK</v>
      </c>
      <c r="O34" s="1035" t="str">
        <f>+IF(I34&lt;$K$34,"OK","NO")</f>
        <v>OK</v>
      </c>
      <c r="P34" s="1035" t="str">
        <f>+IF(J34&lt;$K$34,"OK","NO")</f>
        <v>OK</v>
      </c>
    </row>
    <row r="35" spans="2:16">
      <c r="B35" s="598" t="s">
        <v>4472</v>
      </c>
      <c r="C35" s="603">
        <f t="shared" si="21"/>
        <v>0</v>
      </c>
      <c r="D35" s="603">
        <f t="shared" si="24"/>
        <v>0</v>
      </c>
      <c r="E35" s="603">
        <f t="shared" si="25"/>
        <v>0</v>
      </c>
      <c r="F35" s="603"/>
      <c r="G35" s="603"/>
      <c r="H35" s="603"/>
      <c r="I35" s="603"/>
      <c r="J35" s="603"/>
      <c r="K35" s="746">
        <f t="shared" si="26"/>
        <v>695956.14333333331</v>
      </c>
      <c r="L35" s="1035" t="str">
        <f>+IF(F35&lt;$K$35,"OK","NO")</f>
        <v>OK</v>
      </c>
      <c r="M35" s="1035" t="str">
        <f>+IF(G35&lt;$K$35,"OK","NO")</f>
        <v>OK</v>
      </c>
      <c r="N35" s="1035" t="str">
        <f>+IF(H35&lt;$K$35,"OK","NO")</f>
        <v>OK</v>
      </c>
      <c r="O35" s="1035" t="str">
        <f>+IF(I35&lt;$K$35,"OK","NO")</f>
        <v>OK</v>
      </c>
      <c r="P35" s="1035" t="str">
        <f>+IF(J35&lt;$K$35,"OK","NO")</f>
        <v>OK</v>
      </c>
    </row>
    <row r="36" spans="2:16" ht="12.75" thickBot="1">
      <c r="B36" s="1498" t="s">
        <v>0</v>
      </c>
      <c r="C36" s="709">
        <f t="shared" ref="C36" si="27">+SUM(C27:C35)</f>
        <v>3592000</v>
      </c>
      <c r="D36" s="709">
        <f t="shared" ref="D36" si="28">+SUM(D27:D35)</f>
        <v>4460000</v>
      </c>
      <c r="E36" s="709">
        <f t="shared" ref="E36" si="29">+SUM(E27:E35)</f>
        <v>3128743.36</v>
      </c>
      <c r="F36" s="1507">
        <f>+F19</f>
        <v>6934920.0650498765</v>
      </c>
      <c r="G36" s="1507">
        <f t="shared" ref="G36:J36" si="30">+G19</f>
        <v>7370588.8600072693</v>
      </c>
      <c r="H36" s="1507">
        <f t="shared" si="30"/>
        <v>7642391.7002241323</v>
      </c>
      <c r="I36" s="1507">
        <f t="shared" si="30"/>
        <v>7980580.8341279747</v>
      </c>
      <c r="J36" s="1507">
        <f t="shared" si="30"/>
        <v>8333735.4258069349</v>
      </c>
      <c r="K36" s="709">
        <f>+SUM(K27:K35)</f>
        <v>10880685.959999999</v>
      </c>
    </row>
    <row r="37" spans="2:16" ht="12.75" thickTop="1">
      <c r="F37" s="865">
        <f>+F36-SUM(F27:F35)</f>
        <v>6.504987645894289E-2</v>
      </c>
      <c r="G37" s="865">
        <f t="shared" ref="G37:I37" si="31">+G36-SUM(G27:G35)</f>
        <v>-0.139992730692029</v>
      </c>
      <c r="H37" s="865">
        <f t="shared" si="31"/>
        <v>-0.29977586772292852</v>
      </c>
      <c r="I37" s="865">
        <f t="shared" si="31"/>
        <v>-0.16587202530354261</v>
      </c>
      <c r="J37" s="865">
        <f>+J36-SUM(J27:J35)</f>
        <v>0.42580693494528532</v>
      </c>
    </row>
    <row r="38" spans="2:16">
      <c r="F38" s="746"/>
      <c r="K38" s="746"/>
    </row>
    <row r="40" spans="2:16">
      <c r="F40" s="635"/>
      <c r="G40" s="635"/>
      <c r="H40" s="635"/>
      <c r="I40" s="1508"/>
    </row>
    <row r="41" spans="2:16">
      <c r="F41" s="635"/>
      <c r="G41" s="635"/>
      <c r="H41" s="635"/>
      <c r="I41" s="1508"/>
    </row>
    <row r="42" spans="2:16">
      <c r="F42" s="635"/>
      <c r="G42" s="635"/>
      <c r="H42" s="635"/>
      <c r="I42" s="1508"/>
    </row>
    <row r="43" spans="2:16">
      <c r="F43" s="635"/>
      <c r="G43" s="635"/>
      <c r="H43" s="635"/>
      <c r="I43" s="1508"/>
    </row>
    <row r="44" spans="2:16">
      <c r="F44" s="635"/>
      <c r="G44" s="635"/>
      <c r="H44" s="635"/>
      <c r="I44" s="1508"/>
    </row>
    <row r="45" spans="2:16">
      <c r="F45" s="635"/>
      <c r="G45" s="635"/>
      <c r="H45" s="635"/>
      <c r="I45" s="1508"/>
    </row>
    <row r="46" spans="2:16">
      <c r="F46" s="635"/>
      <c r="G46" s="635"/>
      <c r="H46" s="635"/>
      <c r="I46" s="1508"/>
    </row>
    <row r="47" spans="2:16">
      <c r="F47" s="635"/>
      <c r="G47" s="635"/>
      <c r="H47" s="635"/>
      <c r="I47" s="1508"/>
    </row>
    <row r="48" spans="2:16">
      <c r="F48" s="635"/>
      <c r="G48" s="635"/>
      <c r="H48" s="635"/>
      <c r="I48" s="1508"/>
    </row>
  </sheetData>
  <mergeCells count="3">
    <mergeCell ref="F3:H3"/>
    <mergeCell ref="J3:L3"/>
    <mergeCell ref="N3:P3"/>
  </mergeCells>
  <conditionalFormatting sqref="F19:J19">
    <cfRule type="cellIs" dxfId="3" priority="3" operator="lessThan">
      <formula>$V$14</formula>
    </cfRule>
  </conditionalFormatting>
  <conditionalFormatting sqref="L27:P35">
    <cfRule type="cellIs" dxfId="2" priority="1" operator="equal">
      <formula>"NO"</formula>
    </cfRule>
    <cfRule type="cellIs" dxfId="1" priority="2" operator="equal">
      <formula>"OK"</formula>
    </cfRule>
  </conditionalFormatting>
  <pageMargins left="0.7" right="0.7" top="0.75" bottom="0.75" header="0.3" footer="0.3"/>
  <ignoredErrors>
    <ignoredError sqref="V11" formula="1"/>
    <ignoredError sqref="F37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S125"/>
  <sheetViews>
    <sheetView showGridLines="0" topLeftCell="A69" zoomScale="68" zoomScaleNormal="100" workbookViewId="0">
      <selection activeCell="R108" sqref="R108"/>
    </sheetView>
  </sheetViews>
  <sheetFormatPr defaultRowHeight="15" outlineLevelRow="1"/>
  <cols>
    <col min="1" max="1" width="2.85546875" customWidth="1"/>
    <col min="2" max="2" width="36.7109375" customWidth="1"/>
    <col min="3" max="3" width="10.7109375" bestFit="1" customWidth="1"/>
    <col min="4" max="4" width="11" bestFit="1" customWidth="1"/>
    <col min="5" max="5" width="9.28515625" bestFit="1" customWidth="1"/>
    <col min="6" max="8" width="10.42578125" bestFit="1" customWidth="1"/>
    <col min="9" max="12" width="11.140625" bestFit="1" customWidth="1"/>
  </cols>
  <sheetData>
    <row r="2" spans="2:19" outlineLevel="1">
      <c r="B2" s="1" t="s">
        <v>3667</v>
      </c>
    </row>
    <row r="3" spans="2:19" ht="5.65" customHeight="1" outlineLevel="1"/>
    <row r="4" spans="2:19" outlineLevel="1">
      <c r="B4" s="820">
        <v>2016</v>
      </c>
      <c r="C4" s="820">
        <v>2017</v>
      </c>
      <c r="D4" s="820">
        <v>2018</v>
      </c>
      <c r="E4" s="820">
        <v>2019</v>
      </c>
      <c r="F4" s="820">
        <v>2020</v>
      </c>
      <c r="G4" s="820">
        <v>2021</v>
      </c>
      <c r="H4" s="820">
        <v>2022</v>
      </c>
      <c r="J4" s="820" t="s">
        <v>2493</v>
      </c>
      <c r="K4" s="820" t="s">
        <v>3668</v>
      </c>
      <c r="L4" s="820" t="s">
        <v>3671</v>
      </c>
    </row>
    <row r="5" spans="2:19" outlineLevel="1">
      <c r="B5" s="868">
        <v>164.5</v>
      </c>
      <c r="C5" s="868">
        <v>166.8</v>
      </c>
      <c r="D5" s="868">
        <v>173.1</v>
      </c>
      <c r="E5" s="868">
        <v>179.5</v>
      </c>
      <c r="F5" s="868">
        <v>172.6</v>
      </c>
      <c r="G5" s="868">
        <v>227.7</v>
      </c>
      <c r="H5" s="868">
        <v>281.5</v>
      </c>
      <c r="J5" s="60">
        <f>IF(H5*F5&lt;=0,"n/a",IF(F5&gt;H5,-ABS((H5/F5)^(1/(2))-1),ABS((H5/F5)^(1/(2))-1)))</f>
        <v>0.27708205935514063</v>
      </c>
      <c r="K5" s="60">
        <f>+H5/G5-1</f>
        <v>0.23627580149319294</v>
      </c>
      <c r="L5" s="60">
        <f>IF(H5*E5&lt;=0,"n/a",IF(E5&gt;H5,-ABS((H5/E5)^(1/(3))-1),ABS((H5/E5)^(1/(3))-1)))</f>
        <v>0.16181768270056174</v>
      </c>
    </row>
    <row r="6" spans="2:19" outlineLevel="1">
      <c r="B6" s="868"/>
      <c r="C6" s="869">
        <f t="shared" ref="C6:H6" si="0">+C5/B5-1</f>
        <v>1.3981762917933294E-2</v>
      </c>
      <c r="D6" s="869">
        <f t="shared" si="0"/>
        <v>3.7769784172661858E-2</v>
      </c>
      <c r="E6" s="869">
        <f t="shared" si="0"/>
        <v>3.6972848064702468E-2</v>
      </c>
      <c r="F6" s="869">
        <f t="shared" si="0"/>
        <v>-3.8440111420612877E-2</v>
      </c>
      <c r="G6" s="869">
        <f t="shared" si="0"/>
        <v>0.31923522595596743</v>
      </c>
      <c r="H6" s="869">
        <f t="shared" si="0"/>
        <v>0.23627580149319294</v>
      </c>
      <c r="J6" s="60"/>
      <c r="K6" s="60"/>
      <c r="L6" s="60"/>
    </row>
    <row r="7" spans="2:19" ht="9.4" customHeight="1" outlineLevel="1">
      <c r="B7" s="868"/>
      <c r="C7" s="868"/>
      <c r="D7" s="868"/>
      <c r="E7" s="868"/>
      <c r="F7" s="868"/>
      <c r="G7" s="868"/>
      <c r="H7" s="868"/>
      <c r="J7" s="60"/>
      <c r="K7" s="60"/>
      <c r="L7" s="60"/>
    </row>
    <row r="8" spans="2:19" ht="9.4" customHeight="1" outlineLevel="1">
      <c r="B8" s="868"/>
      <c r="C8" s="868"/>
      <c r="D8" s="868"/>
      <c r="E8" s="868"/>
      <c r="F8" s="868"/>
      <c r="G8" s="868"/>
      <c r="H8" s="868"/>
      <c r="J8" s="60"/>
      <c r="K8" s="60"/>
      <c r="L8" s="60"/>
    </row>
    <row r="9" spans="2:19" outlineLevel="1">
      <c r="B9" t="s">
        <v>3669</v>
      </c>
    </row>
    <row r="10" spans="2:19" outlineLevel="1">
      <c r="B10" t="s">
        <v>3670</v>
      </c>
    </row>
    <row r="11" spans="2:19" outlineLevel="1"/>
    <row r="12" spans="2:19" outlineLevel="1">
      <c r="B12" s="820"/>
      <c r="C12" s="820">
        <v>2016</v>
      </c>
      <c r="D12" s="820">
        <f>+C12+1</f>
        <v>2017</v>
      </c>
      <c r="E12" s="820">
        <f t="shared" ref="E12:J12" si="1">+D12+1</f>
        <v>2018</v>
      </c>
      <c r="F12" s="820">
        <f t="shared" si="1"/>
        <v>2019</v>
      </c>
      <c r="G12" s="820">
        <f t="shared" si="1"/>
        <v>2020</v>
      </c>
      <c r="H12" s="820">
        <f t="shared" si="1"/>
        <v>2021</v>
      </c>
      <c r="I12" s="820">
        <f t="shared" si="1"/>
        <v>2022</v>
      </c>
      <c r="J12" s="820">
        <f t="shared" si="1"/>
        <v>2023</v>
      </c>
      <c r="L12" s="820">
        <v>2016</v>
      </c>
      <c r="M12" s="820">
        <f>+L12+1</f>
        <v>2017</v>
      </c>
      <c r="N12" s="820">
        <f t="shared" ref="N12:S12" si="2">+M12+1</f>
        <v>2018</v>
      </c>
      <c r="O12" s="820">
        <f t="shared" si="2"/>
        <v>2019</v>
      </c>
      <c r="P12" s="820">
        <f t="shared" si="2"/>
        <v>2020</v>
      </c>
      <c r="Q12" s="820">
        <f t="shared" si="2"/>
        <v>2021</v>
      </c>
      <c r="R12" s="820">
        <f t="shared" si="2"/>
        <v>2022</v>
      </c>
      <c r="S12" s="820">
        <f t="shared" si="2"/>
        <v>2023</v>
      </c>
    </row>
    <row r="13" spans="2:19" outlineLevel="1">
      <c r="B13" s="1" t="s">
        <v>3690</v>
      </c>
      <c r="C13" s="823">
        <f>+SUM(C14:C17)</f>
        <v>41846</v>
      </c>
      <c r="D13" s="823">
        <f t="shared" ref="D13:J13" si="3">+SUM(D14:D17)</f>
        <v>41639</v>
      </c>
      <c r="E13" s="823">
        <f t="shared" si="3"/>
        <v>43909</v>
      </c>
      <c r="F13" s="823">
        <f t="shared" si="3"/>
        <v>46238</v>
      </c>
      <c r="G13" s="823">
        <f t="shared" si="3"/>
        <v>44483</v>
      </c>
      <c r="H13" s="823">
        <f t="shared" si="3"/>
        <v>52689</v>
      </c>
      <c r="I13" s="823">
        <f t="shared" si="3"/>
        <v>58288</v>
      </c>
      <c r="J13" s="823">
        <f t="shared" si="3"/>
        <v>68123</v>
      </c>
      <c r="L13" s="878"/>
      <c r="M13" s="878">
        <f>+D13/C13-1</f>
        <v>-4.9467093629020908E-3</v>
      </c>
      <c r="N13" s="878">
        <f t="shared" ref="N13:S17" si="4">+E13/D13-1</f>
        <v>5.451619875597391E-2</v>
      </c>
      <c r="O13" s="878">
        <f t="shared" si="4"/>
        <v>5.3041517684301542E-2</v>
      </c>
      <c r="P13" s="878">
        <f t="shared" si="4"/>
        <v>-3.7955793935723903E-2</v>
      </c>
      <c r="Q13" s="878">
        <f t="shared" si="4"/>
        <v>0.18447496796529017</v>
      </c>
      <c r="R13" s="878">
        <f t="shared" si="4"/>
        <v>0.10626506481428755</v>
      </c>
      <c r="S13" s="878">
        <f t="shared" si="4"/>
        <v>0.16873112819105129</v>
      </c>
    </row>
    <row r="14" spans="2:19" outlineLevel="1">
      <c r="B14" t="s">
        <v>3691</v>
      </c>
      <c r="C14" s="595">
        <v>14174</v>
      </c>
      <c r="D14" s="595">
        <v>14669</v>
      </c>
      <c r="E14" s="595">
        <v>15479</v>
      </c>
      <c r="F14" s="595">
        <v>16090</v>
      </c>
      <c r="G14" s="595">
        <v>14776</v>
      </c>
      <c r="H14" s="595">
        <v>18492</v>
      </c>
      <c r="I14" s="595">
        <v>21804</v>
      </c>
      <c r="J14" s="595">
        <v>23087</v>
      </c>
      <c r="L14" s="703"/>
      <c r="M14" s="703">
        <f>+D14/C14-1</f>
        <v>3.4923098631296723E-2</v>
      </c>
      <c r="N14" s="703">
        <f t="shared" si="4"/>
        <v>5.5218487967823249E-2</v>
      </c>
      <c r="O14" s="703">
        <f t="shared" si="4"/>
        <v>3.9472834162413539E-2</v>
      </c>
      <c r="P14" s="703">
        <f t="shared" si="4"/>
        <v>-8.1665630826600388E-2</v>
      </c>
      <c r="Q14" s="703">
        <f t="shared" si="4"/>
        <v>0.25148890092041154</v>
      </c>
      <c r="R14" s="703">
        <f t="shared" si="4"/>
        <v>0.17910447761194037</v>
      </c>
      <c r="S14" s="703">
        <f t="shared" si="4"/>
        <v>5.8842414235920071E-2</v>
      </c>
    </row>
    <row r="15" spans="2:19" outlineLevel="1">
      <c r="B15" t="s">
        <v>3692</v>
      </c>
      <c r="C15" s="595">
        <v>10969</v>
      </c>
      <c r="D15" s="595">
        <v>11616</v>
      </c>
      <c r="E15" s="595">
        <v>12484</v>
      </c>
      <c r="F15" s="595">
        <v>13139</v>
      </c>
      <c r="G15" s="595">
        <v>11416</v>
      </c>
      <c r="H15" s="595">
        <v>13021</v>
      </c>
      <c r="I15" s="595">
        <v>14552</v>
      </c>
      <c r="J15" s="595">
        <v>14914</v>
      </c>
      <c r="L15" s="703"/>
      <c r="M15" s="703">
        <f>+D15/C15-1</f>
        <v>5.8984410611723881E-2</v>
      </c>
      <c r="N15" s="703">
        <f t="shared" si="4"/>
        <v>7.4724517906336052E-2</v>
      </c>
      <c r="O15" s="703">
        <f t="shared" si="4"/>
        <v>5.2467157962191591E-2</v>
      </c>
      <c r="P15" s="703">
        <f t="shared" si="4"/>
        <v>-0.13113631174366391</v>
      </c>
      <c r="Q15" s="703">
        <f t="shared" si="4"/>
        <v>0.14059215136650316</v>
      </c>
      <c r="R15" s="703">
        <f t="shared" si="4"/>
        <v>0.11757929498502429</v>
      </c>
      <c r="S15" s="703">
        <f t="shared" si="4"/>
        <v>2.4876305662451914E-2</v>
      </c>
    </row>
    <row r="16" spans="2:19" outlineLevel="1">
      <c r="B16" t="s">
        <v>3693</v>
      </c>
      <c r="C16" s="595">
        <v>4152</v>
      </c>
      <c r="D16" s="595">
        <v>4062</v>
      </c>
      <c r="E16" s="595">
        <v>4045</v>
      </c>
      <c r="F16" s="595">
        <v>4149</v>
      </c>
      <c r="G16" s="595">
        <v>4351</v>
      </c>
      <c r="H16" s="595">
        <v>4978</v>
      </c>
      <c r="I16" s="595">
        <v>5344</v>
      </c>
      <c r="J16" s="595">
        <v>5912</v>
      </c>
      <c r="L16" s="703"/>
      <c r="M16" s="703">
        <f>+D16/C16-1</f>
        <v>-2.1676300578034713E-2</v>
      </c>
      <c r="N16" s="703">
        <f t="shared" si="4"/>
        <v>-4.1851304775972764E-3</v>
      </c>
      <c r="O16" s="703">
        <f t="shared" si="4"/>
        <v>2.5710754017305382E-2</v>
      </c>
      <c r="P16" s="703">
        <f t="shared" si="4"/>
        <v>4.8686430465172403E-2</v>
      </c>
      <c r="Q16" s="703">
        <f t="shared" si="4"/>
        <v>0.14410480349344978</v>
      </c>
      <c r="R16" s="703">
        <f t="shared" si="4"/>
        <v>7.3523503415026115E-2</v>
      </c>
      <c r="S16" s="703">
        <f t="shared" si="4"/>
        <v>0.10628742514970058</v>
      </c>
    </row>
    <row r="17" spans="2:19" outlineLevel="1">
      <c r="B17" t="s">
        <v>3694</v>
      </c>
      <c r="C17" s="595">
        <v>12551</v>
      </c>
      <c r="D17" s="595">
        <v>11292</v>
      </c>
      <c r="E17" s="595">
        <v>11901</v>
      </c>
      <c r="F17" s="595">
        <v>12860</v>
      </c>
      <c r="G17" s="595">
        <v>13940</v>
      </c>
      <c r="H17" s="595">
        <v>16198</v>
      </c>
      <c r="I17" s="595">
        <v>16588</v>
      </c>
      <c r="J17" s="595">
        <v>24210</v>
      </c>
      <c r="L17" s="703"/>
      <c r="M17" s="703">
        <f>+D17/C17-1</f>
        <v>-0.1003107322125727</v>
      </c>
      <c r="N17" s="703">
        <f t="shared" si="4"/>
        <v>5.3931987247608948E-2</v>
      </c>
      <c r="O17" s="703">
        <f t="shared" si="4"/>
        <v>8.0581463742542603E-2</v>
      </c>
      <c r="P17" s="703">
        <f t="shared" si="4"/>
        <v>8.3981337480559803E-2</v>
      </c>
      <c r="Q17" s="703">
        <f t="shared" si="4"/>
        <v>0.16197991391678612</v>
      </c>
      <c r="R17" s="703">
        <f t="shared" si="4"/>
        <v>2.4077046548956593E-2</v>
      </c>
      <c r="S17" s="703">
        <f t="shared" si="4"/>
        <v>0.45948878707499397</v>
      </c>
    </row>
    <row r="18" spans="2:19" ht="9.4" customHeight="1" outlineLevel="1">
      <c r="C18" s="595"/>
      <c r="D18" s="595"/>
      <c r="E18" s="595"/>
      <c r="F18" s="595"/>
      <c r="G18" s="595"/>
      <c r="H18" s="595"/>
      <c r="I18" s="595"/>
      <c r="J18" s="595"/>
      <c r="L18" s="703"/>
      <c r="M18" s="703"/>
      <c r="N18" s="703"/>
      <c r="O18" s="703"/>
      <c r="P18" s="703"/>
      <c r="Q18" s="703"/>
      <c r="R18" s="703"/>
      <c r="S18" s="703"/>
    </row>
    <row r="19" spans="2:19" outlineLevel="1">
      <c r="B19" s="1" t="s">
        <v>3695</v>
      </c>
      <c r="C19" s="823">
        <f>+SUM(C20:C23)</f>
        <v>86011</v>
      </c>
      <c r="D19" s="823">
        <f t="shared" ref="D19" si="5">+SUM(D20:D23)</f>
        <v>87911</v>
      </c>
      <c r="E19" s="823">
        <f t="shared" ref="E19:J19" si="6">+SUM(E20:E23)</f>
        <v>90992</v>
      </c>
      <c r="F19" s="823">
        <f t="shared" si="6"/>
        <v>94682</v>
      </c>
      <c r="G19" s="823">
        <f t="shared" si="6"/>
        <v>90675</v>
      </c>
      <c r="H19" s="823">
        <f t="shared" si="6"/>
        <v>131123</v>
      </c>
      <c r="I19" s="823">
        <f t="shared" si="6"/>
        <v>173973</v>
      </c>
      <c r="J19" s="823">
        <f t="shared" si="6"/>
        <v>171992</v>
      </c>
      <c r="L19" s="878"/>
      <c r="M19" s="878">
        <f>+D19/C19-1</f>
        <v>2.2090197765401998E-2</v>
      </c>
      <c r="N19" s="878">
        <f t="shared" ref="N19:S23" si="7">+E19/D19-1</f>
        <v>3.5046808704257693E-2</v>
      </c>
      <c r="O19" s="878">
        <f t="shared" si="7"/>
        <v>4.0553015649727353E-2</v>
      </c>
      <c r="P19" s="878">
        <f t="shared" si="7"/>
        <v>-4.2320610042035467E-2</v>
      </c>
      <c r="Q19" s="878">
        <f t="shared" si="7"/>
        <v>0.44607664736696995</v>
      </c>
      <c r="R19" s="878">
        <f t="shared" si="7"/>
        <v>0.3267924010280423</v>
      </c>
      <c r="S19" s="878">
        <f t="shared" si="7"/>
        <v>-1.1386824392290773E-2</v>
      </c>
    </row>
    <row r="20" spans="2:19" outlineLevel="1">
      <c r="B20" t="s">
        <v>3691</v>
      </c>
      <c r="C20" s="595">
        <v>50200</v>
      </c>
      <c r="D20" s="595">
        <v>51333</v>
      </c>
      <c r="E20" s="595">
        <v>52894</v>
      </c>
      <c r="F20" s="595">
        <v>53923</v>
      </c>
      <c r="G20" s="595">
        <v>51534</v>
      </c>
      <c r="H20" s="595">
        <v>82128</v>
      </c>
      <c r="I20" s="595">
        <v>119357</v>
      </c>
      <c r="J20" s="595">
        <v>111873</v>
      </c>
      <c r="L20" s="703"/>
      <c r="M20" s="703">
        <f>+D20/C20-1</f>
        <v>2.2569721115537789E-2</v>
      </c>
      <c r="N20" s="703">
        <f t="shared" si="7"/>
        <v>3.0409288372002408E-2</v>
      </c>
      <c r="O20" s="703">
        <f t="shared" si="7"/>
        <v>1.9454002344311272E-2</v>
      </c>
      <c r="P20" s="703">
        <f t="shared" si="7"/>
        <v>-4.4303914841533287E-2</v>
      </c>
      <c r="Q20" s="703">
        <f t="shared" si="7"/>
        <v>0.59366631738269882</v>
      </c>
      <c r="R20" s="703">
        <f t="shared" si="7"/>
        <v>0.45330459770114939</v>
      </c>
      <c r="S20" s="703">
        <f t="shared" si="7"/>
        <v>-6.2702648357448654E-2</v>
      </c>
    </row>
    <row r="21" spans="2:19" outlineLevel="1">
      <c r="B21" t="s">
        <v>3692</v>
      </c>
      <c r="C21" s="595">
        <v>19958</v>
      </c>
      <c r="D21" s="595">
        <v>20611</v>
      </c>
      <c r="E21" s="595">
        <v>21427</v>
      </c>
      <c r="F21" s="595">
        <v>21803</v>
      </c>
      <c r="G21" s="595">
        <v>19206</v>
      </c>
      <c r="H21" s="595">
        <v>24360</v>
      </c>
      <c r="I21" s="595">
        <v>27332</v>
      </c>
      <c r="J21" s="595">
        <v>28715</v>
      </c>
      <c r="L21" s="703"/>
      <c r="M21" s="703">
        <f>+D21/C21-1</f>
        <v>3.2718709289508041E-2</v>
      </c>
      <c r="N21" s="703">
        <f t="shared" si="7"/>
        <v>3.9590509921886285E-2</v>
      </c>
      <c r="O21" s="703">
        <f t="shared" si="7"/>
        <v>1.7547953516591219E-2</v>
      </c>
      <c r="P21" s="703">
        <f t="shared" si="7"/>
        <v>-0.11911204880062376</v>
      </c>
      <c r="Q21" s="703">
        <f t="shared" si="7"/>
        <v>0.26835363948766</v>
      </c>
      <c r="R21" s="703">
        <f t="shared" si="7"/>
        <v>0.12200328407224958</v>
      </c>
      <c r="S21" s="703">
        <f t="shared" si="7"/>
        <v>5.0600029269720403E-2</v>
      </c>
    </row>
    <row r="22" spans="2:19" outlineLevel="1">
      <c r="B22" t="s">
        <v>3693</v>
      </c>
      <c r="C22" s="595">
        <v>5079</v>
      </c>
      <c r="D22" s="595">
        <v>5046</v>
      </c>
      <c r="E22" s="595">
        <v>5251</v>
      </c>
      <c r="F22" s="595">
        <v>5643</v>
      </c>
      <c r="G22" s="595">
        <v>6293</v>
      </c>
      <c r="H22" s="595">
        <v>7739</v>
      </c>
      <c r="I22" s="595">
        <v>8624</v>
      </c>
      <c r="J22" s="595">
        <v>10223</v>
      </c>
      <c r="L22" s="703"/>
      <c r="M22" s="703">
        <f>+D22/C22-1</f>
        <v>-6.4973419964560186E-3</v>
      </c>
      <c r="N22" s="703">
        <f t="shared" si="7"/>
        <v>4.0626238604835496E-2</v>
      </c>
      <c r="O22" s="703">
        <f t="shared" si="7"/>
        <v>7.4652447152923296E-2</v>
      </c>
      <c r="P22" s="703">
        <f t="shared" si="7"/>
        <v>0.11518695729222039</v>
      </c>
      <c r="Q22" s="703">
        <f t="shared" si="7"/>
        <v>0.22977911965676157</v>
      </c>
      <c r="R22" s="703">
        <f t="shared" si="7"/>
        <v>0.11435585993022346</v>
      </c>
      <c r="S22" s="703">
        <f t="shared" si="7"/>
        <v>0.18541280148423001</v>
      </c>
    </row>
    <row r="23" spans="2:19" outlineLevel="1">
      <c r="B23" t="s">
        <v>3694</v>
      </c>
      <c r="C23" s="595">
        <v>10774</v>
      </c>
      <c r="D23" s="595">
        <v>10921</v>
      </c>
      <c r="E23" s="595">
        <v>11420</v>
      </c>
      <c r="F23" s="595">
        <v>13313</v>
      </c>
      <c r="G23" s="595">
        <v>13642</v>
      </c>
      <c r="H23" s="595">
        <v>16896</v>
      </c>
      <c r="I23" s="595">
        <v>18660</v>
      </c>
      <c r="J23" s="595">
        <v>21181</v>
      </c>
      <c r="L23" s="703"/>
      <c r="M23" s="703">
        <f>+D23/C23-1</f>
        <v>1.3643957675886442E-2</v>
      </c>
      <c r="N23" s="703">
        <f t="shared" si="7"/>
        <v>4.5691786466440787E-2</v>
      </c>
      <c r="O23" s="703">
        <f t="shared" si="7"/>
        <v>0.16576182136602458</v>
      </c>
      <c r="P23" s="703">
        <f t="shared" si="7"/>
        <v>2.4712686847442322E-2</v>
      </c>
      <c r="Q23" s="703">
        <f t="shared" si="7"/>
        <v>0.23852807506230755</v>
      </c>
      <c r="R23" s="703">
        <f t="shared" si="7"/>
        <v>0.10440340909090917</v>
      </c>
      <c r="S23" s="703">
        <f t="shared" si="7"/>
        <v>0.13510182207931409</v>
      </c>
    </row>
    <row r="24" spans="2:19" ht="4.5" customHeight="1" outlineLevel="1">
      <c r="C24" s="595"/>
      <c r="D24" s="595"/>
      <c r="E24" s="595"/>
      <c r="F24" s="595"/>
      <c r="G24" s="595"/>
      <c r="H24" s="595"/>
      <c r="I24" s="595"/>
      <c r="J24" s="595"/>
      <c r="L24" s="703"/>
      <c r="M24" s="703"/>
      <c r="N24" s="703"/>
      <c r="O24" s="703"/>
      <c r="P24" s="703"/>
      <c r="Q24" s="703"/>
      <c r="R24" s="703"/>
      <c r="S24" s="703"/>
    </row>
    <row r="25" spans="2:19" outlineLevel="1">
      <c r="B25" s="2" t="s">
        <v>3696</v>
      </c>
      <c r="C25" s="829">
        <f>+C19+C13</f>
        <v>127857</v>
      </c>
      <c r="D25" s="829">
        <f t="shared" ref="D25:J25" si="8">+D19+D13</f>
        <v>129550</v>
      </c>
      <c r="E25" s="829">
        <f t="shared" si="8"/>
        <v>134901</v>
      </c>
      <c r="F25" s="829">
        <f t="shared" si="8"/>
        <v>140920</v>
      </c>
      <c r="G25" s="829">
        <f t="shared" si="8"/>
        <v>135158</v>
      </c>
      <c r="H25" s="829">
        <f t="shared" si="8"/>
        <v>183812</v>
      </c>
      <c r="I25" s="829">
        <f t="shared" si="8"/>
        <v>232261</v>
      </c>
      <c r="J25" s="829">
        <f t="shared" si="8"/>
        <v>240115</v>
      </c>
      <c r="L25" s="828">
        <f>+L19+L13</f>
        <v>0</v>
      </c>
      <c r="M25" s="828">
        <f>+D25/C25-1</f>
        <v>1.3241355576933511E-2</v>
      </c>
      <c r="N25" s="828">
        <f t="shared" ref="N25:S25" si="9">+E25/D25-1</f>
        <v>4.1304515631030547E-2</v>
      </c>
      <c r="O25" s="828">
        <f t="shared" si="9"/>
        <v>4.4617904982172218E-2</v>
      </c>
      <c r="P25" s="828">
        <f t="shared" si="9"/>
        <v>-4.0888447346011936E-2</v>
      </c>
      <c r="Q25" s="828">
        <f t="shared" si="9"/>
        <v>0.35997869160538043</v>
      </c>
      <c r="R25" s="828">
        <f t="shared" si="9"/>
        <v>0.26357909168063021</v>
      </c>
      <c r="S25" s="828">
        <f t="shared" si="9"/>
        <v>3.381540594417487E-2</v>
      </c>
    </row>
    <row r="26" spans="2:19" ht="5.65" customHeight="1" outlineLevel="1">
      <c r="L26" s="703"/>
      <c r="M26" s="703"/>
      <c r="N26" s="703"/>
      <c r="O26" s="703"/>
      <c r="P26" s="703"/>
      <c r="Q26" s="703"/>
      <c r="R26" s="703"/>
      <c r="S26" s="703"/>
    </row>
    <row r="27" spans="2:19" outlineLevel="1">
      <c r="B27" t="s">
        <v>3697</v>
      </c>
      <c r="C27" s="595">
        <v>36737</v>
      </c>
      <c r="D27" s="595">
        <v>37284</v>
      </c>
      <c r="E27" s="595">
        <v>38195</v>
      </c>
      <c r="F27" s="595">
        <v>38600</v>
      </c>
      <c r="G27" s="595">
        <v>37430</v>
      </c>
      <c r="H27" s="595">
        <v>43868</v>
      </c>
      <c r="I27" s="595">
        <v>49253</v>
      </c>
      <c r="J27" s="877">
        <v>0</v>
      </c>
      <c r="L27" s="703"/>
      <c r="M27" s="703">
        <f>+D27/C27-1</f>
        <v>1.4889620818248739E-2</v>
      </c>
      <c r="N27" s="703">
        <f t="shared" ref="N27:S27" si="10">+E27/D27-1</f>
        <v>2.443407359725347E-2</v>
      </c>
      <c r="O27" s="703">
        <f t="shared" si="10"/>
        <v>1.0603482131168906E-2</v>
      </c>
      <c r="P27" s="703">
        <f t="shared" si="10"/>
        <v>-3.0310880829015563E-2</v>
      </c>
      <c r="Q27" s="703">
        <f t="shared" si="10"/>
        <v>0.17200106866150144</v>
      </c>
      <c r="R27" s="703">
        <f t="shared" si="10"/>
        <v>0.12275462751892041</v>
      </c>
      <c r="S27" s="703">
        <f t="shared" si="10"/>
        <v>-1</v>
      </c>
    </row>
    <row r="28" spans="2:19" ht="5.0999999999999996" customHeight="1" outlineLevel="1">
      <c r="C28" s="595"/>
      <c r="D28" s="595"/>
      <c r="E28" s="595"/>
      <c r="F28" s="595"/>
      <c r="G28" s="595"/>
      <c r="H28" s="595"/>
      <c r="I28" s="595"/>
      <c r="J28" s="595"/>
      <c r="L28" s="703"/>
      <c r="M28" s="703"/>
      <c r="N28" s="703"/>
      <c r="O28" s="703"/>
      <c r="P28" s="703"/>
      <c r="Q28" s="703"/>
      <c r="R28" s="703"/>
      <c r="S28" s="703"/>
    </row>
    <row r="29" spans="2:19" outlineLevel="1">
      <c r="B29" s="874" t="s">
        <v>3698</v>
      </c>
      <c r="C29" s="875">
        <f>+C25+C27</f>
        <v>164594</v>
      </c>
      <c r="D29" s="875">
        <f t="shared" ref="D29:J29" si="11">+D25+D27</f>
        <v>166834</v>
      </c>
      <c r="E29" s="875">
        <f t="shared" si="11"/>
        <v>173096</v>
      </c>
      <c r="F29" s="875">
        <f t="shared" si="11"/>
        <v>179520</v>
      </c>
      <c r="G29" s="875">
        <f t="shared" si="11"/>
        <v>172588</v>
      </c>
      <c r="H29" s="875">
        <f t="shared" si="11"/>
        <v>227680</v>
      </c>
      <c r="I29" s="875">
        <f t="shared" si="11"/>
        <v>281514</v>
      </c>
      <c r="J29" s="875">
        <f t="shared" si="11"/>
        <v>240115</v>
      </c>
      <c r="L29" s="879">
        <f>+L25+L27</f>
        <v>0</v>
      </c>
      <c r="M29" s="880">
        <f>+D29/C29-1</f>
        <v>1.3609244565415457E-2</v>
      </c>
      <c r="N29" s="880">
        <f t="shared" ref="N29:S29" si="12">+E29/D29-1</f>
        <v>3.7534315547190555E-2</v>
      </c>
      <c r="O29" s="880">
        <f t="shared" si="12"/>
        <v>3.7112353838332446E-2</v>
      </c>
      <c r="P29" s="880">
        <f t="shared" si="12"/>
        <v>-3.8614081996434901E-2</v>
      </c>
      <c r="Q29" s="880">
        <f t="shared" si="12"/>
        <v>0.31921106913574526</v>
      </c>
      <c r="R29" s="880">
        <f t="shared" si="12"/>
        <v>0.23644588896697116</v>
      </c>
      <c r="S29" s="880">
        <f t="shared" si="12"/>
        <v>-0.14705840562103478</v>
      </c>
    </row>
    <row r="30" spans="2:19" outlineLevel="1">
      <c r="C30" s="876"/>
    </row>
    <row r="31" spans="2:19" outlineLevel="1">
      <c r="B31" s="820"/>
      <c r="C31" s="820">
        <v>2016</v>
      </c>
      <c r="D31" s="820">
        <f>+C31+1</f>
        <v>2017</v>
      </c>
      <c r="E31" s="820">
        <f t="shared" ref="E31:J31" si="13">+D31+1</f>
        <v>2018</v>
      </c>
      <c r="F31" s="820">
        <f t="shared" si="13"/>
        <v>2019</v>
      </c>
      <c r="G31" s="820">
        <f t="shared" si="13"/>
        <v>2020</v>
      </c>
      <c r="H31" s="820">
        <f t="shared" si="13"/>
        <v>2021</v>
      </c>
      <c r="I31" s="820">
        <f t="shared" si="13"/>
        <v>2022</v>
      </c>
      <c r="J31" s="820">
        <f t="shared" si="13"/>
        <v>2023</v>
      </c>
    </row>
    <row r="32" spans="2:19" outlineLevel="1">
      <c r="B32" t="s">
        <v>3691</v>
      </c>
      <c r="C32" s="644">
        <f>+C14+C20</f>
        <v>64374</v>
      </c>
      <c r="D32" s="644">
        <f t="shared" ref="D32:J33" si="14">+D14+D20</f>
        <v>66002</v>
      </c>
      <c r="E32" s="644">
        <f t="shared" si="14"/>
        <v>68373</v>
      </c>
      <c r="F32" s="644">
        <f t="shared" si="14"/>
        <v>70013</v>
      </c>
      <c r="G32" s="644">
        <f t="shared" si="14"/>
        <v>66310</v>
      </c>
      <c r="H32" s="644">
        <f t="shared" si="14"/>
        <v>100620</v>
      </c>
      <c r="I32" s="644">
        <f t="shared" si="14"/>
        <v>141161</v>
      </c>
      <c r="J32" s="644">
        <f t="shared" si="14"/>
        <v>134960</v>
      </c>
      <c r="M32" s="703">
        <f>+D32/C32-1</f>
        <v>2.52897132382639E-2</v>
      </c>
      <c r="N32" s="703">
        <f t="shared" ref="N32:S36" si="15">+E32/D32-1</f>
        <v>3.5923153843822941E-2</v>
      </c>
      <c r="O32" s="703">
        <f t="shared" si="15"/>
        <v>2.3986076375177356E-2</v>
      </c>
      <c r="P32" s="703">
        <f t="shared" si="15"/>
        <v>-5.289017753845715E-2</v>
      </c>
      <c r="Q32" s="703">
        <f t="shared" si="15"/>
        <v>0.51741818730206601</v>
      </c>
      <c r="R32" s="703">
        <f t="shared" si="15"/>
        <v>0.40291194593520174</v>
      </c>
      <c r="S32" s="703">
        <f t="shared" si="15"/>
        <v>-4.3928563838454004E-2</v>
      </c>
    </row>
    <row r="33" spans="2:19" outlineLevel="1">
      <c r="B33" t="s">
        <v>3699</v>
      </c>
      <c r="C33" s="644">
        <f>+C15+C21</f>
        <v>30927</v>
      </c>
      <c r="D33" s="644">
        <f t="shared" si="14"/>
        <v>32227</v>
      </c>
      <c r="E33" s="644">
        <f t="shared" si="14"/>
        <v>33911</v>
      </c>
      <c r="F33" s="644">
        <f t="shared" si="14"/>
        <v>34942</v>
      </c>
      <c r="G33" s="644">
        <f t="shared" si="14"/>
        <v>30622</v>
      </c>
      <c r="H33" s="644">
        <f t="shared" si="14"/>
        <v>37381</v>
      </c>
      <c r="I33" s="644">
        <f t="shared" si="14"/>
        <v>41884</v>
      </c>
      <c r="J33" s="644">
        <f t="shared" si="14"/>
        <v>43629</v>
      </c>
      <c r="M33" s="703">
        <f>+D33/C33-1</f>
        <v>4.2034468263976388E-2</v>
      </c>
      <c r="N33" s="703">
        <f t="shared" si="15"/>
        <v>5.2254320911037322E-2</v>
      </c>
      <c r="O33" s="703">
        <f t="shared" si="15"/>
        <v>3.0403114033794365E-2</v>
      </c>
      <c r="P33" s="703">
        <f t="shared" si="15"/>
        <v>-0.12363344971667334</v>
      </c>
      <c r="Q33" s="703">
        <f t="shared" si="15"/>
        <v>0.22072366272614463</v>
      </c>
      <c r="R33" s="703">
        <f t="shared" si="15"/>
        <v>0.12046226692704853</v>
      </c>
      <c r="S33" s="703">
        <f t="shared" si="15"/>
        <v>4.1662687422404643E-2</v>
      </c>
    </row>
    <row r="34" spans="2:19" outlineLevel="1">
      <c r="B34" t="s">
        <v>3700</v>
      </c>
      <c r="C34" s="644">
        <f>+C16+C17+C22+C23</f>
        <v>32556</v>
      </c>
      <c r="D34" s="644">
        <f t="shared" ref="D34:J34" si="16">+D16+D17+D22+D23</f>
        <v>31321</v>
      </c>
      <c r="E34" s="644">
        <f t="shared" si="16"/>
        <v>32617</v>
      </c>
      <c r="F34" s="644">
        <f t="shared" si="16"/>
        <v>35965</v>
      </c>
      <c r="G34" s="644">
        <f t="shared" si="16"/>
        <v>38226</v>
      </c>
      <c r="H34" s="644">
        <f t="shared" si="16"/>
        <v>45811</v>
      </c>
      <c r="I34" s="644">
        <f>+I16+I17+I22+I23</f>
        <v>49216</v>
      </c>
      <c r="J34" s="644">
        <f t="shared" si="16"/>
        <v>61526</v>
      </c>
      <c r="M34" s="703">
        <f>+D34/C34-1</f>
        <v>-3.7934635704632069E-2</v>
      </c>
      <c r="N34" s="703">
        <f t="shared" si="15"/>
        <v>4.1377989208518207E-2</v>
      </c>
      <c r="O34" s="703">
        <f t="shared" si="15"/>
        <v>0.10264585952110861</v>
      </c>
      <c r="P34" s="703">
        <f t="shared" si="15"/>
        <v>6.2866675934936778E-2</v>
      </c>
      <c r="Q34" s="703">
        <f t="shared" si="15"/>
        <v>0.19842515565322039</v>
      </c>
      <c r="R34" s="703">
        <f>+I34/H34-1</f>
        <v>7.4327126672633304E-2</v>
      </c>
      <c r="S34" s="703">
        <f t="shared" si="15"/>
        <v>0.25012191157347208</v>
      </c>
    </row>
    <row r="35" spans="2:19" outlineLevel="1">
      <c r="B35" t="s">
        <v>3697</v>
      </c>
      <c r="C35" s="644">
        <f>+C27</f>
        <v>36737</v>
      </c>
      <c r="D35" s="644">
        <f t="shared" ref="D35:J35" si="17">+D27</f>
        <v>37284</v>
      </c>
      <c r="E35" s="644">
        <f t="shared" si="17"/>
        <v>38195</v>
      </c>
      <c r="F35" s="644">
        <f t="shared" si="17"/>
        <v>38600</v>
      </c>
      <c r="G35" s="644">
        <f t="shared" si="17"/>
        <v>37430</v>
      </c>
      <c r="H35" s="644">
        <f t="shared" si="17"/>
        <v>43868</v>
      </c>
      <c r="I35" s="644">
        <f t="shared" si="17"/>
        <v>49253</v>
      </c>
      <c r="J35" s="877">
        <f t="shared" si="17"/>
        <v>0</v>
      </c>
      <c r="M35" s="703">
        <f>+D35/C35-1</f>
        <v>1.4889620818248739E-2</v>
      </c>
      <c r="N35" s="703">
        <f t="shared" si="15"/>
        <v>2.443407359725347E-2</v>
      </c>
      <c r="O35" s="703">
        <f t="shared" si="15"/>
        <v>1.0603482131168906E-2</v>
      </c>
      <c r="P35" s="703">
        <f t="shared" si="15"/>
        <v>-3.0310880829015563E-2</v>
      </c>
      <c r="Q35" s="703">
        <f t="shared" si="15"/>
        <v>0.17200106866150144</v>
      </c>
      <c r="R35" s="703">
        <f>+I35/H35-1</f>
        <v>0.12275462751892041</v>
      </c>
      <c r="S35" s="881"/>
    </row>
    <row r="36" spans="2:19" outlineLevel="1">
      <c r="B36" s="874" t="s">
        <v>3698</v>
      </c>
      <c r="C36" s="875">
        <f>+SUM(C32:C35)</f>
        <v>164594</v>
      </c>
      <c r="D36" s="875">
        <f t="shared" ref="D36:J36" si="18">+SUM(D32:D35)</f>
        <v>166834</v>
      </c>
      <c r="E36" s="875">
        <f t="shared" si="18"/>
        <v>173096</v>
      </c>
      <c r="F36" s="875">
        <f t="shared" si="18"/>
        <v>179520</v>
      </c>
      <c r="G36" s="875">
        <f t="shared" si="18"/>
        <v>172588</v>
      </c>
      <c r="H36" s="875">
        <f t="shared" si="18"/>
        <v>227680</v>
      </c>
      <c r="I36" s="875">
        <f t="shared" si="18"/>
        <v>281514</v>
      </c>
      <c r="J36" s="875">
        <f t="shared" si="18"/>
        <v>240115</v>
      </c>
      <c r="M36" s="703">
        <f>+D36/C36-1</f>
        <v>1.3609244565415457E-2</v>
      </c>
      <c r="N36" s="703">
        <f t="shared" si="15"/>
        <v>3.7534315547190555E-2</v>
      </c>
      <c r="O36" s="703">
        <f t="shared" si="15"/>
        <v>3.7112353838332446E-2</v>
      </c>
      <c r="P36" s="703">
        <f t="shared" si="15"/>
        <v>-3.8614081996434901E-2</v>
      </c>
      <c r="Q36" s="703">
        <f t="shared" si="15"/>
        <v>0.31921106913574526</v>
      </c>
      <c r="R36" s="703">
        <f t="shared" si="15"/>
        <v>0.23644588896697116</v>
      </c>
      <c r="S36" s="881"/>
    </row>
    <row r="37" spans="2:19" outlineLevel="1">
      <c r="C37" s="644">
        <f>+C36-C29</f>
        <v>0</v>
      </c>
      <c r="D37" s="644">
        <f t="shared" ref="D37:J37" si="19">+D36-D29</f>
        <v>0</v>
      </c>
      <c r="E37" s="644">
        <f t="shared" si="19"/>
        <v>0</v>
      </c>
      <c r="F37" s="644">
        <f t="shared" si="19"/>
        <v>0</v>
      </c>
      <c r="G37" s="644">
        <f t="shared" si="19"/>
        <v>0</v>
      </c>
      <c r="H37" s="644">
        <f t="shared" si="19"/>
        <v>0</v>
      </c>
      <c r="I37" s="644">
        <f t="shared" si="19"/>
        <v>0</v>
      </c>
      <c r="J37" s="644">
        <f t="shared" si="19"/>
        <v>0</v>
      </c>
    </row>
    <row r="38" spans="2:19" outlineLevel="1">
      <c r="C38" s="644"/>
      <c r="D38" s="644"/>
      <c r="E38" s="644"/>
      <c r="F38" s="644"/>
      <c r="G38" s="644"/>
      <c r="H38" s="644"/>
      <c r="I38" s="644"/>
      <c r="J38" s="644"/>
    </row>
    <row r="39" spans="2:19" outlineLevel="1">
      <c r="G39" s="703"/>
      <c r="H39" s="703"/>
      <c r="I39" s="703"/>
    </row>
    <row r="40" spans="2:19" outlineLevel="1">
      <c r="B40" s="1" t="s">
        <v>3672</v>
      </c>
    </row>
    <row r="41" spans="2:19" ht="4.1500000000000004" customHeight="1" outlineLevel="1"/>
    <row r="42" spans="2:19" outlineLevel="1">
      <c r="B42" s="820">
        <v>2019</v>
      </c>
      <c r="C42" s="820">
        <f>+B42+1</f>
        <v>2020</v>
      </c>
      <c r="D42" s="820">
        <f t="shared" ref="D42:I42" si="20">+C42+1</f>
        <v>2021</v>
      </c>
      <c r="E42" s="820">
        <f t="shared" si="20"/>
        <v>2022</v>
      </c>
      <c r="F42" s="820">
        <f t="shared" si="20"/>
        <v>2023</v>
      </c>
      <c r="G42" s="820">
        <f t="shared" si="20"/>
        <v>2024</v>
      </c>
      <c r="H42" s="820">
        <f t="shared" si="20"/>
        <v>2025</v>
      </c>
      <c r="I42" s="820">
        <f t="shared" si="20"/>
        <v>2026</v>
      </c>
      <c r="J42" s="870" t="s">
        <v>3671</v>
      </c>
      <c r="K42" s="870"/>
      <c r="L42" s="870" t="s">
        <v>3673</v>
      </c>
    </row>
    <row r="43" spans="2:19" outlineLevel="1">
      <c r="B43" s="74">
        <v>9310</v>
      </c>
      <c r="C43" s="74">
        <v>9110</v>
      </c>
      <c r="D43" s="74">
        <v>9644</v>
      </c>
      <c r="E43" s="74">
        <v>9989</v>
      </c>
      <c r="F43" s="74">
        <v>10149</v>
      </c>
      <c r="G43" s="74">
        <v>10375</v>
      </c>
      <c r="H43" s="74">
        <v>10652</v>
      </c>
      <c r="I43" s="74">
        <v>10954</v>
      </c>
      <c r="J43" s="60">
        <f>IF(E43*B43&lt;=0,"n/a",IF(B43&gt;E43,-ABS((E43/B43)^(1/(3))-1),ABS((E43/B43)^(1/(3))-1)))</f>
        <v>2.3742604356253194E-2</v>
      </c>
      <c r="K43" s="60"/>
      <c r="L43" s="60">
        <f>IF(I43*F43&lt;=0,"n/a",IF(F43&gt;I43,-ABS((I43/F43)^(1/(3))-1),ABS((I43/F43)^(1/(3))-1)))</f>
        <v>2.5769609407231497E-2</v>
      </c>
    </row>
    <row r="44" spans="2:19" outlineLevel="1">
      <c r="B44" s="868"/>
      <c r="C44" s="869">
        <f t="shared" ref="C44:I44" si="21">+C43/B43-1</f>
        <v>-2.1482277121374849E-2</v>
      </c>
      <c r="D44" s="869">
        <f t="shared" si="21"/>
        <v>5.8616904500548905E-2</v>
      </c>
      <c r="E44" s="869">
        <f t="shared" si="21"/>
        <v>3.5773537951057754E-2</v>
      </c>
      <c r="F44" s="869">
        <f t="shared" si="21"/>
        <v>1.6017619381319514E-2</v>
      </c>
      <c r="G44" s="869">
        <f t="shared" si="21"/>
        <v>2.2268203763917693E-2</v>
      </c>
      <c r="H44" s="869">
        <f t="shared" si="21"/>
        <v>2.6698795180722934E-2</v>
      </c>
      <c r="I44" s="869">
        <f t="shared" si="21"/>
        <v>2.8351483289523083E-2</v>
      </c>
      <c r="J44" s="60"/>
      <c r="K44" s="60"/>
      <c r="L44" s="60"/>
    </row>
    <row r="45" spans="2:19" outlineLevel="1">
      <c r="B45" t="s">
        <v>3674</v>
      </c>
    </row>
    <row r="46" spans="2:19" outlineLevel="1">
      <c r="B46" t="s">
        <v>3675</v>
      </c>
    </row>
    <row r="47" spans="2:19" outlineLevel="1"/>
    <row r="48" spans="2:19" outlineLevel="1"/>
    <row r="49" spans="2:11" outlineLevel="1">
      <c r="B49" s="1" t="s">
        <v>3676</v>
      </c>
    </row>
    <row r="50" spans="2:11" ht="4.5" customHeight="1" outlineLevel="1"/>
    <row r="51" spans="2:11" outlineLevel="1">
      <c r="C51" s="820">
        <v>2020</v>
      </c>
      <c r="D51" s="820">
        <f t="shared" ref="D51:E51" si="22">+C51+1</f>
        <v>2021</v>
      </c>
      <c r="E51" s="820">
        <f t="shared" si="22"/>
        <v>2022</v>
      </c>
      <c r="F51" s="871" t="s">
        <v>3682</v>
      </c>
      <c r="G51" t="s">
        <v>3683</v>
      </c>
    </row>
    <row r="52" spans="2:11" outlineLevel="1">
      <c r="B52" t="s">
        <v>3677</v>
      </c>
      <c r="C52" s="703">
        <v>-1.7999999999999999E-2</v>
      </c>
      <c r="D52" s="703">
        <v>6.4000000000000001E-2</v>
      </c>
      <c r="E52" s="703">
        <v>5.0999999999999997E-2</v>
      </c>
      <c r="F52" s="703">
        <v>3.2000000000000001E-2</v>
      </c>
    </row>
    <row r="53" spans="2:11" outlineLevel="1">
      <c r="B53" t="s">
        <v>3678</v>
      </c>
      <c r="C53" s="703">
        <v>-4.3999999999999997E-2</v>
      </c>
      <c r="D53" s="703">
        <v>6.4000000000000001E-2</v>
      </c>
      <c r="E53" s="703">
        <v>5.0999999999999997E-2</v>
      </c>
      <c r="F53" s="703">
        <v>5.7000000000000002E-2</v>
      </c>
    </row>
    <row r="54" spans="2:11" outlineLevel="1">
      <c r="B54" t="s">
        <v>3679</v>
      </c>
      <c r="C54" s="703">
        <v>-3.9E-2</v>
      </c>
      <c r="D54" s="703">
        <v>5.8000000000000003E-2</v>
      </c>
      <c r="E54" s="703">
        <v>2.5999999999999999E-2</v>
      </c>
      <c r="F54" s="703">
        <v>8.0000000000000002E-3</v>
      </c>
    </row>
    <row r="55" spans="2:11" outlineLevel="1">
      <c r="B55" t="s">
        <v>217</v>
      </c>
      <c r="C55" s="703">
        <v>1.6E-2</v>
      </c>
      <c r="D55" s="703">
        <v>3.3000000000000002E-2</v>
      </c>
      <c r="E55" s="703">
        <v>3.0000000000000001E-3</v>
      </c>
      <c r="F55" s="703">
        <v>6.0000000000000001E-3</v>
      </c>
    </row>
    <row r="56" spans="2:11" outlineLevel="1">
      <c r="B56" t="s">
        <v>3680</v>
      </c>
      <c r="C56" s="703">
        <v>-2.3E-2</v>
      </c>
      <c r="D56" s="703">
        <v>2.1999999999999999E-2</v>
      </c>
      <c r="E56" s="703">
        <v>-3.0000000000000001E-3</v>
      </c>
      <c r="F56" s="703">
        <v>3.6999999999999998E-2</v>
      </c>
    </row>
    <row r="57" spans="2:11" outlineLevel="1">
      <c r="B57" t="s">
        <v>3681</v>
      </c>
      <c r="C57" s="703">
        <v>-0.14199999999999999</v>
      </c>
      <c r="D57" s="703">
        <v>0.14399999999999999</v>
      </c>
      <c r="E57" s="703">
        <v>5.1999999999999998E-2</v>
      </c>
      <c r="F57" s="703">
        <v>0.03</v>
      </c>
    </row>
    <row r="58" spans="2:11" outlineLevel="1">
      <c r="B58" t="s">
        <v>236</v>
      </c>
      <c r="C58" s="703">
        <v>-2.1999999999999999E-2</v>
      </c>
      <c r="D58" s="703">
        <v>5.8999999999999997E-2</v>
      </c>
      <c r="E58" s="703">
        <v>3.5999999999999997E-2</v>
      </c>
      <c r="F58" s="703">
        <v>2.3E-2</v>
      </c>
      <c r="G58" s="724">
        <f>+AVERAGE(F44:I44)</f>
        <v>2.3334025403870806E-2</v>
      </c>
      <c r="H58" s="872">
        <f>+F58-G58</f>
        <v>-3.3402540387080654E-4</v>
      </c>
    </row>
    <row r="59" spans="2:11" outlineLevel="1"/>
    <row r="60" spans="2:11" outlineLevel="1"/>
    <row r="61" spans="2:11" outlineLevel="1">
      <c r="B61" s="1" t="s">
        <v>3687</v>
      </c>
    </row>
    <row r="62" spans="2:11" outlineLevel="1"/>
    <row r="63" spans="2:11" outlineLevel="1">
      <c r="C63" s="820" t="s">
        <v>3684</v>
      </c>
      <c r="D63" s="820">
        <v>2019</v>
      </c>
      <c r="E63" s="820">
        <v>2020</v>
      </c>
      <c r="F63" s="820">
        <f t="shared" ref="F63:K63" si="23">+E63+1</f>
        <v>2021</v>
      </c>
      <c r="G63" s="820">
        <f t="shared" si="23"/>
        <v>2022</v>
      </c>
      <c r="H63" s="820">
        <f t="shared" si="23"/>
        <v>2023</v>
      </c>
      <c r="I63" s="820">
        <f t="shared" si="23"/>
        <v>2024</v>
      </c>
      <c r="J63" s="820">
        <f t="shared" si="23"/>
        <v>2025</v>
      </c>
      <c r="K63" s="820">
        <f t="shared" si="23"/>
        <v>2026</v>
      </c>
    </row>
    <row r="64" spans="2:11" outlineLevel="1">
      <c r="B64" t="s">
        <v>3685</v>
      </c>
      <c r="C64" s="703">
        <v>2E-3</v>
      </c>
      <c r="D64" s="703">
        <v>2E-3</v>
      </c>
      <c r="E64" s="703">
        <v>-3.0000000000000001E-3</v>
      </c>
      <c r="F64" s="703">
        <v>7.0000000000000001E-3</v>
      </c>
      <c r="G64" s="703">
        <v>4.0000000000000001E-3</v>
      </c>
      <c r="H64" s="703">
        <v>2E-3</v>
      </c>
      <c r="I64" s="703">
        <v>3.0000000000000001E-3</v>
      </c>
      <c r="J64" s="703">
        <v>3.0000000000000001E-3</v>
      </c>
      <c r="K64" s="703">
        <v>3.0000000000000001E-3</v>
      </c>
    </row>
    <row r="65" spans="2:11" outlineLevel="1">
      <c r="B65" t="s">
        <v>3686</v>
      </c>
      <c r="C65" s="703">
        <v>0.11</v>
      </c>
      <c r="D65" s="703">
        <v>8.1000000000000003E-2</v>
      </c>
      <c r="E65" s="873" t="s">
        <v>3453</v>
      </c>
      <c r="F65" s="703">
        <v>0.12</v>
      </c>
      <c r="G65" s="703">
        <v>0.15</v>
      </c>
      <c r="H65" s="703">
        <v>9.0999999999999998E-2</v>
      </c>
      <c r="I65" s="703">
        <v>0.10100000000000001</v>
      </c>
      <c r="J65" s="703">
        <v>0.109</v>
      </c>
      <c r="K65" s="703">
        <v>0.115</v>
      </c>
    </row>
    <row r="66" spans="2:11" outlineLevel="1"/>
    <row r="67" spans="2:11" outlineLevel="1"/>
    <row r="68" spans="2:11" outlineLevel="1">
      <c r="B68" s="1" t="s">
        <v>3701</v>
      </c>
      <c r="D68" t="s">
        <v>3688</v>
      </c>
    </row>
    <row r="69" spans="2:11" outlineLevel="1"/>
    <row r="70" spans="2:11" outlineLevel="1">
      <c r="B70" s="820">
        <v>2016</v>
      </c>
      <c r="C70" s="820">
        <f>+B70+1</f>
        <v>2017</v>
      </c>
      <c r="D70" s="820">
        <f t="shared" ref="D70:I70" si="24">+C70+1</f>
        <v>2018</v>
      </c>
      <c r="E70" s="820">
        <f t="shared" si="24"/>
        <v>2019</v>
      </c>
      <c r="F70" s="820">
        <f t="shared" si="24"/>
        <v>2020</v>
      </c>
      <c r="G70" s="820">
        <f t="shared" si="24"/>
        <v>2021</v>
      </c>
      <c r="H70" s="820">
        <f t="shared" si="24"/>
        <v>2022</v>
      </c>
      <c r="I70" s="820">
        <f t="shared" si="24"/>
        <v>2023</v>
      </c>
    </row>
    <row r="71" spans="2:11" outlineLevel="1">
      <c r="B71" s="595">
        <v>32556</v>
      </c>
      <c r="C71" s="595">
        <v>31321</v>
      </c>
      <c r="D71" s="595">
        <v>32617</v>
      </c>
      <c r="E71" s="595">
        <v>35965</v>
      </c>
      <c r="F71" s="595">
        <v>38226</v>
      </c>
      <c r="G71" s="595">
        <v>45811</v>
      </c>
      <c r="H71" s="644">
        <f>+I34</f>
        <v>49216</v>
      </c>
      <c r="I71" s="644">
        <f>+J34</f>
        <v>61526</v>
      </c>
    </row>
    <row r="72" spans="2:11" outlineLevel="1">
      <c r="B72" s="724">
        <v>-3.6999999999999998E-2</v>
      </c>
      <c r="C72" s="703">
        <f>+C71/B71-1</f>
        <v>-3.7934635704632069E-2</v>
      </c>
      <c r="D72" s="703">
        <f t="shared" ref="D72:I72" si="25">+D71/C71-1</f>
        <v>4.1377989208518207E-2</v>
      </c>
      <c r="E72" s="703">
        <f t="shared" si="25"/>
        <v>0.10264585952110861</v>
      </c>
      <c r="F72" s="703">
        <f t="shared" si="25"/>
        <v>6.2866675934936778E-2</v>
      </c>
      <c r="G72" s="703">
        <f t="shared" si="25"/>
        <v>0.19842515565322039</v>
      </c>
      <c r="H72" s="703">
        <f t="shared" si="25"/>
        <v>7.4327126672633304E-2</v>
      </c>
      <c r="I72" s="703">
        <f t="shared" si="25"/>
        <v>0.25012191157347208</v>
      </c>
    </row>
    <row r="73" spans="2:11" outlineLevel="1"/>
    <row r="74" spans="2:11" outlineLevel="1">
      <c r="B74" s="1" t="s">
        <v>3702</v>
      </c>
    </row>
    <row r="75" spans="2:11" ht="3.4" customHeight="1" outlineLevel="1"/>
    <row r="76" spans="2:11" outlineLevel="1">
      <c r="B76" s="820">
        <v>2016</v>
      </c>
      <c r="C76" s="820">
        <f>+B76+1</f>
        <v>2017</v>
      </c>
      <c r="D76" s="820">
        <f t="shared" ref="D76:I76" si="26">+C76+1</f>
        <v>2018</v>
      </c>
      <c r="E76" s="820">
        <f t="shared" si="26"/>
        <v>2019</v>
      </c>
      <c r="F76" s="820">
        <f t="shared" si="26"/>
        <v>2020</v>
      </c>
      <c r="G76" s="820">
        <f t="shared" si="26"/>
        <v>2021</v>
      </c>
      <c r="H76" s="820">
        <f t="shared" si="26"/>
        <v>2022</v>
      </c>
      <c r="I76" s="820">
        <f t="shared" si="26"/>
        <v>2023</v>
      </c>
    </row>
    <row r="77" spans="2:11" outlineLevel="1">
      <c r="B77" s="595">
        <v>20454</v>
      </c>
      <c r="C77" s="595">
        <v>19394</v>
      </c>
      <c r="D77" s="595">
        <v>19155</v>
      </c>
      <c r="E77" s="595">
        <v>21253</v>
      </c>
      <c r="F77" s="595">
        <v>21145</v>
      </c>
      <c r="G77" s="595">
        <v>26155</v>
      </c>
      <c r="H77" s="644"/>
      <c r="I77" s="644"/>
    </row>
    <row r="78" spans="2:11" outlineLevel="1">
      <c r="B78" s="724">
        <v>-3.6999999999999998E-2</v>
      </c>
      <c r="C78" s="703">
        <f>+C77/B77-1</f>
        <v>-5.1823604185000538E-2</v>
      </c>
      <c r="D78" s="703">
        <f t="shared" ref="D78:G78" si="27">+D77/C77-1</f>
        <v>-1.2323398989378176E-2</v>
      </c>
      <c r="E78" s="703">
        <f t="shared" si="27"/>
        <v>0.10952753850169672</v>
      </c>
      <c r="F78" s="703">
        <f t="shared" si="27"/>
        <v>-5.0816355338070274E-3</v>
      </c>
      <c r="G78" s="703">
        <f t="shared" si="27"/>
        <v>0.23693544573185155</v>
      </c>
    </row>
    <row r="79" spans="2:11" outlineLevel="1"/>
    <row r="80" spans="2:11" outlineLevel="1"/>
    <row r="81" spans="2:12" outlineLevel="1">
      <c r="B81" s="1" t="s">
        <v>3689</v>
      </c>
      <c r="D81" t="s">
        <v>3688</v>
      </c>
    </row>
    <row r="82" spans="2:12" outlineLevel="1"/>
    <row r="83" spans="2:12" outlineLevel="1">
      <c r="B83" s="820">
        <v>2016</v>
      </c>
      <c r="C83" s="820">
        <f>+B83+1</f>
        <v>2017</v>
      </c>
      <c r="D83" s="820">
        <f t="shared" ref="D83:L83" si="28">+C83+1</f>
        <v>2018</v>
      </c>
      <c r="E83" s="820">
        <f t="shared" si="28"/>
        <v>2019</v>
      </c>
      <c r="F83" s="820">
        <f t="shared" si="28"/>
        <v>2020</v>
      </c>
      <c r="G83" s="820">
        <f t="shared" si="28"/>
        <v>2021</v>
      </c>
      <c r="H83" s="820">
        <f t="shared" si="28"/>
        <v>2022</v>
      </c>
      <c r="I83" s="820">
        <f t="shared" si="28"/>
        <v>2023</v>
      </c>
      <c r="J83" s="820">
        <f t="shared" si="28"/>
        <v>2024</v>
      </c>
      <c r="K83" s="820">
        <f t="shared" si="28"/>
        <v>2025</v>
      </c>
      <c r="L83" s="820">
        <f t="shared" si="28"/>
        <v>2026</v>
      </c>
    </row>
    <row r="84" spans="2:12" outlineLevel="1">
      <c r="B84" s="595">
        <v>39022</v>
      </c>
      <c r="C84" s="595">
        <v>38276</v>
      </c>
      <c r="D84" s="595">
        <v>37766</v>
      </c>
      <c r="E84" s="595">
        <v>41469</v>
      </c>
      <c r="F84" s="595">
        <v>42449</v>
      </c>
      <c r="G84" s="595">
        <v>50709</v>
      </c>
      <c r="H84" s="595">
        <f>+AVERAGE(57990,49185)</f>
        <v>53587.5</v>
      </c>
      <c r="I84" s="595">
        <f>+H84*(1+I85)</f>
        <v>65108.812500000007</v>
      </c>
      <c r="J84" s="595">
        <f>+I84*(1+J85)</f>
        <v>71749.911375000011</v>
      </c>
      <c r="K84" s="595">
        <f>+J84*(1+K85)</f>
        <v>75624.406589250008</v>
      </c>
      <c r="L84" s="595">
        <f>+K84*(1+L85)</f>
        <v>80161.870984605019</v>
      </c>
    </row>
    <row r="85" spans="2:12" outlineLevel="1">
      <c r="B85" s="724"/>
      <c r="C85" s="703">
        <f>+C84/B84-1</f>
        <v>-1.9117420942032726E-2</v>
      </c>
      <c r="D85" s="703">
        <f t="shared" ref="D85:H85" si="29">+D84/C84-1</f>
        <v>-1.3324276308914196E-2</v>
      </c>
      <c r="E85" s="703">
        <f t="shared" si="29"/>
        <v>9.8051157125456756E-2</v>
      </c>
      <c r="F85" s="703">
        <f t="shared" si="29"/>
        <v>2.3632110733318834E-2</v>
      </c>
      <c r="G85" s="703">
        <f t="shared" si="29"/>
        <v>0.19458644491036292</v>
      </c>
      <c r="H85" s="703">
        <f t="shared" si="29"/>
        <v>5.6765071289120339E-2</v>
      </c>
      <c r="I85" s="703">
        <v>0.215</v>
      </c>
      <c r="J85" s="703">
        <v>0.10199999999999999</v>
      </c>
      <c r="K85" s="703">
        <v>5.3999999999999999E-2</v>
      </c>
      <c r="L85" s="703">
        <v>0.06</v>
      </c>
    </row>
    <row r="86" spans="2:12" outlineLevel="1"/>
    <row r="87" spans="2:12" outlineLevel="1"/>
    <row r="88" spans="2:12" outlineLevel="1"/>
    <row r="92" spans="2:12">
      <c r="B92" s="1" t="s">
        <v>4541</v>
      </c>
    </row>
    <row r="93" spans="2:12" ht="4.5" customHeight="1"/>
    <row r="94" spans="2:12">
      <c r="B94" s="820"/>
      <c r="C94" s="820">
        <v>2018</v>
      </c>
      <c r="D94" s="820">
        <f t="shared" ref="D94:G94" si="30">+C94+1</f>
        <v>2019</v>
      </c>
      <c r="E94" s="820">
        <f t="shared" si="30"/>
        <v>2020</v>
      </c>
      <c r="F94" s="820">
        <f t="shared" si="30"/>
        <v>2021</v>
      </c>
      <c r="G94" s="820">
        <f t="shared" si="30"/>
        <v>2022</v>
      </c>
      <c r="I94" s="820" t="s">
        <v>2492</v>
      </c>
      <c r="J94" s="820" t="s">
        <v>2493</v>
      </c>
      <c r="K94" s="820" t="s">
        <v>3668</v>
      </c>
      <c r="L94" s="820" t="s">
        <v>2494</v>
      </c>
    </row>
    <row r="95" spans="2:12">
      <c r="B95" t="s">
        <v>4542</v>
      </c>
      <c r="C95" s="595">
        <f>+CE!C11/1000</f>
        <v>26.165241980000001</v>
      </c>
      <c r="D95" s="595">
        <f>+CE!D11/1000</f>
        <v>26.546544599999997</v>
      </c>
      <c r="E95" s="595">
        <f>+CE!E11/1000</f>
        <v>27.648782309999998</v>
      </c>
      <c r="F95" s="595">
        <f>+CE!F11/1000</f>
        <v>32.528849129999998</v>
      </c>
      <c r="G95" s="595">
        <f>+CE!I11/1000</f>
        <v>53.274059950000002</v>
      </c>
      <c r="I95" s="60">
        <f>IF(G95*C95&lt;=0,"n/a",IF(C95&gt;G95,-ABS((G95/C95)^(1/(4))-1),ABS((G95/C95)^(1/(4))-1)))</f>
        <v>0.19453192148103926</v>
      </c>
      <c r="J95" s="60">
        <f>IF(G95*E95&lt;=0,"n/a",IF(E95&gt;G95,-ABS((G95/E95)^(1/(2))-1),ABS((G95/E95)^(1/(2))-1)))</f>
        <v>0.38809724727336903</v>
      </c>
      <c r="K95" s="60">
        <f>+G95/F95-1</f>
        <v>0.63774807209110773</v>
      </c>
      <c r="L95" s="60">
        <f>IF(F95*C95&lt;=0,"n/a",IF(C95&gt;F95,-ABS((F95/C95)^(1/(3))-1),ABS((F95/C95)^(1/(3))-1)))</f>
        <v>7.5262865469448492E-2</v>
      </c>
    </row>
    <row r="96" spans="2:12">
      <c r="B96" t="s">
        <v>3703</v>
      </c>
      <c r="C96" s="821">
        <f>+D5*1000</f>
        <v>173100</v>
      </c>
      <c r="D96" s="821">
        <f>+E5*1000</f>
        <v>179500</v>
      </c>
      <c r="E96" s="821">
        <f>+F5*1000</f>
        <v>172600</v>
      </c>
      <c r="F96" s="821">
        <f>+G5*1000</f>
        <v>227700</v>
      </c>
      <c r="G96" s="821">
        <f>+H5*1000</f>
        <v>281500</v>
      </c>
      <c r="I96" s="60">
        <f>IF(G96*C96&lt;=0,"n/a",IF(C96&gt;G96,-ABS((G96/C96)^(1/(4))-1),ABS((G96/C96)^(1/(4))-1)))</f>
        <v>0.12926360844430373</v>
      </c>
      <c r="J96" s="60">
        <f>IF(G96*E96&lt;=0,"n/a",IF(E96&gt;G96,-ABS((G96/E96)^(1/(2))-1),ABS((G96/E96)^(1/(2))-1)))</f>
        <v>0.27708205935514063</v>
      </c>
      <c r="K96" s="60">
        <f>+G96/F96-1</f>
        <v>0.23627580149319272</v>
      </c>
      <c r="L96" s="60">
        <f>IF(F96*C96&lt;=0,"n/a",IF(C96&gt;F96,-ABS((F96/C96)^(1/(3))-1),ABS((F96/C96)^(1/(3))-1)))</f>
        <v>9.5692412522873971E-2</v>
      </c>
    </row>
    <row r="97" spans="2:12" ht="5.65" customHeight="1"/>
    <row r="98" spans="2:12">
      <c r="B98" s="3" t="s">
        <v>4543</v>
      </c>
      <c r="C98" s="3"/>
      <c r="D98" s="882">
        <f>+D95/C95-1</f>
        <v>1.4572868093154057E-2</v>
      </c>
      <c r="E98" s="882">
        <f t="shared" ref="E98:G99" si="31">+E95/D95-1</f>
        <v>4.1520948455189943E-2</v>
      </c>
      <c r="F98" s="882">
        <f t="shared" si="31"/>
        <v>0.17650205225258619</v>
      </c>
      <c r="G98" s="882">
        <f t="shared" si="31"/>
        <v>0.63774807209110773</v>
      </c>
    </row>
    <row r="99" spans="2:12">
      <c r="B99" s="3" t="s">
        <v>3704</v>
      </c>
      <c r="C99" s="3"/>
      <c r="D99" s="882">
        <f>+D96/C96-1</f>
        <v>3.6972848064702468E-2</v>
      </c>
      <c r="E99" s="882">
        <f t="shared" si="31"/>
        <v>-3.8440111420612766E-2</v>
      </c>
      <c r="F99" s="882">
        <f t="shared" si="31"/>
        <v>0.31923522595596765</v>
      </c>
      <c r="G99" s="882">
        <f>+G96/F96-1</f>
        <v>0.23627580149319272</v>
      </c>
    </row>
    <row r="102" spans="2:12">
      <c r="B102" s="820"/>
      <c r="C102" s="820">
        <v>2018</v>
      </c>
      <c r="D102" s="820">
        <f t="shared" ref="D102:K102" si="32">+C102+1</f>
        <v>2019</v>
      </c>
      <c r="E102" s="820">
        <f t="shared" si="32"/>
        <v>2020</v>
      </c>
      <c r="F102" s="820">
        <f t="shared" si="32"/>
        <v>2021</v>
      </c>
      <c r="G102" s="820">
        <f t="shared" si="32"/>
        <v>2022</v>
      </c>
      <c r="H102" s="820">
        <f t="shared" si="32"/>
        <v>2023</v>
      </c>
      <c r="I102" s="820">
        <f t="shared" si="32"/>
        <v>2024</v>
      </c>
      <c r="J102" s="820">
        <f t="shared" si="32"/>
        <v>2025</v>
      </c>
      <c r="K102" s="820">
        <f t="shared" si="32"/>
        <v>2026</v>
      </c>
    </row>
    <row r="103" spans="2:12">
      <c r="B103" t="s">
        <v>3706</v>
      </c>
      <c r="C103" s="644">
        <f t="shared" ref="C103:G103" si="33">+D71</f>
        <v>32617</v>
      </c>
      <c r="D103" s="644">
        <f t="shared" si="33"/>
        <v>35965</v>
      </c>
      <c r="E103" s="644">
        <f t="shared" si="33"/>
        <v>38226</v>
      </c>
      <c r="F103" s="644">
        <f t="shared" si="33"/>
        <v>45811</v>
      </c>
      <c r="G103" s="644">
        <f t="shared" si="33"/>
        <v>49216</v>
      </c>
      <c r="H103" s="644">
        <f>+I71</f>
        <v>61526</v>
      </c>
      <c r="I103" s="644">
        <f>+H103*(1+I104)</f>
        <v>67801.652000000002</v>
      </c>
      <c r="J103" s="644">
        <f t="shared" ref="J103:K103" si="34">+I103*(1+J104)</f>
        <v>71462.941208000004</v>
      </c>
      <c r="K103" s="644">
        <f t="shared" si="34"/>
        <v>75750.717680480011</v>
      </c>
    </row>
    <row r="104" spans="2:12">
      <c r="B104" s="3" t="s">
        <v>3707</v>
      </c>
      <c r="C104" s="3"/>
      <c r="D104" s="882">
        <f>+D103/C103-1</f>
        <v>0.10264585952110861</v>
      </c>
      <c r="E104" s="882">
        <f>+E103/D103-1</f>
        <v>6.2866675934936778E-2</v>
      </c>
      <c r="F104" s="882">
        <f>+F103/E103-1</f>
        <v>0.19842515565322039</v>
      </c>
      <c r="G104" s="882">
        <f>+G103/F103-1</f>
        <v>7.4327126672633304E-2</v>
      </c>
      <c r="H104" s="882">
        <f>+H103/G103-1</f>
        <v>0.25012191157347208</v>
      </c>
      <c r="I104" s="882">
        <f>+J85</f>
        <v>0.10199999999999999</v>
      </c>
      <c r="J104" s="882">
        <f>+K85</f>
        <v>5.3999999999999999E-2</v>
      </c>
      <c r="K104" s="882">
        <f>+L85</f>
        <v>0.06</v>
      </c>
    </row>
    <row r="105" spans="2:12" ht="5.65" customHeight="1"/>
    <row r="106" spans="2:12">
      <c r="B106" t="s">
        <v>4544</v>
      </c>
      <c r="C106" s="644">
        <v>9.445365390000001</v>
      </c>
      <c r="D106" s="644">
        <v>12.388852720000001</v>
      </c>
      <c r="E106" s="644">
        <v>13.80132025</v>
      </c>
      <c r="F106" s="644">
        <v>17.356241199999999</v>
      </c>
      <c r="G106" s="644">
        <v>37.099455339999992</v>
      </c>
      <c r="H106" s="884">
        <f>+G106*(1+H107)</f>
        <v>46.378842027975445</v>
      </c>
      <c r="I106" s="884">
        <f t="shared" ref="I106:K106" si="35">+H106*(1+I107)</f>
        <v>51.109483914828942</v>
      </c>
      <c r="J106" s="884">
        <f t="shared" si="35"/>
        <v>53.86939604622971</v>
      </c>
      <c r="K106" s="884">
        <f t="shared" si="35"/>
        <v>57.101559809003497</v>
      </c>
      <c r="L106" t="s">
        <v>3708</v>
      </c>
    </row>
    <row r="107" spans="2:12">
      <c r="B107" s="3" t="s">
        <v>3707</v>
      </c>
      <c r="C107" s="3"/>
      <c r="D107" s="882">
        <f>+D106/C106-1</f>
        <v>0.31163297643480581</v>
      </c>
      <c r="E107" s="882">
        <f>+E106/D106-1</f>
        <v>0.11401116486918728</v>
      </c>
      <c r="F107" s="941">
        <f>+F106/E106-1</f>
        <v>0.25757832479831055</v>
      </c>
      <c r="G107" s="941">
        <f>+G106/F106-1</f>
        <v>1.1375282189556106</v>
      </c>
      <c r="H107" s="872">
        <f>+H104</f>
        <v>0.25012191157347208</v>
      </c>
      <c r="I107" s="872">
        <f t="shared" ref="I107:K107" si="36">+I104</f>
        <v>0.10199999999999999</v>
      </c>
      <c r="J107" s="872">
        <f t="shared" si="36"/>
        <v>5.3999999999999999E-2</v>
      </c>
      <c r="K107" s="872">
        <f t="shared" si="36"/>
        <v>0.06</v>
      </c>
    </row>
    <row r="109" spans="2:12">
      <c r="B109" t="s">
        <v>4545</v>
      </c>
      <c r="C109" s="644">
        <v>15.66415789</v>
      </c>
      <c r="D109" s="644">
        <v>13.627039369999999</v>
      </c>
      <c r="E109" s="644">
        <v>13.05705884</v>
      </c>
      <c r="F109" s="644">
        <v>11.552926709999999</v>
      </c>
      <c r="G109" s="644">
        <v>10.824583349999997</v>
      </c>
      <c r="H109" s="884">
        <f>+G109*(1+H110)</f>
        <v>10.575414848222744</v>
      </c>
      <c r="I109" s="884">
        <f t="shared" ref="I109" si="37">+H109*(1+I110)</f>
        <v>12.198856586252747</v>
      </c>
      <c r="J109" s="884">
        <f t="shared" ref="J109" si="38">+I109*(1+J110)</f>
        <v>14.07151437061315</v>
      </c>
      <c r="K109" s="884">
        <f t="shared" ref="K109" si="39">+J109*(1+K110)</f>
        <v>16.23164558762933</v>
      </c>
      <c r="L109" t="s">
        <v>3708</v>
      </c>
    </row>
    <row r="110" spans="2:12">
      <c r="B110" s="3" t="s">
        <v>3707</v>
      </c>
      <c r="C110" s="3"/>
      <c r="D110" s="882">
        <f>+D109/C109-1</f>
        <v>-0.13004966716407385</v>
      </c>
      <c r="E110" s="882">
        <f>+E109/D109-1</f>
        <v>-4.1827172764673626E-2</v>
      </c>
      <c r="F110" s="882">
        <f>+F109/E109-1</f>
        <v>-0.11519685623167497</v>
      </c>
      <c r="G110" s="882">
        <f>+G109/F109-1</f>
        <v>-6.3044056132508963E-2</v>
      </c>
      <c r="H110" s="882">
        <f>+((+S32*J32)+(S33*J33))/(J32+J33)</f>
        <v>-2.3018761435954396E-2</v>
      </c>
      <c r="I110" s="724">
        <f>+L115</f>
        <v>0.15351092712006759</v>
      </c>
      <c r="J110" s="724">
        <f>+I110</f>
        <v>0.15351092712006759</v>
      </c>
      <c r="K110" s="724">
        <f>+J110</f>
        <v>0.15351092712006759</v>
      </c>
    </row>
    <row r="112" spans="2:12" ht="15.75" thickBot="1">
      <c r="B112" s="885" t="s">
        <v>4546</v>
      </c>
      <c r="C112" s="886">
        <f>+C106+C109</f>
        <v>25.109523280000001</v>
      </c>
      <c r="D112" s="886">
        <f t="shared" ref="D112:K112" si="40">+D106+D109</f>
        <v>26.015892090000001</v>
      </c>
      <c r="E112" s="886">
        <f t="shared" si="40"/>
        <v>26.85837909</v>
      </c>
      <c r="F112" s="886">
        <f t="shared" si="40"/>
        <v>28.909167910000001</v>
      </c>
      <c r="G112" s="886">
        <f t="shared" si="40"/>
        <v>47.924038689999989</v>
      </c>
      <c r="H112" s="886">
        <f>+H106+H109</f>
        <v>56.954256876198187</v>
      </c>
      <c r="I112" s="886">
        <f t="shared" si="40"/>
        <v>63.308340501081688</v>
      </c>
      <c r="J112" s="886">
        <f t="shared" si="40"/>
        <v>67.940910416842854</v>
      </c>
      <c r="K112" s="886">
        <f t="shared" si="40"/>
        <v>73.33320539663282</v>
      </c>
    </row>
    <row r="113" spans="2:13">
      <c r="B113" s="3" t="s">
        <v>3705</v>
      </c>
      <c r="C113" s="3"/>
      <c r="D113" s="824">
        <f>+D112/C112-1</f>
        <v>3.6096615610457627E-2</v>
      </c>
      <c r="E113" s="824">
        <f t="shared" ref="E113:K113" si="41">+E112/D112-1</f>
        <v>3.2383552218216316E-2</v>
      </c>
      <c r="F113" s="824">
        <f t="shared" si="41"/>
        <v>7.6355643545278573E-2</v>
      </c>
      <c r="G113" s="824">
        <f t="shared" si="41"/>
        <v>0.65774535051292626</v>
      </c>
      <c r="H113" s="824">
        <f>+H112/G112-1</f>
        <v>0.18842773758302789</v>
      </c>
      <c r="I113" s="824">
        <f t="shared" si="41"/>
        <v>0.11156468319295976</v>
      </c>
      <c r="J113" s="824">
        <f t="shared" si="41"/>
        <v>7.3174717250438892E-2</v>
      </c>
      <c r="K113" s="824">
        <f t="shared" si="41"/>
        <v>7.9367423054919728E-2</v>
      </c>
    </row>
    <row r="114" spans="2:13" ht="5.65" customHeight="1"/>
    <row r="115" spans="2:13" ht="15.75" thickBot="1">
      <c r="B115" s="888" t="s">
        <v>3714</v>
      </c>
      <c r="C115" s="889">
        <f>+((+N32*E32)+(N33*E33))/(E33+E32)</f>
        <v>4.1337551075220878E-2</v>
      </c>
      <c r="D115" s="889">
        <f>+((+O32*F32)+(O33*F33))/(F33+F32)</f>
        <v>2.6122459871603405E-2</v>
      </c>
      <c r="E115" s="889">
        <f t="shared" ref="E115:G115" si="42">+((+P32*G32)+(P33*G33))/(G33+G32)</f>
        <v>-7.5238839287325804E-2</v>
      </c>
      <c r="F115" s="889">
        <f t="shared" si="42"/>
        <v>0.43705110283765986</v>
      </c>
      <c r="G115" s="889">
        <f t="shared" si="42"/>
        <v>0.33828236110317961</v>
      </c>
      <c r="H115" s="889">
        <f>+((+S32*J32)+(S33*J33))/(J33+J32)</f>
        <v>-2.3018761435954396E-2</v>
      </c>
      <c r="L115" s="818">
        <f>+AVERAGE(C115:G115)</f>
        <v>0.15351092712006759</v>
      </c>
      <c r="M115" s="3" t="s">
        <v>3709</v>
      </c>
    </row>
    <row r="118" spans="2:13">
      <c r="B118" s="820" t="s">
        <v>3719</v>
      </c>
      <c r="C118" s="820">
        <f>+C102</f>
        <v>2018</v>
      </c>
      <c r="D118" s="820">
        <f t="shared" ref="D118:K118" si="43">+D102</f>
        <v>2019</v>
      </c>
      <c r="E118" s="820">
        <f t="shared" si="43"/>
        <v>2020</v>
      </c>
      <c r="F118" s="820">
        <f t="shared" si="43"/>
        <v>2021</v>
      </c>
      <c r="G118" s="820">
        <f t="shared" si="43"/>
        <v>2022</v>
      </c>
      <c r="H118" s="820">
        <f t="shared" si="43"/>
        <v>2023</v>
      </c>
      <c r="I118" s="820">
        <f t="shared" si="43"/>
        <v>2024</v>
      </c>
      <c r="J118" s="820">
        <f t="shared" si="43"/>
        <v>2025</v>
      </c>
      <c r="K118" s="820">
        <f t="shared" si="43"/>
        <v>2026</v>
      </c>
    </row>
    <row r="119" spans="2:13">
      <c r="B119" t="s">
        <v>3706</v>
      </c>
      <c r="C119" s="644">
        <f>+C103</f>
        <v>32617</v>
      </c>
      <c r="D119" s="644">
        <f t="shared" ref="D119:K119" si="44">+D103</f>
        <v>35965</v>
      </c>
      <c r="E119" s="644">
        <f t="shared" si="44"/>
        <v>38226</v>
      </c>
      <c r="F119" s="644">
        <f t="shared" si="44"/>
        <v>45811</v>
      </c>
      <c r="G119" s="644">
        <f t="shared" si="44"/>
        <v>49216</v>
      </c>
      <c r="H119" s="644">
        <f t="shared" si="44"/>
        <v>61526</v>
      </c>
      <c r="I119" s="644">
        <f t="shared" si="44"/>
        <v>67801.652000000002</v>
      </c>
      <c r="J119" s="644">
        <f t="shared" si="44"/>
        <v>71462.941208000004</v>
      </c>
      <c r="K119" s="644">
        <f t="shared" si="44"/>
        <v>75750.717680480011</v>
      </c>
    </row>
    <row r="120" spans="2:13">
      <c r="B120" s="3" t="s">
        <v>3707</v>
      </c>
      <c r="D120" s="882">
        <f>+D119/C119-1</f>
        <v>0.10264585952110861</v>
      </c>
      <c r="E120" s="882">
        <f>+E119/D119-1</f>
        <v>6.2866675934936778E-2</v>
      </c>
      <c r="F120" s="882">
        <f>+F119/E119-1</f>
        <v>0.19842515565322039</v>
      </c>
      <c r="G120" s="882">
        <f>+G119/F119-1</f>
        <v>7.4327126672633304E-2</v>
      </c>
      <c r="H120" s="882">
        <f>+H119/G119-1</f>
        <v>0.25012191157347208</v>
      </c>
      <c r="I120" s="882">
        <f t="shared" ref="I120:K120" si="45">+I119/H119-1</f>
        <v>0.10200000000000009</v>
      </c>
      <c r="J120" s="882">
        <f t="shared" si="45"/>
        <v>5.4000000000000048E-2</v>
      </c>
      <c r="K120" s="882">
        <f t="shared" si="45"/>
        <v>6.0000000000000053E-2</v>
      </c>
    </row>
    <row r="121" spans="2:13">
      <c r="G121" s="644"/>
    </row>
    <row r="122" spans="2:13">
      <c r="B122" t="s">
        <v>4544</v>
      </c>
      <c r="C122" s="644">
        <f>+C106+C109</f>
        <v>25.109523280000001</v>
      </c>
      <c r="D122" s="644">
        <f t="shared" ref="D122:E122" si="46">+D106+D109</f>
        <v>26.015892090000001</v>
      </c>
      <c r="E122" s="644">
        <f t="shared" si="46"/>
        <v>26.85837909</v>
      </c>
      <c r="F122" s="644">
        <f>+F106+F109</f>
        <v>28.909167910000001</v>
      </c>
      <c r="G122" s="644">
        <f>+G106+G109</f>
        <v>47.924038689999989</v>
      </c>
      <c r="H122" s="595">
        <f>+G122*(1+H123)</f>
        <v>59.910890857463819</v>
      </c>
      <c r="I122" s="595">
        <f t="shared" ref="I122:K122" si="47">+H122*(1+I123)</f>
        <v>66.02180172492514</v>
      </c>
      <c r="J122" s="595">
        <f t="shared" si="47"/>
        <v>69.586979018071105</v>
      </c>
      <c r="K122" s="595">
        <f t="shared" si="47"/>
        <v>73.76219775915537</v>
      </c>
    </row>
    <row r="123" spans="2:13">
      <c r="B123" s="3" t="s">
        <v>3707</v>
      </c>
      <c r="D123" s="882">
        <f>+D122/C122-1</f>
        <v>3.6096615610457627E-2</v>
      </c>
      <c r="E123" s="882">
        <f>+E122/D122-1</f>
        <v>3.2383552218216316E-2</v>
      </c>
      <c r="F123" s="882">
        <f>+F122/E122-1</f>
        <v>7.6355643545278573E-2</v>
      </c>
      <c r="G123" s="882">
        <f>+G122/F122-1</f>
        <v>0.65774535051292626</v>
      </c>
      <c r="H123" s="724">
        <f>+H107</f>
        <v>0.25012191157347208</v>
      </c>
      <c r="I123" s="724">
        <f t="shared" ref="I123:K123" si="48">+I107</f>
        <v>0.10199999999999999</v>
      </c>
      <c r="J123" s="724">
        <f t="shared" si="48"/>
        <v>5.3999999999999999E-2</v>
      </c>
      <c r="K123" s="724">
        <f t="shared" si="48"/>
        <v>0.06</v>
      </c>
    </row>
    <row r="124" spans="2:13" ht="15.75" thickBot="1">
      <c r="B124" s="885" t="s">
        <v>4546</v>
      </c>
      <c r="C124" s="886">
        <f>+C122</f>
        <v>25.109523280000001</v>
      </c>
      <c r="D124" s="886">
        <f t="shared" ref="D124:K124" si="49">+D122</f>
        <v>26.015892090000001</v>
      </c>
      <c r="E124" s="886">
        <f t="shared" si="49"/>
        <v>26.85837909</v>
      </c>
      <c r="F124" s="886">
        <f t="shared" si="49"/>
        <v>28.909167910000001</v>
      </c>
      <c r="G124" s="886">
        <f t="shared" si="49"/>
        <v>47.924038689999989</v>
      </c>
      <c r="H124" s="886">
        <f>+H122</f>
        <v>59.910890857463819</v>
      </c>
      <c r="I124" s="886">
        <f t="shared" si="49"/>
        <v>66.02180172492514</v>
      </c>
      <c r="J124" s="886">
        <f t="shared" si="49"/>
        <v>69.586979018071105</v>
      </c>
      <c r="K124" s="886">
        <f t="shared" si="49"/>
        <v>73.76219775915537</v>
      </c>
    </row>
    <row r="125" spans="2:13">
      <c r="B125" s="3" t="s">
        <v>3705</v>
      </c>
      <c r="C125" s="3"/>
      <c r="D125" s="824">
        <f>+D124/C124-1</f>
        <v>3.6096615610457627E-2</v>
      </c>
      <c r="E125" s="824">
        <f t="shared" ref="E125" si="50">+E124/D124-1</f>
        <v>3.2383552218216316E-2</v>
      </c>
      <c r="F125" s="824">
        <f t="shared" ref="F125" si="51">+F124/E124-1</f>
        <v>7.6355643545278573E-2</v>
      </c>
      <c r="G125" s="824">
        <f t="shared" ref="G125" si="52">+G124/F124-1</f>
        <v>0.65774535051292626</v>
      </c>
      <c r="H125" s="824">
        <f>+H124/G124-1</f>
        <v>0.25012191157347208</v>
      </c>
      <c r="I125" s="824">
        <f t="shared" ref="I125" si="53">+I124/H124-1</f>
        <v>0.10200000000000009</v>
      </c>
      <c r="J125" s="824">
        <f t="shared" ref="J125" si="54">+J124/I124-1</f>
        <v>5.4000000000000048E-2</v>
      </c>
      <c r="K125" s="824">
        <f t="shared" ref="K125" si="55">+K124/J124-1</f>
        <v>6.0000000000000053E-2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:N314"/>
  <sheetViews>
    <sheetView showGridLines="0" topLeftCell="A14" workbookViewId="0">
      <selection activeCell="D20" sqref="D20"/>
    </sheetView>
  </sheetViews>
  <sheetFormatPr defaultRowHeight="12.75" outlineLevelRow="1"/>
  <cols>
    <col min="1" max="1" width="2.85546875" style="13" customWidth="1"/>
    <col min="2" max="2" width="29.7109375" style="13" customWidth="1"/>
    <col min="3" max="3" width="23.28515625" style="13" customWidth="1"/>
    <col min="4" max="4" width="18.140625" style="13" bestFit="1" customWidth="1"/>
    <col min="5" max="5" width="15.7109375" style="13" bestFit="1" customWidth="1"/>
    <col min="6" max="6" width="21.28515625" style="13" customWidth="1"/>
    <col min="7" max="9" width="16" style="13" customWidth="1"/>
    <col min="10" max="10" width="17.28515625" style="13" customWidth="1"/>
    <col min="11" max="11" width="17.140625" style="13" customWidth="1"/>
    <col min="12" max="12" width="10.42578125" style="13" customWidth="1"/>
    <col min="13" max="13" width="13.7109375" style="13" bestFit="1" customWidth="1"/>
    <col min="14" max="212" width="8.7109375" style="13"/>
    <col min="213" max="213" width="85.85546875" style="13" customWidth="1"/>
    <col min="214" max="214" width="9.85546875" style="13" customWidth="1"/>
    <col min="215" max="468" width="8.7109375" style="13"/>
    <col min="469" max="469" width="85.85546875" style="13" customWidth="1"/>
    <col min="470" max="470" width="9.85546875" style="13" customWidth="1"/>
    <col min="471" max="724" width="8.7109375" style="13"/>
    <col min="725" max="725" width="85.85546875" style="13" customWidth="1"/>
    <col min="726" max="726" width="9.85546875" style="13" customWidth="1"/>
    <col min="727" max="980" width="8.7109375" style="13"/>
    <col min="981" max="981" width="85.85546875" style="13" customWidth="1"/>
    <col min="982" max="982" width="9.85546875" style="13" customWidth="1"/>
    <col min="983" max="1236" width="8.7109375" style="13"/>
    <col min="1237" max="1237" width="85.85546875" style="13" customWidth="1"/>
    <col min="1238" max="1238" width="9.85546875" style="13" customWidth="1"/>
    <col min="1239" max="1492" width="8.7109375" style="13"/>
    <col min="1493" max="1493" width="85.85546875" style="13" customWidth="1"/>
    <col min="1494" max="1494" width="9.85546875" style="13" customWidth="1"/>
    <col min="1495" max="1748" width="8.7109375" style="13"/>
    <col min="1749" max="1749" width="85.85546875" style="13" customWidth="1"/>
    <col min="1750" max="1750" width="9.85546875" style="13" customWidth="1"/>
    <col min="1751" max="2004" width="8.7109375" style="13"/>
    <col min="2005" max="2005" width="85.85546875" style="13" customWidth="1"/>
    <col min="2006" max="2006" width="9.85546875" style="13" customWidth="1"/>
    <col min="2007" max="2260" width="8.7109375" style="13"/>
    <col min="2261" max="2261" width="85.85546875" style="13" customWidth="1"/>
    <col min="2262" max="2262" width="9.85546875" style="13" customWidth="1"/>
    <col min="2263" max="2516" width="8.7109375" style="13"/>
    <col min="2517" max="2517" width="85.85546875" style="13" customWidth="1"/>
    <col min="2518" max="2518" width="9.85546875" style="13" customWidth="1"/>
    <col min="2519" max="2772" width="8.7109375" style="13"/>
    <col min="2773" max="2773" width="85.85546875" style="13" customWidth="1"/>
    <col min="2774" max="2774" width="9.85546875" style="13" customWidth="1"/>
    <col min="2775" max="3028" width="8.7109375" style="13"/>
    <col min="3029" max="3029" width="85.85546875" style="13" customWidth="1"/>
    <col min="3030" max="3030" width="9.85546875" style="13" customWidth="1"/>
    <col min="3031" max="3284" width="8.7109375" style="13"/>
    <col min="3285" max="3285" width="85.85546875" style="13" customWidth="1"/>
    <col min="3286" max="3286" width="9.85546875" style="13" customWidth="1"/>
    <col min="3287" max="3540" width="8.7109375" style="13"/>
    <col min="3541" max="3541" width="85.85546875" style="13" customWidth="1"/>
    <col min="3542" max="3542" width="9.85546875" style="13" customWidth="1"/>
    <col min="3543" max="3796" width="8.7109375" style="13"/>
    <col min="3797" max="3797" width="85.85546875" style="13" customWidth="1"/>
    <col min="3798" max="3798" width="9.85546875" style="13" customWidth="1"/>
    <col min="3799" max="4052" width="8.7109375" style="13"/>
    <col min="4053" max="4053" width="85.85546875" style="13" customWidth="1"/>
    <col min="4054" max="4054" width="9.85546875" style="13" customWidth="1"/>
    <col min="4055" max="4308" width="8.7109375" style="13"/>
    <col min="4309" max="4309" width="85.85546875" style="13" customWidth="1"/>
    <col min="4310" max="4310" width="9.85546875" style="13" customWidth="1"/>
    <col min="4311" max="4564" width="8.7109375" style="13"/>
    <col min="4565" max="4565" width="85.85546875" style="13" customWidth="1"/>
    <col min="4566" max="4566" width="9.85546875" style="13" customWidth="1"/>
    <col min="4567" max="4820" width="8.7109375" style="13"/>
    <col min="4821" max="4821" width="85.85546875" style="13" customWidth="1"/>
    <col min="4822" max="4822" width="9.85546875" style="13" customWidth="1"/>
    <col min="4823" max="5076" width="8.7109375" style="13"/>
    <col min="5077" max="5077" width="85.85546875" style="13" customWidth="1"/>
    <col min="5078" max="5078" width="9.85546875" style="13" customWidth="1"/>
    <col min="5079" max="5332" width="8.7109375" style="13"/>
    <col min="5333" max="5333" width="85.85546875" style="13" customWidth="1"/>
    <col min="5334" max="5334" width="9.85546875" style="13" customWidth="1"/>
    <col min="5335" max="5588" width="8.7109375" style="13"/>
    <col min="5589" max="5589" width="85.85546875" style="13" customWidth="1"/>
    <col min="5590" max="5590" width="9.85546875" style="13" customWidth="1"/>
    <col min="5591" max="5844" width="8.7109375" style="13"/>
    <col min="5845" max="5845" width="85.85546875" style="13" customWidth="1"/>
    <col min="5846" max="5846" width="9.85546875" style="13" customWidth="1"/>
    <col min="5847" max="6100" width="8.7109375" style="13"/>
    <col min="6101" max="6101" width="85.85546875" style="13" customWidth="1"/>
    <col min="6102" max="6102" width="9.85546875" style="13" customWidth="1"/>
    <col min="6103" max="6356" width="8.7109375" style="13"/>
    <col min="6357" max="6357" width="85.85546875" style="13" customWidth="1"/>
    <col min="6358" max="6358" width="9.85546875" style="13" customWidth="1"/>
    <col min="6359" max="6612" width="8.7109375" style="13"/>
    <col min="6613" max="6613" width="85.85546875" style="13" customWidth="1"/>
    <col min="6614" max="6614" width="9.85546875" style="13" customWidth="1"/>
    <col min="6615" max="6868" width="8.7109375" style="13"/>
    <col min="6869" max="6869" width="85.85546875" style="13" customWidth="1"/>
    <col min="6870" max="6870" width="9.85546875" style="13" customWidth="1"/>
    <col min="6871" max="7124" width="8.7109375" style="13"/>
    <col min="7125" max="7125" width="85.85546875" style="13" customWidth="1"/>
    <col min="7126" max="7126" width="9.85546875" style="13" customWidth="1"/>
    <col min="7127" max="7380" width="8.7109375" style="13"/>
    <col min="7381" max="7381" width="85.85546875" style="13" customWidth="1"/>
    <col min="7382" max="7382" width="9.85546875" style="13" customWidth="1"/>
    <col min="7383" max="7636" width="8.7109375" style="13"/>
    <col min="7637" max="7637" width="85.85546875" style="13" customWidth="1"/>
    <col min="7638" max="7638" width="9.85546875" style="13" customWidth="1"/>
    <col min="7639" max="7892" width="8.7109375" style="13"/>
    <col min="7893" max="7893" width="85.85546875" style="13" customWidth="1"/>
    <col min="7894" max="7894" width="9.85546875" style="13" customWidth="1"/>
    <col min="7895" max="8148" width="8.7109375" style="13"/>
    <col min="8149" max="8149" width="85.85546875" style="13" customWidth="1"/>
    <col min="8150" max="8150" width="9.85546875" style="13" customWidth="1"/>
    <col min="8151" max="8404" width="8.7109375" style="13"/>
    <col min="8405" max="8405" width="85.85546875" style="13" customWidth="1"/>
    <col min="8406" max="8406" width="9.85546875" style="13" customWidth="1"/>
    <col min="8407" max="8660" width="8.7109375" style="13"/>
    <col min="8661" max="8661" width="85.85546875" style="13" customWidth="1"/>
    <col min="8662" max="8662" width="9.85546875" style="13" customWidth="1"/>
    <col min="8663" max="8916" width="8.7109375" style="13"/>
    <col min="8917" max="8917" width="85.85546875" style="13" customWidth="1"/>
    <col min="8918" max="8918" width="9.85546875" style="13" customWidth="1"/>
    <col min="8919" max="9172" width="8.7109375" style="13"/>
    <col min="9173" max="9173" width="85.85546875" style="13" customWidth="1"/>
    <col min="9174" max="9174" width="9.85546875" style="13" customWidth="1"/>
    <col min="9175" max="9428" width="8.7109375" style="13"/>
    <col min="9429" max="9429" width="85.85546875" style="13" customWidth="1"/>
    <col min="9430" max="9430" width="9.85546875" style="13" customWidth="1"/>
    <col min="9431" max="9684" width="8.7109375" style="13"/>
    <col min="9685" max="9685" width="85.85546875" style="13" customWidth="1"/>
    <col min="9686" max="9686" width="9.85546875" style="13" customWidth="1"/>
    <col min="9687" max="9940" width="8.7109375" style="13"/>
    <col min="9941" max="9941" width="85.85546875" style="13" customWidth="1"/>
    <col min="9942" max="9942" width="9.85546875" style="13" customWidth="1"/>
    <col min="9943" max="10196" width="8.7109375" style="13"/>
    <col min="10197" max="10197" width="85.85546875" style="13" customWidth="1"/>
    <col min="10198" max="10198" width="9.85546875" style="13" customWidth="1"/>
    <col min="10199" max="10452" width="8.7109375" style="13"/>
    <col min="10453" max="10453" width="85.85546875" style="13" customWidth="1"/>
    <col min="10454" max="10454" width="9.85546875" style="13" customWidth="1"/>
    <col min="10455" max="10708" width="8.7109375" style="13"/>
    <col min="10709" max="10709" width="85.85546875" style="13" customWidth="1"/>
    <col min="10710" max="10710" width="9.85546875" style="13" customWidth="1"/>
    <col min="10711" max="10964" width="8.7109375" style="13"/>
    <col min="10965" max="10965" width="85.85546875" style="13" customWidth="1"/>
    <col min="10966" max="10966" width="9.85546875" style="13" customWidth="1"/>
    <col min="10967" max="11220" width="8.7109375" style="13"/>
    <col min="11221" max="11221" width="85.85546875" style="13" customWidth="1"/>
    <col min="11222" max="11222" width="9.85546875" style="13" customWidth="1"/>
    <col min="11223" max="11476" width="8.7109375" style="13"/>
    <col min="11477" max="11477" width="85.85546875" style="13" customWidth="1"/>
    <col min="11478" max="11478" width="9.85546875" style="13" customWidth="1"/>
    <col min="11479" max="11732" width="8.7109375" style="13"/>
    <col min="11733" max="11733" width="85.85546875" style="13" customWidth="1"/>
    <col min="11734" max="11734" width="9.85546875" style="13" customWidth="1"/>
    <col min="11735" max="11988" width="8.7109375" style="13"/>
    <col min="11989" max="11989" width="85.85546875" style="13" customWidth="1"/>
    <col min="11990" max="11990" width="9.85546875" style="13" customWidth="1"/>
    <col min="11991" max="12244" width="8.7109375" style="13"/>
    <col min="12245" max="12245" width="85.85546875" style="13" customWidth="1"/>
    <col min="12246" max="12246" width="9.85546875" style="13" customWidth="1"/>
    <col min="12247" max="12500" width="8.7109375" style="13"/>
    <col min="12501" max="12501" width="85.85546875" style="13" customWidth="1"/>
    <col min="12502" max="12502" width="9.85546875" style="13" customWidth="1"/>
    <col min="12503" max="12756" width="8.7109375" style="13"/>
    <col min="12757" max="12757" width="85.85546875" style="13" customWidth="1"/>
    <col min="12758" max="12758" width="9.85546875" style="13" customWidth="1"/>
    <col min="12759" max="13012" width="8.7109375" style="13"/>
    <col min="13013" max="13013" width="85.85546875" style="13" customWidth="1"/>
    <col min="13014" max="13014" width="9.85546875" style="13" customWidth="1"/>
    <col min="13015" max="13268" width="8.7109375" style="13"/>
    <col min="13269" max="13269" width="85.85546875" style="13" customWidth="1"/>
    <col min="13270" max="13270" width="9.85546875" style="13" customWidth="1"/>
    <col min="13271" max="13524" width="8.7109375" style="13"/>
    <col min="13525" max="13525" width="85.85546875" style="13" customWidth="1"/>
    <col min="13526" max="13526" width="9.85546875" style="13" customWidth="1"/>
    <col min="13527" max="13780" width="8.7109375" style="13"/>
    <col min="13781" max="13781" width="85.85546875" style="13" customWidth="1"/>
    <col min="13782" max="13782" width="9.85546875" style="13" customWidth="1"/>
    <col min="13783" max="14036" width="8.7109375" style="13"/>
    <col min="14037" max="14037" width="85.85546875" style="13" customWidth="1"/>
    <col min="14038" max="14038" width="9.85546875" style="13" customWidth="1"/>
    <col min="14039" max="14292" width="8.7109375" style="13"/>
    <col min="14293" max="14293" width="85.85546875" style="13" customWidth="1"/>
    <col min="14294" max="14294" width="9.85546875" style="13" customWidth="1"/>
    <col min="14295" max="14548" width="8.7109375" style="13"/>
    <col min="14549" max="14549" width="85.85546875" style="13" customWidth="1"/>
    <col min="14550" max="14550" width="9.85546875" style="13" customWidth="1"/>
    <col min="14551" max="14804" width="8.7109375" style="13"/>
    <col min="14805" max="14805" width="85.85546875" style="13" customWidth="1"/>
    <col min="14806" max="14806" width="9.85546875" style="13" customWidth="1"/>
    <col min="14807" max="15060" width="8.7109375" style="13"/>
    <col min="15061" max="15061" width="85.85546875" style="13" customWidth="1"/>
    <col min="15062" max="15062" width="9.85546875" style="13" customWidth="1"/>
    <col min="15063" max="15316" width="8.7109375" style="13"/>
    <col min="15317" max="15317" width="85.85546875" style="13" customWidth="1"/>
    <col min="15318" max="15318" width="9.85546875" style="13" customWidth="1"/>
    <col min="15319" max="15572" width="8.7109375" style="13"/>
    <col min="15573" max="15573" width="85.85546875" style="13" customWidth="1"/>
    <col min="15574" max="15574" width="9.85546875" style="13" customWidth="1"/>
    <col min="15575" max="15828" width="8.7109375" style="13"/>
    <col min="15829" max="15829" width="85.85546875" style="13" customWidth="1"/>
    <col min="15830" max="15830" width="9.85546875" style="13" customWidth="1"/>
    <col min="15831" max="16084" width="8.7109375" style="13"/>
    <col min="16085" max="16085" width="85.85546875" style="13" customWidth="1"/>
    <col min="16086" max="16086" width="9.85546875" style="13" customWidth="1"/>
    <col min="16087" max="16384" width="8.7109375" style="13"/>
  </cols>
  <sheetData>
    <row r="2" spans="2:12">
      <c r="B2" s="14" t="s">
        <v>240</v>
      </c>
      <c r="C2" s="14"/>
      <c r="D2" s="14"/>
    </row>
    <row r="3" spans="2:12">
      <c r="B3" s="14" t="s">
        <v>4503</v>
      </c>
      <c r="C3" s="14"/>
      <c r="D3" s="14"/>
    </row>
    <row r="5" spans="2:12">
      <c r="B5" s="45" t="s">
        <v>241</v>
      </c>
      <c r="C5" s="45" t="s">
        <v>242</v>
      </c>
      <c r="D5" s="45" t="s">
        <v>243</v>
      </c>
      <c r="E5" s="45">
        <v>2020</v>
      </c>
      <c r="F5" s="15">
        <f>+E5+1</f>
        <v>2021</v>
      </c>
      <c r="G5" s="15">
        <f t="shared" ref="G5:J5" si="0">+F5+1</f>
        <v>2022</v>
      </c>
      <c r="H5" s="15">
        <f t="shared" si="0"/>
        <v>2023</v>
      </c>
      <c r="I5" s="15">
        <f t="shared" si="0"/>
        <v>2024</v>
      </c>
      <c r="J5" s="15">
        <f t="shared" si="0"/>
        <v>2025</v>
      </c>
      <c r="K5" s="15">
        <f>+J5+1</f>
        <v>2026</v>
      </c>
      <c r="L5" s="15">
        <f>+K5+1</f>
        <v>2027</v>
      </c>
    </row>
    <row r="6" spans="2:12">
      <c r="B6" s="13" t="s">
        <v>10</v>
      </c>
      <c r="C6" s="13" t="s">
        <v>10</v>
      </c>
      <c r="D6" s="16" t="s">
        <v>244</v>
      </c>
      <c r="E6" s="17"/>
      <c r="F6" s="17" t="s">
        <v>11</v>
      </c>
      <c r="G6" s="18" t="s">
        <v>11</v>
      </c>
      <c r="H6" s="17" t="s">
        <v>245</v>
      </c>
      <c r="I6" s="17" t="s">
        <v>245</v>
      </c>
      <c r="J6" s="17" t="s">
        <v>245</v>
      </c>
      <c r="K6" s="17" t="s">
        <v>245</v>
      </c>
      <c r="L6" s="17" t="s">
        <v>245</v>
      </c>
    </row>
    <row r="7" spans="2:12">
      <c r="B7" s="13" t="s">
        <v>12</v>
      </c>
      <c r="C7" s="13" t="s">
        <v>12</v>
      </c>
      <c r="D7" s="16" t="s">
        <v>246</v>
      </c>
      <c r="E7" s="17">
        <v>0.01</v>
      </c>
      <c r="F7" s="18">
        <v>0.02</v>
      </c>
      <c r="G7" s="18">
        <v>5.5E-2</v>
      </c>
      <c r="H7" s="17">
        <v>3.7000000000000005E-2</v>
      </c>
      <c r="I7" s="17">
        <v>0.03</v>
      </c>
      <c r="J7" s="17">
        <v>0.03</v>
      </c>
      <c r="K7" s="17">
        <v>0.03</v>
      </c>
      <c r="L7" s="17">
        <v>0.03</v>
      </c>
    </row>
    <row r="8" spans="2:12">
      <c r="B8" s="13" t="s">
        <v>13</v>
      </c>
      <c r="C8" s="13" t="s">
        <v>13</v>
      </c>
      <c r="D8" s="16" t="s">
        <v>244</v>
      </c>
      <c r="E8" s="17">
        <v>3.5000000000000003E-2</v>
      </c>
      <c r="F8" s="18">
        <v>7.2000000000000008E-2</v>
      </c>
      <c r="G8" s="18">
        <v>8.6999999999999994E-2</v>
      </c>
      <c r="H8" s="17">
        <v>8.199999999999999E-2</v>
      </c>
      <c r="I8" s="17">
        <v>9.4E-2</v>
      </c>
      <c r="J8" s="17">
        <v>0.10300000000000001</v>
      </c>
      <c r="K8" s="17">
        <v>0.10400000000000001</v>
      </c>
      <c r="L8" s="17">
        <v>9.3000000000000013E-2</v>
      </c>
    </row>
    <row r="9" spans="2:12">
      <c r="B9" s="13" t="s">
        <v>14</v>
      </c>
      <c r="E9" s="17">
        <v>-2E-3</v>
      </c>
      <c r="F9" s="18">
        <v>1.7000000000000001E-2</v>
      </c>
      <c r="G9" s="18">
        <v>2.8999999999999998E-2</v>
      </c>
      <c r="H9" s="17">
        <v>1.3000000000000001E-2</v>
      </c>
      <c r="I9" s="17">
        <v>1.3999999999999999E-2</v>
      </c>
      <c r="J9" s="17">
        <v>1.6E-2</v>
      </c>
      <c r="K9" s="17">
        <v>1.7000000000000001E-2</v>
      </c>
      <c r="L9" s="17">
        <v>1.7000000000000001E-2</v>
      </c>
    </row>
    <row r="10" spans="2:12">
      <c r="B10" s="13" t="s">
        <v>15</v>
      </c>
      <c r="C10" s="13" t="s">
        <v>15</v>
      </c>
      <c r="D10" s="13" t="s">
        <v>244</v>
      </c>
      <c r="E10" s="17">
        <v>0.251</v>
      </c>
      <c r="F10" s="18">
        <v>0.25800000000000001</v>
      </c>
      <c r="G10" s="18">
        <v>0.23899999999999999</v>
      </c>
      <c r="H10" s="17">
        <v>0.13200000000000001</v>
      </c>
      <c r="I10" s="17">
        <v>0.10300000000000001</v>
      </c>
      <c r="J10" s="17">
        <v>7.9000000000000001E-2</v>
      </c>
      <c r="K10" s="17">
        <v>6.8000000000000005E-2</v>
      </c>
      <c r="L10" s="17">
        <v>6.4000000000000001E-2</v>
      </c>
    </row>
    <row r="11" spans="2:12">
      <c r="B11" s="13" t="s">
        <v>16</v>
      </c>
      <c r="C11" s="13" t="s">
        <v>16</v>
      </c>
      <c r="D11" s="13" t="s">
        <v>247</v>
      </c>
      <c r="E11" s="17">
        <v>2.7999999999999997E-2</v>
      </c>
      <c r="F11" s="18">
        <v>1.6E-2</v>
      </c>
      <c r="G11" s="18">
        <v>4.4000000000000004E-2</v>
      </c>
      <c r="H11" s="17">
        <v>3.5000000000000003E-2</v>
      </c>
      <c r="I11" s="17">
        <v>2.2000000000000002E-2</v>
      </c>
      <c r="J11" s="17">
        <v>0.02</v>
      </c>
      <c r="K11" s="17">
        <v>0.02</v>
      </c>
      <c r="L11" s="17">
        <v>0.02</v>
      </c>
    </row>
    <row r="12" spans="2:12">
      <c r="B12" s="13" t="s">
        <v>17</v>
      </c>
      <c r="C12" s="13" t="s">
        <v>17</v>
      </c>
      <c r="D12" s="13" t="s">
        <v>247</v>
      </c>
      <c r="E12" s="17">
        <v>0.36099999999999999</v>
      </c>
      <c r="F12" s="18">
        <v>0.48399999999999999</v>
      </c>
      <c r="G12" s="18">
        <v>0.51700000000000002</v>
      </c>
      <c r="H12" s="17">
        <v>0.435</v>
      </c>
      <c r="I12" s="17">
        <v>0.38500000000000001</v>
      </c>
      <c r="J12" s="17">
        <v>0.35299999999999998</v>
      </c>
      <c r="K12" s="17">
        <v>0.29199999999999998</v>
      </c>
      <c r="L12" s="17">
        <v>0.24199999999999999</v>
      </c>
    </row>
    <row r="13" spans="2:12">
      <c r="B13" s="13" t="s">
        <v>18</v>
      </c>
      <c r="C13" s="13" t="s">
        <v>18</v>
      </c>
      <c r="D13" s="13" t="s">
        <v>244</v>
      </c>
      <c r="E13" s="17">
        <v>3.7999999999999999E-2</v>
      </c>
      <c r="F13" s="18">
        <v>7.2000000000000008E-2</v>
      </c>
      <c r="G13" s="18">
        <v>7.5999999999999998E-2</v>
      </c>
      <c r="H13" s="17">
        <v>0.06</v>
      </c>
      <c r="I13" s="17">
        <v>4.2999999999999997E-2</v>
      </c>
      <c r="J13" s="17">
        <v>4.0999999999999995E-2</v>
      </c>
      <c r="K13" s="17">
        <v>0.04</v>
      </c>
      <c r="L13" s="17">
        <v>0.04</v>
      </c>
    </row>
    <row r="14" spans="2:12">
      <c r="B14" s="13" t="s">
        <v>19</v>
      </c>
      <c r="C14" s="13" t="s">
        <v>19</v>
      </c>
      <c r="D14" s="13" t="s">
        <v>247</v>
      </c>
      <c r="E14" s="17">
        <v>-3.1E-2</v>
      </c>
      <c r="F14" s="18">
        <v>6.9999999999999993E-3</v>
      </c>
      <c r="G14" s="18">
        <v>4.5999999999999999E-2</v>
      </c>
      <c r="H14" s="17">
        <v>2.4E-2</v>
      </c>
      <c r="I14" s="17">
        <v>1.3999999999999999E-2</v>
      </c>
      <c r="J14" s="17">
        <v>1.3999999999999999E-2</v>
      </c>
      <c r="K14" s="17">
        <v>1.3000000000000001E-2</v>
      </c>
      <c r="L14" s="17">
        <v>1.3000000000000001E-2</v>
      </c>
    </row>
    <row r="15" spans="2:12">
      <c r="B15" s="13" t="s">
        <v>20</v>
      </c>
      <c r="C15" s="13" t="s">
        <v>20</v>
      </c>
      <c r="D15" s="13" t="s">
        <v>248</v>
      </c>
      <c r="E15" s="17">
        <v>9.0000000000000011E-3</v>
      </c>
      <c r="F15" s="18">
        <v>2.7999999999999997E-2</v>
      </c>
      <c r="G15" s="18">
        <v>3.9E-2</v>
      </c>
      <c r="H15" s="17">
        <v>2.7000000000000003E-2</v>
      </c>
      <c r="I15" s="17">
        <v>2.5000000000000001E-2</v>
      </c>
      <c r="J15" s="17">
        <v>2.5000000000000001E-2</v>
      </c>
      <c r="K15" s="17">
        <v>2.5000000000000001E-2</v>
      </c>
      <c r="L15" s="17">
        <v>2.5000000000000001E-2</v>
      </c>
    </row>
    <row r="16" spans="2:12">
      <c r="B16" s="19" t="s">
        <v>21</v>
      </c>
      <c r="C16" s="19" t="s">
        <v>21</v>
      </c>
      <c r="D16" s="19" t="s">
        <v>222</v>
      </c>
      <c r="E16" s="20">
        <v>0.01</v>
      </c>
      <c r="F16" s="21">
        <v>2.7999999999999997E-2</v>
      </c>
      <c r="G16" s="21">
        <v>5.5999999999999994E-2</v>
      </c>
      <c r="H16" s="22">
        <v>2.2000000000000002E-2</v>
      </c>
      <c r="I16" s="22">
        <v>0.02</v>
      </c>
      <c r="J16" s="22">
        <v>0.02</v>
      </c>
      <c r="K16" s="22">
        <v>0.02</v>
      </c>
      <c r="L16" s="22">
        <v>0.02</v>
      </c>
    </row>
    <row r="17" spans="2:12">
      <c r="B17" s="13" t="s">
        <v>22</v>
      </c>
      <c r="C17" s="13" t="s">
        <v>22</v>
      </c>
      <c r="D17" s="13" t="s">
        <v>244</v>
      </c>
      <c r="E17" s="17">
        <v>2.7000000000000003E-2</v>
      </c>
      <c r="F17" s="18">
        <v>6.7000000000000004E-2</v>
      </c>
      <c r="G17" s="18">
        <v>0.12300000000000001</v>
      </c>
      <c r="H17" s="17">
        <v>8.6999999999999994E-2</v>
      </c>
      <c r="I17" s="17">
        <v>0.05</v>
      </c>
      <c r="J17" s="17">
        <v>0.04</v>
      </c>
      <c r="K17" s="17">
        <v>0.04</v>
      </c>
      <c r="L17" s="17">
        <v>0.04</v>
      </c>
    </row>
    <row r="18" spans="2:12">
      <c r="B18" s="13" t="s">
        <v>23</v>
      </c>
      <c r="C18" s="13" t="s">
        <v>249</v>
      </c>
      <c r="D18" s="13" t="s">
        <v>247</v>
      </c>
      <c r="E18" s="17">
        <v>1.2E-2</v>
      </c>
      <c r="F18" s="18">
        <v>3.2000000000000001E-2</v>
      </c>
      <c r="G18" s="18">
        <v>7.2999999999999995E-2</v>
      </c>
      <c r="H18" s="17">
        <v>4.4999999999999998E-2</v>
      </c>
      <c r="I18" s="17">
        <v>3.3000000000000002E-2</v>
      </c>
      <c r="J18" s="17">
        <v>2.8999999999999998E-2</v>
      </c>
      <c r="K18" s="17">
        <v>2.6000000000000002E-2</v>
      </c>
      <c r="L18" s="17">
        <v>2.4E-2</v>
      </c>
    </row>
    <row r="19" spans="2:12">
      <c r="B19" s="13" t="s">
        <v>24</v>
      </c>
      <c r="C19" s="13" t="s">
        <v>250</v>
      </c>
      <c r="D19" s="13" t="s">
        <v>244</v>
      </c>
      <c r="E19" s="17">
        <v>-1.6E-2</v>
      </c>
      <c r="F19" s="18">
        <v>-6.0000000000000001E-3</v>
      </c>
      <c r="G19" s="18">
        <v>3.5000000000000003E-2</v>
      </c>
      <c r="H19" s="17">
        <v>2.7999999999999997E-2</v>
      </c>
      <c r="I19" s="17">
        <v>2.3E-2</v>
      </c>
      <c r="J19" s="17">
        <v>0.02</v>
      </c>
      <c r="K19" s="17">
        <v>0.02</v>
      </c>
      <c r="L19" s="17">
        <v>0.02</v>
      </c>
    </row>
    <row r="20" spans="2:12">
      <c r="B20" s="13" t="s">
        <v>25</v>
      </c>
      <c r="C20" s="13" t="s">
        <v>25</v>
      </c>
      <c r="D20" s="13" t="s">
        <v>248</v>
      </c>
      <c r="E20" s="17">
        <v>0.06</v>
      </c>
      <c r="F20" s="18">
        <v>5.5999999999999994E-2</v>
      </c>
      <c r="G20" s="18">
        <v>0.06</v>
      </c>
      <c r="H20" s="17">
        <v>6.2E-2</v>
      </c>
      <c r="I20" s="17">
        <v>5.7000000000000002E-2</v>
      </c>
      <c r="J20" s="17">
        <v>5.5E-2</v>
      </c>
      <c r="K20" s="17">
        <v>5.5E-2</v>
      </c>
      <c r="L20" s="17">
        <v>5.5E-2</v>
      </c>
    </row>
    <row r="21" spans="2:12">
      <c r="B21" s="13" t="s">
        <v>26</v>
      </c>
      <c r="C21" s="13" t="s">
        <v>26</v>
      </c>
      <c r="D21" s="13" t="s">
        <v>247</v>
      </c>
      <c r="E21" s="17">
        <v>1.3000000000000001E-2</v>
      </c>
      <c r="F21" s="18">
        <v>0.03</v>
      </c>
      <c r="G21" s="18">
        <v>0.06</v>
      </c>
      <c r="H21" s="17">
        <v>4.4999999999999998E-2</v>
      </c>
      <c r="I21" s="17">
        <v>2.8999999999999998E-2</v>
      </c>
      <c r="J21" s="17">
        <v>2.3E-2</v>
      </c>
      <c r="K21" s="17">
        <v>2.3E-2</v>
      </c>
      <c r="L21" s="17">
        <v>2.3E-2</v>
      </c>
    </row>
    <row r="22" spans="2:12">
      <c r="B22" s="13" t="s">
        <v>27</v>
      </c>
      <c r="C22" s="13" t="s">
        <v>251</v>
      </c>
      <c r="D22" s="23" t="s">
        <v>246</v>
      </c>
      <c r="E22" s="17">
        <v>7.2999999999999995E-2</v>
      </c>
      <c r="F22" s="18">
        <v>9.5000000000000001E-2</v>
      </c>
      <c r="G22" s="18">
        <v>0.126</v>
      </c>
      <c r="H22" s="17">
        <v>0.14099999999999999</v>
      </c>
      <c r="I22" s="17">
        <v>0.11699999999999999</v>
      </c>
      <c r="J22" s="17">
        <v>7.0999999999999994E-2</v>
      </c>
      <c r="K22" s="17">
        <v>5.7000000000000002E-2</v>
      </c>
      <c r="L22" s="17">
        <v>0.05</v>
      </c>
    </row>
    <row r="23" spans="2:12">
      <c r="B23" s="19" t="s">
        <v>28</v>
      </c>
      <c r="C23" s="19" t="s">
        <v>252</v>
      </c>
      <c r="D23" s="19" t="s">
        <v>222</v>
      </c>
      <c r="E23" s="22">
        <v>4.0000000000000001E-3</v>
      </c>
      <c r="F23" s="21">
        <v>3.2000000000000001E-2</v>
      </c>
      <c r="G23" s="21">
        <v>0.08</v>
      </c>
      <c r="H23" s="22">
        <v>1.3000000000000001E-2</v>
      </c>
      <c r="I23" s="22">
        <v>1.6E-2</v>
      </c>
      <c r="J23" s="22">
        <v>1.7000000000000001E-2</v>
      </c>
      <c r="K23" s="22">
        <v>1.7000000000000001E-2</v>
      </c>
      <c r="L23" s="22">
        <v>1.7000000000000001E-2</v>
      </c>
    </row>
    <row r="24" spans="2:12">
      <c r="B24" s="13" t="s">
        <v>29</v>
      </c>
      <c r="C24" s="13" t="s">
        <v>29</v>
      </c>
      <c r="D24" s="13" t="s">
        <v>247</v>
      </c>
      <c r="E24" s="17">
        <v>4.0000000000000001E-3</v>
      </c>
      <c r="F24" s="18">
        <v>3.2000000000000001E-2</v>
      </c>
      <c r="G24" s="18">
        <v>4.8000000000000001E-2</v>
      </c>
      <c r="H24" s="17">
        <v>3.7000000000000005E-2</v>
      </c>
      <c r="I24" s="17">
        <v>2.2000000000000002E-2</v>
      </c>
      <c r="J24" s="17">
        <v>0.02</v>
      </c>
      <c r="K24" s="17">
        <v>0.02</v>
      </c>
      <c r="L24" s="17">
        <v>0.02</v>
      </c>
    </row>
    <row r="25" spans="2:12">
      <c r="B25" s="13" t="s">
        <v>30</v>
      </c>
      <c r="C25" s="13" t="s">
        <v>30</v>
      </c>
      <c r="D25" s="13" t="s">
        <v>244</v>
      </c>
      <c r="E25" s="17">
        <v>1.2E-2</v>
      </c>
      <c r="F25" s="18">
        <v>1.7000000000000001E-2</v>
      </c>
      <c r="G25" s="18">
        <v>4.5999999999999999E-2</v>
      </c>
      <c r="H25" s="17">
        <v>1.8000000000000002E-2</v>
      </c>
      <c r="I25" s="17">
        <v>0.02</v>
      </c>
      <c r="J25" s="17">
        <v>0.02</v>
      </c>
      <c r="K25" s="17">
        <v>0.02</v>
      </c>
      <c r="L25" s="17">
        <v>0.02</v>
      </c>
    </row>
    <row r="26" spans="2:12">
      <c r="B26" s="13" t="s">
        <v>31</v>
      </c>
      <c r="C26" s="13" t="s">
        <v>31</v>
      </c>
      <c r="D26" s="13" t="s">
        <v>248</v>
      </c>
      <c r="E26" s="17">
        <v>4.4999999999999998E-2</v>
      </c>
      <c r="F26" s="18">
        <v>8.1000000000000003E-2</v>
      </c>
      <c r="G26" s="18">
        <v>7.9000000000000001E-2</v>
      </c>
      <c r="H26" s="17">
        <v>5.4000000000000006E-2</v>
      </c>
      <c r="I26" s="17">
        <v>4.5999999999999999E-2</v>
      </c>
      <c r="J26" s="17">
        <v>4.2000000000000003E-2</v>
      </c>
      <c r="K26" s="17">
        <v>4.0999999999999995E-2</v>
      </c>
      <c r="L26" s="17">
        <v>0.04</v>
      </c>
    </row>
    <row r="27" spans="2:12">
      <c r="B27" s="13" t="s">
        <v>32</v>
      </c>
      <c r="C27" s="13" t="s">
        <v>32</v>
      </c>
      <c r="D27" s="13" t="s">
        <v>247</v>
      </c>
      <c r="E27" s="17">
        <v>6.9999999999999993E-3</v>
      </c>
      <c r="F27" s="18">
        <v>6.9999999999999993E-3</v>
      </c>
      <c r="G27" s="18">
        <v>3.2000000000000001E-2</v>
      </c>
      <c r="H27" s="17">
        <v>3.6000000000000004E-2</v>
      </c>
      <c r="I27" s="17">
        <v>3.5000000000000003E-2</v>
      </c>
      <c r="J27" s="17">
        <v>3.5000000000000003E-2</v>
      </c>
      <c r="K27" s="17">
        <v>3.5000000000000003E-2</v>
      </c>
      <c r="L27" s="17">
        <v>3.5000000000000003E-2</v>
      </c>
    </row>
    <row r="28" spans="2:12">
      <c r="B28" s="13" t="s">
        <v>33</v>
      </c>
      <c r="C28" s="13" t="s">
        <v>253</v>
      </c>
      <c r="D28" s="23" t="s">
        <v>246</v>
      </c>
      <c r="E28" s="17">
        <v>-1.1000000000000001E-2</v>
      </c>
      <c r="F28" s="18">
        <v>0.02</v>
      </c>
      <c r="G28" s="18">
        <v>6.5000000000000002E-2</v>
      </c>
      <c r="H28" s="17">
        <v>0.03</v>
      </c>
      <c r="I28" s="17">
        <v>2.3E-2</v>
      </c>
      <c r="J28" s="17">
        <v>2.1000000000000001E-2</v>
      </c>
      <c r="K28" s="17">
        <v>2.1000000000000001E-2</v>
      </c>
      <c r="L28" s="17">
        <v>0.02</v>
      </c>
    </row>
    <row r="29" spans="2:12">
      <c r="B29" s="13" t="s">
        <v>34</v>
      </c>
      <c r="C29" s="13" t="s">
        <v>34</v>
      </c>
      <c r="D29" s="13" t="s">
        <v>244</v>
      </c>
      <c r="E29" s="17">
        <v>2.2000000000000002E-2</v>
      </c>
      <c r="F29" s="18">
        <v>6.7000000000000004E-2</v>
      </c>
      <c r="G29" s="18">
        <v>8.900000000000001E-2</v>
      </c>
      <c r="H29" s="17">
        <v>4.4999999999999998E-2</v>
      </c>
      <c r="I29" s="17">
        <v>4.4999999999999998E-2</v>
      </c>
      <c r="J29" s="17">
        <v>4.4999999999999998E-2</v>
      </c>
      <c r="K29" s="17">
        <v>4.4999999999999998E-2</v>
      </c>
      <c r="L29" s="17">
        <v>4.4999999999999998E-2</v>
      </c>
    </row>
    <row r="30" spans="2:12">
      <c r="B30" s="13" t="s">
        <v>35</v>
      </c>
      <c r="C30" s="13" t="s">
        <v>254</v>
      </c>
      <c r="D30" s="13" t="s">
        <v>247</v>
      </c>
      <c r="E30" s="17">
        <v>4.4999999999999998E-2</v>
      </c>
      <c r="F30" s="18">
        <v>8.3000000000000004E-2</v>
      </c>
      <c r="G30" s="18">
        <v>8.199999999999999E-2</v>
      </c>
      <c r="H30" s="17">
        <v>5.0999999999999997E-2</v>
      </c>
      <c r="I30" s="17">
        <v>3.3000000000000002E-2</v>
      </c>
      <c r="J30" s="17">
        <v>3.3000000000000002E-2</v>
      </c>
      <c r="K30" s="17">
        <v>2.7999999999999997E-2</v>
      </c>
      <c r="L30" s="17">
        <v>0.03</v>
      </c>
    </row>
    <row r="31" spans="2:12">
      <c r="B31" s="13" t="s">
        <v>36</v>
      </c>
      <c r="C31" s="13" t="s">
        <v>36</v>
      </c>
      <c r="D31" s="13" t="s">
        <v>248</v>
      </c>
      <c r="E31" s="17">
        <v>0.02</v>
      </c>
      <c r="F31" s="18">
        <v>1.4999999999999999E-2</v>
      </c>
      <c r="G31" s="18">
        <v>0.02</v>
      </c>
      <c r="H31" s="17">
        <v>1.4999999999999999E-2</v>
      </c>
      <c r="I31" s="17">
        <v>0.01</v>
      </c>
      <c r="J31" s="17">
        <v>0.01</v>
      </c>
      <c r="K31" s="17">
        <v>0.01</v>
      </c>
      <c r="L31" s="17">
        <v>0.01</v>
      </c>
    </row>
    <row r="32" spans="2:12">
      <c r="B32" s="13" t="s">
        <v>37</v>
      </c>
      <c r="C32" s="13" t="s">
        <v>37</v>
      </c>
      <c r="D32" s="13" t="s">
        <v>246</v>
      </c>
      <c r="E32" s="17">
        <v>0</v>
      </c>
      <c r="F32" s="18">
        <v>2.7999999999999997E-2</v>
      </c>
      <c r="G32" s="18">
        <v>0.11</v>
      </c>
      <c r="H32" s="17">
        <v>3.3000000000000002E-2</v>
      </c>
      <c r="I32" s="17">
        <v>1.3000000000000001E-2</v>
      </c>
      <c r="J32" s="17">
        <v>0.02</v>
      </c>
      <c r="K32" s="17">
        <v>0.02</v>
      </c>
      <c r="L32" s="17">
        <v>0.02</v>
      </c>
    </row>
    <row r="33" spans="2:12">
      <c r="B33" s="13" t="s">
        <v>38</v>
      </c>
      <c r="C33" s="13" t="s">
        <v>38</v>
      </c>
      <c r="D33" s="13" t="s">
        <v>244</v>
      </c>
      <c r="E33" s="17">
        <v>2.3E-2</v>
      </c>
      <c r="F33" s="18">
        <v>3.9E-2</v>
      </c>
      <c r="G33" s="18">
        <v>0.06</v>
      </c>
      <c r="H33" s="17">
        <v>0.02</v>
      </c>
      <c r="I33" s="17">
        <v>0.02</v>
      </c>
      <c r="J33" s="17">
        <v>0.02</v>
      </c>
      <c r="K33" s="17">
        <v>0.02</v>
      </c>
      <c r="L33" s="17">
        <v>0.02</v>
      </c>
    </row>
    <row r="34" spans="2:12">
      <c r="B34" s="13" t="s">
        <v>39</v>
      </c>
      <c r="C34" s="13" t="s">
        <v>39</v>
      </c>
      <c r="D34" s="13" t="s">
        <v>244</v>
      </c>
      <c r="E34" s="17">
        <v>7.4999999999999997E-2</v>
      </c>
      <c r="F34" s="18">
        <v>8.3000000000000004E-2</v>
      </c>
      <c r="G34" s="18">
        <v>9.1999999999999998E-2</v>
      </c>
      <c r="H34" s="17">
        <v>6.5000000000000002E-2</v>
      </c>
      <c r="I34" s="17">
        <v>6.2E-2</v>
      </c>
      <c r="J34" s="17">
        <v>0.06</v>
      </c>
      <c r="K34" s="17">
        <v>0.06</v>
      </c>
      <c r="L34" s="17">
        <v>0.06</v>
      </c>
    </row>
    <row r="35" spans="2:12">
      <c r="B35" s="13" t="s">
        <v>40</v>
      </c>
      <c r="C35" s="13" t="s">
        <v>40</v>
      </c>
      <c r="D35" s="13" t="s">
        <v>244</v>
      </c>
      <c r="E35" s="17">
        <v>-9.0000000000000011E-3</v>
      </c>
      <c r="F35" s="18">
        <v>1.9E-2</v>
      </c>
      <c r="G35" s="18">
        <v>2.3E-2</v>
      </c>
      <c r="H35" s="17">
        <v>0.02</v>
      </c>
      <c r="I35" s="17">
        <v>0.02</v>
      </c>
      <c r="J35" s="17">
        <v>0.02</v>
      </c>
      <c r="K35" s="17">
        <v>0.02</v>
      </c>
      <c r="L35" s="17">
        <v>0.02</v>
      </c>
    </row>
    <row r="36" spans="2:12">
      <c r="B36" s="13" t="s">
        <v>41</v>
      </c>
      <c r="C36" s="13" t="s">
        <v>41</v>
      </c>
      <c r="D36" s="13" t="s">
        <v>244</v>
      </c>
      <c r="E36" s="17">
        <v>2.8999999999999998E-2</v>
      </c>
      <c r="F36" s="18">
        <v>0.03</v>
      </c>
      <c r="G36" s="18">
        <v>0.03</v>
      </c>
      <c r="H36" s="17">
        <v>0.03</v>
      </c>
      <c r="I36" s="17">
        <v>0.03</v>
      </c>
      <c r="J36" s="17">
        <v>0.03</v>
      </c>
      <c r="K36" s="17">
        <v>0.03</v>
      </c>
      <c r="L36" s="17">
        <v>0.03</v>
      </c>
    </row>
    <row r="37" spans="2:12">
      <c r="B37" s="13" t="s">
        <v>42</v>
      </c>
      <c r="C37" s="13" t="s">
        <v>255</v>
      </c>
      <c r="D37" s="13" t="s">
        <v>244</v>
      </c>
      <c r="E37" s="17">
        <v>2.1000000000000001E-2</v>
      </c>
      <c r="F37" s="18">
        <v>2.3E-2</v>
      </c>
      <c r="G37" s="18">
        <v>2.8999999999999998E-2</v>
      </c>
      <c r="H37" s="17">
        <v>2.3E-2</v>
      </c>
      <c r="I37" s="17">
        <v>0.02</v>
      </c>
      <c r="J37" s="17">
        <v>0.02</v>
      </c>
      <c r="K37" s="17">
        <v>0.02</v>
      </c>
      <c r="L37" s="17">
        <v>0.02</v>
      </c>
    </row>
    <row r="38" spans="2:12">
      <c r="B38" s="19" t="s">
        <v>43</v>
      </c>
      <c r="C38" s="19" t="s">
        <v>43</v>
      </c>
      <c r="D38" s="19" t="s">
        <v>217</v>
      </c>
      <c r="E38" s="22">
        <v>8.0000000000000002E-3</v>
      </c>
      <c r="F38" s="21">
        <v>3.4000000000000002E-2</v>
      </c>
      <c r="G38" s="21">
        <v>5.5999999999999994E-2</v>
      </c>
      <c r="H38" s="22">
        <v>2.4E-2</v>
      </c>
      <c r="I38" s="22">
        <v>1.9E-2</v>
      </c>
      <c r="J38" s="22">
        <v>1.9E-2</v>
      </c>
      <c r="K38" s="22">
        <v>0.02</v>
      </c>
      <c r="L38" s="22">
        <v>0.02</v>
      </c>
    </row>
    <row r="39" spans="2:12">
      <c r="B39" s="13" t="s">
        <v>44</v>
      </c>
      <c r="C39" s="13" t="s">
        <v>256</v>
      </c>
      <c r="D39" s="13" t="s">
        <v>244</v>
      </c>
      <c r="E39" s="17">
        <v>4.8000000000000001E-2</v>
      </c>
      <c r="F39" s="18">
        <v>4.2999999999999997E-2</v>
      </c>
      <c r="G39" s="18">
        <v>0.04</v>
      </c>
      <c r="H39" s="17">
        <v>3.6000000000000004E-2</v>
      </c>
      <c r="I39" s="17">
        <v>2.7999999999999997E-2</v>
      </c>
      <c r="J39" s="17">
        <v>2.5000000000000001E-2</v>
      </c>
      <c r="K39" s="17">
        <v>2.5000000000000001E-2</v>
      </c>
      <c r="L39" s="17">
        <v>2.5000000000000001E-2</v>
      </c>
    </row>
    <row r="40" spans="2:12">
      <c r="B40" s="13" t="s">
        <v>45</v>
      </c>
      <c r="C40" s="13" t="s">
        <v>255</v>
      </c>
      <c r="D40" s="13" t="s">
        <v>244</v>
      </c>
      <c r="E40" s="17">
        <v>0.03</v>
      </c>
      <c r="F40" s="18">
        <v>-8.0000000000000002E-3</v>
      </c>
      <c r="G40" s="18">
        <v>4.0999999999999995E-2</v>
      </c>
      <c r="H40" s="17">
        <v>3.1E-2</v>
      </c>
      <c r="I40" s="17">
        <v>0.03</v>
      </c>
      <c r="J40" s="17">
        <v>0.03</v>
      </c>
      <c r="K40" s="17">
        <v>0.03</v>
      </c>
      <c r="L40" s="17">
        <v>0.03</v>
      </c>
    </row>
    <row r="41" spans="2:12">
      <c r="B41" s="13" t="s">
        <v>46</v>
      </c>
      <c r="C41" s="13" t="s">
        <v>257</v>
      </c>
      <c r="D41" s="13" t="s">
        <v>247</v>
      </c>
      <c r="E41" s="17">
        <v>2.8999999999999998E-2</v>
      </c>
      <c r="F41" s="18">
        <v>4.4999999999999998E-2</v>
      </c>
      <c r="G41" s="18">
        <v>7.4999999999999997E-2</v>
      </c>
      <c r="H41" s="17">
        <v>4.4999999999999998E-2</v>
      </c>
      <c r="I41" s="17">
        <v>3.3000000000000002E-2</v>
      </c>
      <c r="J41" s="17">
        <v>0.03</v>
      </c>
      <c r="K41" s="17">
        <v>0.03</v>
      </c>
      <c r="L41" s="17">
        <v>0.03</v>
      </c>
    </row>
    <row r="42" spans="2:12">
      <c r="B42" s="19" t="s">
        <v>47</v>
      </c>
      <c r="C42" s="19" t="s">
        <v>258</v>
      </c>
      <c r="D42" s="19" t="s">
        <v>248</v>
      </c>
      <c r="E42" s="22">
        <v>-3.0000000000000001E-3</v>
      </c>
      <c r="F42" s="21">
        <v>9.0000000000000011E-3</v>
      </c>
      <c r="G42" s="21">
        <v>2.1000000000000001E-2</v>
      </c>
      <c r="H42" s="22">
        <v>1.8000000000000002E-2</v>
      </c>
      <c r="I42" s="22">
        <v>0.02</v>
      </c>
      <c r="J42" s="22">
        <v>0.02</v>
      </c>
      <c r="K42" s="22">
        <v>0.02</v>
      </c>
      <c r="L42" s="22">
        <v>0.02</v>
      </c>
    </row>
    <row r="43" spans="2:12">
      <c r="B43" s="13" t="s">
        <v>48</v>
      </c>
      <c r="C43" s="13" t="s">
        <v>48</v>
      </c>
      <c r="D43" s="13" t="s">
        <v>247</v>
      </c>
      <c r="E43" s="17">
        <v>1.6E-2</v>
      </c>
      <c r="F43" s="18">
        <v>3.5000000000000003E-2</v>
      </c>
      <c r="G43" s="18">
        <v>7.6999999999999999E-2</v>
      </c>
      <c r="H43" s="17">
        <v>4.2000000000000003E-2</v>
      </c>
      <c r="I43" s="17">
        <v>3.5000000000000003E-2</v>
      </c>
      <c r="J43" s="17">
        <v>0.03</v>
      </c>
      <c r="K43" s="17">
        <v>0.03</v>
      </c>
      <c r="L43" s="17">
        <v>0.03</v>
      </c>
    </row>
    <row r="44" spans="2:12">
      <c r="B44" s="13" t="s">
        <v>49</v>
      </c>
      <c r="C44" s="13" t="s">
        <v>49</v>
      </c>
      <c r="D44" s="13" t="s">
        <v>244</v>
      </c>
      <c r="E44" s="17">
        <v>-6.3E-2</v>
      </c>
      <c r="F44" s="18">
        <v>1.4999999999999999E-2</v>
      </c>
      <c r="G44" s="18">
        <v>0.05</v>
      </c>
      <c r="H44" s="17">
        <v>1.4999999999999999E-2</v>
      </c>
      <c r="I44" s="17">
        <v>1.2E-2</v>
      </c>
      <c r="J44" s="17">
        <v>1.6E-2</v>
      </c>
      <c r="K44" s="17">
        <v>1.9E-2</v>
      </c>
      <c r="L44" s="17">
        <v>1.9E-2</v>
      </c>
    </row>
    <row r="45" spans="2:12">
      <c r="B45" s="13" t="s">
        <v>50</v>
      </c>
      <c r="C45" s="13" t="s">
        <v>259</v>
      </c>
      <c r="D45" s="13" t="s">
        <v>244</v>
      </c>
      <c r="E45" s="17">
        <v>0.158</v>
      </c>
      <c r="F45" s="18">
        <v>0.09</v>
      </c>
      <c r="G45" s="18">
        <v>6.4000000000000001E-2</v>
      </c>
      <c r="H45" s="17">
        <v>6.0999999999999999E-2</v>
      </c>
      <c r="I45" s="17">
        <v>5.7000000000000002E-2</v>
      </c>
      <c r="J45" s="17">
        <v>5.4000000000000006E-2</v>
      </c>
      <c r="K45" s="17">
        <v>5.4000000000000006E-2</v>
      </c>
      <c r="L45" s="17">
        <v>6.3E-2</v>
      </c>
    </row>
    <row r="46" spans="2:12">
      <c r="B46" s="13" t="s">
        <v>51</v>
      </c>
      <c r="C46" s="13" t="s">
        <v>260</v>
      </c>
      <c r="D46" s="13" t="s">
        <v>244</v>
      </c>
      <c r="E46" s="17">
        <v>5.0000000000000001E-3</v>
      </c>
      <c r="F46" s="18">
        <v>0.02</v>
      </c>
      <c r="G46" s="18">
        <v>2.7000000000000003E-2</v>
      </c>
      <c r="H46" s="17">
        <v>0.03</v>
      </c>
      <c r="I46" s="17">
        <v>0.03</v>
      </c>
      <c r="J46" s="17">
        <v>0.03</v>
      </c>
      <c r="K46" s="17">
        <v>0.03</v>
      </c>
      <c r="L46" s="17">
        <v>0.03</v>
      </c>
    </row>
    <row r="47" spans="2:12">
      <c r="B47" s="13" t="s">
        <v>52</v>
      </c>
      <c r="C47" s="13" t="s">
        <v>52</v>
      </c>
      <c r="D47" s="13" t="s">
        <v>247</v>
      </c>
      <c r="E47" s="17">
        <v>9.0000000000000011E-3</v>
      </c>
      <c r="F47" s="18">
        <v>1.7000000000000001E-2</v>
      </c>
      <c r="G47" s="18">
        <v>5.4000000000000006E-2</v>
      </c>
      <c r="H47" s="17">
        <v>3.7000000000000005E-2</v>
      </c>
      <c r="I47" s="17">
        <v>3.2000000000000001E-2</v>
      </c>
      <c r="J47" s="17">
        <v>3.1E-2</v>
      </c>
      <c r="K47" s="17">
        <v>0.03</v>
      </c>
      <c r="L47" s="17">
        <v>0.03</v>
      </c>
    </row>
    <row r="48" spans="2:12">
      <c r="B48" s="13" t="s">
        <v>53</v>
      </c>
      <c r="C48" s="13" t="s">
        <v>261</v>
      </c>
      <c r="D48" s="13" t="s">
        <v>244</v>
      </c>
      <c r="E48" s="17">
        <v>-6.9999999999999993E-3</v>
      </c>
      <c r="F48" s="18">
        <v>2.6000000000000002E-2</v>
      </c>
      <c r="G48" s="18">
        <v>5.9000000000000004E-2</v>
      </c>
      <c r="H48" s="17">
        <v>2.7000000000000003E-2</v>
      </c>
      <c r="I48" s="17">
        <v>0.02</v>
      </c>
      <c r="J48" s="17">
        <v>0.02</v>
      </c>
      <c r="K48" s="17">
        <v>1.9E-2</v>
      </c>
      <c r="L48" s="17">
        <v>1.9E-2</v>
      </c>
    </row>
    <row r="49" spans="2:12">
      <c r="B49" s="13" t="s">
        <v>54</v>
      </c>
      <c r="C49" s="13" t="s">
        <v>262</v>
      </c>
      <c r="D49" s="13" t="s">
        <v>246</v>
      </c>
      <c r="E49" s="17">
        <v>-8.0000000000000002E-3</v>
      </c>
      <c r="F49" s="18">
        <v>2.2000000000000002E-2</v>
      </c>
      <c r="G49" s="18">
        <v>5.2999999999999999E-2</v>
      </c>
      <c r="H49" s="17">
        <v>2.3E-2</v>
      </c>
      <c r="I49" s="17">
        <v>0.02</v>
      </c>
      <c r="J49" s="17">
        <v>1.8000000000000002E-2</v>
      </c>
      <c r="K49" s="17">
        <v>1.8000000000000002E-2</v>
      </c>
      <c r="L49" s="17">
        <v>1.9E-2</v>
      </c>
    </row>
    <row r="50" spans="2:12">
      <c r="B50" s="13" t="s">
        <v>55</v>
      </c>
      <c r="C50" s="13" t="s">
        <v>263</v>
      </c>
      <c r="D50" s="13" t="s">
        <v>244</v>
      </c>
      <c r="E50" s="17">
        <v>2.3E-2</v>
      </c>
      <c r="F50" s="18">
        <v>3.7999999999999999E-2</v>
      </c>
      <c r="G50" s="18">
        <v>0.09</v>
      </c>
      <c r="H50" s="17">
        <v>2.3E-2</v>
      </c>
      <c r="I50" s="17">
        <v>0.02</v>
      </c>
      <c r="J50" s="17">
        <v>0.02</v>
      </c>
      <c r="K50" s="17">
        <v>0.02</v>
      </c>
      <c r="L50" s="17">
        <v>0.02</v>
      </c>
    </row>
    <row r="51" spans="2:12">
      <c r="B51" s="13" t="s">
        <v>56</v>
      </c>
      <c r="C51" s="13" t="s">
        <v>264</v>
      </c>
      <c r="D51" s="13" t="s">
        <v>246</v>
      </c>
      <c r="E51" s="17">
        <v>0.02</v>
      </c>
      <c r="F51" s="18">
        <v>4.2000000000000003E-2</v>
      </c>
      <c r="G51" s="18">
        <v>5.5E-2</v>
      </c>
      <c r="H51" s="17">
        <v>2.3E-2</v>
      </c>
      <c r="I51" s="17">
        <v>1.6E-2</v>
      </c>
      <c r="J51" s="17">
        <v>1.6E-2</v>
      </c>
      <c r="K51" s="17">
        <v>1.6E-2</v>
      </c>
      <c r="L51" s="17">
        <v>0.02</v>
      </c>
    </row>
    <row r="52" spans="2:12">
      <c r="B52" s="13" t="s">
        <v>57</v>
      </c>
      <c r="C52" s="13" t="s">
        <v>265</v>
      </c>
      <c r="D52" s="13" t="s">
        <v>222</v>
      </c>
      <c r="E52" s="17">
        <v>4.0000000000000001E-3</v>
      </c>
      <c r="F52" s="18">
        <v>1.9E-2</v>
      </c>
      <c r="G52" s="18">
        <v>3.7999999999999999E-2</v>
      </c>
      <c r="H52" s="17">
        <v>2.1000000000000001E-2</v>
      </c>
      <c r="I52" s="17">
        <v>0.02</v>
      </c>
      <c r="J52" s="17">
        <v>0.02</v>
      </c>
      <c r="K52" s="17">
        <v>0.02</v>
      </c>
      <c r="L52" s="17">
        <v>0.02</v>
      </c>
    </row>
    <row r="53" spans="2:12">
      <c r="B53" s="13" t="s">
        <v>58</v>
      </c>
      <c r="C53" s="13" t="s">
        <v>58</v>
      </c>
      <c r="D53" s="13" t="s">
        <v>244</v>
      </c>
      <c r="E53" s="17">
        <v>3.0000000000000001E-3</v>
      </c>
      <c r="F53" s="18">
        <v>1.2E-2</v>
      </c>
      <c r="G53" s="18">
        <v>3.7999999999999999E-2</v>
      </c>
      <c r="H53" s="17">
        <v>4.2000000000000003E-2</v>
      </c>
      <c r="I53" s="17">
        <v>0.03</v>
      </c>
      <c r="J53" s="17">
        <v>2.5000000000000001E-2</v>
      </c>
      <c r="K53" s="17">
        <v>2.5000000000000001E-2</v>
      </c>
      <c r="L53" s="17">
        <v>2.5000000000000001E-2</v>
      </c>
    </row>
    <row r="54" spans="2:12">
      <c r="B54" s="13" t="s">
        <v>59</v>
      </c>
      <c r="C54" s="13" t="s">
        <v>59</v>
      </c>
      <c r="D54" s="13" t="s">
        <v>247</v>
      </c>
      <c r="E54" s="17">
        <v>-6.9999999999999993E-3</v>
      </c>
      <c r="F54" s="18">
        <v>5.0000000000000001E-3</v>
      </c>
      <c r="G54" s="18">
        <v>0.05</v>
      </c>
      <c r="H54" s="17">
        <v>4.2000000000000003E-2</v>
      </c>
      <c r="I54" s="17">
        <v>0.02</v>
      </c>
      <c r="J54" s="17">
        <v>0.02</v>
      </c>
      <c r="K54" s="17">
        <v>0.02</v>
      </c>
      <c r="L54" s="17">
        <v>0.02</v>
      </c>
    </row>
    <row r="55" spans="2:12">
      <c r="B55" s="13" t="s">
        <v>60</v>
      </c>
      <c r="C55" s="13" t="s">
        <v>266</v>
      </c>
      <c r="D55" s="13" t="s">
        <v>247</v>
      </c>
      <c r="E55" s="17">
        <v>5.5999999999999994E-2</v>
      </c>
      <c r="F55" s="18">
        <v>8.199999999999999E-2</v>
      </c>
      <c r="G55" s="18">
        <v>8.4000000000000005E-2</v>
      </c>
      <c r="H55" s="17">
        <v>0.05</v>
      </c>
      <c r="I55" s="17">
        <v>4.2999999999999997E-2</v>
      </c>
      <c r="J55" s="17">
        <v>0.04</v>
      </c>
      <c r="K55" s="17">
        <v>0.04</v>
      </c>
      <c r="L55" s="17">
        <v>0.04</v>
      </c>
    </row>
    <row r="56" spans="2:12">
      <c r="B56" s="13" t="s">
        <v>61</v>
      </c>
      <c r="C56" s="13" t="s">
        <v>61</v>
      </c>
      <c r="D56" s="13" t="s">
        <v>247</v>
      </c>
      <c r="E56" s="17">
        <v>-9.0000000000000011E-3</v>
      </c>
      <c r="F56" s="18">
        <v>1E-3</v>
      </c>
      <c r="G56" s="18">
        <v>3.2000000000000001E-2</v>
      </c>
      <c r="H56" s="17">
        <v>2.4E-2</v>
      </c>
      <c r="I56" s="17">
        <v>1.4999999999999999E-2</v>
      </c>
      <c r="J56" s="17">
        <v>1.3000000000000001E-2</v>
      </c>
      <c r="K56" s="17">
        <v>0.01</v>
      </c>
      <c r="L56" s="17">
        <v>0.01</v>
      </c>
    </row>
    <row r="57" spans="2:12">
      <c r="B57" s="13" t="s">
        <v>62</v>
      </c>
      <c r="C57" s="13" t="s">
        <v>267</v>
      </c>
      <c r="D57" s="13" t="s">
        <v>244</v>
      </c>
      <c r="E57" s="17">
        <v>5.7000000000000002E-2</v>
      </c>
      <c r="F57" s="18">
        <v>4.4999999999999998E-2</v>
      </c>
      <c r="G57" s="18">
        <v>7.4999999999999997E-2</v>
      </c>
      <c r="H57" s="17">
        <v>0.11</v>
      </c>
      <c r="I57" s="17">
        <v>7.400000000000001E-2</v>
      </c>
      <c r="J57" s="17">
        <v>7.400000000000001E-2</v>
      </c>
      <c r="K57" s="17">
        <v>7.400000000000001E-2</v>
      </c>
      <c r="L57" s="17">
        <v>7.400000000000001E-2</v>
      </c>
    </row>
    <row r="58" spans="2:12">
      <c r="B58" s="13" t="s">
        <v>63</v>
      </c>
      <c r="C58" s="13" t="s">
        <v>63</v>
      </c>
      <c r="D58" s="23" t="s">
        <v>247</v>
      </c>
      <c r="E58" s="17">
        <v>-1E-3</v>
      </c>
      <c r="F58" s="18">
        <v>3.5000000000000003E-2</v>
      </c>
      <c r="G58" s="18">
        <v>5.2000000000000005E-2</v>
      </c>
      <c r="H58" s="17">
        <v>2.2000000000000002E-2</v>
      </c>
      <c r="I58" s="17">
        <v>1.7000000000000001E-2</v>
      </c>
      <c r="J58" s="17">
        <v>1.6E-2</v>
      </c>
      <c r="K58" s="17">
        <v>1.3000000000000001E-2</v>
      </c>
      <c r="L58" s="17">
        <v>1.3000000000000001E-2</v>
      </c>
    </row>
    <row r="59" spans="2:12">
      <c r="B59" s="13" t="s">
        <v>64</v>
      </c>
      <c r="C59" s="13" t="s">
        <v>64</v>
      </c>
      <c r="D59" s="13" t="s">
        <v>244</v>
      </c>
      <c r="E59" s="17">
        <v>-5.0000000000000001E-3</v>
      </c>
      <c r="F59" s="18">
        <v>-1E-3</v>
      </c>
      <c r="G59" s="18">
        <v>0.04</v>
      </c>
      <c r="H59" s="17">
        <v>3.9E-2</v>
      </c>
      <c r="I59" s="17">
        <v>3.4000000000000002E-2</v>
      </c>
      <c r="J59" s="17">
        <v>3.2000000000000001E-2</v>
      </c>
      <c r="K59" s="17">
        <v>3.1E-2</v>
      </c>
      <c r="L59" s="17">
        <v>0.03</v>
      </c>
    </row>
    <row r="60" spans="2:12">
      <c r="B60" s="13" t="s">
        <v>65</v>
      </c>
      <c r="C60" s="13" t="s">
        <v>65</v>
      </c>
      <c r="D60" s="13" t="s">
        <v>244</v>
      </c>
      <c r="E60" s="17">
        <v>0.04</v>
      </c>
      <c r="F60" s="18">
        <v>4.4999999999999998E-2</v>
      </c>
      <c r="G60" s="18">
        <v>6.2E-2</v>
      </c>
      <c r="H60" s="17">
        <v>3.5000000000000003E-2</v>
      </c>
      <c r="I60" s="17">
        <v>2.2000000000000002E-2</v>
      </c>
      <c r="J60" s="17">
        <v>0.02</v>
      </c>
      <c r="K60" s="17">
        <v>0.02</v>
      </c>
      <c r="L60" s="17">
        <v>0.02</v>
      </c>
    </row>
    <row r="61" spans="2:12">
      <c r="B61" s="13" t="s">
        <v>66</v>
      </c>
      <c r="C61" s="13" t="s">
        <v>66</v>
      </c>
      <c r="D61" s="23" t="s">
        <v>246</v>
      </c>
      <c r="E61" s="17">
        <v>-9.0000000000000011E-3</v>
      </c>
      <c r="F61" s="18">
        <v>4.4999999999999998E-2</v>
      </c>
      <c r="G61" s="18">
        <v>0.11900000000000001</v>
      </c>
      <c r="H61" s="17">
        <v>4.5999999999999999E-2</v>
      </c>
      <c r="I61" s="17">
        <v>2.5000000000000001E-2</v>
      </c>
      <c r="J61" s="17">
        <v>2.4E-2</v>
      </c>
      <c r="K61" s="17">
        <v>2.4E-2</v>
      </c>
      <c r="L61" s="17">
        <v>2.3E-2</v>
      </c>
    </row>
    <row r="62" spans="2:12">
      <c r="B62" s="13" t="s">
        <v>67</v>
      </c>
      <c r="C62" s="13" t="s">
        <v>67</v>
      </c>
      <c r="D62" s="13" t="s">
        <v>244</v>
      </c>
      <c r="E62" s="17">
        <v>4.5999999999999999E-2</v>
      </c>
      <c r="F62" s="18">
        <v>3.7000000000000005E-2</v>
      </c>
      <c r="G62" s="18">
        <v>4.8000000000000001E-2</v>
      </c>
      <c r="H62" s="17">
        <v>4.2000000000000003E-2</v>
      </c>
      <c r="I62" s="17">
        <v>4.4000000000000004E-2</v>
      </c>
      <c r="J62" s="17">
        <v>4.4000000000000004E-2</v>
      </c>
      <c r="K62" s="17">
        <v>4.4000000000000004E-2</v>
      </c>
      <c r="L62" s="17">
        <v>4.4000000000000004E-2</v>
      </c>
    </row>
    <row r="63" spans="2:12">
      <c r="B63" s="13" t="s">
        <v>68</v>
      </c>
      <c r="C63" s="13" t="s">
        <v>268</v>
      </c>
      <c r="D63" s="13" t="s">
        <v>244</v>
      </c>
      <c r="E63" s="17">
        <v>0.182</v>
      </c>
      <c r="F63" s="18">
        <v>0.26800000000000002</v>
      </c>
      <c r="G63" s="18">
        <v>0.34499999999999997</v>
      </c>
      <c r="H63" s="17">
        <v>0.30499999999999999</v>
      </c>
      <c r="I63" s="17">
        <v>0.19</v>
      </c>
      <c r="J63" s="17">
        <v>0.124</v>
      </c>
      <c r="K63" s="17">
        <v>0.124</v>
      </c>
      <c r="L63" s="17">
        <v>0.124</v>
      </c>
    </row>
    <row r="64" spans="2:12">
      <c r="B64" s="13" t="s">
        <v>69</v>
      </c>
      <c r="C64" s="13" t="s">
        <v>69</v>
      </c>
      <c r="D64" s="13" t="s">
        <v>248</v>
      </c>
      <c r="E64" s="17">
        <v>-2.7999999999999997E-2</v>
      </c>
      <c r="F64" s="18">
        <v>2E-3</v>
      </c>
      <c r="G64" s="18">
        <v>0.04</v>
      </c>
      <c r="H64" s="17">
        <v>0.03</v>
      </c>
      <c r="I64" s="17">
        <v>2.7000000000000003E-2</v>
      </c>
      <c r="J64" s="17">
        <v>2.7000000000000003E-2</v>
      </c>
      <c r="K64" s="17">
        <v>2.5000000000000001E-2</v>
      </c>
      <c r="L64" s="17">
        <v>2.5000000000000001E-2</v>
      </c>
    </row>
    <row r="65" spans="2:12">
      <c r="B65" s="13" t="s">
        <v>70</v>
      </c>
      <c r="C65" s="13" t="s">
        <v>269</v>
      </c>
      <c r="D65" s="13" t="s">
        <v>222</v>
      </c>
      <c r="E65" s="17">
        <v>2E-3</v>
      </c>
      <c r="F65" s="18">
        <v>2.1000000000000001E-2</v>
      </c>
      <c r="G65" s="18">
        <v>3.7999999999999999E-2</v>
      </c>
      <c r="H65" s="17">
        <v>2.7000000000000003E-2</v>
      </c>
      <c r="I65" s="17">
        <v>1.8000000000000002E-2</v>
      </c>
      <c r="J65" s="17">
        <v>1.8000000000000002E-2</v>
      </c>
      <c r="K65" s="17">
        <v>1.8000000000000002E-2</v>
      </c>
      <c r="L65" s="17">
        <v>1.8000000000000002E-2</v>
      </c>
    </row>
    <row r="66" spans="2:12">
      <c r="B66" s="13" t="s">
        <v>71</v>
      </c>
      <c r="C66" s="13" t="s">
        <v>270</v>
      </c>
      <c r="D66" s="13" t="s">
        <v>222</v>
      </c>
      <c r="E66" s="17">
        <v>-1E-3</v>
      </c>
      <c r="F66" s="18">
        <v>2.1000000000000001E-2</v>
      </c>
      <c r="G66" s="18">
        <v>4.0999999999999995E-2</v>
      </c>
      <c r="H66" s="17">
        <v>1.8000000000000002E-2</v>
      </c>
      <c r="I66" s="17">
        <v>1.7000000000000001E-2</v>
      </c>
      <c r="J66" s="17">
        <v>1.6E-2</v>
      </c>
      <c r="K66" s="17">
        <v>1.7000000000000001E-2</v>
      </c>
      <c r="L66" s="17">
        <v>1.6E-2</v>
      </c>
    </row>
    <row r="67" spans="2:12">
      <c r="B67" s="13" t="s">
        <v>72</v>
      </c>
      <c r="C67" s="13" t="s">
        <v>72</v>
      </c>
      <c r="D67" s="13" t="s">
        <v>244</v>
      </c>
      <c r="E67" s="17">
        <v>1.6E-2</v>
      </c>
      <c r="F67" s="18">
        <v>1.1000000000000001E-2</v>
      </c>
      <c r="G67" s="18">
        <v>2.8999999999999998E-2</v>
      </c>
      <c r="H67" s="17">
        <v>2.6000000000000002E-2</v>
      </c>
      <c r="I67" s="17">
        <v>2.3E-2</v>
      </c>
      <c r="J67" s="17">
        <v>0.02</v>
      </c>
      <c r="K67" s="17">
        <v>0.02</v>
      </c>
      <c r="L67" s="17">
        <v>0.02</v>
      </c>
    </row>
    <row r="68" spans="2:12">
      <c r="B68" s="13" t="s">
        <v>73</v>
      </c>
      <c r="C68" s="13" t="s">
        <v>271</v>
      </c>
      <c r="D68" s="13" t="s">
        <v>244</v>
      </c>
      <c r="E68" s="17">
        <v>5.7000000000000002E-2</v>
      </c>
      <c r="F68" s="18">
        <v>7.400000000000001E-2</v>
      </c>
      <c r="G68" s="18">
        <v>0.08</v>
      </c>
      <c r="H68" s="17">
        <v>0.08</v>
      </c>
      <c r="I68" s="17">
        <v>6.3E-2</v>
      </c>
      <c r="J68" s="17">
        <v>0.05</v>
      </c>
      <c r="K68" s="17">
        <v>0.05</v>
      </c>
      <c r="L68" s="17">
        <v>0.05</v>
      </c>
    </row>
    <row r="69" spans="2:12">
      <c r="B69" s="13" t="s">
        <v>74</v>
      </c>
      <c r="C69" s="13" t="s">
        <v>74</v>
      </c>
      <c r="D69" s="13" t="s">
        <v>244</v>
      </c>
      <c r="E69" s="17">
        <v>2.4E-2</v>
      </c>
      <c r="F69" s="18">
        <v>9.6000000000000002E-2</v>
      </c>
      <c r="G69" s="18">
        <v>9.9000000000000005E-2</v>
      </c>
      <c r="H69" s="17">
        <v>5.0999999999999997E-2</v>
      </c>
      <c r="I69" s="17">
        <v>0.03</v>
      </c>
      <c r="J69" s="17">
        <v>0.03</v>
      </c>
      <c r="K69" s="17">
        <v>0.03</v>
      </c>
      <c r="L69" s="17">
        <v>0.03</v>
      </c>
    </row>
    <row r="70" spans="2:12">
      <c r="B70" s="19" t="s">
        <v>75</v>
      </c>
      <c r="C70" s="19" t="s">
        <v>272</v>
      </c>
      <c r="D70" s="19" t="s">
        <v>222</v>
      </c>
      <c r="E70" s="22">
        <v>-6.9999999999999993E-3</v>
      </c>
      <c r="F70" s="21">
        <v>3.2000000000000001E-2</v>
      </c>
      <c r="G70" s="21">
        <v>5.5E-2</v>
      </c>
      <c r="H70" s="22">
        <v>2.8999999999999998E-2</v>
      </c>
      <c r="I70" s="22">
        <v>1.8000000000000002E-2</v>
      </c>
      <c r="J70" s="22">
        <v>1.8000000000000002E-2</v>
      </c>
      <c r="K70" s="22">
        <v>1.9E-2</v>
      </c>
      <c r="L70" s="22">
        <v>0.02</v>
      </c>
    </row>
    <row r="71" spans="2:12">
      <c r="B71" s="13" t="s">
        <v>76</v>
      </c>
      <c r="C71" s="13" t="s">
        <v>76</v>
      </c>
      <c r="D71" s="13" t="s">
        <v>244</v>
      </c>
      <c r="E71" s="17">
        <v>0.105</v>
      </c>
      <c r="F71" s="18">
        <v>0.1</v>
      </c>
      <c r="G71" s="18">
        <v>0.16300000000000001</v>
      </c>
      <c r="H71" s="17">
        <v>0.13</v>
      </c>
      <c r="I71" s="17">
        <v>9.0999999999999998E-2</v>
      </c>
      <c r="J71" s="17">
        <v>6.9000000000000006E-2</v>
      </c>
      <c r="K71" s="17">
        <v>0.06</v>
      </c>
      <c r="L71" s="17">
        <v>0.06</v>
      </c>
    </row>
    <row r="72" spans="2:12">
      <c r="B72" s="13" t="s">
        <v>77</v>
      </c>
      <c r="C72" s="13" t="s">
        <v>273</v>
      </c>
      <c r="D72" s="13" t="s">
        <v>222</v>
      </c>
      <c r="E72" s="17">
        <v>-2.4E-2</v>
      </c>
      <c r="F72" s="18">
        <v>6.0000000000000001E-3</v>
      </c>
      <c r="G72" s="18">
        <v>4.4999999999999998E-2</v>
      </c>
      <c r="H72" s="17">
        <v>1.3000000000000001E-2</v>
      </c>
      <c r="I72" s="17">
        <v>1.6E-2</v>
      </c>
      <c r="J72" s="17">
        <v>1.8000000000000002E-2</v>
      </c>
      <c r="K72" s="17">
        <v>1.9E-2</v>
      </c>
      <c r="L72" s="17">
        <v>1.9E-2</v>
      </c>
    </row>
    <row r="73" spans="2:12">
      <c r="B73" s="13" t="s">
        <v>78</v>
      </c>
      <c r="C73" s="13" t="s">
        <v>78</v>
      </c>
      <c r="D73" s="23" t="s">
        <v>247</v>
      </c>
      <c r="E73" s="17">
        <v>-8.0000000000000002E-3</v>
      </c>
      <c r="F73" s="18">
        <v>1.2E-2</v>
      </c>
      <c r="G73" s="18">
        <v>4.4000000000000004E-2</v>
      </c>
      <c r="H73" s="17">
        <v>3.5000000000000003E-2</v>
      </c>
      <c r="I73" s="17">
        <v>1.8000000000000002E-2</v>
      </c>
      <c r="J73" s="17">
        <v>0.02</v>
      </c>
      <c r="K73" s="17">
        <v>0.02</v>
      </c>
      <c r="L73" s="17">
        <v>0.02</v>
      </c>
    </row>
    <row r="74" spans="2:12">
      <c r="B74" s="13" t="s">
        <v>79</v>
      </c>
      <c r="C74" s="13" t="s">
        <v>79</v>
      </c>
      <c r="D74" s="23" t="s">
        <v>247</v>
      </c>
      <c r="E74" s="17">
        <v>4.8000000000000001E-2</v>
      </c>
      <c r="F74" s="18">
        <v>4.2999999999999997E-2</v>
      </c>
      <c r="G74" s="18">
        <v>4.4000000000000004E-2</v>
      </c>
      <c r="H74" s="17">
        <v>4.2999999999999997E-2</v>
      </c>
      <c r="I74" s="17">
        <v>4.2000000000000003E-2</v>
      </c>
      <c r="J74" s="17">
        <v>0.04</v>
      </c>
      <c r="K74" s="17">
        <v>0.04</v>
      </c>
      <c r="L74" s="17">
        <v>0.04</v>
      </c>
    </row>
    <row r="75" spans="2:12">
      <c r="B75" s="13" t="s">
        <v>80</v>
      </c>
      <c r="C75" s="13" t="s">
        <v>80</v>
      </c>
      <c r="D75" s="13" t="s">
        <v>244</v>
      </c>
      <c r="E75" s="17">
        <v>0.106</v>
      </c>
      <c r="F75" s="18">
        <v>0.126</v>
      </c>
      <c r="G75" s="18">
        <v>0.127</v>
      </c>
      <c r="H75" s="17">
        <v>0.12300000000000001</v>
      </c>
      <c r="I75" s="17">
        <v>9.6999999999999989E-2</v>
      </c>
      <c r="J75" s="17">
        <v>7.4999999999999997E-2</v>
      </c>
      <c r="K75" s="17">
        <v>7.5999999999999998E-2</v>
      </c>
      <c r="L75" s="17">
        <v>7.8E-2</v>
      </c>
    </row>
    <row r="76" spans="2:12">
      <c r="B76" s="13" t="s">
        <v>81</v>
      </c>
      <c r="C76" s="13" t="s">
        <v>81</v>
      </c>
      <c r="D76" s="13" t="s">
        <v>244</v>
      </c>
      <c r="E76" s="17">
        <v>1.4999999999999999E-2</v>
      </c>
      <c r="F76" s="18">
        <v>3.3000000000000002E-2</v>
      </c>
      <c r="G76" s="18">
        <v>0.04</v>
      </c>
      <c r="H76" s="17">
        <v>0.03</v>
      </c>
      <c r="I76" s="17">
        <v>0.02</v>
      </c>
      <c r="J76" s="17">
        <v>0.02</v>
      </c>
      <c r="K76" s="17">
        <v>0.02</v>
      </c>
      <c r="L76" s="17">
        <v>0.02</v>
      </c>
    </row>
    <row r="77" spans="2:12">
      <c r="B77" s="13" t="s">
        <v>82</v>
      </c>
      <c r="C77" s="13" t="s">
        <v>82</v>
      </c>
      <c r="D77" s="23" t="s">
        <v>247</v>
      </c>
      <c r="E77" s="17">
        <v>9.0000000000000011E-3</v>
      </c>
      <c r="F77" s="18">
        <v>5.0999999999999997E-2</v>
      </c>
      <c r="G77" s="18">
        <v>5.4000000000000006E-2</v>
      </c>
      <c r="H77" s="17">
        <v>6.2E-2</v>
      </c>
      <c r="I77" s="17">
        <v>0.04</v>
      </c>
      <c r="J77" s="17">
        <v>3.1E-2</v>
      </c>
      <c r="K77" s="17">
        <v>3.1E-2</v>
      </c>
      <c r="L77" s="17">
        <v>3.1E-2</v>
      </c>
    </row>
    <row r="78" spans="2:12">
      <c r="B78" s="13" t="s">
        <v>83</v>
      </c>
      <c r="C78" s="13" t="s">
        <v>83</v>
      </c>
      <c r="D78" s="23" t="s">
        <v>247</v>
      </c>
      <c r="E78" s="17">
        <v>0.252</v>
      </c>
      <c r="F78" s="18">
        <v>0.159</v>
      </c>
      <c r="G78" s="18">
        <v>0.255</v>
      </c>
      <c r="H78" s="17">
        <v>0.14300000000000002</v>
      </c>
      <c r="I78" s="17">
        <v>0.11599999999999999</v>
      </c>
      <c r="J78" s="17">
        <v>0.109</v>
      </c>
      <c r="K78" s="17">
        <v>9.6999999999999989E-2</v>
      </c>
      <c r="L78" s="17">
        <v>9.4E-2</v>
      </c>
    </row>
    <row r="79" spans="2:12">
      <c r="B79" s="13" t="s">
        <v>84</v>
      </c>
      <c r="C79" s="13" t="s">
        <v>84</v>
      </c>
      <c r="D79" s="23" t="s">
        <v>247</v>
      </c>
      <c r="E79" s="17">
        <v>0.04</v>
      </c>
      <c r="F79" s="18">
        <v>4.4999999999999998E-2</v>
      </c>
      <c r="G79" s="18">
        <v>0.06</v>
      </c>
      <c r="H79" s="17">
        <v>0.05</v>
      </c>
      <c r="I79" s="17">
        <v>0.04</v>
      </c>
      <c r="J79" s="17">
        <v>0.04</v>
      </c>
      <c r="K79" s="17">
        <v>0.04</v>
      </c>
      <c r="L79" s="17">
        <v>0.04</v>
      </c>
    </row>
    <row r="80" spans="2:12">
      <c r="B80" s="13" t="s">
        <v>85</v>
      </c>
      <c r="C80" s="13" t="s">
        <v>85</v>
      </c>
      <c r="D80" s="13" t="s">
        <v>248</v>
      </c>
      <c r="E80" s="17">
        <v>-9.0000000000000011E-3</v>
      </c>
      <c r="F80" s="18">
        <v>1.6E-2</v>
      </c>
      <c r="G80" s="18">
        <v>1.9E-2</v>
      </c>
      <c r="H80" s="17">
        <v>2.1000000000000001E-2</v>
      </c>
      <c r="I80" s="17">
        <v>2.3E-2</v>
      </c>
      <c r="J80" s="17">
        <v>2.5000000000000001E-2</v>
      </c>
      <c r="K80" s="17">
        <v>2.5000000000000001E-2</v>
      </c>
      <c r="L80" s="17">
        <v>2.5000000000000001E-2</v>
      </c>
    </row>
    <row r="81" spans="2:14">
      <c r="B81" s="13" t="s">
        <v>86</v>
      </c>
      <c r="C81" s="13" t="s">
        <v>274</v>
      </c>
      <c r="D81" s="13" t="s">
        <v>246</v>
      </c>
      <c r="E81" s="17">
        <v>2.7000000000000003E-2</v>
      </c>
      <c r="F81" s="18">
        <v>5.0999999999999997E-2</v>
      </c>
      <c r="G81" s="18">
        <v>0.10300000000000001</v>
      </c>
      <c r="H81" s="17">
        <v>6.4000000000000001E-2</v>
      </c>
      <c r="I81" s="17">
        <v>0.04</v>
      </c>
      <c r="J81" s="17">
        <v>3.5000000000000003E-2</v>
      </c>
      <c r="K81" s="17">
        <v>3.1E-2</v>
      </c>
      <c r="L81" s="17">
        <v>0.03</v>
      </c>
    </row>
    <row r="82" spans="2:14">
      <c r="B82" s="13" t="s">
        <v>87</v>
      </c>
      <c r="C82" s="13" t="s">
        <v>275</v>
      </c>
      <c r="D82" s="13" t="s">
        <v>217</v>
      </c>
      <c r="E82" s="17">
        <v>3.6000000000000004E-2</v>
      </c>
      <c r="F82" s="18">
        <v>4.4999999999999998E-2</v>
      </c>
      <c r="G82" s="18">
        <v>6.9000000000000006E-2</v>
      </c>
      <c r="H82" s="17">
        <v>5.5E-2</v>
      </c>
      <c r="I82" s="17">
        <v>3.7000000000000005E-2</v>
      </c>
      <c r="J82" s="17">
        <v>2.6000000000000002E-2</v>
      </c>
      <c r="K82" s="17">
        <v>2.5000000000000001E-2</v>
      </c>
      <c r="L82" s="17">
        <v>2.5000000000000001E-2</v>
      </c>
    </row>
    <row r="83" spans="2:14">
      <c r="B83" s="13" t="s">
        <v>88</v>
      </c>
      <c r="C83" s="13" t="s">
        <v>88</v>
      </c>
      <c r="D83" s="13" t="s">
        <v>248</v>
      </c>
      <c r="E83" s="17">
        <v>4.9000000000000002E-2</v>
      </c>
      <c r="F83" s="18">
        <v>5.5E-2</v>
      </c>
      <c r="G83" s="18">
        <v>6.0999999999999999E-2</v>
      </c>
      <c r="H83" s="17">
        <v>4.8000000000000001E-2</v>
      </c>
      <c r="I83" s="17">
        <v>4.2999999999999997E-2</v>
      </c>
      <c r="J83" s="17">
        <v>4.0999999999999995E-2</v>
      </c>
      <c r="K83" s="17">
        <v>0.04</v>
      </c>
      <c r="L83" s="17">
        <v>0.04</v>
      </c>
    </row>
    <row r="84" spans="2:14">
      <c r="B84" s="13" t="s">
        <v>89</v>
      </c>
      <c r="C84" s="13" t="s">
        <v>89</v>
      </c>
      <c r="D84" s="13" t="s">
        <v>248</v>
      </c>
      <c r="E84" s="17">
        <v>1.7000000000000001E-2</v>
      </c>
      <c r="F84" s="18">
        <v>1.6E-2</v>
      </c>
      <c r="G84" s="18">
        <v>3.3000000000000002E-2</v>
      </c>
      <c r="H84" s="17">
        <v>3.3000000000000002E-2</v>
      </c>
      <c r="I84" s="17">
        <v>0.03</v>
      </c>
      <c r="J84" s="17">
        <v>2.8999999999999998E-2</v>
      </c>
      <c r="K84" s="17">
        <v>2.8999999999999998E-2</v>
      </c>
      <c r="L84" s="17">
        <v>2.8999999999999998E-2</v>
      </c>
    </row>
    <row r="85" spans="2:14">
      <c r="B85" s="13" t="s">
        <v>90</v>
      </c>
      <c r="C85" s="13" t="s">
        <v>276</v>
      </c>
      <c r="D85" s="13" t="s">
        <v>244</v>
      </c>
      <c r="E85" s="17">
        <v>0.48700000000000004</v>
      </c>
      <c r="F85" s="18">
        <v>0.40100000000000002</v>
      </c>
      <c r="G85" s="18">
        <v>0.32299999999999995</v>
      </c>
      <c r="H85" s="17">
        <v>0.27500000000000002</v>
      </c>
      <c r="I85" s="17">
        <v>0.25</v>
      </c>
      <c r="J85" s="17">
        <v>0.25</v>
      </c>
      <c r="K85" s="17">
        <v>0.25</v>
      </c>
      <c r="L85" s="17">
        <v>0.25</v>
      </c>
    </row>
    <row r="86" spans="2:14">
      <c r="B86" s="13" t="s">
        <v>91</v>
      </c>
      <c r="C86" s="13" t="s">
        <v>91</v>
      </c>
      <c r="D86" s="13" t="s">
        <v>244</v>
      </c>
      <c r="E86" s="17">
        <v>3.2000000000000001E-2</v>
      </c>
      <c r="F86" s="18">
        <v>0.06</v>
      </c>
      <c r="G86" s="18">
        <v>6.9000000000000006E-2</v>
      </c>
      <c r="H86" s="17">
        <v>4.7E-2</v>
      </c>
      <c r="I86" s="17">
        <v>3.1E-2</v>
      </c>
      <c r="J86" s="17">
        <v>2.2000000000000002E-2</v>
      </c>
      <c r="K86" s="17">
        <v>2.1000000000000001E-2</v>
      </c>
      <c r="L86" s="17">
        <v>0.02</v>
      </c>
    </row>
    <row r="87" spans="2:14">
      <c r="B87" s="13" t="s">
        <v>92</v>
      </c>
      <c r="C87" s="13" t="s">
        <v>277</v>
      </c>
      <c r="D87" s="13" t="s">
        <v>222</v>
      </c>
      <c r="E87" s="17">
        <v>-0.01</v>
      </c>
      <c r="F87" s="18">
        <v>2.4E-2</v>
      </c>
      <c r="G87" s="18">
        <v>5.7000000000000002E-2</v>
      </c>
      <c r="H87" s="17">
        <v>2.7000000000000003E-2</v>
      </c>
      <c r="I87" s="17">
        <v>0.02</v>
      </c>
      <c r="J87" s="17">
        <v>0.02</v>
      </c>
      <c r="K87" s="17">
        <v>0.02</v>
      </c>
      <c r="L87" s="17">
        <v>0.02</v>
      </c>
    </row>
    <row r="88" spans="2:14">
      <c r="B88" s="13" t="s">
        <v>93</v>
      </c>
      <c r="C88" s="13" t="s">
        <v>278</v>
      </c>
      <c r="D88" s="13" t="s">
        <v>222</v>
      </c>
      <c r="E88" s="17">
        <v>-6.9999999999999993E-3</v>
      </c>
      <c r="F88" s="18">
        <v>1.4999999999999999E-2</v>
      </c>
      <c r="G88" s="18">
        <v>3.5000000000000003E-2</v>
      </c>
      <c r="H88" s="17">
        <v>0.02</v>
      </c>
      <c r="I88" s="17">
        <v>0.02</v>
      </c>
      <c r="J88" s="17">
        <v>1.8000000000000002E-2</v>
      </c>
      <c r="K88" s="17">
        <v>1.8000000000000002E-2</v>
      </c>
      <c r="L88" s="17">
        <v>1.8000000000000002E-2</v>
      </c>
    </row>
    <row r="89" spans="2:14">
      <c r="B89" s="19" t="s">
        <v>94</v>
      </c>
      <c r="C89" s="19" t="s">
        <v>279</v>
      </c>
      <c r="D89" s="19" t="s">
        <v>94</v>
      </c>
      <c r="E89" s="22">
        <v>-3.0000000000000001E-3</v>
      </c>
      <c r="F89" s="21">
        <v>1.9E-2</v>
      </c>
      <c r="G89" s="21">
        <v>8.6999999999999994E-2</v>
      </c>
      <c r="H89" s="22">
        <v>5.1999999999999998E-2</v>
      </c>
      <c r="I89" s="22">
        <v>1.7000000000000001E-2</v>
      </c>
      <c r="J89" s="22">
        <v>2.1000000000000001E-2</v>
      </c>
      <c r="K89" s="22">
        <v>0.02</v>
      </c>
      <c r="L89" s="22">
        <v>0.02</v>
      </c>
      <c r="M89" s="24">
        <f>+AVERAGE(G89:L89)</f>
        <v>3.6166666666666659E-2</v>
      </c>
      <c r="N89" s="13" t="s">
        <v>3882</v>
      </c>
    </row>
    <row r="90" spans="2:14">
      <c r="B90" s="13" t="s">
        <v>95</v>
      </c>
      <c r="C90" s="13" t="s">
        <v>95</v>
      </c>
      <c r="D90" s="13" t="s">
        <v>217</v>
      </c>
      <c r="E90" s="17">
        <v>5.2000000000000005E-2</v>
      </c>
      <c r="F90" s="18">
        <v>5.9000000000000004E-2</v>
      </c>
      <c r="G90" s="18">
        <v>8.5000000000000006E-2</v>
      </c>
      <c r="H90" s="17">
        <v>5.9000000000000004E-2</v>
      </c>
      <c r="I90" s="17">
        <v>3.9E-2</v>
      </c>
      <c r="J90" s="17">
        <v>4.4000000000000004E-2</v>
      </c>
      <c r="K90" s="17">
        <v>0.05</v>
      </c>
      <c r="L90" s="17">
        <v>0.05</v>
      </c>
    </row>
    <row r="91" spans="2:14">
      <c r="B91" s="19" t="s">
        <v>96</v>
      </c>
      <c r="C91" s="19" t="s">
        <v>280</v>
      </c>
      <c r="D91" s="19" t="s">
        <v>248</v>
      </c>
      <c r="E91" s="22">
        <v>-9.0000000000000011E-3</v>
      </c>
      <c r="F91" s="21">
        <v>-3.0000000000000001E-3</v>
      </c>
      <c r="G91" s="21">
        <v>0.01</v>
      </c>
      <c r="H91" s="22">
        <v>8.0000000000000002E-3</v>
      </c>
      <c r="I91" s="22">
        <v>9.0000000000000011E-3</v>
      </c>
      <c r="J91" s="22">
        <v>0.01</v>
      </c>
      <c r="K91" s="22">
        <v>0.01</v>
      </c>
      <c r="L91" s="22">
        <v>0.01</v>
      </c>
    </row>
    <row r="92" spans="2:14">
      <c r="B92" s="13" t="s">
        <v>97</v>
      </c>
      <c r="C92" s="13" t="s">
        <v>281</v>
      </c>
      <c r="D92" s="13" t="s">
        <v>244</v>
      </c>
      <c r="E92" s="17">
        <v>-3.0000000000000001E-3</v>
      </c>
      <c r="F92" s="18">
        <v>1.3000000000000001E-2</v>
      </c>
      <c r="G92" s="18">
        <v>2.7999999999999997E-2</v>
      </c>
      <c r="H92" s="17">
        <v>2.5000000000000001E-2</v>
      </c>
      <c r="I92" s="17">
        <v>2.5000000000000001E-2</v>
      </c>
      <c r="J92" s="17">
        <v>2.5000000000000001E-2</v>
      </c>
      <c r="K92" s="17">
        <v>2.5000000000000001E-2</v>
      </c>
      <c r="L92" s="17">
        <v>2.5000000000000001E-2</v>
      </c>
    </row>
    <row r="93" spans="2:14">
      <c r="B93" s="13" t="s">
        <v>98</v>
      </c>
      <c r="C93" s="13" t="s">
        <v>98</v>
      </c>
      <c r="D93" s="13" t="s">
        <v>244</v>
      </c>
      <c r="E93" s="17">
        <v>7.4999999999999997E-2</v>
      </c>
      <c r="F93" s="18">
        <v>0.08</v>
      </c>
      <c r="G93" s="18">
        <v>8.5000000000000006E-2</v>
      </c>
      <c r="H93" s="17">
        <v>7.0999999999999994E-2</v>
      </c>
      <c r="I93" s="17">
        <v>4.8000000000000001E-2</v>
      </c>
      <c r="J93" s="17">
        <v>4.2999999999999997E-2</v>
      </c>
      <c r="K93" s="17">
        <v>0.04</v>
      </c>
      <c r="L93" s="17">
        <v>0.04</v>
      </c>
    </row>
    <row r="94" spans="2:14">
      <c r="B94" s="13" t="s">
        <v>99</v>
      </c>
      <c r="C94" s="13" t="s">
        <v>99</v>
      </c>
      <c r="D94" s="13" t="s">
        <v>244</v>
      </c>
      <c r="E94" s="17">
        <v>5.7999999999999996E-2</v>
      </c>
      <c r="F94" s="18">
        <v>6.0999999999999999E-2</v>
      </c>
      <c r="G94" s="18">
        <v>7.2000000000000008E-2</v>
      </c>
      <c r="H94" s="17">
        <v>7.0999999999999994E-2</v>
      </c>
      <c r="I94" s="17">
        <v>5.2000000000000005E-2</v>
      </c>
      <c r="J94" s="17">
        <v>0.05</v>
      </c>
      <c r="K94" s="17">
        <v>0.05</v>
      </c>
      <c r="L94" s="17">
        <v>0.05</v>
      </c>
    </row>
    <row r="95" spans="2:14">
      <c r="B95" s="13" t="s">
        <v>100</v>
      </c>
      <c r="C95" s="13" t="s">
        <v>100</v>
      </c>
      <c r="D95" s="13" t="s">
        <v>248</v>
      </c>
      <c r="E95" s="17">
        <v>1.4999999999999999E-2</v>
      </c>
      <c r="F95" s="18">
        <v>0.03</v>
      </c>
      <c r="G95" s="18">
        <v>0.05</v>
      </c>
      <c r="H95" s="17">
        <v>3.3000000000000002E-2</v>
      </c>
      <c r="I95" s="17">
        <v>2.6000000000000002E-2</v>
      </c>
      <c r="J95" s="17">
        <v>2.1000000000000001E-2</v>
      </c>
      <c r="K95" s="17">
        <v>1.7000000000000001E-2</v>
      </c>
      <c r="L95" s="17">
        <v>1.6E-2</v>
      </c>
    </row>
    <row r="96" spans="2:14">
      <c r="B96" s="13" t="s">
        <v>101</v>
      </c>
      <c r="C96" s="13" t="s">
        <v>282</v>
      </c>
      <c r="D96" s="13" t="s">
        <v>248</v>
      </c>
      <c r="E96" s="17">
        <v>5.0000000000000001E-3</v>
      </c>
      <c r="F96" s="18">
        <v>2.5000000000000001E-2</v>
      </c>
      <c r="G96" s="18">
        <v>0.04</v>
      </c>
      <c r="H96" s="17">
        <v>2.4E-2</v>
      </c>
      <c r="I96" s="17">
        <v>0.02</v>
      </c>
      <c r="J96" s="17">
        <v>0.02</v>
      </c>
      <c r="K96" s="17">
        <v>0.02</v>
      </c>
      <c r="L96" s="17">
        <v>0.02</v>
      </c>
    </row>
    <row r="97" spans="2:12">
      <c r="B97" s="13" t="s">
        <v>102</v>
      </c>
      <c r="C97" s="13" t="s">
        <v>102</v>
      </c>
      <c r="D97" s="13" t="s">
        <v>246</v>
      </c>
      <c r="E97" s="17">
        <v>1E-3</v>
      </c>
      <c r="F97" s="18">
        <v>3.3000000000000002E-2</v>
      </c>
      <c r="G97" s="18">
        <v>9.5000000000000001E-2</v>
      </c>
      <c r="H97" s="17">
        <v>3.3000000000000002E-2</v>
      </c>
      <c r="I97" s="17">
        <v>2.3E-2</v>
      </c>
      <c r="J97" s="17">
        <v>0.02</v>
      </c>
      <c r="K97" s="17">
        <v>0.02</v>
      </c>
      <c r="L97" s="17">
        <v>0.02</v>
      </c>
    </row>
    <row r="98" spans="2:12">
      <c r="B98" s="13" t="s">
        <v>103</v>
      </c>
      <c r="C98" s="13" t="s">
        <v>103</v>
      </c>
      <c r="D98" s="13" t="s">
        <v>244</v>
      </c>
      <c r="E98" s="17">
        <v>0.03</v>
      </c>
      <c r="F98" s="18">
        <v>3.4000000000000002E-2</v>
      </c>
      <c r="G98" s="18">
        <v>4.8000000000000001E-2</v>
      </c>
      <c r="H98" s="17">
        <v>2.3E-2</v>
      </c>
      <c r="I98" s="17">
        <v>2.3E-2</v>
      </c>
      <c r="J98" s="17">
        <v>2.5000000000000001E-2</v>
      </c>
      <c r="K98" s="17">
        <v>2.5000000000000001E-2</v>
      </c>
      <c r="L98" s="17">
        <v>2.5000000000000001E-2</v>
      </c>
    </row>
    <row r="99" spans="2:12">
      <c r="B99" s="13" t="s">
        <v>104</v>
      </c>
      <c r="C99" s="13" t="s">
        <v>104</v>
      </c>
      <c r="D99" s="13" t="s">
        <v>248</v>
      </c>
      <c r="E99" s="17">
        <v>9.6999999999999989E-2</v>
      </c>
      <c r="F99" s="18">
        <v>0.11900000000000001</v>
      </c>
      <c r="G99" s="18">
        <v>0.13200000000000001</v>
      </c>
      <c r="H99" s="17">
        <v>0.10099999999999999</v>
      </c>
      <c r="I99" s="17">
        <v>6.2E-2</v>
      </c>
      <c r="J99" s="17">
        <v>5.7999999999999996E-2</v>
      </c>
      <c r="K99" s="17">
        <v>5.5E-2</v>
      </c>
      <c r="L99" s="17">
        <v>4.8000000000000001E-2</v>
      </c>
    </row>
    <row r="100" spans="2:12">
      <c r="B100" s="13" t="s">
        <v>105</v>
      </c>
      <c r="C100" s="13" t="s">
        <v>105</v>
      </c>
      <c r="D100" s="13" t="s">
        <v>248</v>
      </c>
      <c r="E100" s="17">
        <v>3.2000000000000001E-2</v>
      </c>
      <c r="F100" s="18">
        <v>3.7999999999999999E-2</v>
      </c>
      <c r="G100" s="18">
        <v>6.2E-2</v>
      </c>
      <c r="H100" s="17">
        <v>0.05</v>
      </c>
      <c r="I100" s="17">
        <v>0.04</v>
      </c>
      <c r="J100" s="17">
        <v>0.03</v>
      </c>
      <c r="K100" s="17">
        <v>0.03</v>
      </c>
      <c r="L100" s="17">
        <v>0.03</v>
      </c>
    </row>
    <row r="101" spans="2:12">
      <c r="B101" s="13" t="s">
        <v>106</v>
      </c>
      <c r="C101" s="13" t="s">
        <v>283</v>
      </c>
      <c r="D101" s="13" t="s">
        <v>246</v>
      </c>
      <c r="E101" s="17">
        <v>-5.0000000000000001E-3</v>
      </c>
      <c r="F101" s="18">
        <v>3.2000000000000001E-2</v>
      </c>
      <c r="G101" s="18">
        <v>0.1</v>
      </c>
      <c r="H101" s="17">
        <v>3.9E-2</v>
      </c>
      <c r="I101" s="17">
        <v>3.1E-2</v>
      </c>
      <c r="J101" s="17">
        <v>2.7999999999999997E-2</v>
      </c>
      <c r="K101" s="17">
        <v>2.6000000000000002E-2</v>
      </c>
      <c r="L101" s="17">
        <v>2.5000000000000001E-2</v>
      </c>
    </row>
    <row r="102" spans="2:12">
      <c r="B102" s="13" t="s">
        <v>107</v>
      </c>
      <c r="C102" s="13" t="s">
        <v>284</v>
      </c>
      <c r="D102" s="13" t="s">
        <v>244</v>
      </c>
      <c r="E102" s="17">
        <v>1.4580000000000002</v>
      </c>
      <c r="F102" s="17" t="s">
        <v>245</v>
      </c>
      <c r="G102" s="17" t="s">
        <v>245</v>
      </c>
      <c r="H102" s="17" t="s">
        <v>245</v>
      </c>
      <c r="I102" s="17" t="s">
        <v>245</v>
      </c>
      <c r="J102" s="17" t="s">
        <v>245</v>
      </c>
      <c r="K102" s="17" t="s">
        <v>245</v>
      </c>
      <c r="L102" s="17" t="s">
        <v>245</v>
      </c>
    </row>
    <row r="103" spans="2:12">
      <c r="B103" s="13" t="s">
        <v>108</v>
      </c>
      <c r="C103" s="13" t="s">
        <v>108</v>
      </c>
      <c r="D103" s="13" t="s">
        <v>244</v>
      </c>
      <c r="E103" s="17">
        <v>6.5000000000000002E-2</v>
      </c>
      <c r="F103" s="18">
        <v>0.06</v>
      </c>
      <c r="G103" s="18">
        <v>6.0999999999999999E-2</v>
      </c>
      <c r="H103" s="17">
        <v>5.5999999999999994E-2</v>
      </c>
      <c r="I103" s="17">
        <v>5.5E-2</v>
      </c>
      <c r="J103" s="17">
        <v>5.5E-2</v>
      </c>
      <c r="K103" s="17">
        <v>5.5E-2</v>
      </c>
      <c r="L103" s="17">
        <v>5.5E-2</v>
      </c>
    </row>
    <row r="104" spans="2:12">
      <c r="B104" s="13" t="s">
        <v>109</v>
      </c>
      <c r="C104" s="13" t="s">
        <v>109</v>
      </c>
      <c r="D104" s="13" t="s">
        <v>244</v>
      </c>
      <c r="E104" s="17">
        <v>0.13100000000000001</v>
      </c>
      <c r="F104" s="18">
        <v>7.8E-2</v>
      </c>
      <c r="G104" s="18">
        <v>8.199999999999999E-2</v>
      </c>
      <c r="H104" s="17">
        <v>6.9000000000000006E-2</v>
      </c>
      <c r="I104" s="17">
        <v>7.0000000000000007E-2</v>
      </c>
      <c r="J104" s="17">
        <v>0.05</v>
      </c>
      <c r="K104" s="17">
        <v>0.05</v>
      </c>
      <c r="L104" s="17">
        <v>0.05</v>
      </c>
    </row>
    <row r="105" spans="2:12">
      <c r="B105" s="13" t="s">
        <v>110</v>
      </c>
      <c r="C105" s="13" t="s">
        <v>285</v>
      </c>
      <c r="D105" s="13" t="s">
        <v>244</v>
      </c>
      <c r="E105" s="17">
        <v>2.7999999999999997E-2</v>
      </c>
      <c r="F105" s="18">
        <v>3.7000000000000005E-2</v>
      </c>
      <c r="G105" s="18">
        <v>3.7000000000000005E-2</v>
      </c>
      <c r="H105" s="17">
        <v>2.4E-2</v>
      </c>
      <c r="I105" s="17">
        <v>3.5000000000000003E-2</v>
      </c>
      <c r="J105" s="17">
        <v>2.6000000000000002E-2</v>
      </c>
      <c r="K105" s="17">
        <v>3.3000000000000002E-2</v>
      </c>
      <c r="L105" s="17">
        <v>2.7000000000000003E-2</v>
      </c>
    </row>
    <row r="106" spans="2:12">
      <c r="B106" s="13" t="s">
        <v>111</v>
      </c>
      <c r="C106" s="13" t="s">
        <v>286</v>
      </c>
      <c r="D106" s="13" t="s">
        <v>246</v>
      </c>
      <c r="E106" s="17">
        <v>-1E-3</v>
      </c>
      <c r="F106" s="18">
        <v>4.5999999999999999E-2</v>
      </c>
      <c r="G106" s="18">
        <v>0.13300000000000001</v>
      </c>
      <c r="H106" s="17">
        <v>4.2999999999999997E-2</v>
      </c>
      <c r="I106" s="17">
        <v>2.8999999999999998E-2</v>
      </c>
      <c r="J106" s="17">
        <v>2.5000000000000001E-2</v>
      </c>
      <c r="K106" s="17">
        <v>2.4E-2</v>
      </c>
      <c r="L106" s="17">
        <v>2.3E-2</v>
      </c>
    </row>
    <row r="107" spans="2:12">
      <c r="B107" s="13" t="s">
        <v>112</v>
      </c>
      <c r="C107" s="13" t="s">
        <v>287</v>
      </c>
      <c r="D107" s="13" t="s">
        <v>222</v>
      </c>
      <c r="E107" s="17">
        <v>-4.0000000000000001E-3</v>
      </c>
      <c r="F107" s="18">
        <v>3.5000000000000003E-2</v>
      </c>
      <c r="G107" s="18">
        <v>5.5999999999999994E-2</v>
      </c>
      <c r="H107" s="17">
        <v>0.02</v>
      </c>
      <c r="I107" s="17">
        <v>0.02</v>
      </c>
      <c r="J107" s="17">
        <v>0.02</v>
      </c>
      <c r="K107" s="17">
        <v>0.02</v>
      </c>
      <c r="L107" s="17">
        <v>0.02</v>
      </c>
    </row>
    <row r="108" spans="2:12">
      <c r="B108" s="13" t="s">
        <v>113</v>
      </c>
      <c r="C108" s="13" t="s">
        <v>113</v>
      </c>
      <c r="D108" s="13" t="s">
        <v>248</v>
      </c>
      <c r="E108" s="17">
        <v>-9.0000000000000011E-3</v>
      </c>
      <c r="F108" s="18">
        <v>0</v>
      </c>
      <c r="G108" s="18">
        <v>2.7999999999999997E-2</v>
      </c>
      <c r="H108" s="17">
        <v>2.7000000000000003E-2</v>
      </c>
      <c r="I108" s="17">
        <v>2.6000000000000002E-2</v>
      </c>
      <c r="J108" s="17">
        <v>2.6000000000000002E-2</v>
      </c>
      <c r="K108" s="17">
        <v>2.5000000000000001E-2</v>
      </c>
      <c r="L108" s="17">
        <v>2.5000000000000001E-2</v>
      </c>
    </row>
    <row r="109" spans="2:12">
      <c r="B109" s="13" t="s">
        <v>114</v>
      </c>
      <c r="C109" s="13" t="s">
        <v>114</v>
      </c>
      <c r="D109" s="13" t="s">
        <v>244</v>
      </c>
      <c r="E109" s="17">
        <v>4.5999999999999999E-2</v>
      </c>
      <c r="F109" s="18">
        <v>5.7999999999999996E-2</v>
      </c>
      <c r="G109" s="18">
        <v>8.8000000000000009E-2</v>
      </c>
      <c r="H109" s="17">
        <v>6.8000000000000005E-2</v>
      </c>
      <c r="I109" s="17">
        <v>6.5000000000000002E-2</v>
      </c>
      <c r="J109" s="17">
        <v>6.0999999999999999E-2</v>
      </c>
      <c r="K109" s="17">
        <v>5.7999999999999996E-2</v>
      </c>
      <c r="L109" s="17">
        <v>5.7999999999999996E-2</v>
      </c>
    </row>
    <row r="110" spans="2:12">
      <c r="B110" s="13" t="s">
        <v>115</v>
      </c>
      <c r="C110" s="13" t="s">
        <v>115</v>
      </c>
      <c r="D110" s="13" t="s">
        <v>244</v>
      </c>
      <c r="E110" s="17">
        <v>7.5999999999999998E-2</v>
      </c>
      <c r="F110" s="18">
        <v>9.3000000000000013E-2</v>
      </c>
      <c r="G110" s="18">
        <v>0.107</v>
      </c>
      <c r="H110" s="17">
        <v>7.0999999999999994E-2</v>
      </c>
      <c r="I110" s="17">
        <v>5.7000000000000002E-2</v>
      </c>
      <c r="J110" s="17">
        <v>5.2999999999999999E-2</v>
      </c>
      <c r="K110" s="17">
        <v>0.05</v>
      </c>
      <c r="L110" s="17">
        <v>0.05</v>
      </c>
    </row>
    <row r="111" spans="2:12">
      <c r="B111" s="13" t="s">
        <v>116</v>
      </c>
      <c r="C111" s="13" t="s">
        <v>288</v>
      </c>
      <c r="D111" s="13" t="s">
        <v>248</v>
      </c>
      <c r="E111" s="17">
        <v>-1.3999999999999999E-2</v>
      </c>
      <c r="F111" s="18">
        <v>2.5000000000000001E-2</v>
      </c>
      <c r="G111" s="18">
        <v>0.03</v>
      </c>
      <c r="H111" s="17">
        <v>2.4E-2</v>
      </c>
      <c r="I111" s="17">
        <v>2.4E-2</v>
      </c>
      <c r="J111" s="17">
        <v>2.4E-2</v>
      </c>
      <c r="K111" s="17">
        <v>2.4E-2</v>
      </c>
      <c r="L111" s="17">
        <v>2.5000000000000001E-2</v>
      </c>
    </row>
    <row r="112" spans="2:12">
      <c r="B112" s="13" t="s">
        <v>117</v>
      </c>
      <c r="C112" s="13" t="s">
        <v>289</v>
      </c>
      <c r="D112" s="13" t="s">
        <v>248</v>
      </c>
      <c r="E112" s="17">
        <v>-0.02</v>
      </c>
      <c r="F112" s="18">
        <v>2E-3</v>
      </c>
      <c r="G112" s="18">
        <v>2.3E-2</v>
      </c>
      <c r="H112" s="17">
        <v>0.02</v>
      </c>
      <c r="I112" s="17">
        <v>0.02</v>
      </c>
      <c r="J112" s="17">
        <v>0.02</v>
      </c>
      <c r="K112" s="17">
        <v>0.02</v>
      </c>
      <c r="L112" s="17">
        <v>0.02</v>
      </c>
    </row>
    <row r="113" spans="2:12">
      <c r="B113" s="13" t="s">
        <v>118</v>
      </c>
      <c r="C113" s="13" t="s">
        <v>118</v>
      </c>
      <c r="D113" s="13" t="s">
        <v>244</v>
      </c>
      <c r="E113" s="17">
        <v>6.9999999999999993E-3</v>
      </c>
      <c r="F113" s="18">
        <v>0.04</v>
      </c>
      <c r="G113" s="18">
        <v>0.08</v>
      </c>
      <c r="H113" s="17">
        <v>0.03</v>
      </c>
      <c r="I113" s="17">
        <v>2.5000000000000001E-2</v>
      </c>
      <c r="J113" s="17">
        <v>0.02</v>
      </c>
      <c r="K113" s="17">
        <v>0.02</v>
      </c>
      <c r="L113" s="17">
        <v>0.02</v>
      </c>
    </row>
    <row r="114" spans="2:12">
      <c r="B114" s="13" t="s">
        <v>119</v>
      </c>
      <c r="C114" s="13" t="s">
        <v>119</v>
      </c>
      <c r="D114" s="13" t="s">
        <v>246</v>
      </c>
      <c r="E114" s="17">
        <v>2E-3</v>
      </c>
      <c r="F114" s="18">
        <v>6.9999999999999993E-3</v>
      </c>
      <c r="G114" s="18">
        <v>4.7E-2</v>
      </c>
      <c r="H114" s="17">
        <v>2.7999999999999997E-2</v>
      </c>
      <c r="I114" s="17">
        <v>2.1000000000000001E-2</v>
      </c>
      <c r="J114" s="17">
        <v>0.02</v>
      </c>
      <c r="K114" s="17">
        <v>2.1000000000000001E-2</v>
      </c>
      <c r="L114" s="17">
        <v>0.02</v>
      </c>
    </row>
    <row r="115" spans="2:12">
      <c r="B115" s="13" t="s">
        <v>120</v>
      </c>
      <c r="C115" s="13" t="s">
        <v>120</v>
      </c>
      <c r="D115" s="13" t="s">
        <v>248</v>
      </c>
      <c r="E115" s="17">
        <v>-3.0000000000000001E-3</v>
      </c>
      <c r="F115" s="18">
        <v>3.5000000000000003E-2</v>
      </c>
      <c r="G115" s="18">
        <v>5.2999999999999999E-2</v>
      </c>
      <c r="H115" s="17">
        <v>0.03</v>
      </c>
      <c r="I115" s="17">
        <v>2.4E-2</v>
      </c>
      <c r="J115" s="17">
        <v>0.02</v>
      </c>
      <c r="K115" s="17">
        <v>0.02</v>
      </c>
      <c r="L115" s="17">
        <v>0.02</v>
      </c>
    </row>
    <row r="116" spans="2:12">
      <c r="B116" s="13" t="s">
        <v>121</v>
      </c>
      <c r="C116" s="13" t="s">
        <v>121</v>
      </c>
      <c r="D116" s="13" t="s">
        <v>244</v>
      </c>
      <c r="E116" s="17">
        <v>1.8000000000000002E-2</v>
      </c>
      <c r="F116" s="18">
        <v>3.7999999999999999E-2</v>
      </c>
      <c r="G116" s="18">
        <v>4.9000000000000002E-2</v>
      </c>
      <c r="H116" s="17">
        <v>0.04</v>
      </c>
      <c r="I116" s="17">
        <v>0.04</v>
      </c>
      <c r="J116" s="17">
        <v>0.04</v>
      </c>
      <c r="K116" s="17">
        <v>0.04</v>
      </c>
      <c r="L116" s="17">
        <v>0.04</v>
      </c>
    </row>
    <row r="117" spans="2:12">
      <c r="B117" s="13" t="s">
        <v>122</v>
      </c>
      <c r="C117" s="13" t="s">
        <v>122</v>
      </c>
      <c r="D117" s="13" t="s">
        <v>244</v>
      </c>
      <c r="E117" s="17">
        <v>2.7000000000000003E-2</v>
      </c>
      <c r="F117" s="18">
        <v>0.04</v>
      </c>
      <c r="G117" s="18">
        <v>8.4000000000000005E-2</v>
      </c>
      <c r="H117" s="17">
        <v>5.7000000000000002E-2</v>
      </c>
      <c r="I117" s="17">
        <v>0.05</v>
      </c>
      <c r="J117" s="17">
        <v>4.0999999999999995E-2</v>
      </c>
      <c r="K117" s="17">
        <v>3.7000000000000005E-2</v>
      </c>
      <c r="L117" s="17">
        <v>3.5000000000000003E-2</v>
      </c>
    </row>
    <row r="118" spans="2:12">
      <c r="B118" s="13" t="s">
        <v>123</v>
      </c>
      <c r="C118" s="13" t="s">
        <v>290</v>
      </c>
      <c r="D118" s="13" t="s">
        <v>247</v>
      </c>
      <c r="E118" s="17">
        <v>3.2000000000000001E-2</v>
      </c>
      <c r="F118" s="18">
        <v>5.7000000000000002E-2</v>
      </c>
      <c r="G118" s="18">
        <v>6.8000000000000005E-2</v>
      </c>
      <c r="H118" s="17">
        <v>3.9E-2</v>
      </c>
      <c r="I118" s="17">
        <v>3.2000000000000001E-2</v>
      </c>
      <c r="J118" s="17">
        <v>3.1E-2</v>
      </c>
      <c r="K118" s="17">
        <v>0.03</v>
      </c>
      <c r="L118" s="17">
        <v>0.03</v>
      </c>
    </row>
    <row r="119" spans="2:12">
      <c r="B119" s="13" t="s">
        <v>124</v>
      </c>
      <c r="C119" s="13" t="s">
        <v>291</v>
      </c>
      <c r="D119" s="13" t="s">
        <v>248</v>
      </c>
      <c r="E119" s="17">
        <v>5.0000000000000001E-3</v>
      </c>
      <c r="F119" s="18">
        <v>2.1000000000000001E-2</v>
      </c>
      <c r="G119" s="18">
        <v>5.5999999999999994E-2</v>
      </c>
      <c r="H119" s="17">
        <v>0.03</v>
      </c>
      <c r="I119" s="17">
        <v>2.1000000000000001E-2</v>
      </c>
      <c r="J119" s="17">
        <v>2.3E-2</v>
      </c>
      <c r="K119" s="17">
        <v>2.2000000000000002E-2</v>
      </c>
      <c r="L119" s="17">
        <v>2.1000000000000001E-2</v>
      </c>
    </row>
    <row r="120" spans="2:12">
      <c r="B120" s="13" t="s">
        <v>125</v>
      </c>
      <c r="C120" s="13" t="s">
        <v>125</v>
      </c>
      <c r="D120" s="23" t="s">
        <v>246</v>
      </c>
      <c r="E120" s="17">
        <v>9.0000000000000011E-3</v>
      </c>
      <c r="F120" s="18">
        <v>5.0999999999999997E-2</v>
      </c>
      <c r="G120" s="18">
        <v>0.21899999999999997</v>
      </c>
      <c r="H120" s="17">
        <v>6.5000000000000002E-2</v>
      </c>
      <c r="I120" s="17">
        <v>0.05</v>
      </c>
      <c r="J120" s="17">
        <v>0.05</v>
      </c>
      <c r="K120" s="17">
        <v>0.05</v>
      </c>
      <c r="L120" s="17">
        <v>0.05</v>
      </c>
    </row>
    <row r="121" spans="2:12">
      <c r="B121" s="13" t="s">
        <v>126</v>
      </c>
      <c r="C121" s="13" t="s">
        <v>126</v>
      </c>
      <c r="D121" s="13" t="s">
        <v>248</v>
      </c>
      <c r="E121" s="17">
        <v>2.3E-2</v>
      </c>
      <c r="F121" s="18">
        <v>7.0999999999999994E-2</v>
      </c>
      <c r="G121" s="18">
        <v>0.155</v>
      </c>
      <c r="H121" s="17">
        <v>0.14499999999999999</v>
      </c>
      <c r="I121" s="17">
        <v>0.10800000000000001</v>
      </c>
      <c r="J121" s="17">
        <v>0.09</v>
      </c>
      <c r="K121" s="17">
        <v>7.4999999999999997E-2</v>
      </c>
      <c r="L121" s="17">
        <v>6.5000000000000002E-2</v>
      </c>
    </row>
    <row r="122" spans="2:12">
      <c r="B122" s="13" t="s">
        <v>127</v>
      </c>
      <c r="C122" s="13" t="s">
        <v>127</v>
      </c>
      <c r="D122" s="23" t="s">
        <v>246</v>
      </c>
      <c r="E122" s="17">
        <v>-9.0000000000000011E-3</v>
      </c>
      <c r="F122" s="18">
        <v>2.4E-2</v>
      </c>
      <c r="G122" s="18">
        <v>6.8000000000000005E-2</v>
      </c>
      <c r="H122" s="17">
        <v>3.7999999999999999E-2</v>
      </c>
      <c r="I122" s="17">
        <v>2.3E-2</v>
      </c>
      <c r="J122" s="17">
        <v>1.8000000000000002E-2</v>
      </c>
      <c r="K122" s="17">
        <v>1.8000000000000002E-2</v>
      </c>
      <c r="L122" s="17">
        <v>1.8000000000000002E-2</v>
      </c>
    </row>
    <row r="123" spans="2:12">
      <c r="B123" s="13" t="s">
        <v>128</v>
      </c>
      <c r="C123" s="13" t="s">
        <v>292</v>
      </c>
      <c r="D123" s="13" t="s">
        <v>244</v>
      </c>
      <c r="E123" s="17">
        <v>-9.0000000000000011E-3</v>
      </c>
      <c r="F123" s="18">
        <v>1.3999999999999999E-2</v>
      </c>
      <c r="G123" s="18">
        <v>4.4000000000000004E-2</v>
      </c>
      <c r="H123" s="17">
        <v>2.3E-2</v>
      </c>
      <c r="I123" s="17">
        <v>1.9E-2</v>
      </c>
      <c r="J123" s="17">
        <v>0.02</v>
      </c>
      <c r="K123" s="17">
        <v>0.02</v>
      </c>
      <c r="L123" s="17">
        <v>0.02</v>
      </c>
    </row>
    <row r="124" spans="2:12">
      <c r="B124" s="13" t="s">
        <v>129</v>
      </c>
      <c r="C124" s="13" t="s">
        <v>129</v>
      </c>
      <c r="D124" s="13" t="s">
        <v>244</v>
      </c>
      <c r="E124" s="17">
        <v>3.5000000000000003E-2</v>
      </c>
      <c r="F124" s="18">
        <v>5.7000000000000002E-2</v>
      </c>
      <c r="G124" s="18">
        <v>8.5000000000000006E-2</v>
      </c>
      <c r="H124" s="17">
        <v>7.6999999999999999E-2</v>
      </c>
      <c r="I124" s="17">
        <v>6.5000000000000002E-2</v>
      </c>
      <c r="J124" s="17">
        <v>5.9000000000000004E-2</v>
      </c>
      <c r="K124" s="17">
        <v>5.5E-2</v>
      </c>
      <c r="L124" s="17">
        <v>5.5E-2</v>
      </c>
    </row>
    <row r="125" spans="2:12">
      <c r="B125" s="13" t="s">
        <v>130</v>
      </c>
      <c r="C125" s="13" t="s">
        <v>130</v>
      </c>
      <c r="D125" s="13" t="s">
        <v>248</v>
      </c>
      <c r="E125" s="17">
        <v>0.02</v>
      </c>
      <c r="F125" s="18">
        <v>3.6000000000000004E-2</v>
      </c>
      <c r="G125" s="18">
        <v>0.14099999999999999</v>
      </c>
      <c r="H125" s="17">
        <v>8.199999999999999E-2</v>
      </c>
      <c r="I125" s="17">
        <v>7.8E-2</v>
      </c>
      <c r="J125" s="17">
        <v>7.8E-2</v>
      </c>
      <c r="K125" s="17">
        <v>7.8E-2</v>
      </c>
      <c r="L125" s="17">
        <v>7.8E-2</v>
      </c>
    </row>
    <row r="126" spans="2:12">
      <c r="B126" s="13" t="s">
        <v>131</v>
      </c>
      <c r="C126" s="13" t="s">
        <v>131</v>
      </c>
      <c r="D126" s="13" t="s">
        <v>244</v>
      </c>
      <c r="E126" s="17">
        <v>2.4E-2</v>
      </c>
      <c r="F126" s="18">
        <v>3.6000000000000004E-2</v>
      </c>
      <c r="G126" s="18">
        <v>5.5E-2</v>
      </c>
      <c r="H126" s="17">
        <v>4.5999999999999999E-2</v>
      </c>
      <c r="I126" s="17">
        <v>4.4999999999999998E-2</v>
      </c>
      <c r="J126" s="17">
        <v>4.4999999999999998E-2</v>
      </c>
      <c r="K126" s="17">
        <v>4.4999999999999998E-2</v>
      </c>
      <c r="L126" s="17">
        <v>4.4999999999999998E-2</v>
      </c>
    </row>
    <row r="127" spans="2:12">
      <c r="B127" s="13" t="s">
        <v>132</v>
      </c>
      <c r="C127" s="13" t="s">
        <v>132</v>
      </c>
      <c r="D127" s="13" t="s">
        <v>248</v>
      </c>
      <c r="E127" s="17">
        <v>-9.0000000000000011E-3</v>
      </c>
      <c r="F127" s="18">
        <v>1.2E-2</v>
      </c>
      <c r="G127" s="18">
        <v>0.02</v>
      </c>
      <c r="H127" s="17">
        <v>0.02</v>
      </c>
      <c r="I127" s="17">
        <v>0.02</v>
      </c>
      <c r="J127" s="17">
        <v>0.02</v>
      </c>
      <c r="K127" s="17">
        <v>0.02</v>
      </c>
      <c r="L127" s="17">
        <v>0.02</v>
      </c>
    </row>
    <row r="128" spans="2:12">
      <c r="B128" s="13" t="s">
        <v>133</v>
      </c>
      <c r="C128" s="13" t="s">
        <v>133</v>
      </c>
      <c r="D128" s="13" t="s">
        <v>248</v>
      </c>
      <c r="E128" s="17">
        <v>4.8000000000000001E-2</v>
      </c>
      <c r="F128" s="18">
        <v>3.6000000000000004E-2</v>
      </c>
      <c r="G128" s="18">
        <v>5.7999999999999996E-2</v>
      </c>
      <c r="H128" s="17">
        <v>5.7999999999999996E-2</v>
      </c>
      <c r="I128" s="17">
        <v>5.5999999999999994E-2</v>
      </c>
      <c r="J128" s="17">
        <v>5.5E-2</v>
      </c>
      <c r="K128" s="17">
        <v>5.2999999999999999E-2</v>
      </c>
      <c r="L128" s="17">
        <v>5.4000000000000006E-2</v>
      </c>
    </row>
    <row r="129" spans="2:12">
      <c r="B129" s="13" t="s">
        <v>134</v>
      </c>
      <c r="C129" s="13" t="s">
        <v>293</v>
      </c>
      <c r="D129" s="13" t="s">
        <v>222</v>
      </c>
      <c r="E129" s="17">
        <v>9.0000000000000011E-3</v>
      </c>
      <c r="F129" s="18">
        <v>2.7999999999999997E-2</v>
      </c>
      <c r="G129" s="18">
        <v>5.2000000000000005E-2</v>
      </c>
      <c r="H129" s="17">
        <v>2.3E-2</v>
      </c>
      <c r="I129" s="17">
        <v>1.9E-2</v>
      </c>
      <c r="J129" s="17">
        <v>1.9E-2</v>
      </c>
      <c r="K129" s="17">
        <v>0.02</v>
      </c>
      <c r="L129" s="17">
        <v>0.02</v>
      </c>
    </row>
    <row r="130" spans="2:12">
      <c r="B130" s="13" t="s">
        <v>135</v>
      </c>
      <c r="C130" s="13" t="s">
        <v>294</v>
      </c>
      <c r="D130" s="13" t="s">
        <v>248</v>
      </c>
      <c r="E130" s="17">
        <v>1.3999999999999999E-2</v>
      </c>
      <c r="F130" s="18">
        <v>3.9E-2</v>
      </c>
      <c r="G130" s="18">
        <v>5.9000000000000004E-2</v>
      </c>
      <c r="H130" s="17">
        <v>3.5000000000000003E-2</v>
      </c>
      <c r="I130" s="17">
        <v>2.4E-2</v>
      </c>
      <c r="J130" s="17">
        <v>2.2000000000000002E-2</v>
      </c>
      <c r="K130" s="17">
        <v>2.1000000000000001E-2</v>
      </c>
      <c r="L130" s="17">
        <v>0.02</v>
      </c>
    </row>
    <row r="131" spans="2:12">
      <c r="B131" s="13" t="s">
        <v>136</v>
      </c>
      <c r="C131" s="13" t="s">
        <v>136</v>
      </c>
      <c r="D131" s="13" t="s">
        <v>247</v>
      </c>
      <c r="E131" s="17">
        <v>2.8999999999999998E-2</v>
      </c>
      <c r="F131" s="18">
        <v>4.9000000000000002E-2</v>
      </c>
      <c r="G131" s="18">
        <v>8.6999999999999994E-2</v>
      </c>
      <c r="H131" s="17">
        <v>6.2E-2</v>
      </c>
      <c r="I131" s="17">
        <v>0.04</v>
      </c>
      <c r="J131" s="17">
        <v>0.04</v>
      </c>
      <c r="K131" s="17">
        <v>3.5000000000000003E-2</v>
      </c>
      <c r="L131" s="17">
        <v>3.5000000000000003E-2</v>
      </c>
    </row>
    <row r="132" spans="2:12">
      <c r="B132" s="13" t="s">
        <v>137</v>
      </c>
      <c r="C132" s="13" t="s">
        <v>137</v>
      </c>
      <c r="D132" s="13" t="s">
        <v>244</v>
      </c>
      <c r="E132" s="17">
        <v>3.1E-2</v>
      </c>
      <c r="F132" s="18">
        <v>3.7999999999999999E-2</v>
      </c>
      <c r="G132" s="18">
        <v>0.05</v>
      </c>
      <c r="H132" s="17">
        <v>0.03</v>
      </c>
      <c r="I132" s="17">
        <v>2.5000000000000001E-2</v>
      </c>
      <c r="J132" s="17">
        <v>0.02</v>
      </c>
      <c r="K132" s="17">
        <v>0.02</v>
      </c>
      <c r="L132" s="17">
        <v>0.02</v>
      </c>
    </row>
    <row r="133" spans="2:12">
      <c r="B133" s="13" t="s">
        <v>138</v>
      </c>
      <c r="C133" s="13" t="s">
        <v>138</v>
      </c>
      <c r="D133" s="13" t="s">
        <v>244</v>
      </c>
      <c r="E133" s="17">
        <v>0.158</v>
      </c>
      <c r="F133" s="18">
        <v>0.17</v>
      </c>
      <c r="G133" s="18">
        <v>0.161</v>
      </c>
      <c r="H133" s="17">
        <v>0.13100000000000001</v>
      </c>
      <c r="I133" s="17">
        <v>0.11599999999999999</v>
      </c>
      <c r="J133" s="17">
        <v>0.115</v>
      </c>
      <c r="K133" s="17">
        <v>0.115</v>
      </c>
      <c r="L133" s="17">
        <v>0.115</v>
      </c>
    </row>
    <row r="134" spans="2:12">
      <c r="B134" s="13" t="s">
        <v>139</v>
      </c>
      <c r="C134" s="13" t="s">
        <v>295</v>
      </c>
      <c r="D134" s="23" t="s">
        <v>246</v>
      </c>
      <c r="E134" s="17">
        <v>2.3E-2</v>
      </c>
      <c r="F134" s="18">
        <v>3.2000000000000001E-2</v>
      </c>
      <c r="G134" s="18">
        <v>6.9000000000000006E-2</v>
      </c>
      <c r="H134" s="17">
        <v>3.6000000000000004E-2</v>
      </c>
      <c r="I134" s="17">
        <v>1.9E-2</v>
      </c>
      <c r="J134" s="17">
        <v>0.02</v>
      </c>
      <c r="K134" s="17">
        <v>2.1000000000000001E-2</v>
      </c>
      <c r="L134" s="17">
        <v>0.02</v>
      </c>
    </row>
    <row r="135" spans="2:12">
      <c r="B135" s="13" t="s">
        <v>140</v>
      </c>
      <c r="C135" s="13" t="s">
        <v>296</v>
      </c>
      <c r="D135" s="13" t="s">
        <v>222</v>
      </c>
      <c r="E135" s="17">
        <v>1.3999999999999999E-2</v>
      </c>
      <c r="F135" s="18">
        <v>3.5000000000000003E-2</v>
      </c>
      <c r="G135" s="18">
        <v>3.5000000000000003E-2</v>
      </c>
      <c r="H135" s="17">
        <v>1.8000000000000002E-2</v>
      </c>
      <c r="I135" s="17">
        <v>2.1000000000000001E-2</v>
      </c>
      <c r="J135" s="17">
        <v>0.02</v>
      </c>
      <c r="K135" s="17">
        <v>0.02</v>
      </c>
      <c r="L135" s="17">
        <v>0.02</v>
      </c>
    </row>
    <row r="136" spans="2:12">
      <c r="B136" s="13" t="s">
        <v>141</v>
      </c>
      <c r="C136" s="13" t="s">
        <v>141</v>
      </c>
      <c r="D136" s="13" t="s">
        <v>244</v>
      </c>
      <c r="E136" s="17">
        <v>-9.0000000000000011E-3</v>
      </c>
      <c r="F136" s="18">
        <v>1.4999999999999999E-2</v>
      </c>
      <c r="G136" s="18">
        <v>3.7000000000000005E-2</v>
      </c>
      <c r="H136" s="17">
        <v>2.2000000000000002E-2</v>
      </c>
      <c r="I136" s="17">
        <v>0.02</v>
      </c>
      <c r="J136" s="17">
        <v>1.9E-2</v>
      </c>
      <c r="K136" s="17">
        <v>1.9E-2</v>
      </c>
      <c r="L136" s="17">
        <v>1.9E-2</v>
      </c>
    </row>
    <row r="137" spans="2:12">
      <c r="B137" s="13" t="s">
        <v>142</v>
      </c>
      <c r="C137" s="13" t="s">
        <v>142</v>
      </c>
      <c r="D137" s="13" t="s">
        <v>244</v>
      </c>
      <c r="E137" s="17">
        <v>8.5999999999999993E-2</v>
      </c>
      <c r="F137" s="18">
        <v>8.900000000000001E-2</v>
      </c>
      <c r="G137" s="18">
        <v>0.11199999999999999</v>
      </c>
      <c r="H137" s="17">
        <v>0.105</v>
      </c>
      <c r="I137" s="17">
        <v>7.400000000000001E-2</v>
      </c>
      <c r="J137" s="17">
        <v>6.5000000000000002E-2</v>
      </c>
      <c r="K137" s="17">
        <v>6.5000000000000002E-2</v>
      </c>
      <c r="L137" s="17">
        <v>6.5000000000000002E-2</v>
      </c>
    </row>
    <row r="138" spans="2:12">
      <c r="B138" s="13" t="s">
        <v>143</v>
      </c>
      <c r="C138" s="13" t="s">
        <v>143</v>
      </c>
      <c r="D138" s="13" t="s">
        <v>248</v>
      </c>
      <c r="E138" s="17">
        <v>6.0000000000000001E-3</v>
      </c>
      <c r="F138" s="18">
        <v>4.0000000000000001E-3</v>
      </c>
      <c r="G138" s="18">
        <v>0.05</v>
      </c>
      <c r="H138" s="17">
        <v>2.3E-2</v>
      </c>
      <c r="I138" s="17">
        <v>5.0000000000000001E-3</v>
      </c>
      <c r="J138" s="17">
        <v>5.0000000000000001E-3</v>
      </c>
      <c r="K138" s="17">
        <v>6.9999999999999993E-3</v>
      </c>
      <c r="L138" s="17">
        <v>0.01</v>
      </c>
    </row>
    <row r="139" spans="2:12">
      <c r="B139" s="13" t="s">
        <v>144</v>
      </c>
      <c r="C139" s="13" t="s">
        <v>144</v>
      </c>
      <c r="D139" s="13" t="s">
        <v>217</v>
      </c>
      <c r="E139" s="17">
        <v>-1.6E-2</v>
      </c>
      <c r="F139" s="18">
        <v>1.6E-2</v>
      </c>
      <c r="G139" s="18">
        <v>3.1E-2</v>
      </c>
      <c r="H139" s="17">
        <v>3.4000000000000002E-2</v>
      </c>
      <c r="I139" s="17">
        <v>2.5000000000000001E-2</v>
      </c>
      <c r="J139" s="17">
        <v>0.02</v>
      </c>
      <c r="K139" s="17">
        <v>0.02</v>
      </c>
      <c r="L139" s="17">
        <v>0.02</v>
      </c>
    </row>
    <row r="140" spans="2:12">
      <c r="B140" s="13" t="s">
        <v>145</v>
      </c>
      <c r="C140" s="13" t="s">
        <v>145</v>
      </c>
      <c r="D140" s="13" t="s">
        <v>247</v>
      </c>
      <c r="E140" s="17">
        <v>5.0999999999999997E-2</v>
      </c>
      <c r="F140" s="18">
        <v>4.4999999999999998E-2</v>
      </c>
      <c r="G140" s="18">
        <v>6.4000000000000001E-2</v>
      </c>
      <c r="H140" s="17">
        <v>5.4000000000000006E-2</v>
      </c>
      <c r="I140" s="17">
        <v>4.9000000000000002E-2</v>
      </c>
      <c r="J140" s="17">
        <v>4.5999999999999999E-2</v>
      </c>
      <c r="K140" s="17">
        <v>4.4999999999999998E-2</v>
      </c>
      <c r="L140" s="17">
        <v>4.4999999999999998E-2</v>
      </c>
    </row>
    <row r="141" spans="2:12">
      <c r="B141" s="13" t="s">
        <v>146</v>
      </c>
      <c r="C141" s="13" t="s">
        <v>146</v>
      </c>
      <c r="D141" s="13" t="s">
        <v>247</v>
      </c>
      <c r="E141" s="17">
        <v>2.2000000000000002E-2</v>
      </c>
      <c r="F141" s="18">
        <v>4.8000000000000001E-2</v>
      </c>
      <c r="G141" s="18">
        <v>9.4E-2</v>
      </c>
      <c r="H141" s="17">
        <v>4.4999999999999998E-2</v>
      </c>
      <c r="I141" s="17">
        <v>4.0999999999999995E-2</v>
      </c>
      <c r="J141" s="17">
        <v>0.04</v>
      </c>
      <c r="K141" s="17">
        <v>0.04</v>
      </c>
      <c r="L141" s="17">
        <v>0.04</v>
      </c>
    </row>
    <row r="142" spans="2:12">
      <c r="B142" s="13" t="s">
        <v>147</v>
      </c>
      <c r="C142" s="13" t="s">
        <v>297</v>
      </c>
      <c r="D142" s="13" t="s">
        <v>247</v>
      </c>
      <c r="E142" s="17">
        <v>0.02</v>
      </c>
      <c r="F142" s="18">
        <v>0.04</v>
      </c>
      <c r="G142" s="18">
        <v>5.5E-2</v>
      </c>
      <c r="H142" s="17">
        <v>3.6000000000000004E-2</v>
      </c>
      <c r="I142" s="17">
        <v>2.5000000000000001E-2</v>
      </c>
      <c r="J142" s="17">
        <v>2.1000000000000001E-2</v>
      </c>
      <c r="K142" s="17">
        <v>0.02</v>
      </c>
      <c r="L142" s="17">
        <v>0.02</v>
      </c>
    </row>
    <row r="143" spans="2:12">
      <c r="B143" s="13" t="s">
        <v>148</v>
      </c>
      <c r="C143" s="13" t="s">
        <v>298</v>
      </c>
      <c r="D143" s="13" t="s">
        <v>247</v>
      </c>
      <c r="E143" s="17">
        <v>3.5000000000000003E-2</v>
      </c>
      <c r="F143" s="18">
        <v>3.9E-2</v>
      </c>
      <c r="G143" s="18">
        <v>4.2999999999999997E-2</v>
      </c>
      <c r="H143" s="17">
        <v>3.7000000000000005E-2</v>
      </c>
      <c r="I143" s="17">
        <v>0.03</v>
      </c>
      <c r="J143" s="17">
        <v>0.03</v>
      </c>
      <c r="K143" s="17">
        <v>0.03</v>
      </c>
      <c r="L143" s="17">
        <v>0.03</v>
      </c>
    </row>
    <row r="144" spans="2:12">
      <c r="B144" s="13" t="s">
        <v>149</v>
      </c>
      <c r="C144" s="13" t="s">
        <v>299</v>
      </c>
      <c r="D144" s="13" t="s">
        <v>246</v>
      </c>
      <c r="E144" s="17">
        <v>2.4E-2</v>
      </c>
      <c r="F144" s="18">
        <v>5.0999999999999997E-2</v>
      </c>
      <c r="G144" s="18">
        <v>8.900000000000001E-2</v>
      </c>
      <c r="H144" s="17">
        <v>0.10300000000000001</v>
      </c>
      <c r="I144" s="17">
        <v>3.9E-2</v>
      </c>
      <c r="J144" s="17">
        <v>3.2000000000000001E-2</v>
      </c>
      <c r="K144" s="17">
        <v>2.6000000000000002E-2</v>
      </c>
      <c r="L144" s="17">
        <v>2.5000000000000001E-2</v>
      </c>
    </row>
    <row r="145" spans="2:12">
      <c r="B145" s="13" t="s">
        <v>150</v>
      </c>
      <c r="C145" s="13" t="s">
        <v>300</v>
      </c>
      <c r="D145" s="13" t="s">
        <v>222</v>
      </c>
      <c r="E145" s="17">
        <v>-3.0000000000000001E-3</v>
      </c>
      <c r="F145" s="18">
        <v>9.0000000000000011E-3</v>
      </c>
      <c r="G145" s="18">
        <v>0.04</v>
      </c>
      <c r="H145" s="17">
        <v>1.4999999999999999E-2</v>
      </c>
      <c r="I145" s="17">
        <v>1.3000000000000001E-2</v>
      </c>
      <c r="J145" s="17">
        <v>1.3000000000000001E-2</v>
      </c>
      <c r="K145" s="17">
        <v>1.3000000000000001E-2</v>
      </c>
      <c r="L145" s="17">
        <v>1.3000000000000001E-2</v>
      </c>
    </row>
    <row r="146" spans="2:12">
      <c r="B146" s="13" t="s">
        <v>151</v>
      </c>
      <c r="C146" s="13" t="s">
        <v>301</v>
      </c>
      <c r="D146" s="13" t="s">
        <v>248</v>
      </c>
      <c r="E146" s="17">
        <v>-1E-3</v>
      </c>
      <c r="F146" s="18">
        <v>2.3E-2</v>
      </c>
      <c r="G146" s="18">
        <v>4.4000000000000004E-2</v>
      </c>
      <c r="H146" s="17">
        <v>3.3000000000000002E-2</v>
      </c>
      <c r="I146" s="17">
        <v>1.9E-2</v>
      </c>
      <c r="J146" s="17">
        <v>1.9E-2</v>
      </c>
      <c r="K146" s="17">
        <v>1.9E-2</v>
      </c>
      <c r="L146" s="17">
        <v>1.8000000000000002E-2</v>
      </c>
    </row>
    <row r="147" spans="2:12">
      <c r="B147" s="13" t="s">
        <v>152</v>
      </c>
      <c r="C147" s="13" t="s">
        <v>152</v>
      </c>
      <c r="D147" s="13" t="s">
        <v>244</v>
      </c>
      <c r="E147" s="17">
        <v>-3.4000000000000002E-2</v>
      </c>
      <c r="F147" s="18">
        <v>2.3E-2</v>
      </c>
      <c r="G147" s="18">
        <v>3.5000000000000003E-2</v>
      </c>
      <c r="H147" s="17">
        <v>3.2000000000000001E-2</v>
      </c>
      <c r="I147" s="17">
        <v>2.1000000000000001E-2</v>
      </c>
      <c r="J147" s="17">
        <v>1.4999999999999999E-2</v>
      </c>
      <c r="K147" s="17">
        <v>1.4999999999999999E-2</v>
      </c>
      <c r="L147" s="17">
        <v>1.4999999999999999E-2</v>
      </c>
    </row>
    <row r="148" spans="2:12">
      <c r="B148" s="13" t="s">
        <v>153</v>
      </c>
      <c r="C148" s="13" t="s">
        <v>153</v>
      </c>
      <c r="D148" s="13" t="s">
        <v>246</v>
      </c>
      <c r="E148" s="17">
        <v>2.1000000000000001E-2</v>
      </c>
      <c r="F148" s="18">
        <v>0.05</v>
      </c>
      <c r="G148" s="18">
        <v>9.3000000000000013E-2</v>
      </c>
      <c r="H148" s="17">
        <v>0.04</v>
      </c>
      <c r="I148" s="17">
        <v>0.03</v>
      </c>
      <c r="J148" s="17">
        <v>2.5000000000000001E-2</v>
      </c>
      <c r="K148" s="17">
        <v>2.5000000000000001E-2</v>
      </c>
      <c r="L148" s="17">
        <v>2.5000000000000001E-2</v>
      </c>
    </row>
    <row r="149" spans="2:12">
      <c r="B149" s="19" t="s">
        <v>154</v>
      </c>
      <c r="C149" s="19" t="s">
        <v>302</v>
      </c>
      <c r="D149" s="19" t="s">
        <v>246</v>
      </c>
      <c r="E149" s="22">
        <v>4.9000000000000002E-2</v>
      </c>
      <c r="F149" s="21">
        <v>6.7000000000000004E-2</v>
      </c>
      <c r="G149" s="21">
        <v>0.21299999999999999</v>
      </c>
      <c r="H149" s="22">
        <v>0.14300000000000002</v>
      </c>
      <c r="I149" s="22">
        <v>0.09</v>
      </c>
      <c r="J149" s="22">
        <v>0.06</v>
      </c>
      <c r="K149" s="22">
        <v>0.04</v>
      </c>
      <c r="L149" s="22">
        <v>0.04</v>
      </c>
    </row>
    <row r="150" spans="2:12">
      <c r="B150" s="13" t="s">
        <v>155</v>
      </c>
      <c r="C150" s="13" t="s">
        <v>155</v>
      </c>
      <c r="D150" s="13" t="s">
        <v>244</v>
      </c>
      <c r="E150" s="17">
        <v>3.7000000000000005E-2</v>
      </c>
      <c r="F150" s="18">
        <v>8.0000000000000002E-3</v>
      </c>
      <c r="G150" s="18">
        <v>0.08</v>
      </c>
      <c r="H150" s="17">
        <v>7.0000000000000007E-2</v>
      </c>
      <c r="I150" s="17">
        <v>0.06</v>
      </c>
      <c r="J150" s="17">
        <v>0.05</v>
      </c>
      <c r="K150" s="17">
        <v>0.05</v>
      </c>
      <c r="L150" s="17">
        <v>0.05</v>
      </c>
    </row>
    <row r="151" spans="2:12">
      <c r="B151" s="13" t="s">
        <v>156</v>
      </c>
      <c r="C151" s="13" t="s">
        <v>159</v>
      </c>
      <c r="D151" s="13" t="s">
        <v>248</v>
      </c>
      <c r="E151" s="17">
        <v>-1.2E-2</v>
      </c>
      <c r="F151" s="18">
        <v>2E-3</v>
      </c>
      <c r="G151" s="18">
        <v>4.2000000000000003E-2</v>
      </c>
      <c r="H151" s="17">
        <v>3.9E-2</v>
      </c>
      <c r="I151" s="17">
        <v>1.6E-2</v>
      </c>
      <c r="J151" s="17">
        <v>0.02</v>
      </c>
      <c r="K151" s="17">
        <v>0.02</v>
      </c>
      <c r="L151" s="17">
        <v>0.02</v>
      </c>
    </row>
    <row r="152" spans="2:12">
      <c r="B152" s="13" t="s">
        <v>157</v>
      </c>
      <c r="C152" s="13" t="s">
        <v>160</v>
      </c>
      <c r="D152" s="23" t="s">
        <v>222</v>
      </c>
      <c r="E152" s="17">
        <v>-4.0000000000000001E-3</v>
      </c>
      <c r="F152" s="18">
        <v>2.4E-2</v>
      </c>
      <c r="G152" s="18">
        <v>6.4000000000000001E-2</v>
      </c>
      <c r="H152" s="17">
        <v>2.7000000000000003E-2</v>
      </c>
      <c r="I152" s="17">
        <v>2.2000000000000002E-2</v>
      </c>
      <c r="J152" s="17">
        <v>0.02</v>
      </c>
      <c r="K152" s="17">
        <v>0.02</v>
      </c>
      <c r="L152" s="17">
        <v>0.02</v>
      </c>
    </row>
    <row r="153" spans="2:12">
      <c r="B153" s="13" t="s">
        <v>158</v>
      </c>
      <c r="C153" s="13" t="s">
        <v>180</v>
      </c>
      <c r="D153" s="13" t="s">
        <v>244</v>
      </c>
      <c r="E153" s="17">
        <v>-0.01</v>
      </c>
      <c r="F153" s="18">
        <v>1.6E-2</v>
      </c>
      <c r="G153" s="18">
        <v>0.06</v>
      </c>
      <c r="H153" s="17">
        <v>4.4000000000000004E-2</v>
      </c>
      <c r="I153" s="17">
        <v>0.02</v>
      </c>
      <c r="J153" s="17">
        <v>0.02</v>
      </c>
      <c r="K153" s="17">
        <v>0.02</v>
      </c>
      <c r="L153" s="17">
        <v>0.02</v>
      </c>
    </row>
    <row r="154" spans="2:12">
      <c r="B154" s="13" t="s">
        <v>159</v>
      </c>
      <c r="C154" s="13" t="s">
        <v>303</v>
      </c>
      <c r="D154" s="13" t="s">
        <v>244</v>
      </c>
      <c r="E154" s="17">
        <v>-3.3000000000000002E-2</v>
      </c>
      <c r="F154" s="18">
        <v>-0.03</v>
      </c>
      <c r="G154" s="18">
        <v>8.3000000000000004E-2</v>
      </c>
      <c r="H154" s="17">
        <v>4.8000000000000001E-2</v>
      </c>
      <c r="I154" s="17">
        <v>0.03</v>
      </c>
      <c r="J154" s="17">
        <v>0.03</v>
      </c>
      <c r="K154" s="17">
        <v>0.03</v>
      </c>
      <c r="L154" s="17">
        <v>0.03</v>
      </c>
    </row>
    <row r="155" spans="2:12">
      <c r="B155" s="13" t="s">
        <v>160</v>
      </c>
      <c r="C155" s="13" t="s">
        <v>162</v>
      </c>
      <c r="D155" s="13" t="s">
        <v>244</v>
      </c>
      <c r="E155" s="17">
        <v>2E-3</v>
      </c>
      <c r="F155" s="18">
        <v>2.1000000000000001E-2</v>
      </c>
      <c r="G155" s="18">
        <v>4.9000000000000002E-2</v>
      </c>
      <c r="H155" s="17">
        <v>0.02</v>
      </c>
      <c r="I155" s="17">
        <v>1.7000000000000001E-2</v>
      </c>
      <c r="J155" s="17">
        <v>1.7000000000000001E-2</v>
      </c>
      <c r="K155" s="17">
        <v>1.7000000000000001E-2</v>
      </c>
      <c r="L155" s="17">
        <v>1.7000000000000001E-2</v>
      </c>
    </row>
    <row r="156" spans="2:12">
      <c r="B156" s="13" t="s">
        <v>161</v>
      </c>
      <c r="C156" s="13" t="s">
        <v>163</v>
      </c>
      <c r="D156" s="23" t="s">
        <v>246</v>
      </c>
      <c r="E156" s="17">
        <v>5.4000000000000006E-2</v>
      </c>
      <c r="F156" s="18">
        <v>3.1E-2</v>
      </c>
      <c r="G156" s="18">
        <v>2.5000000000000001E-2</v>
      </c>
      <c r="H156" s="17">
        <v>0.02</v>
      </c>
      <c r="I156" s="17">
        <v>0.02</v>
      </c>
      <c r="J156" s="17">
        <v>0.02</v>
      </c>
      <c r="K156" s="17">
        <v>0.02</v>
      </c>
      <c r="L156" s="17">
        <v>0.02</v>
      </c>
    </row>
    <row r="157" spans="2:12">
      <c r="B157" s="13" t="s">
        <v>162</v>
      </c>
      <c r="C157" s="13" t="s">
        <v>164</v>
      </c>
      <c r="D157" s="13" t="s">
        <v>244</v>
      </c>
      <c r="E157" s="17">
        <v>2.4E-2</v>
      </c>
      <c r="F157" s="18">
        <v>2.2000000000000002E-2</v>
      </c>
      <c r="G157" s="18">
        <v>0.03</v>
      </c>
      <c r="H157" s="17">
        <v>2.2000000000000002E-2</v>
      </c>
      <c r="I157" s="17">
        <v>0.02</v>
      </c>
      <c r="J157" s="17">
        <v>0.02</v>
      </c>
      <c r="K157" s="17">
        <v>0.02</v>
      </c>
      <c r="L157" s="17">
        <v>0.02</v>
      </c>
    </row>
    <row r="158" spans="2:12">
      <c r="B158" s="13" t="s">
        <v>163</v>
      </c>
      <c r="C158" s="13" t="s">
        <v>165</v>
      </c>
      <c r="D158" s="13" t="s">
        <v>244</v>
      </c>
      <c r="E158" s="17">
        <v>1.3000000000000001E-2</v>
      </c>
      <c r="F158" s="18">
        <v>4.0999999999999995E-2</v>
      </c>
      <c r="G158" s="18">
        <v>7.6999999999999999E-2</v>
      </c>
      <c r="H158" s="17">
        <v>4.7E-2</v>
      </c>
      <c r="I158" s="17">
        <v>3.7000000000000005E-2</v>
      </c>
      <c r="J158" s="17">
        <v>3.5000000000000003E-2</v>
      </c>
      <c r="K158" s="17">
        <v>3.2000000000000001E-2</v>
      </c>
      <c r="L158" s="17">
        <v>0.03</v>
      </c>
    </row>
    <row r="159" spans="2:12">
      <c r="B159" s="13" t="s">
        <v>164</v>
      </c>
      <c r="C159" s="13" t="s">
        <v>166</v>
      </c>
      <c r="D159" s="13" t="s">
        <v>248</v>
      </c>
      <c r="E159" s="17">
        <v>3.7999999999999999E-2</v>
      </c>
      <c r="F159" s="18">
        <v>9.8000000000000004E-2</v>
      </c>
      <c r="G159" s="18">
        <v>5.5999999999999994E-2</v>
      </c>
      <c r="H159" s="17">
        <v>1.6E-2</v>
      </c>
      <c r="I159" s="17">
        <v>-2.6000000000000002E-2</v>
      </c>
      <c r="J159" s="17">
        <v>1E-3</v>
      </c>
      <c r="K159" s="17">
        <v>1.4999999999999999E-2</v>
      </c>
      <c r="L159" s="17">
        <v>2.5000000000000001E-2</v>
      </c>
    </row>
    <row r="160" spans="2:12">
      <c r="B160" s="13" t="s">
        <v>165</v>
      </c>
      <c r="C160" s="13" t="s">
        <v>304</v>
      </c>
      <c r="D160" s="23" t="s">
        <v>246</v>
      </c>
      <c r="E160" s="17">
        <v>0.10400000000000001</v>
      </c>
      <c r="F160" s="18">
        <v>0.11900000000000001</v>
      </c>
      <c r="G160" s="18">
        <v>0.17300000000000001</v>
      </c>
      <c r="H160" s="17">
        <v>0.14499999999999999</v>
      </c>
      <c r="I160" s="17">
        <v>0.11699999999999999</v>
      </c>
      <c r="J160" s="17">
        <v>0.105</v>
      </c>
      <c r="K160" s="17">
        <v>9.3000000000000013E-2</v>
      </c>
      <c r="L160" s="17">
        <v>7.8E-2</v>
      </c>
    </row>
    <row r="161" spans="2:12">
      <c r="B161" s="13" t="s">
        <v>166</v>
      </c>
      <c r="C161" s="13" t="s">
        <v>168</v>
      </c>
      <c r="D161" s="13" t="s">
        <v>222</v>
      </c>
      <c r="E161" s="17">
        <v>0</v>
      </c>
      <c r="F161" s="18">
        <v>2.3E-2</v>
      </c>
      <c r="G161" s="18">
        <v>3.5000000000000003E-2</v>
      </c>
      <c r="H161" s="17">
        <v>0.02</v>
      </c>
      <c r="I161" s="17">
        <v>1.4999999999999999E-2</v>
      </c>
      <c r="J161" s="17">
        <v>1.4999999999999999E-2</v>
      </c>
      <c r="K161" s="17">
        <v>1.4999999999999999E-2</v>
      </c>
      <c r="L161" s="17">
        <v>1.4999999999999999E-2</v>
      </c>
    </row>
    <row r="162" spans="2:12">
      <c r="B162" s="13" t="s">
        <v>167</v>
      </c>
      <c r="C162" s="13" t="s">
        <v>169</v>
      </c>
      <c r="D162" s="13" t="s">
        <v>248</v>
      </c>
      <c r="E162" s="17">
        <v>1.6E-2</v>
      </c>
      <c r="F162" s="18">
        <v>2.7999999999999997E-2</v>
      </c>
      <c r="G162" s="18">
        <v>8.4000000000000005E-2</v>
      </c>
      <c r="H162" s="17">
        <v>4.0999999999999995E-2</v>
      </c>
      <c r="I162" s="17">
        <v>0.02</v>
      </c>
      <c r="J162" s="17">
        <v>0.02</v>
      </c>
      <c r="K162" s="17">
        <v>0.02</v>
      </c>
      <c r="L162" s="17">
        <v>0.02</v>
      </c>
    </row>
    <row r="163" spans="2:12">
      <c r="B163" s="13" t="s">
        <v>168</v>
      </c>
      <c r="C163" s="13" t="s">
        <v>170</v>
      </c>
      <c r="D163" s="13" t="s">
        <v>244</v>
      </c>
      <c r="E163" s="17">
        <v>-1.1000000000000001E-2</v>
      </c>
      <c r="F163" s="18">
        <v>1.9E-2</v>
      </c>
      <c r="G163" s="18">
        <v>6.7000000000000004E-2</v>
      </c>
      <c r="H163" s="17">
        <v>5.0999999999999997E-2</v>
      </c>
      <c r="I163" s="17">
        <v>3.9E-2</v>
      </c>
      <c r="J163" s="17">
        <v>3.1E-2</v>
      </c>
      <c r="K163" s="17">
        <v>2.7000000000000003E-2</v>
      </c>
      <c r="L163" s="17">
        <v>2.4E-2</v>
      </c>
    </row>
    <row r="164" spans="2:12">
      <c r="B164" s="13" t="s">
        <v>169</v>
      </c>
      <c r="C164" s="13" t="s">
        <v>305</v>
      </c>
      <c r="D164" s="13" t="s">
        <v>244</v>
      </c>
      <c r="E164" s="17">
        <v>-2.5000000000000001E-2</v>
      </c>
      <c r="F164" s="18">
        <v>-1E-3</v>
      </c>
      <c r="G164" s="18">
        <v>5.4000000000000006E-2</v>
      </c>
      <c r="H164" s="17">
        <v>3.2000000000000001E-2</v>
      </c>
      <c r="I164" s="17">
        <v>3.2000000000000001E-2</v>
      </c>
      <c r="J164" s="17">
        <v>3.3000000000000002E-2</v>
      </c>
      <c r="K164" s="17">
        <v>3.3000000000000002E-2</v>
      </c>
      <c r="L164" s="17">
        <v>3.6000000000000004E-2</v>
      </c>
    </row>
    <row r="165" spans="2:12">
      <c r="B165" s="13" t="s">
        <v>170</v>
      </c>
      <c r="C165" s="13" t="s">
        <v>306</v>
      </c>
      <c r="D165" s="23" t="s">
        <v>244</v>
      </c>
      <c r="E165" s="17">
        <v>4.8000000000000001E-2</v>
      </c>
      <c r="F165" s="18">
        <v>4.5999999999999999E-2</v>
      </c>
      <c r="G165" s="18">
        <v>9.4E-2</v>
      </c>
      <c r="H165" s="17">
        <v>3.6000000000000004E-2</v>
      </c>
      <c r="I165" s="17">
        <v>3.7999999999999999E-2</v>
      </c>
      <c r="J165" s="17">
        <v>3.7000000000000005E-2</v>
      </c>
      <c r="K165" s="17">
        <v>3.5000000000000003E-2</v>
      </c>
      <c r="L165" s="17">
        <v>3.3000000000000002E-2</v>
      </c>
    </row>
    <row r="166" spans="2:12">
      <c r="B166" s="13" t="s">
        <v>171</v>
      </c>
      <c r="C166" s="13" t="s">
        <v>307</v>
      </c>
      <c r="D166" s="13" t="s">
        <v>222</v>
      </c>
      <c r="E166" s="17">
        <v>3.2000000000000001E-2</v>
      </c>
      <c r="F166" s="18">
        <v>4.4999999999999998E-2</v>
      </c>
      <c r="G166" s="18">
        <v>5.7000000000000002E-2</v>
      </c>
      <c r="H166" s="17">
        <v>4.5999999999999999E-2</v>
      </c>
      <c r="I166" s="17">
        <v>4.4999999999999998E-2</v>
      </c>
      <c r="J166" s="17">
        <v>4.4999999999999998E-2</v>
      </c>
      <c r="K166" s="17">
        <v>4.4999999999999998E-2</v>
      </c>
      <c r="L166" s="17">
        <v>4.4999999999999998E-2</v>
      </c>
    </row>
    <row r="167" spans="2:12">
      <c r="B167" s="13" t="s">
        <v>172</v>
      </c>
      <c r="C167" s="13" t="s">
        <v>174</v>
      </c>
      <c r="D167" s="13" t="s">
        <v>248</v>
      </c>
      <c r="E167" s="17">
        <v>0.877</v>
      </c>
      <c r="F167" s="18">
        <v>5.2999999999999999E-2</v>
      </c>
      <c r="G167" s="18">
        <v>0.16</v>
      </c>
      <c r="H167" s="17">
        <v>0.15</v>
      </c>
      <c r="I167" s="17">
        <v>0.14099999999999999</v>
      </c>
      <c r="J167" s="17">
        <v>0.11900000000000001</v>
      </c>
      <c r="K167" s="17">
        <v>0.113</v>
      </c>
      <c r="L167" s="17">
        <v>0.105</v>
      </c>
    </row>
    <row r="168" spans="2:12">
      <c r="B168" s="13" t="s">
        <v>173</v>
      </c>
      <c r="C168" s="13" t="s">
        <v>308</v>
      </c>
      <c r="D168" s="23" t="s">
        <v>247</v>
      </c>
      <c r="E168" s="17">
        <v>-5.0000000000000001E-3</v>
      </c>
      <c r="F168" s="18">
        <v>3.1E-2</v>
      </c>
      <c r="G168" s="18">
        <v>5.2999999999999999E-2</v>
      </c>
      <c r="H168" s="17">
        <v>1.3000000000000001E-2</v>
      </c>
      <c r="I168" s="17">
        <v>1.3999999999999999E-2</v>
      </c>
      <c r="J168" s="17">
        <v>1.6E-2</v>
      </c>
      <c r="K168" s="17">
        <v>1.7000000000000001E-2</v>
      </c>
      <c r="L168" s="17">
        <v>1.7000000000000001E-2</v>
      </c>
    </row>
    <row r="169" spans="2:12">
      <c r="B169" s="13" t="s">
        <v>174</v>
      </c>
      <c r="C169" s="13" t="s">
        <v>309</v>
      </c>
      <c r="D169" s="23" t="s">
        <v>247</v>
      </c>
      <c r="E169" s="17">
        <v>4.2000000000000003E-2</v>
      </c>
      <c r="F169" s="18">
        <v>0.06</v>
      </c>
      <c r="G169" s="18">
        <v>0.17600000000000002</v>
      </c>
      <c r="H169" s="17">
        <v>0.129</v>
      </c>
      <c r="I169" s="17">
        <v>8.8000000000000009E-2</v>
      </c>
      <c r="J169" s="17">
        <v>7.4999999999999997E-2</v>
      </c>
      <c r="K169" s="17">
        <v>6.2E-2</v>
      </c>
      <c r="L169" s="17">
        <v>0.05</v>
      </c>
    </row>
    <row r="170" spans="2:12">
      <c r="B170" s="13" t="s">
        <v>175</v>
      </c>
      <c r="C170" s="13" t="s">
        <v>310</v>
      </c>
      <c r="D170" s="23" t="s">
        <v>247</v>
      </c>
      <c r="E170" s="17">
        <v>2.6930000000000001</v>
      </c>
      <c r="F170" s="18">
        <v>3.5910000000000002</v>
      </c>
      <c r="G170" s="18">
        <v>2.4510000000000001</v>
      </c>
      <c r="H170" s="17">
        <v>1.1140000000000001</v>
      </c>
      <c r="I170" s="17">
        <v>0.433</v>
      </c>
      <c r="J170" s="17">
        <v>0.22600000000000001</v>
      </c>
      <c r="K170" s="17">
        <v>0.10099999999999999</v>
      </c>
      <c r="L170" s="17">
        <v>8.1000000000000003E-2</v>
      </c>
    </row>
    <row r="171" spans="2:12">
      <c r="B171" s="13" t="s">
        <v>176</v>
      </c>
      <c r="C171" s="13" t="s">
        <v>175</v>
      </c>
      <c r="D171" s="23" t="s">
        <v>244</v>
      </c>
      <c r="E171" s="17">
        <v>0.60699999999999998</v>
      </c>
      <c r="F171" s="18">
        <v>0.59099999999999997</v>
      </c>
      <c r="G171" s="18">
        <v>0.38900000000000001</v>
      </c>
      <c r="H171" s="17">
        <v>0.22600000000000001</v>
      </c>
      <c r="I171" s="17">
        <v>0.13900000000000001</v>
      </c>
      <c r="J171" s="17">
        <v>0.107</v>
      </c>
      <c r="K171" s="17">
        <v>7.8E-2</v>
      </c>
      <c r="L171" s="17">
        <v>4.9000000000000002E-2</v>
      </c>
    </row>
    <row r="172" spans="2:12">
      <c r="B172" s="13" t="s">
        <v>177</v>
      </c>
      <c r="C172" s="13" t="s">
        <v>176</v>
      </c>
      <c r="D172" s="23" t="s">
        <v>247</v>
      </c>
      <c r="E172" s="17">
        <v>4.0000000000000001E-3</v>
      </c>
      <c r="F172" s="18">
        <v>2.7000000000000003E-2</v>
      </c>
      <c r="G172" s="18">
        <v>4.8000000000000001E-2</v>
      </c>
      <c r="H172" s="17">
        <v>2.2000000000000002E-2</v>
      </c>
      <c r="I172" s="17">
        <v>1.7000000000000001E-2</v>
      </c>
      <c r="J172" s="17">
        <v>1.9E-2</v>
      </c>
      <c r="K172" s="17">
        <v>0.02</v>
      </c>
      <c r="L172" s="17">
        <v>0.02</v>
      </c>
    </row>
    <row r="173" spans="2:12">
      <c r="B173" s="19" t="s">
        <v>178</v>
      </c>
      <c r="C173" s="19" t="s">
        <v>311</v>
      </c>
      <c r="D173" s="19" t="s">
        <v>222</v>
      </c>
      <c r="E173" s="22">
        <v>-8.0000000000000002E-3</v>
      </c>
      <c r="F173" s="21">
        <v>6.0000000000000001E-3</v>
      </c>
      <c r="G173" s="21">
        <v>2.5000000000000001E-2</v>
      </c>
      <c r="H173" s="22">
        <v>1.6E-2</v>
      </c>
      <c r="I173" s="22">
        <v>1.2E-2</v>
      </c>
      <c r="J173" s="22">
        <v>0.01</v>
      </c>
      <c r="K173" s="22">
        <v>0.01</v>
      </c>
      <c r="L173" s="22">
        <v>0.01</v>
      </c>
    </row>
    <row r="174" spans="2:12">
      <c r="B174" s="13" t="s">
        <v>179</v>
      </c>
      <c r="C174" s="13" t="s">
        <v>312</v>
      </c>
      <c r="D174" s="13" t="s">
        <v>222</v>
      </c>
      <c r="E174" s="17"/>
      <c r="F174" s="17" t="s">
        <v>245</v>
      </c>
      <c r="G174" s="17" t="s">
        <v>245</v>
      </c>
      <c r="H174" s="17" t="s">
        <v>245</v>
      </c>
      <c r="I174" s="17" t="s">
        <v>245</v>
      </c>
      <c r="J174" s="17" t="s">
        <v>245</v>
      </c>
      <c r="K174" s="17" t="s">
        <v>245</v>
      </c>
      <c r="L174" s="17" t="s">
        <v>245</v>
      </c>
    </row>
    <row r="175" spans="2:12">
      <c r="B175" s="13" t="s">
        <v>180</v>
      </c>
      <c r="C175" s="13" t="s">
        <v>313</v>
      </c>
      <c r="D175" s="23" t="s">
        <v>244</v>
      </c>
      <c r="E175" s="17">
        <v>9.4E-2</v>
      </c>
      <c r="F175" s="18">
        <v>8.1000000000000003E-2</v>
      </c>
      <c r="G175" s="18">
        <v>0.14499999999999999</v>
      </c>
      <c r="H175" s="17">
        <v>9.1999999999999998E-2</v>
      </c>
      <c r="I175" s="17">
        <v>5.2000000000000005E-2</v>
      </c>
      <c r="J175" s="17">
        <v>0.05</v>
      </c>
      <c r="K175" s="17">
        <v>4.4000000000000004E-2</v>
      </c>
      <c r="L175" s="17">
        <v>0.05</v>
      </c>
    </row>
    <row r="176" spans="2:12">
      <c r="B176" s="13" t="s">
        <v>181</v>
      </c>
      <c r="C176" s="13" t="s">
        <v>314</v>
      </c>
      <c r="D176" s="13" t="s">
        <v>248</v>
      </c>
      <c r="E176" s="17">
        <v>0</v>
      </c>
      <c r="F176" s="18">
        <v>1.8000000000000002E-2</v>
      </c>
      <c r="G176" s="18">
        <v>2.3E-2</v>
      </c>
      <c r="H176" s="17">
        <v>2.2000000000000002E-2</v>
      </c>
      <c r="I176" s="17">
        <v>1.3999999999999999E-2</v>
      </c>
      <c r="J176" s="17">
        <v>1.3999999999999999E-2</v>
      </c>
      <c r="K176" s="17">
        <v>1.3999999999999999E-2</v>
      </c>
      <c r="L176" s="17">
        <v>1.3999999999999999E-2</v>
      </c>
    </row>
    <row r="177" spans="2:12">
      <c r="B177" s="13" t="s">
        <v>182</v>
      </c>
      <c r="C177" s="13" t="s">
        <v>182</v>
      </c>
      <c r="D177" s="23" t="s">
        <v>244</v>
      </c>
      <c r="E177" s="17">
        <v>9.4E-2</v>
      </c>
      <c r="F177" s="18">
        <v>8.6999999999999994E-2</v>
      </c>
      <c r="G177" s="18">
        <v>0.1</v>
      </c>
      <c r="H177" s="17">
        <v>0.105</v>
      </c>
      <c r="I177" s="17">
        <v>7.6999999999999999E-2</v>
      </c>
      <c r="J177" s="17">
        <v>6.5000000000000002E-2</v>
      </c>
      <c r="K177" s="17">
        <v>6.5000000000000002E-2</v>
      </c>
      <c r="L177" s="17">
        <v>6.5000000000000002E-2</v>
      </c>
    </row>
    <row r="178" spans="2:12">
      <c r="B178" s="13" t="s">
        <v>183</v>
      </c>
      <c r="C178" s="13" t="s">
        <v>183</v>
      </c>
      <c r="D178" s="23" t="s">
        <v>244</v>
      </c>
      <c r="E178" s="17">
        <v>3.2000000000000001E-2</v>
      </c>
      <c r="F178" s="18">
        <v>3.7000000000000005E-2</v>
      </c>
      <c r="G178" s="18">
        <v>4.4000000000000004E-2</v>
      </c>
      <c r="H178" s="17">
        <v>5.4000000000000006E-2</v>
      </c>
      <c r="I178" s="17">
        <v>4.4999999999999998E-2</v>
      </c>
      <c r="J178" s="17">
        <v>4.2999999999999997E-2</v>
      </c>
      <c r="K178" s="17">
        <v>4.4999999999999998E-2</v>
      </c>
      <c r="L178" s="17">
        <v>4.2999999999999997E-2</v>
      </c>
    </row>
    <row r="179" spans="2:12">
      <c r="B179" s="13" t="s">
        <v>184</v>
      </c>
      <c r="C179" s="13" t="s">
        <v>315</v>
      </c>
      <c r="D179" s="13" t="s">
        <v>248</v>
      </c>
      <c r="E179" s="17">
        <v>-3.0000000000000001E-3</v>
      </c>
      <c r="F179" s="18">
        <v>1.2E-2</v>
      </c>
      <c r="G179" s="18">
        <v>3.5000000000000003E-2</v>
      </c>
      <c r="H179" s="17">
        <v>2.7999999999999997E-2</v>
      </c>
      <c r="I179" s="17">
        <v>2.5000000000000001E-2</v>
      </c>
      <c r="J179" s="17">
        <v>2.2000000000000002E-2</v>
      </c>
      <c r="K179" s="17">
        <v>0.02</v>
      </c>
      <c r="L179" s="17">
        <v>0.02</v>
      </c>
    </row>
    <row r="180" spans="2:12">
      <c r="B180" s="13" t="s">
        <v>185</v>
      </c>
      <c r="C180" s="13" t="s">
        <v>185</v>
      </c>
      <c r="D180" s="13" t="s">
        <v>248</v>
      </c>
      <c r="E180" s="17">
        <v>1.2E-2</v>
      </c>
      <c r="F180" s="18">
        <v>3.7999999999999999E-2</v>
      </c>
      <c r="G180" s="18">
        <v>0.06</v>
      </c>
      <c r="H180" s="17">
        <v>0.04</v>
      </c>
      <c r="I180" s="17">
        <v>2.5000000000000001E-2</v>
      </c>
      <c r="J180" s="17">
        <v>0.02</v>
      </c>
      <c r="K180" s="17">
        <v>0.02</v>
      </c>
      <c r="L180" s="17">
        <v>0.02</v>
      </c>
    </row>
    <row r="181" spans="2:12">
      <c r="B181" s="13" t="s">
        <v>186</v>
      </c>
      <c r="C181" s="13" t="s">
        <v>186</v>
      </c>
      <c r="D181" s="23" t="s">
        <v>244</v>
      </c>
      <c r="E181" s="17">
        <v>3.5000000000000003E-2</v>
      </c>
      <c r="F181" s="18">
        <v>4.2999999999999997E-2</v>
      </c>
      <c r="G181" s="18">
        <v>4.5999999999999999E-2</v>
      </c>
      <c r="H181" s="17">
        <v>0.02</v>
      </c>
      <c r="I181" s="17">
        <v>0.02</v>
      </c>
      <c r="J181" s="17">
        <v>0.02</v>
      </c>
      <c r="K181" s="17">
        <v>0.02</v>
      </c>
      <c r="L181" s="17">
        <v>1.7000000000000001E-2</v>
      </c>
    </row>
    <row r="182" spans="2:12">
      <c r="B182" s="13" t="s">
        <v>187</v>
      </c>
      <c r="C182" s="13" t="s">
        <v>187</v>
      </c>
      <c r="D182" s="13" t="s">
        <v>248</v>
      </c>
      <c r="E182" s="17">
        <v>-1.3999999999999999E-2</v>
      </c>
      <c r="F182" s="18">
        <v>1.3999999999999999E-2</v>
      </c>
      <c r="G182" s="18">
        <v>6.0999999999999999E-2</v>
      </c>
      <c r="H182" s="17">
        <v>4.2999999999999997E-2</v>
      </c>
      <c r="I182" s="17">
        <v>2.7999999999999997E-2</v>
      </c>
      <c r="J182" s="17">
        <v>2.3E-2</v>
      </c>
      <c r="K182" s="17">
        <v>2.7999999999999997E-2</v>
      </c>
      <c r="L182" s="17">
        <v>2.7000000000000003E-2</v>
      </c>
    </row>
    <row r="183" spans="2:12">
      <c r="B183" s="13" t="s">
        <v>188</v>
      </c>
      <c r="C183" s="13" t="s">
        <v>188</v>
      </c>
      <c r="D183" s="23" t="s">
        <v>247</v>
      </c>
      <c r="E183" s="17">
        <v>8.0000000000000002E-3</v>
      </c>
      <c r="F183" s="18">
        <v>1.1000000000000001E-2</v>
      </c>
      <c r="G183" s="18">
        <v>4.5999999999999999E-2</v>
      </c>
      <c r="H183" s="17">
        <v>3.7999999999999999E-2</v>
      </c>
      <c r="I183" s="17">
        <v>2.4E-2</v>
      </c>
      <c r="J183" s="17">
        <v>0.02</v>
      </c>
      <c r="K183" s="17">
        <v>1.9E-2</v>
      </c>
      <c r="L183" s="17">
        <v>1.9E-2</v>
      </c>
    </row>
    <row r="184" spans="2:12">
      <c r="B184" s="13" t="s">
        <v>189</v>
      </c>
      <c r="C184" s="13" t="s">
        <v>189</v>
      </c>
      <c r="D184" s="23" t="s">
        <v>244</v>
      </c>
      <c r="E184" s="17">
        <v>4.9000000000000002E-2</v>
      </c>
      <c r="F184" s="18">
        <v>5.7000000000000002E-2</v>
      </c>
      <c r="G184" s="18">
        <v>7.6999999999999999E-2</v>
      </c>
      <c r="H184" s="17" t="s">
        <v>245</v>
      </c>
      <c r="I184" s="17" t="s">
        <v>245</v>
      </c>
      <c r="J184" s="17" t="s">
        <v>245</v>
      </c>
      <c r="K184" s="17" t="s">
        <v>245</v>
      </c>
      <c r="L184" s="17" t="s">
        <v>245</v>
      </c>
    </row>
    <row r="185" spans="2:12">
      <c r="B185" s="19" t="s">
        <v>316</v>
      </c>
      <c r="C185" s="19" t="s">
        <v>317</v>
      </c>
      <c r="D185" s="19" t="s">
        <v>244</v>
      </c>
      <c r="E185" s="22">
        <v>0.14599999999999999</v>
      </c>
      <c r="F185" s="21">
        <v>0.19600000000000001</v>
      </c>
      <c r="G185" s="21">
        <v>0.60499999999999998</v>
      </c>
      <c r="H185" s="22">
        <v>0.37200000000000005</v>
      </c>
      <c r="I185" s="22">
        <v>0.20399999999999999</v>
      </c>
      <c r="J185" s="22">
        <v>0.16</v>
      </c>
      <c r="K185" s="22">
        <v>0.151</v>
      </c>
      <c r="L185" s="22">
        <v>0.15</v>
      </c>
    </row>
    <row r="186" spans="2:12">
      <c r="B186" s="13" t="s">
        <v>190</v>
      </c>
      <c r="C186" s="13" t="s">
        <v>190</v>
      </c>
      <c r="D186" s="13" t="s">
        <v>244</v>
      </c>
      <c r="E186" s="17">
        <v>8.900000000000001E-2</v>
      </c>
      <c r="F186" s="18">
        <v>0.15</v>
      </c>
      <c r="G186" s="18">
        <v>0.17499999999999999</v>
      </c>
      <c r="H186" s="17">
        <v>0.105</v>
      </c>
      <c r="I186" s="17">
        <v>7.4999999999999997E-2</v>
      </c>
      <c r="J186" s="17">
        <v>0.08</v>
      </c>
      <c r="K186" s="17">
        <v>0.08</v>
      </c>
      <c r="L186" s="17">
        <v>0.08</v>
      </c>
    </row>
    <row r="187" spans="2:12">
      <c r="B187" s="13" t="s">
        <v>191</v>
      </c>
      <c r="C187" s="13" t="s">
        <v>191</v>
      </c>
      <c r="D187" s="13" t="s">
        <v>248</v>
      </c>
      <c r="E187" s="17">
        <v>1E-3</v>
      </c>
      <c r="F187" s="18">
        <v>0.03</v>
      </c>
      <c r="G187" s="18">
        <v>4.4000000000000004E-2</v>
      </c>
      <c r="H187" s="17">
        <v>3.1E-2</v>
      </c>
      <c r="I187" s="17">
        <v>3.2000000000000001E-2</v>
      </c>
      <c r="J187" s="17">
        <v>3.2000000000000001E-2</v>
      </c>
      <c r="K187" s="17">
        <v>3.1E-2</v>
      </c>
      <c r="L187" s="17">
        <v>2.8999999999999998E-2</v>
      </c>
    </row>
    <row r="188" spans="2:12">
      <c r="B188" s="13" t="s">
        <v>192</v>
      </c>
      <c r="C188" s="13" t="s">
        <v>192</v>
      </c>
      <c r="D188" s="13" t="s">
        <v>244</v>
      </c>
      <c r="E188" s="17">
        <v>2.5000000000000001E-2</v>
      </c>
      <c r="F188" s="18">
        <v>2.2000000000000002E-2</v>
      </c>
      <c r="G188" s="18">
        <v>6.0999999999999999E-2</v>
      </c>
      <c r="H188" s="17">
        <v>4.0999999999999995E-2</v>
      </c>
      <c r="I188" s="17">
        <v>5.5999999999999994E-2</v>
      </c>
      <c r="J188" s="17">
        <v>4.5999999999999999E-2</v>
      </c>
      <c r="K188" s="17">
        <v>4.8000000000000001E-2</v>
      </c>
      <c r="L188" s="17">
        <v>0.05</v>
      </c>
    </row>
    <row r="189" spans="2:12">
      <c r="B189" s="13" t="s">
        <v>193</v>
      </c>
      <c r="C189" s="13" t="s">
        <v>318</v>
      </c>
      <c r="D189" s="13" t="s">
        <v>246</v>
      </c>
      <c r="E189" s="17">
        <v>0.05</v>
      </c>
      <c r="F189" s="18">
        <v>9.4E-2</v>
      </c>
      <c r="G189" s="17" t="s">
        <v>245</v>
      </c>
      <c r="H189" s="17" t="s">
        <v>245</v>
      </c>
      <c r="I189" s="17" t="s">
        <v>245</v>
      </c>
      <c r="J189" s="17" t="s">
        <v>245</v>
      </c>
      <c r="K189" s="17" t="s">
        <v>245</v>
      </c>
      <c r="L189" s="17" t="s">
        <v>245</v>
      </c>
    </row>
    <row r="190" spans="2:12">
      <c r="B190" s="13" t="s">
        <v>194</v>
      </c>
      <c r="C190" s="13" t="s">
        <v>319</v>
      </c>
      <c r="D190" s="13" t="s">
        <v>244</v>
      </c>
      <c r="E190" s="17">
        <v>-2.1000000000000001E-2</v>
      </c>
      <c r="F190" s="18">
        <v>2E-3</v>
      </c>
      <c r="G190" s="18">
        <v>3.7000000000000005E-2</v>
      </c>
      <c r="H190" s="17">
        <v>2.7999999999999997E-2</v>
      </c>
      <c r="I190" s="17">
        <v>0.02</v>
      </c>
      <c r="J190" s="17">
        <v>0.02</v>
      </c>
      <c r="K190" s="17">
        <v>0.02</v>
      </c>
      <c r="L190" s="17">
        <v>0.02</v>
      </c>
    </row>
    <row r="191" spans="2:12">
      <c r="B191" s="19" t="s">
        <v>195</v>
      </c>
      <c r="C191" s="19" t="s">
        <v>320</v>
      </c>
      <c r="D191" s="25" t="s">
        <v>222</v>
      </c>
      <c r="E191" s="22">
        <v>5.0000000000000001E-3</v>
      </c>
      <c r="F191" s="21">
        <v>2.6000000000000002E-2</v>
      </c>
      <c r="G191" s="21">
        <v>7.400000000000001E-2</v>
      </c>
      <c r="H191" s="22">
        <v>5.2999999999999999E-2</v>
      </c>
      <c r="I191" s="22">
        <v>2.6000000000000002E-2</v>
      </c>
      <c r="J191" s="22">
        <v>1.9E-2</v>
      </c>
      <c r="K191" s="22">
        <v>0.02</v>
      </c>
      <c r="L191" s="22">
        <v>0.02</v>
      </c>
    </row>
    <row r="192" spans="2:12">
      <c r="B192" s="19" t="s">
        <v>196</v>
      </c>
      <c r="C192" s="19" t="s">
        <v>321</v>
      </c>
      <c r="D192" s="19" t="s">
        <v>217</v>
      </c>
      <c r="E192" s="22">
        <v>1.6E-2</v>
      </c>
      <c r="F192" s="21">
        <v>4.7E-2</v>
      </c>
      <c r="G192" s="21">
        <v>7.6999999999999999E-2</v>
      </c>
      <c r="H192" s="22">
        <v>2.8999999999999998E-2</v>
      </c>
      <c r="I192" s="22">
        <v>2.3E-2</v>
      </c>
      <c r="J192" s="22">
        <v>0.02</v>
      </c>
      <c r="K192" s="22">
        <v>0.02</v>
      </c>
      <c r="L192" s="22">
        <v>0.02</v>
      </c>
    </row>
    <row r="193" spans="2:12">
      <c r="B193" s="13" t="s">
        <v>197</v>
      </c>
      <c r="C193" s="13" t="s">
        <v>197</v>
      </c>
      <c r="D193" s="13" t="s">
        <v>244</v>
      </c>
      <c r="E193" s="17">
        <v>9.4E-2</v>
      </c>
      <c r="F193" s="18">
        <v>7.6999999999999999E-2</v>
      </c>
      <c r="G193" s="18">
        <v>7.0000000000000007E-2</v>
      </c>
      <c r="H193" s="17">
        <v>5.5999999999999994E-2</v>
      </c>
      <c r="I193" s="17">
        <v>0.05</v>
      </c>
      <c r="J193" s="17">
        <v>4.4999999999999998E-2</v>
      </c>
      <c r="K193" s="17">
        <v>4.4999999999999998E-2</v>
      </c>
      <c r="L193" s="17">
        <v>4.4999999999999998E-2</v>
      </c>
    </row>
    <row r="194" spans="2:12">
      <c r="B194" s="13" t="s">
        <v>198</v>
      </c>
      <c r="C194" s="13" t="s">
        <v>198</v>
      </c>
      <c r="D194" s="13" t="s">
        <v>244</v>
      </c>
      <c r="E194" s="17">
        <v>0.111</v>
      </c>
      <c r="F194" s="18">
        <v>0.10800000000000001</v>
      </c>
      <c r="G194" s="18">
        <v>0.11800000000000001</v>
      </c>
      <c r="H194" s="17">
        <v>0.113</v>
      </c>
      <c r="I194" s="17">
        <v>8.6999999999999994E-2</v>
      </c>
      <c r="J194" s="17">
        <v>5.5E-2</v>
      </c>
      <c r="K194" s="17">
        <v>5.0999999999999997E-2</v>
      </c>
      <c r="L194" s="17">
        <v>5.0999999999999997E-2</v>
      </c>
    </row>
    <row r="195" spans="2:12">
      <c r="B195" s="13" t="s">
        <v>199</v>
      </c>
      <c r="C195" s="13" t="s">
        <v>199</v>
      </c>
      <c r="D195" s="13" t="s">
        <v>248</v>
      </c>
      <c r="E195" s="17">
        <v>7.0000000000000007E-2</v>
      </c>
      <c r="F195" s="18">
        <v>0.03</v>
      </c>
      <c r="G195" s="18">
        <v>4.8000000000000001E-2</v>
      </c>
      <c r="H195" s="17">
        <v>3.9E-2</v>
      </c>
      <c r="I195" s="17">
        <v>0.03</v>
      </c>
      <c r="J195" s="17">
        <v>2.8999999999999998E-2</v>
      </c>
      <c r="K195" s="17">
        <v>2.8999999999999998E-2</v>
      </c>
      <c r="L195" s="17">
        <v>2.8999999999999998E-2</v>
      </c>
    </row>
    <row r="196" spans="2:12">
      <c r="B196" s="13" t="s">
        <v>200</v>
      </c>
      <c r="C196" s="13" t="s">
        <v>200</v>
      </c>
      <c r="D196" s="23" t="s">
        <v>247</v>
      </c>
      <c r="E196" s="17">
        <v>23.550999999999998</v>
      </c>
      <c r="F196" s="17">
        <v>15.885</v>
      </c>
      <c r="G196" s="17">
        <v>5</v>
      </c>
      <c r="H196" s="17">
        <v>5</v>
      </c>
      <c r="I196" s="17"/>
      <c r="J196" s="17" t="s">
        <v>245</v>
      </c>
      <c r="K196" s="17" t="s">
        <v>245</v>
      </c>
      <c r="L196" s="17" t="s">
        <v>245</v>
      </c>
    </row>
    <row r="197" spans="2:12">
      <c r="B197" s="13" t="s">
        <v>201</v>
      </c>
      <c r="C197" s="13" t="s">
        <v>201</v>
      </c>
      <c r="D197" s="13" t="s">
        <v>248</v>
      </c>
      <c r="E197" s="17">
        <v>2E-3</v>
      </c>
      <c r="F197" s="18">
        <v>1.9E-2</v>
      </c>
      <c r="G197" s="18">
        <v>3.7999999999999999E-2</v>
      </c>
      <c r="H197" s="17">
        <v>3.2000000000000001E-2</v>
      </c>
      <c r="I197" s="17">
        <v>3.5000000000000003E-2</v>
      </c>
      <c r="J197" s="17">
        <v>3.5000000000000003E-2</v>
      </c>
      <c r="K197" s="17">
        <v>3.5000000000000003E-2</v>
      </c>
      <c r="L197" s="17">
        <v>3.5000000000000003E-2</v>
      </c>
    </row>
    <row r="198" spans="2:12">
      <c r="B198" s="13" t="s">
        <v>202</v>
      </c>
      <c r="C198" s="13" t="s">
        <v>202</v>
      </c>
      <c r="D198" s="13" t="s">
        <v>244</v>
      </c>
      <c r="E198" s="17">
        <v>1E-3</v>
      </c>
      <c r="F198" s="18">
        <v>1.2E-2</v>
      </c>
      <c r="G198" s="18">
        <v>2.7999999999999997E-2</v>
      </c>
      <c r="H198" s="17">
        <v>2.4E-2</v>
      </c>
      <c r="I198" s="17">
        <v>2.3E-2</v>
      </c>
      <c r="J198" s="17">
        <v>2.2000000000000002E-2</v>
      </c>
      <c r="K198" s="17">
        <v>2.2000000000000002E-2</v>
      </c>
      <c r="L198" s="17">
        <v>0.02</v>
      </c>
    </row>
    <row r="199" spans="2:12">
      <c r="B199" s="13" t="s">
        <v>203</v>
      </c>
      <c r="C199" s="13" t="s">
        <v>203</v>
      </c>
      <c r="D199" s="13" t="s">
        <v>244</v>
      </c>
      <c r="E199" s="17">
        <v>0.35</v>
      </c>
      <c r="F199" s="18">
        <v>0.63800000000000001</v>
      </c>
      <c r="G199" s="18">
        <v>0.59699999999999998</v>
      </c>
      <c r="H199" s="17">
        <v>0.34</v>
      </c>
      <c r="I199" s="17">
        <v>0.21</v>
      </c>
      <c r="J199" s="17">
        <v>0.151</v>
      </c>
      <c r="K199" s="17">
        <v>0.127</v>
      </c>
      <c r="L199" s="17">
        <v>0.10800000000000001</v>
      </c>
    </row>
    <row r="200" spans="2:12">
      <c r="B200" s="13" t="s">
        <v>204</v>
      </c>
      <c r="C200" s="13" t="s">
        <v>204</v>
      </c>
      <c r="D200" s="13" t="s">
        <v>244</v>
      </c>
      <c r="E200" s="17">
        <v>0.192</v>
      </c>
      <c r="F200" s="18">
        <v>0.20499999999999999</v>
      </c>
      <c r="G200" s="18">
        <v>0.157</v>
      </c>
      <c r="H200" s="17">
        <v>9.1999999999999998E-2</v>
      </c>
      <c r="I200" s="17">
        <v>8.199999999999999E-2</v>
      </c>
      <c r="J200" s="17">
        <v>7.2999999999999995E-2</v>
      </c>
      <c r="K200" s="17">
        <v>7.0000000000000007E-2</v>
      </c>
      <c r="L200" s="17">
        <v>7.0000000000000007E-2</v>
      </c>
    </row>
    <row r="201" spans="2:12">
      <c r="B201" s="26" t="s">
        <v>205</v>
      </c>
      <c r="C201" s="26" t="s">
        <v>205</v>
      </c>
      <c r="D201" s="26" t="s">
        <v>244</v>
      </c>
      <c r="E201" s="17">
        <v>3.4860000000000002</v>
      </c>
      <c r="F201" s="18">
        <v>0.98499999999999999</v>
      </c>
      <c r="G201" s="18">
        <v>0.86699999999999999</v>
      </c>
      <c r="H201" s="17">
        <v>0.46500000000000002</v>
      </c>
      <c r="I201" s="17">
        <v>0.35600000000000004</v>
      </c>
      <c r="J201" s="17">
        <v>0.23300000000000001</v>
      </c>
      <c r="K201" s="17">
        <v>0.13900000000000001</v>
      </c>
      <c r="L201" s="17">
        <v>7.0000000000000007E-2</v>
      </c>
    </row>
    <row r="202" spans="2:12">
      <c r="B202" s="13" t="s">
        <v>206</v>
      </c>
      <c r="E202" s="17">
        <v>0.121</v>
      </c>
      <c r="F202" s="18">
        <v>0.13</v>
      </c>
      <c r="G202" s="18">
        <v>0.13699999999999998</v>
      </c>
      <c r="H202" s="17">
        <v>0.111</v>
      </c>
      <c r="I202" s="17">
        <v>8.3000000000000004E-2</v>
      </c>
      <c r="J202" s="17">
        <v>7.2999999999999995E-2</v>
      </c>
      <c r="K202" s="17">
        <v>7.0000000000000007E-2</v>
      </c>
      <c r="L202" s="17">
        <v>6.8000000000000005E-2</v>
      </c>
    </row>
    <row r="203" spans="2:12">
      <c r="B203" s="13" t="s">
        <v>207</v>
      </c>
      <c r="E203" s="17">
        <v>1.7000000000000001E-2</v>
      </c>
      <c r="F203" s="18">
        <v>0.03</v>
      </c>
      <c r="G203" s="18">
        <v>5.5999999999999994E-2</v>
      </c>
      <c r="H203" s="17">
        <v>4.2999999999999997E-2</v>
      </c>
      <c r="I203" s="17">
        <v>3.4000000000000002E-2</v>
      </c>
      <c r="J203" s="17">
        <v>3.2000000000000001E-2</v>
      </c>
      <c r="K203" s="17">
        <v>3.1E-2</v>
      </c>
      <c r="L203" s="17">
        <v>3.1E-2</v>
      </c>
    </row>
    <row r="204" spans="2:12">
      <c r="B204" s="13" t="s">
        <v>208</v>
      </c>
      <c r="E204" s="17">
        <v>9.0000000000000011E-3</v>
      </c>
      <c r="F204" s="18">
        <v>0.03</v>
      </c>
      <c r="G204" s="18">
        <v>4.2000000000000003E-2</v>
      </c>
      <c r="H204" s="17">
        <v>2.7999999999999997E-2</v>
      </c>
      <c r="I204" s="17">
        <v>2.5000000000000001E-2</v>
      </c>
      <c r="J204" s="17">
        <v>2.5000000000000001E-2</v>
      </c>
      <c r="K204" s="17">
        <v>2.5000000000000001E-2</v>
      </c>
      <c r="L204" s="17">
        <v>2.5000000000000001E-2</v>
      </c>
    </row>
    <row r="205" spans="2:12">
      <c r="B205" s="13" t="s">
        <v>209</v>
      </c>
      <c r="E205" s="17">
        <v>9.8000000000000004E-2</v>
      </c>
      <c r="F205" s="18">
        <v>8.5999999999999993E-2</v>
      </c>
      <c r="G205" s="18">
        <v>0.113</v>
      </c>
      <c r="H205" s="17">
        <v>7.400000000000001E-2</v>
      </c>
      <c r="I205" s="17">
        <v>5.2000000000000005E-2</v>
      </c>
      <c r="J205" s="17">
        <v>4.7E-2</v>
      </c>
      <c r="K205" s="17">
        <v>4.4000000000000004E-2</v>
      </c>
      <c r="L205" s="17">
        <v>4.2000000000000003E-2</v>
      </c>
    </row>
    <row r="206" spans="2:12">
      <c r="B206" s="13" t="s">
        <v>210</v>
      </c>
      <c r="E206" s="17">
        <v>2.7999999999999997E-2</v>
      </c>
      <c r="F206" s="18">
        <v>4.4999999999999998E-2</v>
      </c>
      <c r="G206" s="18">
        <v>5.7999999999999996E-2</v>
      </c>
      <c r="H206" s="17">
        <v>4.2999999999999997E-2</v>
      </c>
      <c r="I206" s="17">
        <v>3.6000000000000004E-2</v>
      </c>
      <c r="J206" s="17">
        <v>3.4000000000000002E-2</v>
      </c>
      <c r="K206" s="17">
        <v>3.3000000000000002E-2</v>
      </c>
      <c r="L206" s="17">
        <v>3.3000000000000002E-2</v>
      </c>
    </row>
    <row r="207" spans="2:12">
      <c r="B207" s="13" t="s">
        <v>211</v>
      </c>
      <c r="E207" s="17">
        <v>0.122</v>
      </c>
      <c r="F207" s="18">
        <v>0.16300000000000001</v>
      </c>
      <c r="G207" s="18">
        <v>0.433</v>
      </c>
      <c r="H207" s="17">
        <v>0.27699999999999997</v>
      </c>
      <c r="I207" s="17">
        <v>0.158</v>
      </c>
      <c r="J207" s="17">
        <v>0.124</v>
      </c>
      <c r="K207" s="17">
        <v>0.11699999999999999</v>
      </c>
      <c r="L207" s="17">
        <v>0.11699999999999999</v>
      </c>
    </row>
    <row r="208" spans="2:12">
      <c r="B208" s="13" t="s">
        <v>212</v>
      </c>
      <c r="E208" s="17">
        <v>-4.0000000000000001E-3</v>
      </c>
      <c r="F208" s="18">
        <v>8.0000000000000002E-3</v>
      </c>
      <c r="G208" s="18">
        <v>2.1000000000000001E-2</v>
      </c>
      <c r="H208" s="17">
        <v>1.8000000000000002E-2</v>
      </c>
      <c r="I208" s="17">
        <v>1.8000000000000002E-2</v>
      </c>
      <c r="J208" s="17">
        <v>1.9E-2</v>
      </c>
      <c r="K208" s="17">
        <v>1.9E-2</v>
      </c>
      <c r="L208" s="17">
        <v>1.9E-2</v>
      </c>
    </row>
    <row r="209" spans="2:12">
      <c r="B209" s="13" t="s">
        <v>213</v>
      </c>
      <c r="E209" s="17">
        <v>3.6000000000000004E-2</v>
      </c>
      <c r="F209" s="18">
        <v>5.9000000000000004E-2</v>
      </c>
      <c r="G209" s="18">
        <v>0.14899999999999999</v>
      </c>
      <c r="H209" s="17">
        <v>0.10099999999999999</v>
      </c>
      <c r="I209" s="17">
        <v>0.06</v>
      </c>
      <c r="J209" s="17">
        <v>4.2999999999999997E-2</v>
      </c>
      <c r="K209" s="17">
        <v>3.3000000000000002E-2</v>
      </c>
      <c r="L209" s="17">
        <v>3.2000000000000001E-2</v>
      </c>
    </row>
    <row r="210" spans="2:12">
      <c r="B210" s="13" t="s">
        <v>214</v>
      </c>
      <c r="E210" s="27">
        <v>9.0000000000000011E-3</v>
      </c>
      <c r="F210" s="28">
        <v>3.5000000000000003E-2</v>
      </c>
      <c r="G210" s="28">
        <v>7.9000000000000001E-2</v>
      </c>
      <c r="H210" s="27">
        <v>4.5999999999999999E-2</v>
      </c>
      <c r="I210" s="27">
        <v>0.03</v>
      </c>
      <c r="J210" s="27">
        <v>2.5000000000000001E-2</v>
      </c>
      <c r="K210" s="27">
        <v>2.2000000000000002E-2</v>
      </c>
      <c r="L210" s="27">
        <v>2.2000000000000002E-2</v>
      </c>
    </row>
    <row r="211" spans="2:12">
      <c r="B211" s="13" t="s">
        <v>215</v>
      </c>
      <c r="E211" s="27">
        <v>0.126</v>
      </c>
      <c r="F211" s="28">
        <v>0.128</v>
      </c>
      <c r="G211" s="28">
        <v>0.113</v>
      </c>
      <c r="H211" s="27">
        <v>8.8000000000000009E-2</v>
      </c>
      <c r="I211" s="27">
        <v>7.4999999999999997E-2</v>
      </c>
      <c r="J211" s="27">
        <v>7.2999999999999995E-2</v>
      </c>
      <c r="K211" s="27">
        <v>7.2000000000000008E-2</v>
      </c>
      <c r="L211" s="27">
        <v>7.0999999999999994E-2</v>
      </c>
    </row>
    <row r="212" spans="2:12">
      <c r="B212" s="13" t="s">
        <v>216</v>
      </c>
      <c r="E212" s="27">
        <v>4.2999999999999997E-2</v>
      </c>
      <c r="F212" s="28">
        <v>4.7E-2</v>
      </c>
      <c r="G212" s="28">
        <v>7.2000000000000008E-2</v>
      </c>
      <c r="H212" s="27">
        <v>8.6999999999999994E-2</v>
      </c>
      <c r="I212" s="27">
        <v>6.9000000000000006E-2</v>
      </c>
      <c r="J212" s="27">
        <v>7.0000000000000007E-2</v>
      </c>
      <c r="K212" s="27">
        <v>7.0999999999999994E-2</v>
      </c>
      <c r="L212" s="27">
        <v>6.9000000000000006E-2</v>
      </c>
    </row>
    <row r="213" spans="2:12">
      <c r="B213" s="13" t="s">
        <v>217</v>
      </c>
      <c r="E213" s="27">
        <v>1.6E-2</v>
      </c>
      <c r="F213" s="28">
        <v>4.7E-2</v>
      </c>
      <c r="G213" s="28">
        <v>7.400000000000001E-2</v>
      </c>
      <c r="H213" s="27">
        <v>2.8999999999999998E-2</v>
      </c>
      <c r="I213" s="27">
        <v>2.3E-2</v>
      </c>
      <c r="J213" s="27">
        <v>2.1000000000000001E-2</v>
      </c>
      <c r="K213" s="27">
        <v>2.1000000000000001E-2</v>
      </c>
      <c r="L213" s="27">
        <v>2.1000000000000001E-2</v>
      </c>
    </row>
    <row r="214" spans="2:12">
      <c r="B214" s="13" t="s">
        <v>218</v>
      </c>
      <c r="E214" s="27">
        <v>2.7999999999999997E-2</v>
      </c>
      <c r="F214" s="28">
        <v>3.1E-2</v>
      </c>
      <c r="G214" s="28">
        <v>5.7999999999999996E-2</v>
      </c>
      <c r="H214" s="27">
        <v>4.7E-2</v>
      </c>
      <c r="I214" s="27">
        <v>4.2000000000000003E-2</v>
      </c>
      <c r="J214" s="27">
        <v>0.04</v>
      </c>
      <c r="K214" s="27">
        <v>3.9E-2</v>
      </c>
      <c r="L214" s="27">
        <v>3.9E-2</v>
      </c>
    </row>
    <row r="215" spans="2:12">
      <c r="B215" s="13" t="s">
        <v>219</v>
      </c>
      <c r="E215" s="27">
        <v>5.2999999999999999E-2</v>
      </c>
      <c r="F215" s="28">
        <v>5.9000000000000004E-2</v>
      </c>
      <c r="G215" s="28">
        <v>6.8000000000000005E-2</v>
      </c>
      <c r="H215" s="27">
        <v>5.5999999999999994E-2</v>
      </c>
      <c r="I215" s="27">
        <v>4.8000000000000001E-2</v>
      </c>
      <c r="J215" s="27">
        <v>4.4999999999999998E-2</v>
      </c>
      <c r="K215" s="27">
        <v>4.4000000000000004E-2</v>
      </c>
      <c r="L215" s="27">
        <v>4.4000000000000004E-2</v>
      </c>
    </row>
    <row r="216" spans="2:12">
      <c r="B216" s="13" t="s">
        <v>220</v>
      </c>
      <c r="E216" s="27">
        <v>0.01</v>
      </c>
      <c r="F216" s="28">
        <v>0.02</v>
      </c>
      <c r="G216" s="28">
        <v>3.7999999999999999E-2</v>
      </c>
      <c r="H216" s="27">
        <v>3.2000000000000001E-2</v>
      </c>
      <c r="I216" s="27">
        <v>2.8999999999999998E-2</v>
      </c>
      <c r="J216" s="27">
        <v>2.8999999999999998E-2</v>
      </c>
      <c r="K216" s="27">
        <v>2.7999999999999997E-2</v>
      </c>
      <c r="L216" s="27">
        <v>2.8999999999999998E-2</v>
      </c>
    </row>
    <row r="217" spans="2:12">
      <c r="B217" s="13" t="s">
        <v>221</v>
      </c>
      <c r="E217" s="27">
        <v>0.16300000000000001</v>
      </c>
      <c r="F217" s="28">
        <v>0.17499999999999999</v>
      </c>
      <c r="G217" s="28">
        <v>0.17199999999999999</v>
      </c>
      <c r="H217" s="27">
        <v>0.124</v>
      </c>
      <c r="I217" s="27">
        <v>0.09</v>
      </c>
      <c r="J217" s="27">
        <v>7.4999999999999997E-2</v>
      </c>
      <c r="K217" s="27">
        <v>6.9000000000000006E-2</v>
      </c>
      <c r="L217" s="27">
        <v>6.8000000000000005E-2</v>
      </c>
    </row>
    <row r="218" spans="2:12">
      <c r="B218" s="13" t="s">
        <v>222</v>
      </c>
      <c r="E218" s="27">
        <v>-1E-3</v>
      </c>
      <c r="F218" s="28">
        <v>2.5000000000000001E-2</v>
      </c>
      <c r="G218" s="28">
        <v>5.4000000000000006E-2</v>
      </c>
      <c r="H218" s="27">
        <v>2.6000000000000002E-2</v>
      </c>
      <c r="I218" s="27">
        <v>1.9E-2</v>
      </c>
      <c r="J218" s="27">
        <v>1.8000000000000002E-2</v>
      </c>
      <c r="K218" s="27">
        <v>1.8000000000000002E-2</v>
      </c>
      <c r="L218" s="27">
        <v>1.9E-2</v>
      </c>
    </row>
    <row r="219" spans="2:12">
      <c r="B219" s="13" t="s">
        <v>223</v>
      </c>
      <c r="E219" s="27">
        <v>2.8999999999999998E-2</v>
      </c>
      <c r="F219" s="28">
        <v>6.0999999999999999E-2</v>
      </c>
      <c r="G219" s="28">
        <v>8.5999999999999993E-2</v>
      </c>
      <c r="H219" s="27">
        <v>4.2999999999999997E-2</v>
      </c>
      <c r="I219" s="27">
        <v>3.5000000000000003E-2</v>
      </c>
      <c r="J219" s="27">
        <v>3.2000000000000001E-2</v>
      </c>
      <c r="K219" s="27">
        <v>0.03</v>
      </c>
      <c r="L219" s="27">
        <v>2.8999999999999998E-2</v>
      </c>
    </row>
    <row r="220" spans="2:12">
      <c r="B220" s="13" t="s">
        <v>224</v>
      </c>
      <c r="E220" s="27">
        <v>0.01</v>
      </c>
      <c r="F220" s="28">
        <v>0.02</v>
      </c>
      <c r="G220" s="28">
        <v>3.5000000000000003E-2</v>
      </c>
      <c r="H220" s="27">
        <v>3.2000000000000001E-2</v>
      </c>
      <c r="I220" s="27">
        <v>2.8999999999999998E-2</v>
      </c>
      <c r="J220" s="27">
        <v>2.7999999999999997E-2</v>
      </c>
      <c r="K220" s="27">
        <v>2.7999999999999997E-2</v>
      </c>
      <c r="L220" s="27">
        <v>2.7999999999999997E-2</v>
      </c>
    </row>
    <row r="221" spans="2:12">
      <c r="B221" s="13" t="s">
        <v>225</v>
      </c>
      <c r="E221" s="27">
        <v>5.0000000000000001E-3</v>
      </c>
      <c r="F221" s="28">
        <v>3.1E-2</v>
      </c>
      <c r="G221" s="28">
        <v>5.7000000000000002E-2</v>
      </c>
      <c r="H221" s="27">
        <v>2.5000000000000001E-2</v>
      </c>
      <c r="I221" s="27">
        <v>0.02</v>
      </c>
      <c r="J221" s="27">
        <v>1.8000000000000002E-2</v>
      </c>
      <c r="K221" s="27">
        <v>1.8000000000000002E-2</v>
      </c>
      <c r="L221" s="27">
        <v>1.9E-2</v>
      </c>
    </row>
    <row r="222" spans="2:12">
      <c r="B222" s="13" t="s">
        <v>226</v>
      </c>
      <c r="E222" s="27">
        <v>1.2E-2</v>
      </c>
      <c r="F222" s="28">
        <v>2.2000000000000002E-2</v>
      </c>
      <c r="G222" s="28">
        <v>3.5000000000000003E-2</v>
      </c>
      <c r="H222" s="27">
        <v>2.8999999999999998E-2</v>
      </c>
      <c r="I222" s="27">
        <v>2.7999999999999997E-2</v>
      </c>
      <c r="J222" s="27">
        <v>2.7999999999999997E-2</v>
      </c>
      <c r="K222" s="27">
        <v>2.7000000000000003E-2</v>
      </c>
      <c r="L222" s="27">
        <v>2.7000000000000003E-2</v>
      </c>
    </row>
    <row r="223" spans="2:12">
      <c r="B223" s="13" t="s">
        <v>227</v>
      </c>
      <c r="E223" s="27">
        <v>6.4000000000000001E-2</v>
      </c>
      <c r="F223" s="28">
        <v>9.5000000000000001E-2</v>
      </c>
      <c r="G223" s="28">
        <v>0.27100000000000002</v>
      </c>
      <c r="H223" s="27">
        <v>0.18100000000000002</v>
      </c>
      <c r="I223" s="27">
        <v>0.105</v>
      </c>
      <c r="J223" s="27">
        <v>7.9000000000000001E-2</v>
      </c>
      <c r="K223" s="27">
        <v>6.8000000000000005E-2</v>
      </c>
      <c r="L223" s="27">
        <v>6.8000000000000005E-2</v>
      </c>
    </row>
    <row r="224" spans="2:12">
      <c r="B224" s="13" t="s">
        <v>228</v>
      </c>
      <c r="E224" s="27">
        <v>4.4000000000000004E-2</v>
      </c>
      <c r="F224" s="28">
        <v>5.9000000000000004E-2</v>
      </c>
      <c r="G224" s="28">
        <v>8.6999999999999994E-2</v>
      </c>
      <c r="H224" s="27">
        <v>6.5000000000000002E-2</v>
      </c>
      <c r="I224" s="27">
        <v>0.05</v>
      </c>
      <c r="J224" s="27">
        <v>4.4999999999999998E-2</v>
      </c>
      <c r="K224" s="27">
        <v>4.2000000000000003E-2</v>
      </c>
      <c r="L224" s="27">
        <v>4.0999999999999995E-2</v>
      </c>
    </row>
    <row r="225" spans="2:12">
      <c r="B225" s="13" t="s">
        <v>229</v>
      </c>
      <c r="E225" s="27">
        <v>-3.0000000000000001E-3</v>
      </c>
      <c r="F225" s="28">
        <v>2.6000000000000002E-2</v>
      </c>
      <c r="G225" s="28">
        <v>5.2999999999999999E-2</v>
      </c>
      <c r="H225" s="27">
        <v>2.3E-2</v>
      </c>
      <c r="I225" s="27">
        <v>1.8000000000000002E-2</v>
      </c>
      <c r="J225" s="27">
        <v>1.8000000000000002E-2</v>
      </c>
      <c r="K225" s="27">
        <v>1.8000000000000002E-2</v>
      </c>
      <c r="L225" s="27">
        <v>1.9E-2</v>
      </c>
    </row>
    <row r="226" spans="2:12">
      <c r="B226" s="19" t="s">
        <v>230</v>
      </c>
      <c r="C226" s="19"/>
      <c r="D226" s="19"/>
      <c r="E226" s="22">
        <v>1E-3</v>
      </c>
      <c r="F226" s="21">
        <v>2.8999999999999998E-2</v>
      </c>
      <c r="G226" s="21">
        <v>5.7999999999999996E-2</v>
      </c>
      <c r="H226" s="22">
        <v>2.8999999999999998E-2</v>
      </c>
      <c r="I226" s="22">
        <v>0.02</v>
      </c>
      <c r="J226" s="22">
        <v>0.02</v>
      </c>
      <c r="K226" s="22">
        <v>0.02</v>
      </c>
      <c r="L226" s="22">
        <v>0.02</v>
      </c>
    </row>
    <row r="227" spans="2:12">
      <c r="B227" s="13" t="s">
        <v>231</v>
      </c>
      <c r="E227" s="27">
        <v>6.3E-2</v>
      </c>
      <c r="F227" s="28">
        <v>9.8000000000000004E-2</v>
      </c>
      <c r="G227" s="28">
        <v>0.11199999999999999</v>
      </c>
      <c r="H227" s="27">
        <v>0.08</v>
      </c>
      <c r="I227" s="27">
        <v>6.5000000000000002E-2</v>
      </c>
      <c r="J227" s="27">
        <v>6.0999999999999999E-2</v>
      </c>
      <c r="K227" s="27">
        <v>5.4000000000000006E-2</v>
      </c>
      <c r="L227" s="27">
        <v>0.05</v>
      </c>
    </row>
    <row r="228" spans="2:12">
      <c r="B228" s="13" t="s">
        <v>232</v>
      </c>
      <c r="E228" s="27">
        <v>6.0000000000000001E-3</v>
      </c>
      <c r="F228" s="28">
        <v>3.3000000000000002E-2</v>
      </c>
      <c r="G228" s="28">
        <v>6.0999999999999999E-2</v>
      </c>
      <c r="H228" s="27">
        <v>2.7000000000000003E-2</v>
      </c>
      <c r="I228" s="27">
        <v>0.02</v>
      </c>
      <c r="J228" s="27">
        <v>1.8000000000000002E-2</v>
      </c>
      <c r="K228" s="27">
        <v>1.8000000000000002E-2</v>
      </c>
      <c r="L228" s="27">
        <v>1.8000000000000002E-2</v>
      </c>
    </row>
    <row r="229" spans="2:12">
      <c r="B229" s="13" t="s">
        <v>233</v>
      </c>
      <c r="E229" s="27">
        <v>0.125</v>
      </c>
      <c r="F229" s="28">
        <v>0.13200000000000001</v>
      </c>
      <c r="G229" s="28">
        <v>0.128</v>
      </c>
      <c r="H229" s="27">
        <v>0.105</v>
      </c>
      <c r="I229" s="27">
        <v>7.9000000000000001E-2</v>
      </c>
      <c r="J229" s="27">
        <v>7.2999999999999995E-2</v>
      </c>
      <c r="K229" s="27">
        <v>7.0000000000000007E-2</v>
      </c>
      <c r="L229" s="27">
        <v>6.9000000000000006E-2</v>
      </c>
    </row>
    <row r="230" spans="2:12">
      <c r="B230" s="19" t="s">
        <v>234</v>
      </c>
      <c r="C230" s="19"/>
      <c r="D230" s="19"/>
      <c r="E230" s="22">
        <v>4.0000000000000001E-3</v>
      </c>
      <c r="F230" s="21">
        <v>2.3E-2</v>
      </c>
      <c r="G230" s="21">
        <v>3.7999999999999999E-2</v>
      </c>
      <c r="H230" s="22">
        <v>2.3E-2</v>
      </c>
      <c r="I230" s="22">
        <v>1.9E-2</v>
      </c>
      <c r="J230" s="22">
        <v>1.9E-2</v>
      </c>
      <c r="K230" s="22">
        <v>1.9E-2</v>
      </c>
      <c r="L230" s="22">
        <v>1.9E-2</v>
      </c>
    </row>
    <row r="231" spans="2:12">
      <c r="B231" s="13" t="s">
        <v>235</v>
      </c>
      <c r="E231" s="27">
        <v>0.107</v>
      </c>
      <c r="F231" s="28">
        <v>0.11</v>
      </c>
      <c r="G231" s="28">
        <v>0.122</v>
      </c>
      <c r="H231" s="27">
        <v>9.6000000000000002E-2</v>
      </c>
      <c r="I231" s="27">
        <v>7.8E-2</v>
      </c>
      <c r="J231" s="27">
        <v>6.9000000000000006E-2</v>
      </c>
      <c r="K231" s="27">
        <v>6.8000000000000005E-2</v>
      </c>
      <c r="L231" s="27">
        <v>6.7000000000000004E-2</v>
      </c>
    </row>
    <row r="232" spans="2:12">
      <c r="B232" s="13" t="s">
        <v>236</v>
      </c>
      <c r="E232" s="27">
        <v>2.7000000000000003E-2</v>
      </c>
      <c r="F232" s="28">
        <v>4.7E-2</v>
      </c>
      <c r="G232" s="28">
        <v>7.400000000000001E-2</v>
      </c>
      <c r="H232" s="27">
        <v>4.8000000000000001E-2</v>
      </c>
      <c r="I232" s="27">
        <v>3.7999999999999999E-2</v>
      </c>
      <c r="J232" s="27">
        <v>3.4000000000000002E-2</v>
      </c>
      <c r="K232" s="27">
        <v>3.3000000000000002E-2</v>
      </c>
      <c r="L232" s="27">
        <v>3.2000000000000001E-2</v>
      </c>
    </row>
    <row r="234" spans="2:12">
      <c r="B234" s="13" t="s">
        <v>237</v>
      </c>
    </row>
    <row r="241" spans="2:13">
      <c r="B241" s="13" t="s">
        <v>322</v>
      </c>
    </row>
    <row r="242" spans="2:13">
      <c r="B242" s="29" t="s">
        <v>323</v>
      </c>
      <c r="C242" s="30">
        <v>2019</v>
      </c>
      <c r="D242" s="30">
        <v>2020</v>
      </c>
      <c r="E242" s="30">
        <v>2021</v>
      </c>
      <c r="F242" s="31">
        <v>20.190000000000001</v>
      </c>
      <c r="G242" s="31">
        <v>20.2</v>
      </c>
      <c r="H242" s="31">
        <v>20.21</v>
      </c>
      <c r="I242" s="31" t="s">
        <v>1</v>
      </c>
      <c r="J242" s="31" t="s">
        <v>240</v>
      </c>
      <c r="K242" s="31" t="s">
        <v>324</v>
      </c>
      <c r="L242" s="31" t="s">
        <v>325</v>
      </c>
      <c r="M242" s="31" t="s">
        <v>326</v>
      </c>
    </row>
    <row r="243" spans="2:13">
      <c r="B243" s="32" t="s">
        <v>327</v>
      </c>
      <c r="C243" s="33"/>
      <c r="D243" s="33"/>
      <c r="E243" s="33"/>
      <c r="F243" s="34" t="e">
        <f t="shared" ref="F243:H243" si="1">+SUM(F244:F309)</f>
        <v>#DIV/0!</v>
      </c>
      <c r="G243" s="34" t="e">
        <f t="shared" si="1"/>
        <v>#DIV/0!</v>
      </c>
      <c r="H243" s="34" t="e">
        <f t="shared" si="1"/>
        <v>#DIV/0!</v>
      </c>
      <c r="I243" s="34" t="e">
        <f>+SUM(I244:I309)</f>
        <v>#DIV/0!</v>
      </c>
    </row>
    <row r="244" spans="2:13">
      <c r="B244" s="13" t="s">
        <v>279</v>
      </c>
      <c r="C244" s="35"/>
      <c r="D244" s="35"/>
      <c r="E244" s="35"/>
      <c r="F244" s="36" t="e">
        <f>+C244/$C$243</f>
        <v>#DIV/0!</v>
      </c>
      <c r="G244" s="36" t="e">
        <f>+D244/$D$243</f>
        <v>#DIV/0!</v>
      </c>
      <c r="H244" s="36" t="e">
        <f>+E244/$E$243</f>
        <v>#DIV/0!</v>
      </c>
      <c r="I244" s="24" t="e">
        <f>+AVERAGE(F244:H244)</f>
        <v>#DIV/0!</v>
      </c>
      <c r="J244" s="37"/>
      <c r="K244" s="38" t="e">
        <f>+I244*J244</f>
        <v>#DIV/0!</v>
      </c>
      <c r="L244" s="39">
        <v>1</v>
      </c>
      <c r="M244" s="38" t="e">
        <f>+K244*L244</f>
        <v>#DIV/0!</v>
      </c>
    </row>
    <row r="245" spans="2:13">
      <c r="B245" s="13" t="s">
        <v>328</v>
      </c>
      <c r="C245" s="35"/>
      <c r="D245" s="35"/>
      <c r="E245" s="35"/>
      <c r="F245" s="36" t="e">
        <f t="shared" ref="F245:F308" si="2">+C245/$C$243</f>
        <v>#DIV/0!</v>
      </c>
      <c r="G245" s="36" t="e">
        <f t="shared" ref="G245:G308" si="3">+D245/$D$243</f>
        <v>#DIV/0!</v>
      </c>
      <c r="H245" s="36" t="e">
        <f t="shared" ref="H245:H308" si="4">+E245/$E$243</f>
        <v>#DIV/0!</v>
      </c>
      <c r="I245" s="24" t="e">
        <f t="shared" ref="I245:I308" si="5">+AVERAGE(F245:H245)</f>
        <v>#DIV/0!</v>
      </c>
      <c r="J245" s="37"/>
      <c r="K245" s="38" t="e">
        <f t="shared" ref="K245:K308" si="6">+I245*J245</f>
        <v>#DIV/0!</v>
      </c>
      <c r="L245" s="39">
        <v>1</v>
      </c>
      <c r="M245" s="38" t="e">
        <f t="shared" ref="M245:M308" si="7">+K245*L245</f>
        <v>#DIV/0!</v>
      </c>
    </row>
    <row r="246" spans="2:13">
      <c r="B246" s="13" t="s">
        <v>312</v>
      </c>
      <c r="C246" s="35"/>
      <c r="D246" s="35"/>
      <c r="E246" s="35"/>
      <c r="F246" s="36" t="e">
        <f t="shared" si="2"/>
        <v>#DIV/0!</v>
      </c>
      <c r="G246" s="36" t="e">
        <f t="shared" si="3"/>
        <v>#DIV/0!</v>
      </c>
      <c r="H246" s="36" t="e">
        <f t="shared" si="4"/>
        <v>#DIV/0!</v>
      </c>
      <c r="I246" s="24" t="e">
        <f t="shared" si="5"/>
        <v>#DIV/0!</v>
      </c>
      <c r="J246" s="37"/>
      <c r="K246" s="38" t="e">
        <f t="shared" si="6"/>
        <v>#DIV/0!</v>
      </c>
      <c r="L246" s="39">
        <v>1</v>
      </c>
      <c r="M246" s="38" t="e">
        <f t="shared" si="7"/>
        <v>#DIV/0!</v>
      </c>
    </row>
    <row r="247" spans="2:13">
      <c r="B247" s="13" t="s">
        <v>302</v>
      </c>
      <c r="C247" s="35"/>
      <c r="D247" s="35"/>
      <c r="E247" s="35"/>
      <c r="F247" s="36" t="e">
        <f t="shared" si="2"/>
        <v>#DIV/0!</v>
      </c>
      <c r="G247" s="36" t="e">
        <f t="shared" si="3"/>
        <v>#DIV/0!</v>
      </c>
      <c r="H247" s="36" t="e">
        <f t="shared" si="4"/>
        <v>#DIV/0!</v>
      </c>
      <c r="I247" s="24" t="e">
        <f t="shared" si="5"/>
        <v>#DIV/0!</v>
      </c>
      <c r="J247" s="37"/>
      <c r="K247" s="38" t="e">
        <f t="shared" si="6"/>
        <v>#DIV/0!</v>
      </c>
      <c r="L247" s="39">
        <v>1</v>
      </c>
      <c r="M247" s="38" t="e">
        <f t="shared" si="7"/>
        <v>#DIV/0!</v>
      </c>
    </row>
    <row r="248" spans="2:13">
      <c r="B248" s="13" t="s">
        <v>43</v>
      </c>
      <c r="C248" s="35"/>
      <c r="D248" s="35"/>
      <c r="E248" s="35"/>
      <c r="F248" s="36" t="e">
        <f t="shared" si="2"/>
        <v>#DIV/0!</v>
      </c>
      <c r="G248" s="36" t="e">
        <f t="shared" si="3"/>
        <v>#DIV/0!</v>
      </c>
      <c r="H248" s="36" t="e">
        <f t="shared" si="4"/>
        <v>#DIV/0!</v>
      </c>
      <c r="I248" s="24" t="e">
        <f t="shared" si="5"/>
        <v>#DIV/0!</v>
      </c>
      <c r="J248" s="37"/>
      <c r="K248" s="38" t="e">
        <f t="shared" si="6"/>
        <v>#DIV/0!</v>
      </c>
      <c r="L248" s="39">
        <v>1</v>
      </c>
      <c r="M248" s="38" t="e">
        <f t="shared" si="7"/>
        <v>#DIV/0!</v>
      </c>
    </row>
    <row r="249" spans="2:13">
      <c r="B249" s="13" t="s">
        <v>195</v>
      </c>
      <c r="C249" s="35"/>
      <c r="D249" s="35"/>
      <c r="E249" s="35"/>
      <c r="F249" s="36" t="e">
        <f t="shared" si="2"/>
        <v>#DIV/0!</v>
      </c>
      <c r="G249" s="36" t="e">
        <f t="shared" si="3"/>
        <v>#DIV/0!</v>
      </c>
      <c r="H249" s="36" t="e">
        <f t="shared" si="4"/>
        <v>#DIV/0!</v>
      </c>
      <c r="I249" s="24" t="e">
        <f t="shared" si="5"/>
        <v>#DIV/0!</v>
      </c>
      <c r="J249" s="37"/>
      <c r="K249" s="38" t="e">
        <f t="shared" si="6"/>
        <v>#DIV/0!</v>
      </c>
      <c r="L249" s="39">
        <v>1</v>
      </c>
      <c r="M249" s="38" t="e">
        <f t="shared" si="7"/>
        <v>#DIV/0!</v>
      </c>
    </row>
    <row r="250" spans="2:13">
      <c r="B250" s="13" t="s">
        <v>329</v>
      </c>
      <c r="C250" s="35"/>
      <c r="D250" s="35"/>
      <c r="E250" s="35"/>
      <c r="F250" s="36" t="e">
        <f t="shared" si="2"/>
        <v>#DIV/0!</v>
      </c>
      <c r="G250" s="36" t="e">
        <f t="shared" si="3"/>
        <v>#DIV/0!</v>
      </c>
      <c r="H250" s="36" t="e">
        <f t="shared" si="4"/>
        <v>#DIV/0!</v>
      </c>
      <c r="I250" s="24" t="e">
        <f t="shared" si="5"/>
        <v>#DIV/0!</v>
      </c>
      <c r="J250" s="37"/>
      <c r="K250" s="38" t="e">
        <f t="shared" si="6"/>
        <v>#DIV/0!</v>
      </c>
      <c r="L250" s="39">
        <v>1</v>
      </c>
      <c r="M250" s="38" t="e">
        <f t="shared" si="7"/>
        <v>#DIV/0!</v>
      </c>
    </row>
    <row r="251" spans="2:13">
      <c r="B251" s="13" t="s">
        <v>75</v>
      </c>
      <c r="C251" s="35"/>
      <c r="D251" s="35"/>
      <c r="E251" s="35"/>
      <c r="F251" s="36" t="e">
        <f t="shared" si="2"/>
        <v>#DIV/0!</v>
      </c>
      <c r="G251" s="36" t="e">
        <f t="shared" si="3"/>
        <v>#DIV/0!</v>
      </c>
      <c r="H251" s="36" t="e">
        <f t="shared" si="4"/>
        <v>#DIV/0!</v>
      </c>
      <c r="I251" s="24" t="e">
        <f t="shared" si="5"/>
        <v>#DIV/0!</v>
      </c>
      <c r="J251" s="37"/>
      <c r="K251" s="38" t="e">
        <f t="shared" si="6"/>
        <v>#DIV/0!</v>
      </c>
      <c r="L251" s="39">
        <v>1</v>
      </c>
      <c r="M251" s="38" t="e">
        <f t="shared" si="7"/>
        <v>#DIV/0!</v>
      </c>
    </row>
    <row r="252" spans="2:13">
      <c r="B252" s="13" t="s">
        <v>258</v>
      </c>
      <c r="C252" s="40"/>
      <c r="D252" s="35"/>
      <c r="E252" s="35"/>
      <c r="F252" s="36" t="e">
        <f t="shared" si="2"/>
        <v>#DIV/0!</v>
      </c>
      <c r="G252" s="36" t="e">
        <f t="shared" si="3"/>
        <v>#DIV/0!</v>
      </c>
      <c r="H252" s="36" t="e">
        <f t="shared" si="4"/>
        <v>#DIV/0!</v>
      </c>
      <c r="I252" s="24" t="e">
        <f>+AVERAGE(F252:H252)</f>
        <v>#DIV/0!</v>
      </c>
      <c r="J252" s="37"/>
      <c r="K252" s="38" t="e">
        <f>+I252*J252</f>
        <v>#DIV/0!</v>
      </c>
      <c r="L252" s="39">
        <v>1</v>
      </c>
      <c r="M252" s="38" t="e">
        <f t="shared" si="7"/>
        <v>#DIV/0!</v>
      </c>
    </row>
    <row r="253" spans="2:13">
      <c r="B253" s="13" t="s">
        <v>252</v>
      </c>
      <c r="C253" s="35"/>
      <c r="D253" s="35"/>
      <c r="E253" s="35"/>
      <c r="F253" s="36" t="e">
        <f t="shared" si="2"/>
        <v>#DIV/0!</v>
      </c>
      <c r="G253" s="36" t="e">
        <f t="shared" si="3"/>
        <v>#DIV/0!</v>
      </c>
      <c r="H253" s="36" t="e">
        <f t="shared" si="4"/>
        <v>#DIV/0!</v>
      </c>
      <c r="I253" s="24" t="e">
        <f t="shared" si="5"/>
        <v>#DIV/0!</v>
      </c>
      <c r="J253" s="37"/>
      <c r="K253" s="38" t="e">
        <f t="shared" si="6"/>
        <v>#DIV/0!</v>
      </c>
      <c r="L253" s="39">
        <v>1</v>
      </c>
      <c r="M253" s="38" t="e">
        <f t="shared" si="7"/>
        <v>#DIV/0!</v>
      </c>
    </row>
    <row r="254" spans="2:13">
      <c r="B254" s="13" t="s">
        <v>280</v>
      </c>
      <c r="C254" s="35"/>
      <c r="D254" s="35"/>
      <c r="E254" s="35"/>
      <c r="F254" s="36" t="e">
        <f t="shared" si="2"/>
        <v>#DIV/0!</v>
      </c>
      <c r="G254" s="36" t="e">
        <f t="shared" si="3"/>
        <v>#DIV/0!</v>
      </c>
      <c r="H254" s="36" t="e">
        <f t="shared" si="4"/>
        <v>#DIV/0!</v>
      </c>
      <c r="I254" s="24" t="e">
        <f t="shared" si="5"/>
        <v>#DIV/0!</v>
      </c>
      <c r="J254" s="37"/>
      <c r="K254" s="38" t="e">
        <f t="shared" si="6"/>
        <v>#DIV/0!</v>
      </c>
      <c r="L254" s="39">
        <v>1</v>
      </c>
      <c r="M254" s="38" t="e">
        <f t="shared" si="7"/>
        <v>#DIV/0!</v>
      </c>
    </row>
    <row r="255" spans="2:13">
      <c r="B255" s="13" t="s">
        <v>317</v>
      </c>
      <c r="C255" s="35"/>
      <c r="D255" s="35"/>
      <c r="E255" s="35"/>
      <c r="F255" s="36" t="e">
        <f t="shared" si="2"/>
        <v>#DIV/0!</v>
      </c>
      <c r="G255" s="36" t="e">
        <f t="shared" si="3"/>
        <v>#DIV/0!</v>
      </c>
      <c r="H255" s="36" t="e">
        <f t="shared" si="4"/>
        <v>#DIV/0!</v>
      </c>
      <c r="I255" s="24" t="e">
        <f t="shared" si="5"/>
        <v>#DIV/0!</v>
      </c>
      <c r="J255" s="37"/>
      <c r="K255" s="38" t="e">
        <f t="shared" si="6"/>
        <v>#DIV/0!</v>
      </c>
      <c r="L255" s="39">
        <v>1</v>
      </c>
      <c r="M255" s="38" t="e">
        <f t="shared" si="7"/>
        <v>#DIV/0!</v>
      </c>
    </row>
    <row r="256" spans="2:13">
      <c r="B256" s="13" t="s">
        <v>21</v>
      </c>
      <c r="C256" s="35"/>
      <c r="D256" s="35"/>
      <c r="E256" s="35"/>
      <c r="F256" s="36" t="e">
        <f t="shared" si="2"/>
        <v>#DIV/0!</v>
      </c>
      <c r="G256" s="36" t="e">
        <f t="shared" si="3"/>
        <v>#DIV/0!</v>
      </c>
      <c r="H256" s="36" t="e">
        <f t="shared" si="4"/>
        <v>#DIV/0!</v>
      </c>
      <c r="I256" s="24" t="e">
        <f t="shared" si="5"/>
        <v>#DIV/0!</v>
      </c>
      <c r="J256" s="37"/>
      <c r="K256" s="38" t="e">
        <f t="shared" si="6"/>
        <v>#DIV/0!</v>
      </c>
      <c r="L256" s="39">
        <v>1</v>
      </c>
      <c r="M256" s="38" t="e">
        <f t="shared" si="7"/>
        <v>#DIV/0!</v>
      </c>
    </row>
    <row r="257" spans="2:13" outlineLevel="1">
      <c r="B257" s="13" t="s">
        <v>319</v>
      </c>
      <c r="C257" s="41"/>
      <c r="D257" s="41"/>
      <c r="E257" s="41"/>
      <c r="F257" s="38" t="e">
        <f t="shared" si="2"/>
        <v>#DIV/0!</v>
      </c>
      <c r="G257" s="38" t="e">
        <f t="shared" si="3"/>
        <v>#DIV/0!</v>
      </c>
      <c r="H257" s="38" t="e">
        <f t="shared" si="4"/>
        <v>#DIV/0!</v>
      </c>
      <c r="I257" s="24" t="e">
        <f t="shared" si="5"/>
        <v>#DIV/0!</v>
      </c>
      <c r="K257" s="38" t="e">
        <f t="shared" si="6"/>
        <v>#DIV/0!</v>
      </c>
      <c r="L257" s="39">
        <v>1</v>
      </c>
      <c r="M257" s="38" t="e">
        <f t="shared" si="7"/>
        <v>#DIV/0!</v>
      </c>
    </row>
    <row r="258" spans="2:13" outlineLevel="1">
      <c r="B258" s="13" t="s">
        <v>318</v>
      </c>
      <c r="C258" s="41"/>
      <c r="D258" s="41"/>
      <c r="E258" s="41"/>
      <c r="F258" s="38" t="e">
        <f t="shared" si="2"/>
        <v>#DIV/0!</v>
      </c>
      <c r="G258" s="38" t="e">
        <f t="shared" si="3"/>
        <v>#DIV/0!</v>
      </c>
      <c r="H258" s="38" t="e">
        <f t="shared" si="4"/>
        <v>#DIV/0!</v>
      </c>
      <c r="I258" s="24" t="e">
        <f t="shared" si="5"/>
        <v>#DIV/0!</v>
      </c>
      <c r="K258" s="38" t="e">
        <f t="shared" si="6"/>
        <v>#DIV/0!</v>
      </c>
      <c r="L258" s="39">
        <v>1</v>
      </c>
      <c r="M258" s="38" t="e">
        <f t="shared" si="7"/>
        <v>#DIV/0!</v>
      </c>
    </row>
    <row r="259" spans="2:13" outlineLevel="1">
      <c r="B259" s="13" t="s">
        <v>330</v>
      </c>
      <c r="C259" s="41"/>
      <c r="D259" s="41"/>
      <c r="E259" s="41"/>
      <c r="F259" s="38" t="e">
        <f t="shared" si="2"/>
        <v>#DIV/0!</v>
      </c>
      <c r="G259" s="38" t="e">
        <f t="shared" si="3"/>
        <v>#DIV/0!</v>
      </c>
      <c r="H259" s="38" t="e">
        <f t="shared" si="4"/>
        <v>#DIV/0!</v>
      </c>
      <c r="I259" s="24" t="e">
        <f t="shared" si="5"/>
        <v>#DIV/0!</v>
      </c>
      <c r="K259" s="38" t="e">
        <f t="shared" si="6"/>
        <v>#DIV/0!</v>
      </c>
      <c r="L259" s="39">
        <v>1</v>
      </c>
      <c r="M259" s="38" t="e">
        <f t="shared" si="7"/>
        <v>#DIV/0!</v>
      </c>
    </row>
    <row r="260" spans="2:13" outlineLevel="1">
      <c r="B260" s="13" t="s">
        <v>270</v>
      </c>
      <c r="C260" s="41"/>
      <c r="D260" s="41"/>
      <c r="E260" s="41"/>
      <c r="F260" s="38" t="e">
        <f t="shared" si="2"/>
        <v>#DIV/0!</v>
      </c>
      <c r="G260" s="38" t="e">
        <f t="shared" si="3"/>
        <v>#DIV/0!</v>
      </c>
      <c r="H260" s="38" t="e">
        <f t="shared" si="4"/>
        <v>#DIV/0!</v>
      </c>
      <c r="I260" s="24" t="e">
        <f t="shared" si="5"/>
        <v>#DIV/0!</v>
      </c>
      <c r="K260" s="38" t="e">
        <f t="shared" si="6"/>
        <v>#DIV/0!</v>
      </c>
      <c r="L260" s="39">
        <v>1</v>
      </c>
      <c r="M260" s="38" t="e">
        <f t="shared" si="7"/>
        <v>#DIV/0!</v>
      </c>
    </row>
    <row r="261" spans="2:13" outlineLevel="1">
      <c r="B261" s="13" t="s">
        <v>331</v>
      </c>
      <c r="C261" s="41"/>
      <c r="D261" s="41"/>
      <c r="E261" s="41"/>
      <c r="F261" s="38" t="e">
        <f t="shared" si="2"/>
        <v>#DIV/0!</v>
      </c>
      <c r="G261" s="38" t="e">
        <f t="shared" si="3"/>
        <v>#DIV/0!</v>
      </c>
      <c r="H261" s="38" t="e">
        <f t="shared" si="4"/>
        <v>#DIV/0!</v>
      </c>
      <c r="I261" s="24" t="e">
        <f t="shared" si="5"/>
        <v>#DIV/0!</v>
      </c>
      <c r="K261" s="38" t="e">
        <f t="shared" si="6"/>
        <v>#DIV/0!</v>
      </c>
      <c r="L261" s="39">
        <v>1</v>
      </c>
      <c r="M261" s="38" t="e">
        <f t="shared" si="7"/>
        <v>#DIV/0!</v>
      </c>
    </row>
    <row r="262" spans="2:13" outlineLevel="1">
      <c r="B262" s="13" t="s">
        <v>20</v>
      </c>
      <c r="C262" s="41"/>
      <c r="D262" s="41"/>
      <c r="E262" s="41"/>
      <c r="F262" s="38" t="e">
        <f t="shared" si="2"/>
        <v>#DIV/0!</v>
      </c>
      <c r="G262" s="38" t="e">
        <f t="shared" si="3"/>
        <v>#DIV/0!</v>
      </c>
      <c r="H262" s="38" t="e">
        <f t="shared" si="4"/>
        <v>#DIV/0!</v>
      </c>
      <c r="I262" s="24" t="e">
        <f t="shared" si="5"/>
        <v>#DIV/0!</v>
      </c>
      <c r="K262" s="38" t="e">
        <f t="shared" si="6"/>
        <v>#DIV/0!</v>
      </c>
      <c r="L262" s="39">
        <v>1</v>
      </c>
      <c r="M262" s="38" t="e">
        <f t="shared" si="7"/>
        <v>#DIV/0!</v>
      </c>
    </row>
    <row r="263" spans="2:13" outlineLevel="1">
      <c r="B263" s="13" t="s">
        <v>198</v>
      </c>
      <c r="C263" s="41"/>
      <c r="D263" s="41"/>
      <c r="E263" s="41"/>
      <c r="F263" s="38" t="e">
        <f t="shared" si="2"/>
        <v>#DIV/0!</v>
      </c>
      <c r="G263" s="38" t="e">
        <f t="shared" si="3"/>
        <v>#DIV/0!</v>
      </c>
      <c r="H263" s="38" t="e">
        <f t="shared" si="4"/>
        <v>#DIV/0!</v>
      </c>
      <c r="I263" s="24" t="e">
        <f t="shared" si="5"/>
        <v>#DIV/0!</v>
      </c>
      <c r="K263" s="38" t="e">
        <f t="shared" si="6"/>
        <v>#DIV/0!</v>
      </c>
      <c r="L263" s="39">
        <v>1</v>
      </c>
      <c r="M263" s="38" t="e">
        <f t="shared" si="7"/>
        <v>#DIV/0!</v>
      </c>
    </row>
    <row r="264" spans="2:13" outlineLevel="1">
      <c r="B264" s="13" t="s">
        <v>277</v>
      </c>
      <c r="C264" s="41"/>
      <c r="D264" s="41"/>
      <c r="E264" s="41"/>
      <c r="F264" s="38" t="e">
        <f t="shared" si="2"/>
        <v>#DIV/0!</v>
      </c>
      <c r="G264" s="38" t="e">
        <f t="shared" si="3"/>
        <v>#DIV/0!</v>
      </c>
      <c r="H264" s="38" t="e">
        <f t="shared" si="4"/>
        <v>#DIV/0!</v>
      </c>
      <c r="I264" s="24" t="e">
        <f t="shared" si="5"/>
        <v>#DIV/0!</v>
      </c>
      <c r="K264" s="38" t="e">
        <f t="shared" si="6"/>
        <v>#DIV/0!</v>
      </c>
      <c r="L264" s="39">
        <v>1</v>
      </c>
      <c r="M264" s="38" t="e">
        <f t="shared" si="7"/>
        <v>#DIV/0!</v>
      </c>
    </row>
    <row r="265" spans="2:13" outlineLevel="1">
      <c r="B265" s="13" t="s">
        <v>332</v>
      </c>
      <c r="C265" s="41"/>
      <c r="D265" s="41"/>
      <c r="E265" s="41"/>
      <c r="F265" s="38" t="e">
        <f t="shared" si="2"/>
        <v>#DIV/0!</v>
      </c>
      <c r="G265" s="38" t="e">
        <f t="shared" si="3"/>
        <v>#DIV/0!</v>
      </c>
      <c r="H265" s="38" t="e">
        <f t="shared" si="4"/>
        <v>#DIV/0!</v>
      </c>
      <c r="I265" s="24" t="e">
        <f t="shared" si="5"/>
        <v>#DIV/0!</v>
      </c>
      <c r="K265" s="38" t="e">
        <f t="shared" si="6"/>
        <v>#DIV/0!</v>
      </c>
      <c r="L265" s="39">
        <v>1</v>
      </c>
      <c r="M265" s="38" t="e">
        <f t="shared" si="7"/>
        <v>#DIV/0!</v>
      </c>
    </row>
    <row r="266" spans="2:13" outlineLevel="1">
      <c r="B266" s="13" t="s">
        <v>153</v>
      </c>
      <c r="C266" s="41"/>
      <c r="D266" s="41"/>
      <c r="E266" s="41"/>
      <c r="F266" s="38" t="e">
        <f t="shared" si="2"/>
        <v>#DIV/0!</v>
      </c>
      <c r="G266" s="38" t="e">
        <f t="shared" si="3"/>
        <v>#DIV/0!</v>
      </c>
      <c r="H266" s="38" t="e">
        <f t="shared" si="4"/>
        <v>#DIV/0!</v>
      </c>
      <c r="I266" s="24" t="e">
        <f t="shared" si="5"/>
        <v>#DIV/0!</v>
      </c>
      <c r="K266" s="38" t="e">
        <f t="shared" si="6"/>
        <v>#DIV/0!</v>
      </c>
      <c r="L266" s="39">
        <v>1</v>
      </c>
      <c r="M266" s="38" t="e">
        <f t="shared" si="7"/>
        <v>#DIV/0!</v>
      </c>
    </row>
    <row r="267" spans="2:13" outlineLevel="1">
      <c r="B267" s="13" t="s">
        <v>74</v>
      </c>
      <c r="C267" s="41"/>
      <c r="D267" s="41"/>
      <c r="E267" s="41"/>
      <c r="F267" s="38" t="e">
        <f t="shared" si="2"/>
        <v>#DIV/0!</v>
      </c>
      <c r="G267" s="38" t="e">
        <f t="shared" si="3"/>
        <v>#DIV/0!</v>
      </c>
      <c r="H267" s="38" t="e">
        <f t="shared" si="4"/>
        <v>#DIV/0!</v>
      </c>
      <c r="I267" s="24" t="e">
        <f t="shared" si="5"/>
        <v>#DIV/0!</v>
      </c>
      <c r="K267" s="38" t="e">
        <f t="shared" si="6"/>
        <v>#DIV/0!</v>
      </c>
      <c r="L267" s="39">
        <v>1</v>
      </c>
      <c r="M267" s="38" t="e">
        <f t="shared" si="7"/>
        <v>#DIV/0!</v>
      </c>
    </row>
    <row r="268" spans="2:13" outlineLevel="1">
      <c r="B268" s="13" t="s">
        <v>37</v>
      </c>
      <c r="C268" s="41"/>
      <c r="D268" s="41"/>
      <c r="E268" s="41"/>
      <c r="F268" s="38" t="e">
        <f t="shared" si="2"/>
        <v>#DIV/0!</v>
      </c>
      <c r="G268" s="38" t="e">
        <f t="shared" si="3"/>
        <v>#DIV/0!</v>
      </c>
      <c r="H268" s="38" t="e">
        <f t="shared" si="4"/>
        <v>#DIV/0!</v>
      </c>
      <c r="I268" s="24" t="e">
        <f t="shared" si="5"/>
        <v>#DIV/0!</v>
      </c>
      <c r="K268" s="38" t="e">
        <f t="shared" si="6"/>
        <v>#DIV/0!</v>
      </c>
      <c r="L268" s="39">
        <v>1</v>
      </c>
      <c r="M268" s="38" t="e">
        <f t="shared" si="7"/>
        <v>#DIV/0!</v>
      </c>
    </row>
    <row r="269" spans="2:13" outlineLevel="1">
      <c r="B269" s="13" t="s">
        <v>103</v>
      </c>
      <c r="C269" s="41"/>
      <c r="D269" s="41"/>
      <c r="E269" s="41"/>
      <c r="F269" s="38" t="e">
        <f t="shared" si="2"/>
        <v>#DIV/0!</v>
      </c>
      <c r="G269" s="38" t="e">
        <f t="shared" si="3"/>
        <v>#DIV/0!</v>
      </c>
      <c r="H269" s="38" t="e">
        <f t="shared" si="4"/>
        <v>#DIV/0!</v>
      </c>
      <c r="I269" s="24" t="e">
        <f t="shared" si="5"/>
        <v>#DIV/0!</v>
      </c>
      <c r="K269" s="38" t="e">
        <f t="shared" si="6"/>
        <v>#DIV/0!</v>
      </c>
      <c r="L269" s="39">
        <v>1</v>
      </c>
      <c r="M269" s="38" t="e">
        <f t="shared" si="7"/>
        <v>#DIV/0!</v>
      </c>
    </row>
    <row r="270" spans="2:13" outlineLevel="1">
      <c r="B270" s="13" t="s">
        <v>265</v>
      </c>
      <c r="C270" s="41"/>
      <c r="D270" s="41"/>
      <c r="E270" s="41"/>
      <c r="F270" s="38" t="e">
        <f t="shared" si="2"/>
        <v>#DIV/0!</v>
      </c>
      <c r="G270" s="38" t="e">
        <f t="shared" si="3"/>
        <v>#DIV/0!</v>
      </c>
      <c r="H270" s="38" t="e">
        <f t="shared" si="4"/>
        <v>#DIV/0!</v>
      </c>
      <c r="I270" s="24" t="e">
        <f t="shared" si="5"/>
        <v>#DIV/0!</v>
      </c>
      <c r="K270" s="38" t="e">
        <f t="shared" si="6"/>
        <v>#DIV/0!</v>
      </c>
      <c r="L270" s="39">
        <v>1</v>
      </c>
      <c r="M270" s="38" t="e">
        <f t="shared" si="7"/>
        <v>#DIV/0!</v>
      </c>
    </row>
    <row r="271" spans="2:13" outlineLevel="1">
      <c r="B271" s="13" t="s">
        <v>333</v>
      </c>
      <c r="C271" s="41"/>
      <c r="D271" s="41"/>
      <c r="E271" s="41"/>
      <c r="F271" s="38" t="e">
        <f t="shared" si="2"/>
        <v>#DIV/0!</v>
      </c>
      <c r="G271" s="38" t="e">
        <f t="shared" si="3"/>
        <v>#DIV/0!</v>
      </c>
      <c r="H271" s="38" t="e">
        <f t="shared" si="4"/>
        <v>#DIV/0!</v>
      </c>
      <c r="I271" s="24" t="e">
        <f t="shared" si="5"/>
        <v>#DIV/0!</v>
      </c>
      <c r="K271" s="38" t="e">
        <f t="shared" si="6"/>
        <v>#DIV/0!</v>
      </c>
      <c r="L271" s="39">
        <v>1</v>
      </c>
      <c r="M271" s="38" t="e">
        <f t="shared" si="7"/>
        <v>#DIV/0!</v>
      </c>
    </row>
    <row r="272" spans="2:13" outlineLevel="1">
      <c r="B272" s="13" t="s">
        <v>296</v>
      </c>
      <c r="C272" s="41"/>
      <c r="D272" s="41"/>
      <c r="E272" s="41"/>
      <c r="F272" s="38" t="e">
        <f t="shared" si="2"/>
        <v>#DIV/0!</v>
      </c>
      <c r="G272" s="38" t="e">
        <f t="shared" si="3"/>
        <v>#DIV/0!</v>
      </c>
      <c r="H272" s="38" t="e">
        <f t="shared" si="4"/>
        <v>#DIV/0!</v>
      </c>
      <c r="I272" s="24" t="e">
        <f t="shared" si="5"/>
        <v>#DIV/0!</v>
      </c>
      <c r="K272" s="38" t="e">
        <f t="shared" si="6"/>
        <v>#DIV/0!</v>
      </c>
      <c r="L272" s="39">
        <v>1</v>
      </c>
      <c r="M272" s="38" t="e">
        <f t="shared" si="7"/>
        <v>#DIV/0!</v>
      </c>
    </row>
    <row r="273" spans="2:13" outlineLevel="1">
      <c r="B273" s="13" t="s">
        <v>334</v>
      </c>
      <c r="C273" s="41"/>
      <c r="D273" s="41"/>
      <c r="E273" s="41"/>
      <c r="F273" s="38" t="e">
        <f t="shared" si="2"/>
        <v>#DIV/0!</v>
      </c>
      <c r="G273" s="38" t="e">
        <f t="shared" si="3"/>
        <v>#DIV/0!</v>
      </c>
      <c r="H273" s="38" t="e">
        <f t="shared" si="4"/>
        <v>#DIV/0!</v>
      </c>
      <c r="I273" s="24" t="e">
        <f t="shared" si="5"/>
        <v>#DIV/0!</v>
      </c>
      <c r="K273" s="38" t="e">
        <f t="shared" si="6"/>
        <v>#DIV/0!</v>
      </c>
      <c r="L273" s="39">
        <v>1</v>
      </c>
      <c r="M273" s="38" t="e">
        <f t="shared" si="7"/>
        <v>#DIV/0!</v>
      </c>
    </row>
    <row r="274" spans="2:13" outlineLevel="1">
      <c r="B274" s="13" t="s">
        <v>152</v>
      </c>
      <c r="C274" s="41"/>
      <c r="D274" s="41"/>
      <c r="E274" s="41"/>
      <c r="F274" s="38" t="e">
        <f t="shared" si="2"/>
        <v>#DIV/0!</v>
      </c>
      <c r="G274" s="38" t="e">
        <f t="shared" si="3"/>
        <v>#DIV/0!</v>
      </c>
      <c r="H274" s="38" t="e">
        <f t="shared" si="4"/>
        <v>#DIV/0!</v>
      </c>
      <c r="I274" s="24" t="e">
        <f t="shared" si="5"/>
        <v>#DIV/0!</v>
      </c>
      <c r="K274" s="38" t="e">
        <f t="shared" si="6"/>
        <v>#DIV/0!</v>
      </c>
      <c r="L274" s="39">
        <v>1</v>
      </c>
      <c r="M274" s="38" t="e">
        <f t="shared" si="7"/>
        <v>#DIV/0!</v>
      </c>
    </row>
    <row r="275" spans="2:13" outlineLevel="1">
      <c r="B275" s="13" t="s">
        <v>286</v>
      </c>
      <c r="C275" s="41"/>
      <c r="D275" s="41"/>
      <c r="E275" s="41"/>
      <c r="F275" s="38" t="e">
        <f t="shared" si="2"/>
        <v>#DIV/0!</v>
      </c>
      <c r="G275" s="38" t="e">
        <f t="shared" si="3"/>
        <v>#DIV/0!</v>
      </c>
      <c r="H275" s="38" t="e">
        <f t="shared" si="4"/>
        <v>#DIV/0!</v>
      </c>
      <c r="I275" s="24" t="e">
        <f t="shared" si="5"/>
        <v>#DIV/0!</v>
      </c>
      <c r="K275" s="38" t="e">
        <f t="shared" si="6"/>
        <v>#DIV/0!</v>
      </c>
      <c r="L275" s="39">
        <v>1</v>
      </c>
      <c r="M275" s="38" t="e">
        <f t="shared" si="7"/>
        <v>#DIV/0!</v>
      </c>
    </row>
    <row r="276" spans="2:13" outlineLevel="1">
      <c r="B276" s="13" t="s">
        <v>283</v>
      </c>
      <c r="C276" s="41"/>
      <c r="D276" s="41"/>
      <c r="E276" s="41"/>
      <c r="F276" s="38" t="e">
        <f t="shared" si="2"/>
        <v>#DIV/0!</v>
      </c>
      <c r="G276" s="38" t="e">
        <f t="shared" si="3"/>
        <v>#DIV/0!</v>
      </c>
      <c r="H276" s="38" t="e">
        <f t="shared" si="4"/>
        <v>#DIV/0!</v>
      </c>
      <c r="I276" s="24" t="e">
        <f t="shared" si="5"/>
        <v>#DIV/0!</v>
      </c>
      <c r="K276" s="38" t="e">
        <f t="shared" si="6"/>
        <v>#DIV/0!</v>
      </c>
      <c r="L276" s="39">
        <v>1</v>
      </c>
      <c r="M276" s="38" t="e">
        <f t="shared" si="7"/>
        <v>#DIV/0!</v>
      </c>
    </row>
    <row r="277" spans="2:13" outlineLevel="1">
      <c r="B277" s="13" t="s">
        <v>273</v>
      </c>
      <c r="C277" s="41"/>
      <c r="D277" s="41"/>
      <c r="E277" s="41"/>
      <c r="F277" s="38" t="e">
        <f t="shared" si="2"/>
        <v>#DIV/0!</v>
      </c>
      <c r="G277" s="38" t="e">
        <f t="shared" si="3"/>
        <v>#DIV/0!</v>
      </c>
      <c r="H277" s="38" t="e">
        <f t="shared" si="4"/>
        <v>#DIV/0!</v>
      </c>
      <c r="I277" s="24" t="e">
        <f t="shared" si="5"/>
        <v>#DIV/0!</v>
      </c>
      <c r="K277" s="38" t="e">
        <f t="shared" si="6"/>
        <v>#DIV/0!</v>
      </c>
      <c r="L277" s="39">
        <v>1</v>
      </c>
      <c r="M277" s="38" t="e">
        <f t="shared" si="7"/>
        <v>#DIV/0!</v>
      </c>
    </row>
    <row r="278" spans="2:13" outlineLevel="1">
      <c r="B278" s="13" t="s">
        <v>299</v>
      </c>
      <c r="C278" s="41"/>
      <c r="D278" s="41"/>
      <c r="E278" s="41"/>
      <c r="F278" s="38" t="e">
        <f t="shared" si="2"/>
        <v>#DIV/0!</v>
      </c>
      <c r="G278" s="38" t="e">
        <f t="shared" si="3"/>
        <v>#DIV/0!</v>
      </c>
      <c r="H278" s="38" t="e">
        <f t="shared" si="4"/>
        <v>#DIV/0!</v>
      </c>
      <c r="I278" s="24" t="e">
        <f t="shared" si="5"/>
        <v>#DIV/0!</v>
      </c>
      <c r="K278" s="38" t="e">
        <f t="shared" si="6"/>
        <v>#DIV/0!</v>
      </c>
      <c r="L278" s="39">
        <v>1</v>
      </c>
      <c r="M278" s="38" t="e">
        <f t="shared" si="7"/>
        <v>#DIV/0!</v>
      </c>
    </row>
    <row r="279" spans="2:13" outlineLevel="1">
      <c r="B279" s="13" t="s">
        <v>314</v>
      </c>
      <c r="C279" s="41"/>
      <c r="D279" s="41"/>
      <c r="E279" s="41"/>
      <c r="F279" s="38" t="e">
        <f t="shared" si="2"/>
        <v>#DIV/0!</v>
      </c>
      <c r="G279" s="38" t="e">
        <f t="shared" si="3"/>
        <v>#DIV/0!</v>
      </c>
      <c r="H279" s="38" t="e">
        <f t="shared" si="4"/>
        <v>#DIV/0!</v>
      </c>
      <c r="I279" s="24" t="e">
        <f t="shared" si="5"/>
        <v>#DIV/0!</v>
      </c>
      <c r="K279" s="38" t="e">
        <f t="shared" si="6"/>
        <v>#DIV/0!</v>
      </c>
      <c r="L279" s="39">
        <v>1</v>
      </c>
      <c r="M279" s="38" t="e">
        <f t="shared" si="7"/>
        <v>#DIV/0!</v>
      </c>
    </row>
    <row r="280" spans="2:13" outlineLevel="1">
      <c r="B280" s="13" t="s">
        <v>278</v>
      </c>
      <c r="C280" s="41"/>
      <c r="D280" s="41"/>
      <c r="E280" s="41"/>
      <c r="F280" s="38" t="e">
        <f t="shared" si="2"/>
        <v>#DIV/0!</v>
      </c>
      <c r="G280" s="38" t="e">
        <f t="shared" si="3"/>
        <v>#DIV/0!</v>
      </c>
      <c r="H280" s="38" t="e">
        <f t="shared" si="4"/>
        <v>#DIV/0!</v>
      </c>
      <c r="I280" s="24" t="e">
        <f t="shared" si="5"/>
        <v>#DIV/0!</v>
      </c>
      <c r="K280" s="38" t="e">
        <f t="shared" si="6"/>
        <v>#DIV/0!</v>
      </c>
      <c r="L280" s="39">
        <v>1</v>
      </c>
      <c r="M280" s="38" t="e">
        <f t="shared" si="7"/>
        <v>#DIV/0!</v>
      </c>
    </row>
    <row r="281" spans="2:13" outlineLevel="1">
      <c r="B281" s="13" t="s">
        <v>263</v>
      </c>
      <c r="C281" s="41"/>
      <c r="D281" s="41"/>
      <c r="E281" s="41"/>
      <c r="F281" s="38" t="e">
        <f t="shared" si="2"/>
        <v>#DIV/0!</v>
      </c>
      <c r="G281" s="38" t="e">
        <f t="shared" si="3"/>
        <v>#DIV/0!</v>
      </c>
      <c r="H281" s="38" t="e">
        <f t="shared" si="4"/>
        <v>#DIV/0!</v>
      </c>
      <c r="I281" s="24" t="e">
        <f t="shared" si="5"/>
        <v>#DIV/0!</v>
      </c>
      <c r="K281" s="38" t="e">
        <f t="shared" si="6"/>
        <v>#DIV/0!</v>
      </c>
      <c r="L281" s="39">
        <v>1</v>
      </c>
      <c r="M281" s="38" t="e">
        <f t="shared" si="7"/>
        <v>#DIV/0!</v>
      </c>
    </row>
    <row r="282" spans="2:13" outlineLevel="1">
      <c r="B282" s="13" t="s">
        <v>311</v>
      </c>
      <c r="C282" s="41"/>
      <c r="D282" s="41"/>
      <c r="E282" s="41"/>
      <c r="F282" s="38" t="e">
        <f t="shared" si="2"/>
        <v>#DIV/0!</v>
      </c>
      <c r="G282" s="38" t="e">
        <f t="shared" si="3"/>
        <v>#DIV/0!</v>
      </c>
      <c r="H282" s="38" t="e">
        <f t="shared" si="4"/>
        <v>#DIV/0!</v>
      </c>
      <c r="I282" s="24" t="e">
        <f t="shared" si="5"/>
        <v>#DIV/0!</v>
      </c>
      <c r="K282" s="38" t="e">
        <f t="shared" si="6"/>
        <v>#DIV/0!</v>
      </c>
      <c r="L282" s="39">
        <v>1</v>
      </c>
      <c r="M282" s="38" t="e">
        <f t="shared" si="7"/>
        <v>#DIV/0!</v>
      </c>
    </row>
    <row r="283" spans="2:13" outlineLevel="1">
      <c r="B283" s="13" t="s">
        <v>335</v>
      </c>
      <c r="C283" s="41"/>
      <c r="D283" s="41"/>
      <c r="E283" s="41"/>
      <c r="F283" s="38" t="e">
        <f t="shared" si="2"/>
        <v>#DIV/0!</v>
      </c>
      <c r="G283" s="38" t="e">
        <f t="shared" si="3"/>
        <v>#DIV/0!</v>
      </c>
      <c r="H283" s="38" t="e">
        <f t="shared" si="4"/>
        <v>#DIV/0!</v>
      </c>
      <c r="I283" s="24" t="e">
        <f t="shared" si="5"/>
        <v>#DIV/0!</v>
      </c>
      <c r="K283" s="38" t="e">
        <f t="shared" si="6"/>
        <v>#DIV/0!</v>
      </c>
      <c r="L283" s="39">
        <v>1</v>
      </c>
      <c r="M283" s="38" t="e">
        <f t="shared" si="7"/>
        <v>#DIV/0!</v>
      </c>
    </row>
    <row r="284" spans="2:13" outlineLevel="1">
      <c r="B284" s="13" t="s">
        <v>336</v>
      </c>
      <c r="C284" s="41"/>
      <c r="D284" s="41"/>
      <c r="E284" s="41"/>
      <c r="F284" s="38" t="e">
        <f t="shared" si="2"/>
        <v>#DIV/0!</v>
      </c>
      <c r="G284" s="38" t="e">
        <f t="shared" si="3"/>
        <v>#DIV/0!</v>
      </c>
      <c r="H284" s="38" t="e">
        <f t="shared" si="4"/>
        <v>#DIV/0!</v>
      </c>
      <c r="I284" s="24" t="e">
        <f t="shared" si="5"/>
        <v>#DIV/0!</v>
      </c>
      <c r="K284" s="38" t="e">
        <f t="shared" si="6"/>
        <v>#DIV/0!</v>
      </c>
      <c r="L284" s="39">
        <v>1</v>
      </c>
      <c r="M284" s="38" t="e">
        <f t="shared" si="7"/>
        <v>#DIV/0!</v>
      </c>
    </row>
    <row r="285" spans="2:13" outlineLevel="1">
      <c r="B285" s="13" t="s">
        <v>173</v>
      </c>
      <c r="C285" s="41"/>
      <c r="D285" s="41"/>
      <c r="E285" s="41"/>
      <c r="F285" s="38" t="e">
        <f t="shared" si="2"/>
        <v>#DIV/0!</v>
      </c>
      <c r="G285" s="38" t="e">
        <f t="shared" si="3"/>
        <v>#DIV/0!</v>
      </c>
      <c r="H285" s="38" t="e">
        <f t="shared" si="4"/>
        <v>#DIV/0!</v>
      </c>
      <c r="I285" s="24" t="e">
        <f t="shared" si="5"/>
        <v>#DIV/0!</v>
      </c>
      <c r="K285" s="38" t="e">
        <f t="shared" si="6"/>
        <v>#DIV/0!</v>
      </c>
      <c r="L285" s="39">
        <v>1</v>
      </c>
      <c r="M285" s="38" t="e">
        <f t="shared" si="7"/>
        <v>#DIV/0!</v>
      </c>
    </row>
    <row r="286" spans="2:13" outlineLevel="1">
      <c r="B286" s="13" t="s">
        <v>287</v>
      </c>
      <c r="C286" s="41"/>
      <c r="D286" s="41"/>
      <c r="E286" s="41"/>
      <c r="F286" s="38" t="e">
        <f t="shared" si="2"/>
        <v>#DIV/0!</v>
      </c>
      <c r="G286" s="38" t="e">
        <f t="shared" si="3"/>
        <v>#DIV/0!</v>
      </c>
      <c r="H286" s="38" t="e">
        <f t="shared" si="4"/>
        <v>#DIV/0!</v>
      </c>
      <c r="I286" s="24" t="e">
        <f t="shared" si="5"/>
        <v>#DIV/0!</v>
      </c>
      <c r="K286" s="38" t="e">
        <f t="shared" si="6"/>
        <v>#DIV/0!</v>
      </c>
      <c r="L286" s="39">
        <v>1</v>
      </c>
      <c r="M286" s="38" t="e">
        <f t="shared" si="7"/>
        <v>#DIV/0!</v>
      </c>
    </row>
    <row r="287" spans="2:13" outlineLevel="1">
      <c r="B287" s="13" t="s">
        <v>337</v>
      </c>
      <c r="C287" s="41"/>
      <c r="D287" s="41"/>
      <c r="E287" s="41"/>
      <c r="F287" s="38" t="e">
        <f t="shared" si="2"/>
        <v>#DIV/0!</v>
      </c>
      <c r="G287" s="38" t="e">
        <f t="shared" si="3"/>
        <v>#DIV/0!</v>
      </c>
      <c r="H287" s="38" t="e">
        <f t="shared" si="4"/>
        <v>#DIV/0!</v>
      </c>
      <c r="I287" s="24" t="e">
        <f t="shared" si="5"/>
        <v>#DIV/0!</v>
      </c>
      <c r="K287" s="38" t="e">
        <f t="shared" si="6"/>
        <v>#DIV/0!</v>
      </c>
      <c r="L287" s="39">
        <v>1</v>
      </c>
      <c r="M287" s="38" t="e">
        <f t="shared" si="7"/>
        <v>#DIV/0!</v>
      </c>
    </row>
    <row r="288" spans="2:13" outlineLevel="1">
      <c r="B288" s="13" t="s">
        <v>338</v>
      </c>
      <c r="C288" s="41"/>
      <c r="D288" s="41"/>
      <c r="E288" s="41"/>
      <c r="F288" s="38" t="e">
        <f t="shared" si="2"/>
        <v>#DIV/0!</v>
      </c>
      <c r="G288" s="38" t="e">
        <f t="shared" si="3"/>
        <v>#DIV/0!</v>
      </c>
      <c r="H288" s="38" t="e">
        <f t="shared" si="4"/>
        <v>#DIV/0!</v>
      </c>
      <c r="I288" s="24" t="e">
        <f t="shared" si="5"/>
        <v>#DIV/0!</v>
      </c>
      <c r="K288" s="38" t="e">
        <f t="shared" si="6"/>
        <v>#DIV/0!</v>
      </c>
      <c r="L288" s="39">
        <v>1</v>
      </c>
      <c r="M288" s="38" t="e">
        <f t="shared" si="7"/>
        <v>#DIV/0!</v>
      </c>
    </row>
    <row r="289" spans="2:13" outlineLevel="1">
      <c r="B289" s="13" t="s">
        <v>290</v>
      </c>
      <c r="C289" s="41"/>
      <c r="D289" s="41"/>
      <c r="E289" s="41"/>
      <c r="F289" s="38" t="e">
        <f t="shared" si="2"/>
        <v>#DIV/0!</v>
      </c>
      <c r="G289" s="38" t="e">
        <f t="shared" si="3"/>
        <v>#DIV/0!</v>
      </c>
      <c r="H289" s="38" t="e">
        <f t="shared" si="4"/>
        <v>#DIV/0!</v>
      </c>
      <c r="I289" s="24" t="e">
        <f t="shared" si="5"/>
        <v>#DIV/0!</v>
      </c>
      <c r="K289" s="38" t="e">
        <f t="shared" si="6"/>
        <v>#DIV/0!</v>
      </c>
      <c r="L289" s="39">
        <v>1</v>
      </c>
      <c r="M289" s="38" t="e">
        <f t="shared" si="7"/>
        <v>#DIV/0!</v>
      </c>
    </row>
    <row r="290" spans="2:13" outlineLevel="1">
      <c r="B290" s="13" t="s">
        <v>303</v>
      </c>
      <c r="C290" s="41"/>
      <c r="D290" s="41"/>
      <c r="E290" s="41"/>
      <c r="F290" s="38" t="e">
        <f t="shared" si="2"/>
        <v>#DIV/0!</v>
      </c>
      <c r="G290" s="38" t="e">
        <f t="shared" si="3"/>
        <v>#DIV/0!</v>
      </c>
      <c r="H290" s="38" t="e">
        <f t="shared" si="4"/>
        <v>#DIV/0!</v>
      </c>
      <c r="I290" s="24" t="e">
        <f t="shared" si="5"/>
        <v>#DIV/0!</v>
      </c>
      <c r="K290" s="38" t="e">
        <f t="shared" si="6"/>
        <v>#DIV/0!</v>
      </c>
      <c r="L290" s="39">
        <v>1</v>
      </c>
      <c r="M290" s="38" t="e">
        <f t="shared" si="7"/>
        <v>#DIV/0!</v>
      </c>
    </row>
    <row r="291" spans="2:13" outlineLevel="1">
      <c r="B291" s="13" t="s">
        <v>88</v>
      </c>
      <c r="C291" s="41"/>
      <c r="D291" s="41"/>
      <c r="E291" s="41"/>
      <c r="F291" s="38" t="e">
        <f t="shared" si="2"/>
        <v>#DIV/0!</v>
      </c>
      <c r="G291" s="38" t="e">
        <f t="shared" si="3"/>
        <v>#DIV/0!</v>
      </c>
      <c r="H291" s="38" t="e">
        <f t="shared" si="4"/>
        <v>#DIV/0!</v>
      </c>
      <c r="I291" s="24" t="e">
        <f t="shared" si="5"/>
        <v>#DIV/0!</v>
      </c>
      <c r="K291" s="38" t="e">
        <f t="shared" si="6"/>
        <v>#DIV/0!</v>
      </c>
      <c r="L291" s="39">
        <v>1</v>
      </c>
      <c r="M291" s="38" t="e">
        <f t="shared" si="7"/>
        <v>#DIV/0!</v>
      </c>
    </row>
    <row r="292" spans="2:13" outlineLevel="1">
      <c r="B292" s="13" t="s">
        <v>281</v>
      </c>
      <c r="C292" s="41"/>
      <c r="D292" s="41"/>
      <c r="E292" s="41"/>
      <c r="F292" s="38" t="e">
        <f t="shared" si="2"/>
        <v>#DIV/0!</v>
      </c>
      <c r="G292" s="38" t="e">
        <f t="shared" si="3"/>
        <v>#DIV/0!</v>
      </c>
      <c r="H292" s="38" t="e">
        <f t="shared" si="4"/>
        <v>#DIV/0!</v>
      </c>
      <c r="I292" s="24" t="e">
        <f t="shared" si="5"/>
        <v>#DIV/0!</v>
      </c>
      <c r="K292" s="38" t="e">
        <f t="shared" si="6"/>
        <v>#DIV/0!</v>
      </c>
      <c r="L292" s="39">
        <v>1</v>
      </c>
      <c r="M292" s="38" t="e">
        <f t="shared" si="7"/>
        <v>#DIV/0!</v>
      </c>
    </row>
    <row r="293" spans="2:13" outlineLevel="1">
      <c r="B293" s="13" t="s">
        <v>254</v>
      </c>
      <c r="C293" s="41"/>
      <c r="D293" s="41"/>
      <c r="E293" s="41"/>
      <c r="F293" s="38" t="e">
        <f t="shared" si="2"/>
        <v>#DIV/0!</v>
      </c>
      <c r="G293" s="38" t="e">
        <f t="shared" si="3"/>
        <v>#DIV/0!</v>
      </c>
      <c r="H293" s="38" t="e">
        <f t="shared" si="4"/>
        <v>#DIV/0!</v>
      </c>
      <c r="I293" s="24" t="e">
        <f t="shared" si="5"/>
        <v>#DIV/0!</v>
      </c>
      <c r="K293" s="38" t="e">
        <f t="shared" si="6"/>
        <v>#DIV/0!</v>
      </c>
      <c r="L293" s="39">
        <v>1</v>
      </c>
      <c r="M293" s="38" t="e">
        <f t="shared" si="7"/>
        <v>#DIV/0!</v>
      </c>
    </row>
    <row r="294" spans="2:13" outlineLevel="1">
      <c r="B294" s="13" t="s">
        <v>339</v>
      </c>
      <c r="C294" s="41"/>
      <c r="D294" s="41"/>
      <c r="E294" s="41"/>
      <c r="F294" s="38" t="e">
        <f t="shared" si="2"/>
        <v>#DIV/0!</v>
      </c>
      <c r="G294" s="38" t="e">
        <f t="shared" si="3"/>
        <v>#DIV/0!</v>
      </c>
      <c r="H294" s="38" t="e">
        <f t="shared" si="4"/>
        <v>#DIV/0!</v>
      </c>
      <c r="I294" s="24" t="e">
        <f t="shared" si="5"/>
        <v>#DIV/0!</v>
      </c>
      <c r="K294" s="38" t="e">
        <f t="shared" si="6"/>
        <v>#DIV/0!</v>
      </c>
      <c r="L294" s="39">
        <v>1</v>
      </c>
      <c r="M294" s="38" t="e">
        <f t="shared" si="7"/>
        <v>#DIV/0!</v>
      </c>
    </row>
    <row r="295" spans="2:13" outlineLevel="1">
      <c r="B295" s="13" t="s">
        <v>165</v>
      </c>
      <c r="C295" s="41"/>
      <c r="D295" s="41"/>
      <c r="E295" s="41"/>
      <c r="F295" s="38" t="e">
        <f t="shared" si="2"/>
        <v>#DIV/0!</v>
      </c>
      <c r="G295" s="38" t="e">
        <f t="shared" si="3"/>
        <v>#DIV/0!</v>
      </c>
      <c r="H295" s="38" t="e">
        <f t="shared" si="4"/>
        <v>#DIV/0!</v>
      </c>
      <c r="I295" s="24" t="e">
        <f t="shared" si="5"/>
        <v>#DIV/0!</v>
      </c>
      <c r="K295" s="38" t="e">
        <f t="shared" si="6"/>
        <v>#DIV/0!</v>
      </c>
      <c r="L295" s="39">
        <v>1</v>
      </c>
      <c r="M295" s="38" t="e">
        <f t="shared" si="7"/>
        <v>#DIV/0!</v>
      </c>
    </row>
    <row r="296" spans="2:13" outlineLevel="1">
      <c r="B296" s="13" t="s">
        <v>66</v>
      </c>
      <c r="C296" s="41"/>
      <c r="D296" s="41"/>
      <c r="E296" s="41"/>
      <c r="F296" s="38" t="e">
        <f t="shared" si="2"/>
        <v>#DIV/0!</v>
      </c>
      <c r="G296" s="38" t="e">
        <f t="shared" si="3"/>
        <v>#DIV/0!</v>
      </c>
      <c r="H296" s="38" t="e">
        <f t="shared" si="4"/>
        <v>#DIV/0!</v>
      </c>
      <c r="I296" s="24" t="e">
        <f t="shared" si="5"/>
        <v>#DIV/0!</v>
      </c>
      <c r="K296" s="38" t="e">
        <f t="shared" si="6"/>
        <v>#DIV/0!</v>
      </c>
      <c r="L296" s="39">
        <v>1</v>
      </c>
      <c r="M296" s="38" t="e">
        <f t="shared" si="7"/>
        <v>#DIV/0!</v>
      </c>
    </row>
    <row r="297" spans="2:13" outlineLevel="1">
      <c r="B297" s="13" t="s">
        <v>119</v>
      </c>
      <c r="C297" s="41"/>
      <c r="D297" s="41"/>
      <c r="E297" s="41"/>
      <c r="F297" s="38" t="e">
        <f t="shared" si="2"/>
        <v>#DIV/0!</v>
      </c>
      <c r="G297" s="38" t="e">
        <f t="shared" si="3"/>
        <v>#DIV/0!</v>
      </c>
      <c r="H297" s="38" t="e">
        <f t="shared" si="4"/>
        <v>#DIV/0!</v>
      </c>
      <c r="I297" s="24" t="e">
        <f t="shared" si="5"/>
        <v>#DIV/0!</v>
      </c>
      <c r="K297" s="38" t="e">
        <f t="shared" si="6"/>
        <v>#DIV/0!</v>
      </c>
      <c r="L297" s="39">
        <v>1</v>
      </c>
      <c r="M297" s="38" t="e">
        <f t="shared" si="7"/>
        <v>#DIV/0!</v>
      </c>
    </row>
    <row r="298" spans="2:13" outlineLevel="1">
      <c r="B298" s="13" t="s">
        <v>274</v>
      </c>
      <c r="C298" s="41"/>
      <c r="D298" s="41"/>
      <c r="E298" s="41"/>
      <c r="F298" s="38" t="e">
        <f t="shared" si="2"/>
        <v>#DIV/0!</v>
      </c>
      <c r="G298" s="38" t="e">
        <f t="shared" si="3"/>
        <v>#DIV/0!</v>
      </c>
      <c r="H298" s="38" t="e">
        <f t="shared" si="4"/>
        <v>#DIV/0!</v>
      </c>
      <c r="I298" s="24" t="e">
        <f t="shared" si="5"/>
        <v>#DIV/0!</v>
      </c>
      <c r="K298" s="38" t="e">
        <f t="shared" si="6"/>
        <v>#DIV/0!</v>
      </c>
      <c r="L298" s="39">
        <v>1</v>
      </c>
      <c r="M298" s="38" t="e">
        <f t="shared" si="7"/>
        <v>#DIV/0!</v>
      </c>
    </row>
    <row r="299" spans="2:13" outlineLevel="1">
      <c r="B299" s="13" t="s">
        <v>315</v>
      </c>
      <c r="C299" s="41"/>
      <c r="D299" s="41"/>
      <c r="E299" s="41"/>
      <c r="F299" s="38" t="e">
        <f t="shared" si="2"/>
        <v>#DIV/0!</v>
      </c>
      <c r="G299" s="38" t="e">
        <f t="shared" si="3"/>
        <v>#DIV/0!</v>
      </c>
      <c r="H299" s="38" t="e">
        <f t="shared" si="4"/>
        <v>#DIV/0!</v>
      </c>
      <c r="I299" s="24" t="e">
        <f t="shared" si="5"/>
        <v>#DIV/0!</v>
      </c>
      <c r="K299" s="38" t="e">
        <f t="shared" si="6"/>
        <v>#DIV/0!</v>
      </c>
      <c r="L299" s="39">
        <v>1</v>
      </c>
      <c r="M299" s="38" t="e">
        <f t="shared" si="7"/>
        <v>#DIV/0!</v>
      </c>
    </row>
    <row r="300" spans="2:13" outlineLevel="1">
      <c r="B300" s="13" t="s">
        <v>340</v>
      </c>
      <c r="C300" s="41"/>
      <c r="D300" s="41"/>
      <c r="E300" s="41"/>
      <c r="F300" s="38" t="e">
        <f t="shared" si="2"/>
        <v>#DIV/0!</v>
      </c>
      <c r="G300" s="38" t="e">
        <f t="shared" si="3"/>
        <v>#DIV/0!</v>
      </c>
      <c r="H300" s="38" t="e">
        <f t="shared" si="4"/>
        <v>#DIV/0!</v>
      </c>
      <c r="I300" s="24" t="e">
        <f t="shared" si="5"/>
        <v>#DIV/0!</v>
      </c>
      <c r="K300" s="38" t="e">
        <f t="shared" si="6"/>
        <v>#DIV/0!</v>
      </c>
      <c r="L300" s="39">
        <v>1</v>
      </c>
      <c r="M300" s="38" t="e">
        <f t="shared" si="7"/>
        <v>#DIV/0!</v>
      </c>
    </row>
    <row r="301" spans="2:13" outlineLevel="1">
      <c r="B301" s="13" t="s">
        <v>341</v>
      </c>
      <c r="C301" s="41"/>
      <c r="D301" s="41"/>
      <c r="E301" s="41"/>
      <c r="F301" s="38" t="e">
        <f t="shared" si="2"/>
        <v>#DIV/0!</v>
      </c>
      <c r="G301" s="38" t="e">
        <f t="shared" si="3"/>
        <v>#DIV/0!</v>
      </c>
      <c r="H301" s="38" t="e">
        <f t="shared" si="4"/>
        <v>#DIV/0!</v>
      </c>
      <c r="I301" s="24" t="e">
        <f t="shared" si="5"/>
        <v>#DIV/0!</v>
      </c>
      <c r="K301" s="38" t="e">
        <f t="shared" si="6"/>
        <v>#DIV/0!</v>
      </c>
      <c r="L301" s="39">
        <v>1</v>
      </c>
      <c r="M301" s="38" t="e">
        <f t="shared" si="7"/>
        <v>#DIV/0!</v>
      </c>
    </row>
    <row r="302" spans="2:13" outlineLevel="1">
      <c r="B302" s="13" t="s">
        <v>342</v>
      </c>
      <c r="C302" s="41"/>
      <c r="D302" s="41"/>
      <c r="E302" s="41"/>
      <c r="F302" s="38" t="e">
        <f t="shared" si="2"/>
        <v>#DIV/0!</v>
      </c>
      <c r="G302" s="38" t="e">
        <f t="shared" si="3"/>
        <v>#DIV/0!</v>
      </c>
      <c r="H302" s="38" t="e">
        <f t="shared" si="4"/>
        <v>#DIV/0!</v>
      </c>
      <c r="I302" s="24" t="e">
        <f t="shared" si="5"/>
        <v>#DIV/0!</v>
      </c>
      <c r="K302" s="38" t="e">
        <f t="shared" si="6"/>
        <v>#DIV/0!</v>
      </c>
      <c r="L302" s="39">
        <v>1</v>
      </c>
      <c r="M302" s="38" t="e">
        <f t="shared" si="7"/>
        <v>#DIV/0!</v>
      </c>
    </row>
    <row r="303" spans="2:13" outlineLevel="1">
      <c r="B303" s="13" t="s">
        <v>343</v>
      </c>
      <c r="C303" s="41"/>
      <c r="D303" s="41"/>
      <c r="E303" s="41"/>
      <c r="F303" s="38" t="e">
        <f t="shared" si="2"/>
        <v>#DIV/0!</v>
      </c>
      <c r="G303" s="38" t="e">
        <f t="shared" si="3"/>
        <v>#DIV/0!</v>
      </c>
      <c r="H303" s="38" t="e">
        <f t="shared" si="4"/>
        <v>#DIV/0!</v>
      </c>
      <c r="I303" s="24" t="e">
        <f t="shared" si="5"/>
        <v>#DIV/0!</v>
      </c>
      <c r="K303" s="38" t="e">
        <f t="shared" si="6"/>
        <v>#DIV/0!</v>
      </c>
      <c r="L303" s="39">
        <v>1</v>
      </c>
      <c r="M303" s="38" t="e">
        <f t="shared" si="7"/>
        <v>#DIV/0!</v>
      </c>
    </row>
    <row r="304" spans="2:13" outlineLevel="1">
      <c r="B304" s="13" t="s">
        <v>344</v>
      </c>
      <c r="C304" s="41"/>
      <c r="D304" s="41"/>
      <c r="E304" s="41"/>
      <c r="F304" s="38" t="e">
        <f t="shared" si="2"/>
        <v>#DIV/0!</v>
      </c>
      <c r="G304" s="38" t="e">
        <f t="shared" si="3"/>
        <v>#DIV/0!</v>
      </c>
      <c r="H304" s="38" t="e">
        <f t="shared" si="4"/>
        <v>#DIV/0!</v>
      </c>
      <c r="I304" s="24" t="e">
        <f t="shared" si="5"/>
        <v>#DIV/0!</v>
      </c>
      <c r="K304" s="38" t="e">
        <f t="shared" si="6"/>
        <v>#DIV/0!</v>
      </c>
      <c r="L304" s="39">
        <v>1</v>
      </c>
      <c r="M304" s="38" t="e">
        <f t="shared" si="7"/>
        <v>#DIV/0!</v>
      </c>
    </row>
    <row r="305" spans="2:13" outlineLevel="1">
      <c r="B305" s="13" t="s">
        <v>345</v>
      </c>
      <c r="C305" s="41"/>
      <c r="D305" s="41"/>
      <c r="E305" s="41"/>
      <c r="F305" s="38" t="e">
        <f t="shared" si="2"/>
        <v>#DIV/0!</v>
      </c>
      <c r="G305" s="38" t="e">
        <f t="shared" si="3"/>
        <v>#DIV/0!</v>
      </c>
      <c r="H305" s="38" t="e">
        <f t="shared" si="4"/>
        <v>#DIV/0!</v>
      </c>
      <c r="I305" s="24" t="e">
        <f t="shared" si="5"/>
        <v>#DIV/0!</v>
      </c>
      <c r="K305" s="38" t="e">
        <f t="shared" si="6"/>
        <v>#DIV/0!</v>
      </c>
      <c r="L305" s="39">
        <v>1</v>
      </c>
      <c r="M305" s="38" t="e">
        <f t="shared" si="7"/>
        <v>#DIV/0!</v>
      </c>
    </row>
    <row r="306" spans="2:13" outlineLevel="1">
      <c r="B306" s="13" t="s">
        <v>346</v>
      </c>
      <c r="C306" s="41"/>
      <c r="D306" s="41"/>
      <c r="E306" s="41"/>
      <c r="F306" s="38" t="e">
        <f t="shared" si="2"/>
        <v>#DIV/0!</v>
      </c>
      <c r="G306" s="38" t="e">
        <f t="shared" si="3"/>
        <v>#DIV/0!</v>
      </c>
      <c r="H306" s="38" t="e">
        <f t="shared" si="4"/>
        <v>#DIV/0!</v>
      </c>
      <c r="I306" s="24" t="e">
        <f t="shared" si="5"/>
        <v>#DIV/0!</v>
      </c>
      <c r="K306" s="38" t="e">
        <f t="shared" si="6"/>
        <v>#DIV/0!</v>
      </c>
      <c r="L306" s="39">
        <v>1</v>
      </c>
      <c r="M306" s="38" t="e">
        <f t="shared" si="7"/>
        <v>#DIV/0!</v>
      </c>
    </row>
    <row r="307" spans="2:13" outlineLevel="1">
      <c r="B307" s="13" t="s">
        <v>347</v>
      </c>
      <c r="C307" s="41"/>
      <c r="D307" s="41"/>
      <c r="E307" s="41"/>
      <c r="F307" s="38" t="e">
        <f t="shared" si="2"/>
        <v>#DIV/0!</v>
      </c>
      <c r="G307" s="38" t="e">
        <f t="shared" si="3"/>
        <v>#DIV/0!</v>
      </c>
      <c r="H307" s="38" t="e">
        <f t="shared" si="4"/>
        <v>#DIV/0!</v>
      </c>
      <c r="I307" s="24" t="e">
        <f t="shared" si="5"/>
        <v>#DIV/0!</v>
      </c>
      <c r="K307" s="38" t="e">
        <f t="shared" si="6"/>
        <v>#DIV/0!</v>
      </c>
      <c r="L307" s="39">
        <v>1</v>
      </c>
      <c r="M307" s="38" t="e">
        <f t="shared" si="7"/>
        <v>#DIV/0!</v>
      </c>
    </row>
    <row r="308" spans="2:13" outlineLevel="1">
      <c r="B308" s="13" t="s">
        <v>348</v>
      </c>
      <c r="C308" s="41"/>
      <c r="D308" s="41"/>
      <c r="E308" s="41"/>
      <c r="F308" s="38" t="e">
        <f t="shared" si="2"/>
        <v>#DIV/0!</v>
      </c>
      <c r="G308" s="38" t="e">
        <f t="shared" si="3"/>
        <v>#DIV/0!</v>
      </c>
      <c r="H308" s="38" t="e">
        <f t="shared" si="4"/>
        <v>#DIV/0!</v>
      </c>
      <c r="I308" s="24" t="e">
        <f t="shared" si="5"/>
        <v>#DIV/0!</v>
      </c>
      <c r="K308" s="38" t="e">
        <f t="shared" si="6"/>
        <v>#DIV/0!</v>
      </c>
      <c r="L308" s="39">
        <v>1</v>
      </c>
      <c r="M308" s="38" t="e">
        <f t="shared" si="7"/>
        <v>#DIV/0!</v>
      </c>
    </row>
    <row r="309" spans="2:13" outlineLevel="1">
      <c r="B309" s="13" t="s">
        <v>349</v>
      </c>
      <c r="C309" s="35"/>
      <c r="D309" s="35"/>
      <c r="E309" s="35"/>
      <c r="F309" s="38" t="e">
        <f t="shared" ref="F309" si="8">+C309/$C$243</f>
        <v>#DIV/0!</v>
      </c>
      <c r="G309" s="38" t="e">
        <f t="shared" ref="G309" si="9">+D309/$D$243</f>
        <v>#DIV/0!</v>
      </c>
      <c r="H309" s="38" t="e">
        <f t="shared" ref="H309" si="10">+E309/$E$243</f>
        <v>#DIV/0!</v>
      </c>
      <c r="I309" s="24" t="e">
        <f t="shared" ref="I309" si="11">+AVERAGE(F309:H309)</f>
        <v>#DIV/0!</v>
      </c>
      <c r="K309" s="38" t="e">
        <f t="shared" ref="K309" si="12">+I309*J309</f>
        <v>#DIV/0!</v>
      </c>
      <c r="L309" s="39">
        <v>1</v>
      </c>
      <c r="M309" s="38" t="e">
        <f t="shared" ref="M309" si="13">+K309*L309</f>
        <v>#DIV/0!</v>
      </c>
    </row>
    <row r="310" spans="2:13">
      <c r="K310" s="38"/>
      <c r="L310" s="39"/>
      <c r="M310" s="38"/>
    </row>
    <row r="311" spans="2:13">
      <c r="B311" s="13" t="s">
        <v>350</v>
      </c>
      <c r="C311" s="35"/>
      <c r="D311" s="35"/>
      <c r="E311" s="35"/>
      <c r="F311" s="36" t="e">
        <f t="shared" ref="F311:G311" si="14">+SUM(F257:F309)</f>
        <v>#DIV/0!</v>
      </c>
      <c r="G311" s="36" t="e">
        <f t="shared" si="14"/>
        <v>#DIV/0!</v>
      </c>
      <c r="H311" s="36" t="e">
        <f>+SUM(H257:H309)</f>
        <v>#DIV/0!</v>
      </c>
      <c r="I311" s="42" t="e">
        <f>+SUM(I257:I309)</f>
        <v>#DIV/0!</v>
      </c>
      <c r="J311" s="37">
        <f>+L230</f>
        <v>1.9E-2</v>
      </c>
      <c r="K311" s="38" t="e">
        <f t="shared" ref="K311" si="15">+I311*J311</f>
        <v>#DIV/0!</v>
      </c>
      <c r="L311" s="39">
        <v>1</v>
      </c>
      <c r="M311" s="38" t="e">
        <f t="shared" ref="M311" si="16">+K311*L311</f>
        <v>#DIV/0!</v>
      </c>
    </row>
    <row r="313" spans="2:13" ht="13.5" thickBot="1">
      <c r="J313" s="43" t="s">
        <v>0</v>
      </c>
      <c r="K313" s="44" t="e">
        <f>+SUM(K244:K256)+K311</f>
        <v>#DIV/0!</v>
      </c>
      <c r="L313" s="44"/>
      <c r="M313" s="44" t="e">
        <f>+SUM(M244:M256)+M311</f>
        <v>#DIV/0!</v>
      </c>
    </row>
    <row r="314" spans="2:13" ht="13.5" thickTop="1"/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B2"/>
  <sheetViews>
    <sheetView showGridLines="0" workbookViewId="0">
      <selection activeCell="P30" sqref="P30"/>
    </sheetView>
  </sheetViews>
  <sheetFormatPr defaultColWidth="8.7109375" defaultRowHeight="15"/>
  <cols>
    <col min="1" max="16384" width="8.7109375" style="543"/>
  </cols>
  <sheetData>
    <row r="2" spans="2:2" ht="49.5">
      <c r="B2" s="544" t="s">
        <v>1815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theme="8"/>
  </sheetPr>
  <dimension ref="A1:AL762"/>
  <sheetViews>
    <sheetView showGridLines="0" topLeftCell="A425" zoomScale="87" zoomScaleNormal="130" workbookViewId="0">
      <pane xSplit="4" topLeftCell="E1" activePane="topRight" state="frozen"/>
      <selection activeCell="A425" sqref="A425"/>
      <selection pane="topRight" activeCell="H440" sqref="A1:AL762"/>
    </sheetView>
  </sheetViews>
  <sheetFormatPr defaultColWidth="8.7109375" defaultRowHeight="15" outlineLevelRow="1" outlineLevelCol="1"/>
  <cols>
    <col min="1" max="2" width="8.7109375" style="545"/>
    <col min="3" max="3" width="40" style="545" bestFit="1" customWidth="1"/>
    <col min="4" max="4" width="45.28515625" style="545" customWidth="1"/>
    <col min="5" max="5" width="15.140625" style="697" customWidth="1"/>
    <col min="6" max="6" width="15.140625" style="698" customWidth="1"/>
    <col min="7" max="7" width="15.28515625" style="698" bestFit="1" customWidth="1" outlineLevel="1"/>
    <col min="8" max="10" width="16.140625" style="698" bestFit="1" customWidth="1" outlineLevel="1"/>
    <col min="11" max="15" width="12.5703125" style="545" bestFit="1" customWidth="1" outlineLevel="1"/>
    <col min="16" max="16" width="4.28515625" style="545" customWidth="1"/>
    <col min="17" max="25" width="8.7109375" style="545" customWidth="1" outlineLevel="1"/>
    <col min="26" max="26" width="8.7109375" style="545"/>
    <col min="27" max="36" width="8.7109375" style="545" outlineLevel="1"/>
    <col min="37" max="37" width="3" style="545" customWidth="1" outlineLevel="1"/>
    <col min="38" max="38" width="14.7109375" style="545" customWidth="1" outlineLevel="1"/>
    <col min="39" max="16384" width="8.7109375" style="545"/>
  </cols>
  <sheetData>
    <row r="1" spans="2:38" ht="6" customHeight="1">
      <c r="D1" s="565"/>
      <c r="E1" s="652"/>
      <c r="F1" s="653"/>
      <c r="G1" s="654"/>
      <c r="H1" s="654"/>
      <c r="I1" s="654"/>
      <c r="J1" s="654"/>
      <c r="K1" s="546"/>
      <c r="L1" s="546"/>
      <c r="M1" s="546"/>
      <c r="N1" s="546"/>
      <c r="O1" s="546"/>
    </row>
    <row r="2" spans="2:38">
      <c r="D2" s="565"/>
      <c r="E2" s="652"/>
      <c r="F2" s="653"/>
      <c r="G2" s="654"/>
      <c r="H2" s="654"/>
      <c r="I2" s="654"/>
      <c r="J2" s="654"/>
      <c r="K2" s="546"/>
      <c r="L2" s="546"/>
      <c r="M2" s="546"/>
      <c r="N2" s="546"/>
      <c r="O2" s="546"/>
      <c r="Q2" s="1528" t="s">
        <v>2450</v>
      </c>
      <c r="R2" s="1528"/>
      <c r="S2" s="1528"/>
      <c r="T2" s="1528"/>
      <c r="U2" s="1528"/>
      <c r="V2" s="1528"/>
      <c r="W2" s="1528"/>
      <c r="X2" s="1528"/>
      <c r="Y2" s="1528"/>
      <c r="AA2" s="1529" t="s">
        <v>352</v>
      </c>
      <c r="AB2" s="1529"/>
      <c r="AC2" s="1529"/>
      <c r="AD2" s="1529"/>
      <c r="AE2" s="1529"/>
      <c r="AF2" s="1529"/>
      <c r="AG2" s="1529"/>
      <c r="AH2" s="1529"/>
      <c r="AI2" s="1529"/>
      <c r="AJ2" s="1529"/>
    </row>
    <row r="3" spans="2:38">
      <c r="D3" s="565"/>
      <c r="E3" s="554">
        <v>2018</v>
      </c>
      <c r="F3" s="554">
        <v>2019</v>
      </c>
      <c r="G3" s="554">
        <v>2020</v>
      </c>
      <c r="H3" s="554">
        <v>2021</v>
      </c>
      <c r="I3" s="554">
        <v>2022</v>
      </c>
      <c r="J3" s="1033">
        <v>45078</v>
      </c>
      <c r="K3" s="554">
        <f>+I3+1</f>
        <v>2023</v>
      </c>
      <c r="L3" s="554">
        <f t="shared" ref="L3:O3" si="0">+K3+1</f>
        <v>2024</v>
      </c>
      <c r="M3" s="554">
        <f t="shared" si="0"/>
        <v>2025</v>
      </c>
      <c r="N3" s="554">
        <f t="shared" si="0"/>
        <v>2026</v>
      </c>
      <c r="O3" s="554">
        <f t="shared" si="0"/>
        <v>2027</v>
      </c>
      <c r="Q3" s="554" t="s">
        <v>2442</v>
      </c>
      <c r="R3" s="554" t="s">
        <v>2443</v>
      </c>
      <c r="S3" s="554" t="s">
        <v>2444</v>
      </c>
      <c r="T3" s="554" t="s">
        <v>2445</v>
      </c>
      <c r="U3" s="554" t="s">
        <v>2446</v>
      </c>
      <c r="V3" s="554" t="s">
        <v>2447</v>
      </c>
      <c r="W3" s="554" t="s">
        <v>2448</v>
      </c>
      <c r="X3" s="554" t="s">
        <v>2449</v>
      </c>
      <c r="Y3" s="554" t="s">
        <v>358</v>
      </c>
      <c r="AA3" s="566">
        <v>2018</v>
      </c>
      <c r="AB3" s="566">
        <v>2019</v>
      </c>
      <c r="AC3" s="554">
        <v>2020</v>
      </c>
      <c r="AD3" s="554">
        <v>2021</v>
      </c>
      <c r="AE3" s="554">
        <v>2022</v>
      </c>
      <c r="AF3" s="554">
        <f>+AE3+1</f>
        <v>2023</v>
      </c>
      <c r="AG3" s="554">
        <f t="shared" ref="AG3:AJ3" si="1">+AF3+1</f>
        <v>2024</v>
      </c>
      <c r="AH3" s="554">
        <f t="shared" si="1"/>
        <v>2025</v>
      </c>
      <c r="AI3" s="554">
        <f t="shared" si="1"/>
        <v>2026</v>
      </c>
      <c r="AJ3" s="554">
        <f t="shared" si="1"/>
        <v>2027</v>
      </c>
      <c r="AL3" s="566" t="s">
        <v>2451</v>
      </c>
    </row>
    <row r="4" spans="2:38">
      <c r="D4" s="567" t="s">
        <v>1816</v>
      </c>
      <c r="E4" s="655"/>
      <c r="F4" s="656"/>
      <c r="G4" s="657"/>
      <c r="H4" s="657"/>
      <c r="I4" s="657"/>
      <c r="J4" s="657"/>
      <c r="K4" s="547"/>
      <c r="L4" s="547"/>
      <c r="M4" s="547"/>
      <c r="N4" s="547"/>
      <c r="O4" s="547"/>
    </row>
    <row r="5" spans="2:38" ht="12.6" customHeight="1" outlineLevel="1">
      <c r="D5" s="575" t="s">
        <v>1817</v>
      </c>
      <c r="E5" s="658"/>
      <c r="F5" s="659"/>
      <c r="G5" s="654"/>
      <c r="H5" s="654"/>
      <c r="I5" s="654"/>
      <c r="J5" s="654"/>
      <c r="K5" s="546"/>
      <c r="L5" s="546"/>
      <c r="M5" s="546"/>
      <c r="N5" s="546"/>
      <c r="O5" s="546"/>
    </row>
    <row r="6" spans="2:38" ht="11.65" customHeight="1" outlineLevel="1">
      <c r="D6" s="568" t="s">
        <v>1818</v>
      </c>
      <c r="E6" s="660"/>
      <c r="F6" s="661"/>
      <c r="G6" s="657"/>
      <c r="H6" s="657"/>
      <c r="I6" s="657"/>
      <c r="J6" s="657"/>
      <c r="K6" s="547"/>
      <c r="L6" s="547"/>
      <c r="M6" s="547"/>
      <c r="N6" s="547"/>
      <c r="O6" s="547"/>
    </row>
    <row r="7" spans="2:38" ht="12.6" customHeight="1" outlineLevel="1">
      <c r="D7" s="569" t="s">
        <v>1819</v>
      </c>
      <c r="E7" s="662"/>
      <c r="F7" s="663"/>
      <c r="G7" s="654"/>
      <c r="H7" s="654"/>
      <c r="I7" s="654"/>
      <c r="J7" s="654"/>
      <c r="K7" s="546"/>
      <c r="L7" s="546"/>
      <c r="M7" s="546"/>
      <c r="N7" s="546"/>
      <c r="O7" s="546"/>
    </row>
    <row r="8" spans="2:38" ht="11.65" customHeight="1" outlineLevel="1">
      <c r="B8" s="562" t="s">
        <v>239</v>
      </c>
      <c r="C8" s="562" t="s">
        <v>401</v>
      </c>
      <c r="D8" s="571" t="s">
        <v>1820</v>
      </c>
      <c r="E8" s="664">
        <v>2324.06</v>
      </c>
      <c r="F8" s="664">
        <v>2324.06</v>
      </c>
      <c r="G8" s="665">
        <v>2324.06</v>
      </c>
      <c r="H8" s="665">
        <v>2324.06</v>
      </c>
      <c r="I8" s="665">
        <v>2324.06</v>
      </c>
      <c r="J8" s="665">
        <v>2324.06</v>
      </c>
      <c r="K8" s="588"/>
      <c r="L8" s="588"/>
      <c r="M8" s="588"/>
      <c r="N8" s="588"/>
      <c r="O8" s="588"/>
      <c r="Q8" s="594">
        <f t="shared" ref="Q8:Q13" si="2">+IFERROR(F8/E8-1,0)</f>
        <v>0</v>
      </c>
      <c r="R8" s="594">
        <f>+IFERROR(G8/F8-1,0)</f>
        <v>0</v>
      </c>
      <c r="S8" s="594">
        <f>+IFERROR(H8/G8-1,0)</f>
        <v>0</v>
      </c>
      <c r="T8" s="594">
        <f>+IFERROR(I8/H8-1,0)</f>
        <v>0</v>
      </c>
      <c r="U8" s="594">
        <f>+IFERROR(K8/I8-1,0)</f>
        <v>-1</v>
      </c>
      <c r="V8" s="594">
        <f t="shared" ref="V8:Y8" si="3">+IFERROR(L8/K8-1,0)</f>
        <v>0</v>
      </c>
      <c r="W8" s="594">
        <f t="shared" si="3"/>
        <v>0</v>
      </c>
      <c r="X8" s="594">
        <f t="shared" si="3"/>
        <v>0</v>
      </c>
      <c r="Y8" s="594">
        <f t="shared" si="3"/>
        <v>0</v>
      </c>
    </row>
    <row r="9" spans="2:38" ht="12.6" customHeight="1" outlineLevel="1">
      <c r="B9" s="562" t="s">
        <v>239</v>
      </c>
      <c r="C9" s="562" t="s">
        <v>401</v>
      </c>
      <c r="D9" s="572" t="s">
        <v>1821</v>
      </c>
      <c r="E9" s="664">
        <v>-2324.06</v>
      </c>
      <c r="F9" s="664">
        <v>-2324.06</v>
      </c>
      <c r="G9" s="665">
        <v>-2324.06</v>
      </c>
      <c r="H9" s="665">
        <v>-2324.06</v>
      </c>
      <c r="I9" s="665">
        <v>-2324.06</v>
      </c>
      <c r="J9" s="665">
        <v>-2324.06</v>
      </c>
      <c r="K9" s="588"/>
      <c r="L9" s="588"/>
      <c r="M9" s="588"/>
      <c r="N9" s="588"/>
      <c r="O9" s="588"/>
      <c r="Q9" s="594">
        <f t="shared" si="2"/>
        <v>0</v>
      </c>
      <c r="R9" s="594">
        <f t="shared" ref="R9:R13" si="4">+IFERROR(G9/F9-1,0)</f>
        <v>0</v>
      </c>
      <c r="S9" s="594">
        <f t="shared" ref="S9:S13" si="5">+IFERROR(H9/G9-1,0)</f>
        <v>0</v>
      </c>
      <c r="T9" s="594">
        <f t="shared" ref="T9:T13" si="6">+IFERROR(I9/H9-1,0)</f>
        <v>0</v>
      </c>
      <c r="U9" s="594">
        <f t="shared" ref="U9:U13" si="7">+IFERROR(K9/I9-1,0)</f>
        <v>-1</v>
      </c>
      <c r="V9" s="594">
        <f t="shared" ref="V9:V13" si="8">+IFERROR(L9/K9-1,0)</f>
        <v>0</v>
      </c>
      <c r="W9" s="594">
        <f t="shared" ref="W9:W13" si="9">+IFERROR(M9/L9-1,0)</f>
        <v>0</v>
      </c>
      <c r="X9" s="594">
        <f t="shared" ref="X9:X13" si="10">+IFERROR(N9/M9-1,0)</f>
        <v>0</v>
      </c>
      <c r="Y9" s="594">
        <f t="shared" ref="Y9:Y13" si="11">+IFERROR(O9/N9-1,0)</f>
        <v>0</v>
      </c>
    </row>
    <row r="10" spans="2:38" ht="11.65" customHeight="1" outlineLevel="1">
      <c r="B10" s="562" t="s">
        <v>239</v>
      </c>
      <c r="C10" s="562" t="s">
        <v>401</v>
      </c>
      <c r="D10" s="572" t="s">
        <v>1822</v>
      </c>
      <c r="E10" s="664">
        <v>22227.37</v>
      </c>
      <c r="F10" s="664">
        <v>22227.37</v>
      </c>
      <c r="G10" s="665">
        <v>22227.37</v>
      </c>
      <c r="H10" s="665">
        <v>22227.37</v>
      </c>
      <c r="I10" s="665">
        <v>22227.37</v>
      </c>
      <c r="J10" s="665">
        <v>22227.37</v>
      </c>
      <c r="K10" s="588"/>
      <c r="L10" s="588"/>
      <c r="M10" s="588"/>
      <c r="N10" s="588"/>
      <c r="O10" s="588"/>
      <c r="Q10" s="594">
        <f t="shared" si="2"/>
        <v>0</v>
      </c>
      <c r="R10" s="594">
        <f t="shared" si="4"/>
        <v>0</v>
      </c>
      <c r="S10" s="594">
        <f t="shared" si="5"/>
        <v>0</v>
      </c>
      <c r="T10" s="594">
        <f t="shared" si="6"/>
        <v>0</v>
      </c>
      <c r="U10" s="594">
        <f t="shared" si="7"/>
        <v>-1</v>
      </c>
      <c r="V10" s="594">
        <f t="shared" si="8"/>
        <v>0</v>
      </c>
      <c r="W10" s="594">
        <f t="shared" si="9"/>
        <v>0</v>
      </c>
      <c r="X10" s="594">
        <f t="shared" si="10"/>
        <v>0</v>
      </c>
      <c r="Y10" s="594">
        <f t="shared" si="11"/>
        <v>0</v>
      </c>
    </row>
    <row r="11" spans="2:38" ht="12.6" customHeight="1" outlineLevel="1">
      <c r="B11" s="562" t="s">
        <v>239</v>
      </c>
      <c r="C11" s="562" t="s">
        <v>401</v>
      </c>
      <c r="D11" s="572" t="s">
        <v>1823</v>
      </c>
      <c r="E11" s="664">
        <v>-22227.37</v>
      </c>
      <c r="F11" s="664">
        <v>-22227.37</v>
      </c>
      <c r="G11" s="665">
        <v>-22227.37</v>
      </c>
      <c r="H11" s="665">
        <v>-22227.37</v>
      </c>
      <c r="I11" s="665">
        <v>-22227.37</v>
      </c>
      <c r="J11" s="665">
        <v>-22227.37</v>
      </c>
      <c r="K11" s="588"/>
      <c r="L11" s="588"/>
      <c r="M11" s="588"/>
      <c r="N11" s="588"/>
      <c r="O11" s="588"/>
      <c r="Q11" s="594">
        <f t="shared" si="2"/>
        <v>0</v>
      </c>
      <c r="R11" s="594">
        <f t="shared" si="4"/>
        <v>0</v>
      </c>
      <c r="S11" s="594">
        <f t="shared" si="5"/>
        <v>0</v>
      </c>
      <c r="T11" s="594">
        <f t="shared" si="6"/>
        <v>0</v>
      </c>
      <c r="U11" s="594">
        <f t="shared" si="7"/>
        <v>-1</v>
      </c>
      <c r="V11" s="594">
        <f t="shared" si="8"/>
        <v>0</v>
      </c>
      <c r="W11" s="594">
        <f t="shared" si="9"/>
        <v>0</v>
      </c>
      <c r="X11" s="594">
        <f t="shared" si="10"/>
        <v>0</v>
      </c>
      <c r="Y11" s="594">
        <f t="shared" si="11"/>
        <v>0</v>
      </c>
    </row>
    <row r="12" spans="2:38" ht="11.65" customHeight="1" outlineLevel="1">
      <c r="B12" s="562" t="s">
        <v>239</v>
      </c>
      <c r="C12" s="562" t="s">
        <v>401</v>
      </c>
      <c r="D12" s="572" t="s">
        <v>1824</v>
      </c>
      <c r="E12" s="664">
        <v>0</v>
      </c>
      <c r="F12" s="664"/>
      <c r="G12" s="665">
        <v>0</v>
      </c>
      <c r="H12" s="665">
        <v>8000000</v>
      </c>
      <c r="I12" s="665">
        <v>8000000</v>
      </c>
      <c r="J12" s="665">
        <v>8000000</v>
      </c>
      <c r="K12" s="588"/>
      <c r="L12" s="588"/>
      <c r="M12" s="588"/>
      <c r="N12" s="588"/>
      <c r="O12" s="588"/>
      <c r="Q12" s="594">
        <f t="shared" si="2"/>
        <v>0</v>
      </c>
      <c r="R12" s="594">
        <f t="shared" si="4"/>
        <v>0</v>
      </c>
      <c r="S12" s="594">
        <f t="shared" si="5"/>
        <v>0</v>
      </c>
      <c r="T12" s="594">
        <f t="shared" si="6"/>
        <v>0</v>
      </c>
      <c r="U12" s="594">
        <f t="shared" si="7"/>
        <v>-1</v>
      </c>
      <c r="V12" s="594">
        <f t="shared" si="8"/>
        <v>0</v>
      </c>
      <c r="W12" s="594">
        <f t="shared" si="9"/>
        <v>0</v>
      </c>
      <c r="X12" s="594">
        <f t="shared" si="10"/>
        <v>0</v>
      </c>
      <c r="Y12" s="594">
        <f t="shared" si="11"/>
        <v>0</v>
      </c>
    </row>
    <row r="13" spans="2:38" ht="12.6" customHeight="1" outlineLevel="1">
      <c r="B13" s="562" t="s">
        <v>239</v>
      </c>
      <c r="C13" s="562" t="s">
        <v>401</v>
      </c>
      <c r="D13" s="572" t="s">
        <v>1825</v>
      </c>
      <c r="E13" s="664">
        <v>0</v>
      </c>
      <c r="F13" s="664"/>
      <c r="G13" s="665">
        <v>0</v>
      </c>
      <c r="H13" s="665">
        <v>-160000</v>
      </c>
      <c r="I13" s="665">
        <v>-800000</v>
      </c>
      <c r="J13" s="665">
        <v>-998356.16</v>
      </c>
      <c r="K13" s="588"/>
      <c r="L13" s="588"/>
      <c r="M13" s="588"/>
      <c r="N13" s="588"/>
      <c r="O13" s="588"/>
      <c r="Q13" s="594">
        <f t="shared" si="2"/>
        <v>0</v>
      </c>
      <c r="R13" s="594">
        <f t="shared" si="4"/>
        <v>0</v>
      </c>
      <c r="S13" s="594">
        <f t="shared" si="5"/>
        <v>0</v>
      </c>
      <c r="T13" s="594">
        <f t="shared" si="6"/>
        <v>4</v>
      </c>
      <c r="U13" s="594">
        <f t="shared" si="7"/>
        <v>-1</v>
      </c>
      <c r="V13" s="594">
        <f t="shared" si="8"/>
        <v>0</v>
      </c>
      <c r="W13" s="594">
        <f t="shared" si="9"/>
        <v>0</v>
      </c>
      <c r="X13" s="594">
        <f t="shared" si="10"/>
        <v>0</v>
      </c>
      <c r="Y13" s="594">
        <f t="shared" si="11"/>
        <v>0</v>
      </c>
    </row>
    <row r="14" spans="2:38" ht="11.65" customHeight="1" outlineLevel="1">
      <c r="D14" s="568" t="s">
        <v>1826</v>
      </c>
      <c r="E14" s="660"/>
      <c r="F14" s="660"/>
      <c r="G14" s="666"/>
      <c r="H14" s="666">
        <v>7840000</v>
      </c>
      <c r="I14" s="666">
        <v>7200000</v>
      </c>
      <c r="J14" s="666">
        <v>7001643.8399999999</v>
      </c>
      <c r="K14" s="548"/>
      <c r="L14" s="548"/>
      <c r="M14" s="548"/>
      <c r="N14" s="548"/>
      <c r="O14" s="548"/>
    </row>
    <row r="15" spans="2:38" ht="12.6" customHeight="1" outlineLevel="1">
      <c r="B15" s="562" t="s">
        <v>239</v>
      </c>
      <c r="C15" s="562" t="s">
        <v>401</v>
      </c>
      <c r="D15" s="572" t="s">
        <v>1827</v>
      </c>
      <c r="E15" s="664">
        <v>526355.38</v>
      </c>
      <c r="F15" s="664">
        <v>530955.38</v>
      </c>
      <c r="G15" s="665">
        <v>540615.38</v>
      </c>
      <c r="H15" s="665">
        <v>867141.56</v>
      </c>
      <c r="I15" s="665">
        <v>1346661.48</v>
      </c>
      <c r="J15" s="665">
        <v>990194.48</v>
      </c>
      <c r="K15" s="588"/>
      <c r="L15" s="588"/>
      <c r="M15" s="588"/>
      <c r="N15" s="588"/>
      <c r="O15" s="588"/>
      <c r="Q15" s="594">
        <f>+IFERROR(F15/E15-1,0)</f>
        <v>8.7393426091701976E-3</v>
      </c>
      <c r="R15" s="594">
        <f t="shared" ref="R15:R16" si="12">+IFERROR(G15/F15-1,0)</f>
        <v>1.8193619207700573E-2</v>
      </c>
      <c r="S15" s="594">
        <f t="shared" ref="S15:S16" si="13">+IFERROR(H15/G15-1,0)</f>
        <v>0.60398980879900255</v>
      </c>
      <c r="T15" s="594">
        <f t="shared" ref="T15:T16" si="14">+IFERROR(I15/H15-1,0)</f>
        <v>0.55298920282404618</v>
      </c>
      <c r="U15" s="594">
        <f t="shared" ref="U15:U16" si="15">+IFERROR(K15/I15-1,0)</f>
        <v>-1</v>
      </c>
      <c r="V15" s="594">
        <f t="shared" ref="V15:V16" si="16">+IFERROR(L15/K15-1,0)</f>
        <v>0</v>
      </c>
      <c r="W15" s="594">
        <f t="shared" ref="W15:W16" si="17">+IFERROR(M15/L15-1,0)</f>
        <v>0</v>
      </c>
      <c r="X15" s="594">
        <f t="shared" ref="X15:X16" si="18">+IFERROR(N15/M15-1,0)</f>
        <v>0</v>
      </c>
      <c r="Y15" s="594">
        <f t="shared" ref="Y15:Y16" si="19">+IFERROR(O15/N15-1,0)</f>
        <v>0</v>
      </c>
    </row>
    <row r="16" spans="2:38" ht="11.65" customHeight="1" outlineLevel="1">
      <c r="B16" s="562" t="s">
        <v>239</v>
      </c>
      <c r="C16" s="562" t="s">
        <v>401</v>
      </c>
      <c r="D16" s="572" t="s">
        <v>1828</v>
      </c>
      <c r="E16" s="664">
        <v>-275689.61</v>
      </c>
      <c r="F16" s="664">
        <v>-342425.2</v>
      </c>
      <c r="G16" s="665">
        <v>-411092.79</v>
      </c>
      <c r="H16" s="665">
        <v>-485960.38</v>
      </c>
      <c r="I16" s="665">
        <v>-549703.38</v>
      </c>
      <c r="J16" s="665">
        <v>-557573.16</v>
      </c>
      <c r="K16" s="588"/>
      <c r="L16" s="588"/>
      <c r="M16" s="588"/>
      <c r="N16" s="588"/>
      <c r="O16" s="588"/>
      <c r="Q16" s="594">
        <f>+IFERROR(F16/E16-1,0)</f>
        <v>0.24206784579223006</v>
      </c>
      <c r="R16" s="594">
        <f t="shared" si="12"/>
        <v>0.20053310912865041</v>
      </c>
      <c r="S16" s="594">
        <f t="shared" si="13"/>
        <v>0.18211847013906524</v>
      </c>
      <c r="T16" s="594">
        <f t="shared" si="14"/>
        <v>0.13116912946689196</v>
      </c>
      <c r="U16" s="594">
        <f t="shared" si="15"/>
        <v>-1</v>
      </c>
      <c r="V16" s="594">
        <f t="shared" si="16"/>
        <v>0</v>
      </c>
      <c r="W16" s="594">
        <f t="shared" si="17"/>
        <v>0</v>
      </c>
      <c r="X16" s="594">
        <f t="shared" si="18"/>
        <v>0</v>
      </c>
      <c r="Y16" s="594">
        <f t="shared" si="19"/>
        <v>0</v>
      </c>
    </row>
    <row r="17" spans="2:25" ht="12.6" customHeight="1" outlineLevel="1">
      <c r="D17" s="569" t="s">
        <v>1829</v>
      </c>
      <c r="E17" s="662"/>
      <c r="F17" s="662"/>
      <c r="G17" s="667"/>
      <c r="H17" s="667">
        <v>381181.18</v>
      </c>
      <c r="I17" s="667">
        <v>796958.1</v>
      </c>
      <c r="J17" s="667">
        <v>432621.31999999995</v>
      </c>
      <c r="K17" s="549"/>
      <c r="L17" s="549"/>
      <c r="M17" s="549"/>
      <c r="N17" s="549"/>
      <c r="O17" s="549"/>
    </row>
    <row r="18" spans="2:25" ht="11.65" customHeight="1" outlineLevel="1">
      <c r="D18" s="573" t="s">
        <v>1830</v>
      </c>
      <c r="E18" s="668"/>
      <c r="F18" s="668"/>
      <c r="G18" s="669"/>
      <c r="H18" s="669">
        <v>8221181.1799999997</v>
      </c>
      <c r="I18" s="669">
        <v>7996958.0999999996</v>
      </c>
      <c r="J18" s="669">
        <v>7434265.1600000001</v>
      </c>
      <c r="K18" s="556"/>
      <c r="L18" s="556"/>
      <c r="M18" s="556"/>
      <c r="N18" s="556"/>
      <c r="O18" s="556"/>
    </row>
    <row r="19" spans="2:25" ht="12.6" customHeight="1" outlineLevel="1">
      <c r="D19" s="569" t="s">
        <v>1831</v>
      </c>
      <c r="E19" s="662"/>
      <c r="F19" s="662"/>
      <c r="G19" s="654"/>
      <c r="H19" s="654"/>
      <c r="I19" s="654"/>
      <c r="J19" s="654"/>
      <c r="K19" s="546"/>
      <c r="L19" s="546"/>
      <c r="M19" s="546"/>
      <c r="N19" s="546"/>
      <c r="O19" s="546"/>
    </row>
    <row r="20" spans="2:25" ht="11.65" customHeight="1" outlineLevel="1">
      <c r="B20" s="562" t="s">
        <v>239</v>
      </c>
      <c r="C20" s="562" t="s">
        <v>402</v>
      </c>
      <c r="D20" s="572" t="s">
        <v>1832</v>
      </c>
      <c r="E20" s="664">
        <v>1113235.8600000001</v>
      </c>
      <c r="F20" s="664">
        <v>667735.86</v>
      </c>
      <c r="G20" s="665">
        <v>327835.86</v>
      </c>
      <c r="H20" s="665">
        <v>19835.849999999999</v>
      </c>
      <c r="I20" s="665">
        <v>19835.849999999999</v>
      </c>
      <c r="J20" s="665">
        <v>19835.849999999999</v>
      </c>
      <c r="K20" s="588"/>
      <c r="L20" s="588"/>
      <c r="M20" s="588"/>
      <c r="N20" s="588"/>
      <c r="O20" s="588"/>
      <c r="Q20" s="594">
        <f>+IFERROR(F20/E20-1,0)</f>
        <v>-0.40018473713198577</v>
      </c>
      <c r="R20" s="594">
        <f t="shared" ref="R20:R23" si="20">+IFERROR(G20/F20-1,0)</f>
        <v>-0.50903361697543104</v>
      </c>
      <c r="S20" s="594">
        <f t="shared" ref="S20:S23" si="21">+IFERROR(H20/G20-1,0)</f>
        <v>-0.93949456901999673</v>
      </c>
      <c r="T20" s="594">
        <f t="shared" ref="T20:T23" si="22">+IFERROR(I20/H20-1,0)</f>
        <v>0</v>
      </c>
      <c r="U20" s="594">
        <f t="shared" ref="U20:U23" si="23">+IFERROR(K20/I20-1,0)</f>
        <v>-1</v>
      </c>
      <c r="V20" s="594">
        <f t="shared" ref="V20:V23" si="24">+IFERROR(L20/K20-1,0)</f>
        <v>0</v>
      </c>
      <c r="W20" s="594">
        <f t="shared" ref="W20:W23" si="25">+IFERROR(M20/L20-1,0)</f>
        <v>0</v>
      </c>
      <c r="X20" s="594">
        <f t="shared" ref="X20:X23" si="26">+IFERROR(N20/M20-1,0)</f>
        <v>0</v>
      </c>
      <c r="Y20" s="594">
        <f t="shared" ref="Y20:Y23" si="27">+IFERROR(O20/N20-1,0)</f>
        <v>0</v>
      </c>
    </row>
    <row r="21" spans="2:25" ht="12.6" customHeight="1" outlineLevel="1">
      <c r="B21" s="562" t="s">
        <v>239</v>
      </c>
      <c r="C21" s="562" t="s">
        <v>402</v>
      </c>
      <c r="D21" s="572" t="s">
        <v>1833</v>
      </c>
      <c r="E21" s="664">
        <v>139538.09</v>
      </c>
      <c r="F21" s="664">
        <v>160938.09</v>
      </c>
      <c r="G21" s="665">
        <v>196518.09</v>
      </c>
      <c r="H21" s="665">
        <v>211818.09</v>
      </c>
      <c r="I21" s="665">
        <v>211818.09</v>
      </c>
      <c r="J21" s="665">
        <v>240618.09</v>
      </c>
      <c r="K21" s="588"/>
      <c r="L21" s="588"/>
      <c r="M21" s="588"/>
      <c r="N21" s="588"/>
      <c r="O21" s="588"/>
      <c r="Q21" s="594">
        <f>+IFERROR(F21/E21-1,0)</f>
        <v>0.15336314263725415</v>
      </c>
      <c r="R21" s="594">
        <f t="shared" si="20"/>
        <v>0.22107880117130763</v>
      </c>
      <c r="S21" s="594">
        <f t="shared" si="21"/>
        <v>7.7855427965944468E-2</v>
      </c>
      <c r="T21" s="594">
        <f t="shared" si="22"/>
        <v>0</v>
      </c>
      <c r="U21" s="594">
        <f t="shared" si="23"/>
        <v>-1</v>
      </c>
      <c r="V21" s="594">
        <f t="shared" si="24"/>
        <v>0</v>
      </c>
      <c r="W21" s="594">
        <f t="shared" si="25"/>
        <v>0</v>
      </c>
      <c r="X21" s="594">
        <f t="shared" si="26"/>
        <v>0</v>
      </c>
      <c r="Y21" s="594">
        <f t="shared" si="27"/>
        <v>0</v>
      </c>
    </row>
    <row r="22" spans="2:25" ht="11.65" customHeight="1" outlineLevel="1">
      <c r="B22" s="562" t="s">
        <v>239</v>
      </c>
      <c r="C22" s="562" t="s">
        <v>402</v>
      </c>
      <c r="D22" s="572" t="s">
        <v>1834</v>
      </c>
      <c r="E22" s="664">
        <v>80199.350000000006</v>
      </c>
      <c r="F22" s="664">
        <v>80199.350000000006</v>
      </c>
      <c r="G22" s="665">
        <v>80199.350000000006</v>
      </c>
      <c r="H22" s="665">
        <v>80199.350000000006</v>
      </c>
      <c r="I22" s="665">
        <v>80199.350000000006</v>
      </c>
      <c r="J22" s="665">
        <v>80199.350000000006</v>
      </c>
      <c r="K22" s="588"/>
      <c r="L22" s="588"/>
      <c r="M22" s="588"/>
      <c r="N22" s="588"/>
      <c r="O22" s="588"/>
      <c r="Q22" s="594">
        <f>+IFERROR(F22/E22-1,0)</f>
        <v>0</v>
      </c>
      <c r="R22" s="594">
        <f t="shared" si="20"/>
        <v>0</v>
      </c>
      <c r="S22" s="594">
        <f t="shared" si="21"/>
        <v>0</v>
      </c>
      <c r="T22" s="594">
        <f t="shared" si="22"/>
        <v>0</v>
      </c>
      <c r="U22" s="594">
        <f t="shared" si="23"/>
        <v>-1</v>
      </c>
      <c r="V22" s="594">
        <f t="shared" si="24"/>
        <v>0</v>
      </c>
      <c r="W22" s="594">
        <f t="shared" si="25"/>
        <v>0</v>
      </c>
      <c r="X22" s="594">
        <f t="shared" si="26"/>
        <v>0</v>
      </c>
      <c r="Y22" s="594">
        <f t="shared" si="27"/>
        <v>0</v>
      </c>
    </row>
    <row r="23" spans="2:25" ht="12.6" customHeight="1" outlineLevel="1">
      <c r="B23" s="562" t="s">
        <v>239</v>
      </c>
      <c r="C23" s="562" t="s">
        <v>402</v>
      </c>
      <c r="D23" s="572" t="s">
        <v>1835</v>
      </c>
      <c r="E23" s="664">
        <v>-67266.179999999993</v>
      </c>
      <c r="F23" s="664">
        <v>-83767.25</v>
      </c>
      <c r="G23" s="665">
        <v>-102084.01</v>
      </c>
      <c r="H23" s="665">
        <v>-126112.01</v>
      </c>
      <c r="I23" s="665">
        <v>-147249.38</v>
      </c>
      <c r="J23" s="665">
        <v>-157971.39000000001</v>
      </c>
      <c r="K23" s="588"/>
      <c r="L23" s="588"/>
      <c r="M23" s="588"/>
      <c r="N23" s="588"/>
      <c r="O23" s="588"/>
      <c r="Q23" s="594">
        <f>+IFERROR(F23/E23-1,0)</f>
        <v>0.24531005031057229</v>
      </c>
      <c r="R23" s="594">
        <f t="shared" si="20"/>
        <v>0.21866254413270103</v>
      </c>
      <c r="S23" s="594">
        <f t="shared" si="21"/>
        <v>0.23537476633216103</v>
      </c>
      <c r="T23" s="594">
        <f t="shared" si="22"/>
        <v>0.16760790665377567</v>
      </c>
      <c r="U23" s="594">
        <f t="shared" si="23"/>
        <v>-1</v>
      </c>
      <c r="V23" s="594">
        <f t="shared" si="24"/>
        <v>0</v>
      </c>
      <c r="W23" s="594">
        <f t="shared" si="25"/>
        <v>0</v>
      </c>
      <c r="X23" s="594">
        <f t="shared" si="26"/>
        <v>0</v>
      </c>
      <c r="Y23" s="594">
        <f t="shared" si="27"/>
        <v>0</v>
      </c>
    </row>
    <row r="24" spans="2:25" ht="11.65" customHeight="1" outlineLevel="1">
      <c r="D24" s="568" t="s">
        <v>1836</v>
      </c>
      <c r="E24" s="660"/>
      <c r="F24" s="660"/>
      <c r="G24" s="666"/>
      <c r="H24" s="666">
        <v>185741.28</v>
      </c>
      <c r="I24" s="666">
        <v>164603.91000000003</v>
      </c>
      <c r="J24" s="666">
        <v>182681.90000000002</v>
      </c>
      <c r="K24" s="548"/>
      <c r="L24" s="548"/>
      <c r="M24" s="548"/>
      <c r="N24" s="548"/>
      <c r="O24" s="548"/>
    </row>
    <row r="25" spans="2:25" ht="12.6" customHeight="1" outlineLevel="1">
      <c r="B25" s="562" t="s">
        <v>239</v>
      </c>
      <c r="C25" s="562" t="s">
        <v>402</v>
      </c>
      <c r="D25" s="572" t="s">
        <v>1837</v>
      </c>
      <c r="E25" s="664">
        <v>7089759.5</v>
      </c>
      <c r="F25" s="664">
        <v>7986761.2999999998</v>
      </c>
      <c r="G25" s="665">
        <v>9213237.7200000007</v>
      </c>
      <c r="H25" s="665">
        <v>10790277.73</v>
      </c>
      <c r="I25" s="665">
        <v>12368353.220000001</v>
      </c>
      <c r="J25" s="665">
        <v>13650913.92</v>
      </c>
      <c r="K25" s="588"/>
      <c r="L25" s="588"/>
      <c r="M25" s="588"/>
      <c r="N25" s="588"/>
      <c r="O25" s="588"/>
      <c r="Q25" s="594">
        <f t="shared" ref="Q25:Q34" si="28">+IFERROR(F25/E25-1,0)</f>
        <v>0.12652076561976466</v>
      </c>
      <c r="R25" s="594">
        <f t="shared" ref="R25:R34" si="29">+IFERROR(G25/F25-1,0)</f>
        <v>0.1535636754287375</v>
      </c>
      <c r="S25" s="594">
        <f t="shared" ref="S25:S34" si="30">+IFERROR(H25/G25-1,0)</f>
        <v>0.17117109727632207</v>
      </c>
      <c r="T25" s="594">
        <f t="shared" ref="T25:T34" si="31">+IFERROR(I25/H25-1,0)</f>
        <v>0.1462497564462597</v>
      </c>
      <c r="U25" s="594">
        <f t="shared" ref="U25:U34" si="32">+IFERROR(K25/I25-1,0)</f>
        <v>-1</v>
      </c>
      <c r="V25" s="594">
        <f t="shared" ref="V25:V34" si="33">+IFERROR(L25/K25-1,0)</f>
        <v>0</v>
      </c>
      <c r="W25" s="594">
        <f t="shared" ref="W25:W34" si="34">+IFERROR(M25/L25-1,0)</f>
        <v>0</v>
      </c>
      <c r="X25" s="594">
        <f t="shared" ref="X25:X34" si="35">+IFERROR(N25/M25-1,0)</f>
        <v>0</v>
      </c>
      <c r="Y25" s="594">
        <f t="shared" ref="Y25:Y34" si="36">+IFERROR(O25/N25-1,0)</f>
        <v>0</v>
      </c>
    </row>
    <row r="26" spans="2:25" ht="11.65" customHeight="1" outlineLevel="1">
      <c r="B26" s="562" t="s">
        <v>239</v>
      </c>
      <c r="C26" s="562" t="s">
        <v>402</v>
      </c>
      <c r="D26" s="572" t="s">
        <v>1838</v>
      </c>
      <c r="E26" s="664">
        <v>3276.01</v>
      </c>
      <c r="F26" s="664">
        <v>3276.01</v>
      </c>
      <c r="G26" s="665">
        <v>3276.01</v>
      </c>
      <c r="H26" s="665">
        <v>3276.01</v>
      </c>
      <c r="I26" s="665">
        <v>3276.01</v>
      </c>
      <c r="J26" s="665">
        <v>3276.01</v>
      </c>
      <c r="K26" s="588"/>
      <c r="L26" s="588"/>
      <c r="M26" s="588"/>
      <c r="N26" s="588"/>
      <c r="O26" s="588"/>
      <c r="Q26" s="594">
        <f t="shared" si="28"/>
        <v>0</v>
      </c>
      <c r="R26" s="594">
        <f t="shared" si="29"/>
        <v>0</v>
      </c>
      <c r="S26" s="594">
        <f t="shared" si="30"/>
        <v>0</v>
      </c>
      <c r="T26" s="594">
        <f t="shared" si="31"/>
        <v>0</v>
      </c>
      <c r="U26" s="594">
        <f t="shared" si="32"/>
        <v>-1</v>
      </c>
      <c r="V26" s="594">
        <f t="shared" si="33"/>
        <v>0</v>
      </c>
      <c r="W26" s="594">
        <f t="shared" si="34"/>
        <v>0</v>
      </c>
      <c r="X26" s="594">
        <f t="shared" si="35"/>
        <v>0</v>
      </c>
      <c r="Y26" s="594">
        <f t="shared" si="36"/>
        <v>0</v>
      </c>
    </row>
    <row r="27" spans="2:25" ht="12.6" customHeight="1" outlineLevel="1">
      <c r="B27" s="562" t="s">
        <v>239</v>
      </c>
      <c r="C27" s="562" t="s">
        <v>402</v>
      </c>
      <c r="D27" s="572" t="s">
        <v>1839</v>
      </c>
      <c r="E27" s="664">
        <v>192266.72</v>
      </c>
      <c r="F27" s="664">
        <v>206766.72</v>
      </c>
      <c r="G27" s="665">
        <v>206766.72</v>
      </c>
      <c r="H27" s="665">
        <v>255362.26</v>
      </c>
      <c r="I27" s="665">
        <v>353822.26</v>
      </c>
      <c r="J27" s="665">
        <v>423369.26</v>
      </c>
      <c r="K27" s="588"/>
      <c r="L27" s="588"/>
      <c r="M27" s="588"/>
      <c r="N27" s="588"/>
      <c r="O27" s="588"/>
      <c r="Q27" s="594">
        <f t="shared" si="28"/>
        <v>7.5416067845750945E-2</v>
      </c>
      <c r="R27" s="594">
        <f t="shared" si="29"/>
        <v>0</v>
      </c>
      <c r="S27" s="594">
        <f t="shared" si="30"/>
        <v>0.23502592680292067</v>
      </c>
      <c r="T27" s="594">
        <f t="shared" si="31"/>
        <v>0.38556989588046409</v>
      </c>
      <c r="U27" s="594">
        <f t="shared" si="32"/>
        <v>-1</v>
      </c>
      <c r="V27" s="594">
        <f t="shared" si="33"/>
        <v>0</v>
      </c>
      <c r="W27" s="594">
        <f t="shared" si="34"/>
        <v>0</v>
      </c>
      <c r="X27" s="594">
        <f t="shared" si="35"/>
        <v>0</v>
      </c>
      <c r="Y27" s="594">
        <f t="shared" si="36"/>
        <v>0</v>
      </c>
    </row>
    <row r="28" spans="2:25" ht="11.65" customHeight="1" outlineLevel="1">
      <c r="B28" s="562" t="s">
        <v>239</v>
      </c>
      <c r="C28" s="562" t="s">
        <v>402</v>
      </c>
      <c r="D28" s="572" t="s">
        <v>1840</v>
      </c>
      <c r="E28" s="664">
        <v>3287.32</v>
      </c>
      <c r="F28" s="664">
        <v>3287.32</v>
      </c>
      <c r="G28" s="665">
        <v>3287.32</v>
      </c>
      <c r="H28" s="665">
        <v>3287.32</v>
      </c>
      <c r="I28" s="665">
        <v>3287.32</v>
      </c>
      <c r="J28" s="665">
        <v>3287.32</v>
      </c>
      <c r="K28" s="588"/>
      <c r="L28" s="588"/>
      <c r="M28" s="588"/>
      <c r="N28" s="588"/>
      <c r="O28" s="588"/>
      <c r="Q28" s="594">
        <f t="shared" si="28"/>
        <v>0</v>
      </c>
      <c r="R28" s="594">
        <f t="shared" si="29"/>
        <v>0</v>
      </c>
      <c r="S28" s="594">
        <f t="shared" si="30"/>
        <v>0</v>
      </c>
      <c r="T28" s="594">
        <f t="shared" si="31"/>
        <v>0</v>
      </c>
      <c r="U28" s="594">
        <f t="shared" si="32"/>
        <v>-1</v>
      </c>
      <c r="V28" s="594">
        <f t="shared" si="33"/>
        <v>0</v>
      </c>
      <c r="W28" s="594">
        <f t="shared" si="34"/>
        <v>0</v>
      </c>
      <c r="X28" s="594">
        <f t="shared" si="35"/>
        <v>0</v>
      </c>
      <c r="Y28" s="594">
        <f t="shared" si="36"/>
        <v>0</v>
      </c>
    </row>
    <row r="29" spans="2:25" ht="12.6" customHeight="1" outlineLevel="1">
      <c r="B29" s="562" t="s">
        <v>239</v>
      </c>
      <c r="C29" s="562" t="s">
        <v>402</v>
      </c>
      <c r="D29" s="572" t="s">
        <v>1841</v>
      </c>
      <c r="E29" s="664">
        <v>394621.54</v>
      </c>
      <c r="F29" s="664">
        <v>481621.54</v>
      </c>
      <c r="G29" s="665">
        <v>481621.54</v>
      </c>
      <c r="H29" s="665">
        <v>481621.54</v>
      </c>
      <c r="I29" s="665">
        <v>591121.54</v>
      </c>
      <c r="J29" s="665">
        <v>733621.54</v>
      </c>
      <c r="K29" s="588"/>
      <c r="L29" s="588"/>
      <c r="M29" s="588"/>
      <c r="N29" s="588"/>
      <c r="O29" s="588"/>
      <c r="Q29" s="594">
        <f t="shared" si="28"/>
        <v>0.22046439735651524</v>
      </c>
      <c r="R29" s="594">
        <f t="shared" si="29"/>
        <v>0</v>
      </c>
      <c r="S29" s="594">
        <f t="shared" si="30"/>
        <v>0</v>
      </c>
      <c r="T29" s="594">
        <f t="shared" si="31"/>
        <v>0.22735694088765235</v>
      </c>
      <c r="U29" s="594">
        <f t="shared" si="32"/>
        <v>-1</v>
      </c>
      <c r="V29" s="594">
        <f t="shared" si="33"/>
        <v>0</v>
      </c>
      <c r="W29" s="594">
        <f t="shared" si="34"/>
        <v>0</v>
      </c>
      <c r="X29" s="594">
        <f t="shared" si="35"/>
        <v>0</v>
      </c>
      <c r="Y29" s="594">
        <f t="shared" si="36"/>
        <v>0</v>
      </c>
    </row>
    <row r="30" spans="2:25" ht="11.65" customHeight="1" outlineLevel="1">
      <c r="B30" s="562" t="s">
        <v>239</v>
      </c>
      <c r="C30" s="562" t="s">
        <v>402</v>
      </c>
      <c r="D30" s="572" t="s">
        <v>1842</v>
      </c>
      <c r="E30" s="664">
        <v>-3420900.82</v>
      </c>
      <c r="F30" s="664">
        <v>-4337783.5199999996</v>
      </c>
      <c r="G30" s="665">
        <v>-5210390.9000000004</v>
      </c>
      <c r="H30" s="665">
        <v>-6365768.0700000003</v>
      </c>
      <c r="I30" s="665">
        <v>-7250724.0700000003</v>
      </c>
      <c r="J30" s="665">
        <v>-7972151.4000000004</v>
      </c>
      <c r="K30" s="588"/>
      <c r="L30" s="588"/>
      <c r="M30" s="588"/>
      <c r="N30" s="588"/>
      <c r="O30" s="588"/>
      <c r="Q30" s="594">
        <f t="shared" si="28"/>
        <v>0.26802375989374627</v>
      </c>
      <c r="R30" s="594">
        <f t="shared" si="29"/>
        <v>0.20116434487260926</v>
      </c>
      <c r="S30" s="594">
        <f t="shared" si="30"/>
        <v>0.22174481572966043</v>
      </c>
      <c r="T30" s="594">
        <f t="shared" si="31"/>
        <v>0.13901794571664317</v>
      </c>
      <c r="U30" s="594">
        <f t="shared" si="32"/>
        <v>-1</v>
      </c>
      <c r="V30" s="594">
        <f t="shared" si="33"/>
        <v>0</v>
      </c>
      <c r="W30" s="594">
        <f t="shared" si="34"/>
        <v>0</v>
      </c>
      <c r="X30" s="594">
        <f t="shared" si="35"/>
        <v>0</v>
      </c>
      <c r="Y30" s="594">
        <f t="shared" si="36"/>
        <v>0</v>
      </c>
    </row>
    <row r="31" spans="2:25" ht="12.6" customHeight="1" outlineLevel="1">
      <c r="B31" s="562" t="s">
        <v>239</v>
      </c>
      <c r="C31" s="562" t="s">
        <v>402</v>
      </c>
      <c r="D31" s="572" t="s">
        <v>1843</v>
      </c>
      <c r="E31" s="664">
        <v>-327.60000000000002</v>
      </c>
      <c r="F31" s="664">
        <v>-982.8</v>
      </c>
      <c r="G31" s="665">
        <v>-1638</v>
      </c>
      <c r="H31" s="665">
        <v>-2293.1999999999998</v>
      </c>
      <c r="I31" s="665">
        <v>-2948.4</v>
      </c>
      <c r="J31" s="665">
        <v>-2948.4</v>
      </c>
      <c r="K31" s="588"/>
      <c r="L31" s="588"/>
      <c r="M31" s="588"/>
      <c r="N31" s="588"/>
      <c r="O31" s="588"/>
      <c r="Q31" s="594">
        <f t="shared" si="28"/>
        <v>1.9999999999999996</v>
      </c>
      <c r="R31" s="594">
        <f t="shared" si="29"/>
        <v>0.66666666666666674</v>
      </c>
      <c r="S31" s="594">
        <f t="shared" si="30"/>
        <v>0.39999999999999991</v>
      </c>
      <c r="T31" s="594">
        <f t="shared" si="31"/>
        <v>0.28571428571428581</v>
      </c>
      <c r="U31" s="594">
        <f t="shared" si="32"/>
        <v>-1</v>
      </c>
      <c r="V31" s="594">
        <f t="shared" si="33"/>
        <v>0</v>
      </c>
      <c r="W31" s="594">
        <f t="shared" si="34"/>
        <v>0</v>
      </c>
      <c r="X31" s="594">
        <f t="shared" si="35"/>
        <v>0</v>
      </c>
      <c r="Y31" s="594">
        <f t="shared" si="36"/>
        <v>0</v>
      </c>
    </row>
    <row r="32" spans="2:25" ht="11.65" customHeight="1" outlineLevel="1">
      <c r="B32" s="562" t="s">
        <v>239</v>
      </c>
      <c r="C32" s="562" t="s">
        <v>402</v>
      </c>
      <c r="D32" s="572" t="s">
        <v>1844</v>
      </c>
      <c r="E32" s="664">
        <v>-225411.54</v>
      </c>
      <c r="F32" s="664">
        <v>-292721.53999999998</v>
      </c>
      <c r="G32" s="665">
        <v>-356521.54</v>
      </c>
      <c r="H32" s="665">
        <v>-407121.54</v>
      </c>
      <c r="I32" s="665">
        <v>-457971.54</v>
      </c>
      <c r="J32" s="665">
        <v>-492956.59</v>
      </c>
      <c r="K32" s="588"/>
      <c r="L32" s="588"/>
      <c r="M32" s="588"/>
      <c r="N32" s="588"/>
      <c r="O32" s="588"/>
      <c r="Q32" s="594">
        <f t="shared" si="28"/>
        <v>0.29860937909390084</v>
      </c>
      <c r="R32" s="594">
        <f t="shared" si="29"/>
        <v>0.21795457894899029</v>
      </c>
      <c r="S32" s="594">
        <f t="shared" si="30"/>
        <v>0.1419269085396635</v>
      </c>
      <c r="T32" s="594">
        <f t="shared" si="31"/>
        <v>0.12490127640998794</v>
      </c>
      <c r="U32" s="594">
        <f t="shared" si="32"/>
        <v>-1</v>
      </c>
      <c r="V32" s="594">
        <f t="shared" si="33"/>
        <v>0</v>
      </c>
      <c r="W32" s="594">
        <f t="shared" si="34"/>
        <v>0</v>
      </c>
      <c r="X32" s="594">
        <f t="shared" si="35"/>
        <v>0</v>
      </c>
      <c r="Y32" s="594">
        <f t="shared" si="36"/>
        <v>0</v>
      </c>
    </row>
    <row r="33" spans="2:25" ht="12.6" customHeight="1" outlineLevel="1">
      <c r="B33" s="562" t="s">
        <v>239</v>
      </c>
      <c r="C33" s="562" t="s">
        <v>402</v>
      </c>
      <c r="D33" s="572" t="s">
        <v>1845</v>
      </c>
      <c r="E33" s="664">
        <v>-92453.96</v>
      </c>
      <c r="F33" s="664">
        <v>-112405.64</v>
      </c>
      <c r="G33" s="665">
        <v>-132682.32</v>
      </c>
      <c r="H33" s="665">
        <v>-160107.54</v>
      </c>
      <c r="I33" s="665">
        <v>-185139.9</v>
      </c>
      <c r="J33" s="665">
        <v>-201071</v>
      </c>
      <c r="K33" s="588"/>
      <c r="L33" s="588"/>
      <c r="M33" s="588"/>
      <c r="N33" s="588"/>
      <c r="O33" s="588"/>
      <c r="Q33" s="594">
        <f t="shared" si="28"/>
        <v>0.21580124853494631</v>
      </c>
      <c r="R33" s="594">
        <f t="shared" si="29"/>
        <v>0.18038845737633813</v>
      </c>
      <c r="S33" s="594">
        <f t="shared" si="30"/>
        <v>0.20669837548815839</v>
      </c>
      <c r="T33" s="594">
        <f t="shared" si="31"/>
        <v>0.15634716516161573</v>
      </c>
      <c r="U33" s="594">
        <f t="shared" si="32"/>
        <v>-1</v>
      </c>
      <c r="V33" s="594">
        <f t="shared" si="33"/>
        <v>0</v>
      </c>
      <c r="W33" s="594">
        <f t="shared" si="34"/>
        <v>0</v>
      </c>
      <c r="X33" s="594">
        <f t="shared" si="35"/>
        <v>0</v>
      </c>
      <c r="Y33" s="594">
        <f t="shared" si="36"/>
        <v>0</v>
      </c>
    </row>
    <row r="34" spans="2:25" ht="11.65" customHeight="1" outlineLevel="1">
      <c r="B34" s="562" t="s">
        <v>239</v>
      </c>
      <c r="C34" s="562" t="s">
        <v>402</v>
      </c>
      <c r="D34" s="572" t="s">
        <v>1846</v>
      </c>
      <c r="E34" s="664">
        <v>-3287.32</v>
      </c>
      <c r="F34" s="664">
        <v>-3287.32</v>
      </c>
      <c r="G34" s="665">
        <v>-3287.32</v>
      </c>
      <c r="H34" s="665">
        <v>-3287.32</v>
      </c>
      <c r="I34" s="665">
        <v>-3287.32</v>
      </c>
      <c r="J34" s="665">
        <v>-3287.32</v>
      </c>
      <c r="K34" s="588"/>
      <c r="L34" s="588"/>
      <c r="M34" s="588"/>
      <c r="N34" s="588"/>
      <c r="O34" s="588"/>
      <c r="Q34" s="594">
        <f t="shared" si="28"/>
        <v>0</v>
      </c>
      <c r="R34" s="594">
        <f t="shared" si="29"/>
        <v>0</v>
      </c>
      <c r="S34" s="594">
        <f t="shared" si="30"/>
        <v>0</v>
      </c>
      <c r="T34" s="594">
        <f t="shared" si="31"/>
        <v>0</v>
      </c>
      <c r="U34" s="594">
        <f t="shared" si="32"/>
        <v>-1</v>
      </c>
      <c r="V34" s="594">
        <f t="shared" si="33"/>
        <v>0</v>
      </c>
      <c r="W34" s="594">
        <f t="shared" si="34"/>
        <v>0</v>
      </c>
      <c r="X34" s="594">
        <f t="shared" si="35"/>
        <v>0</v>
      </c>
      <c r="Y34" s="594">
        <f t="shared" si="36"/>
        <v>0</v>
      </c>
    </row>
    <row r="35" spans="2:25" ht="12.6" customHeight="1" outlineLevel="1">
      <c r="D35" s="569" t="s">
        <v>1847</v>
      </c>
      <c r="E35" s="662"/>
      <c r="F35" s="662"/>
      <c r="G35" s="667"/>
      <c r="H35" s="667">
        <v>4595247.1900000004</v>
      </c>
      <c r="I35" s="667">
        <v>5419789.1200000001</v>
      </c>
      <c r="J35" s="667">
        <v>6142053.3399999999</v>
      </c>
      <c r="K35" s="549"/>
      <c r="L35" s="549"/>
      <c r="M35" s="549"/>
      <c r="N35" s="549"/>
      <c r="O35" s="549"/>
    </row>
    <row r="36" spans="2:25" ht="11.65" customHeight="1" outlineLevel="1">
      <c r="B36" s="562" t="s">
        <v>239</v>
      </c>
      <c r="C36" s="562" t="s">
        <v>402</v>
      </c>
      <c r="D36" s="572" t="s">
        <v>1848</v>
      </c>
      <c r="E36" s="664">
        <v>951539.4</v>
      </c>
      <c r="F36" s="664">
        <v>951539.4</v>
      </c>
      <c r="G36" s="665">
        <v>951539.4</v>
      </c>
      <c r="H36" s="665">
        <v>951539.4</v>
      </c>
      <c r="I36" s="665">
        <v>951539.4</v>
      </c>
      <c r="J36" s="665">
        <v>951539.4</v>
      </c>
      <c r="K36" s="588"/>
      <c r="L36" s="588"/>
      <c r="M36" s="588"/>
      <c r="N36" s="588"/>
      <c r="O36" s="588"/>
      <c r="Q36" s="594">
        <f>+IFERROR(F36/E36-1,0)</f>
        <v>0</v>
      </c>
      <c r="R36" s="594">
        <f t="shared" ref="R36:R38" si="37">+IFERROR(G36/F36-1,0)</f>
        <v>0</v>
      </c>
      <c r="S36" s="594">
        <f t="shared" ref="S36:S38" si="38">+IFERROR(H36/G36-1,0)</f>
        <v>0</v>
      </c>
      <c r="T36" s="594">
        <f t="shared" ref="T36:T38" si="39">+IFERROR(I36/H36-1,0)</f>
        <v>0</v>
      </c>
      <c r="U36" s="594">
        <f t="shared" ref="U36:U38" si="40">+IFERROR(K36/I36-1,0)</f>
        <v>-1</v>
      </c>
      <c r="V36" s="594">
        <f t="shared" ref="V36:V38" si="41">+IFERROR(L36/K36-1,0)</f>
        <v>0</v>
      </c>
      <c r="W36" s="594">
        <f t="shared" ref="W36:W38" si="42">+IFERROR(M36/L36-1,0)</f>
        <v>0</v>
      </c>
      <c r="X36" s="594">
        <f t="shared" ref="X36:X38" si="43">+IFERROR(N36/M36-1,0)</f>
        <v>0</v>
      </c>
      <c r="Y36" s="594">
        <f t="shared" ref="Y36:Y38" si="44">+IFERROR(O36/N36-1,0)</f>
        <v>0</v>
      </c>
    </row>
    <row r="37" spans="2:25" ht="12.6" customHeight="1" outlineLevel="1">
      <c r="B37" s="562" t="s">
        <v>239</v>
      </c>
      <c r="C37" s="562" t="s">
        <v>402</v>
      </c>
      <c r="D37" s="572" t="s">
        <v>1849</v>
      </c>
      <c r="E37" s="664">
        <v>380272.42</v>
      </c>
      <c r="F37" s="664">
        <v>374458.24</v>
      </c>
      <c r="G37" s="665">
        <v>305993.51</v>
      </c>
      <c r="H37" s="665">
        <v>345460.77</v>
      </c>
      <c r="I37" s="665">
        <v>376195.28</v>
      </c>
      <c r="J37" s="665">
        <v>383195.28</v>
      </c>
      <c r="K37" s="588"/>
      <c r="L37" s="588"/>
      <c r="M37" s="588"/>
      <c r="N37" s="588"/>
      <c r="O37" s="588"/>
      <c r="Q37" s="594">
        <f>+IFERROR(F37/E37-1,0)</f>
        <v>-1.5289512713017706E-2</v>
      </c>
      <c r="R37" s="594">
        <f t="shared" si="37"/>
        <v>-0.18283675637635854</v>
      </c>
      <c r="S37" s="594">
        <f t="shared" si="38"/>
        <v>0.12898070942746465</v>
      </c>
      <c r="T37" s="594">
        <f t="shared" si="39"/>
        <v>8.8966715381315176E-2</v>
      </c>
      <c r="U37" s="594">
        <f t="shared" si="40"/>
        <v>-1</v>
      </c>
      <c r="V37" s="594">
        <f t="shared" si="41"/>
        <v>0</v>
      </c>
      <c r="W37" s="594">
        <f t="shared" si="42"/>
        <v>0</v>
      </c>
      <c r="X37" s="594">
        <f t="shared" si="43"/>
        <v>0</v>
      </c>
      <c r="Y37" s="594">
        <f t="shared" si="44"/>
        <v>0</v>
      </c>
    </row>
    <row r="38" spans="2:25" ht="11.65" customHeight="1" outlineLevel="1">
      <c r="B38" s="562" t="s">
        <v>239</v>
      </c>
      <c r="C38" s="562" t="s">
        <v>402</v>
      </c>
      <c r="D38" s="572" t="s">
        <v>1850</v>
      </c>
      <c r="E38" s="664">
        <v>-1270707.6200000001</v>
      </c>
      <c r="F38" s="664">
        <v>-1302885.3799999999</v>
      </c>
      <c r="G38" s="665">
        <v>-1212498.58</v>
      </c>
      <c r="H38" s="665">
        <v>-1244166.3600000001</v>
      </c>
      <c r="I38" s="665">
        <v>-1287300.1599999999</v>
      </c>
      <c r="J38" s="665">
        <v>-1301949.0900000001</v>
      </c>
      <c r="K38" s="588"/>
      <c r="L38" s="588"/>
      <c r="M38" s="588"/>
      <c r="N38" s="588"/>
      <c r="O38" s="588"/>
      <c r="Q38" s="594">
        <f>+IFERROR(F38/E38-1,0)</f>
        <v>2.5322709562408896E-2</v>
      </c>
      <c r="R38" s="594">
        <f t="shared" si="37"/>
        <v>-6.9374329766444864E-2</v>
      </c>
      <c r="S38" s="594">
        <f t="shared" si="38"/>
        <v>2.6117787288460148E-2</v>
      </c>
      <c r="T38" s="594">
        <f t="shared" si="39"/>
        <v>3.4668836408661363E-2</v>
      </c>
      <c r="U38" s="594">
        <f t="shared" si="40"/>
        <v>-1</v>
      </c>
      <c r="V38" s="594">
        <f t="shared" si="41"/>
        <v>0</v>
      </c>
      <c r="W38" s="594">
        <f t="shared" si="42"/>
        <v>0</v>
      </c>
      <c r="X38" s="594">
        <f t="shared" si="43"/>
        <v>0</v>
      </c>
      <c r="Y38" s="594">
        <f t="shared" si="44"/>
        <v>0</v>
      </c>
    </row>
    <row r="39" spans="2:25" ht="12.6" customHeight="1" outlineLevel="1">
      <c r="D39" s="569" t="s">
        <v>1851</v>
      </c>
      <c r="E39" s="662"/>
      <c r="F39" s="662"/>
      <c r="G39" s="667"/>
      <c r="H39" s="667">
        <v>52833.81</v>
      </c>
      <c r="I39" s="667">
        <v>40434.520000000251</v>
      </c>
      <c r="J39" s="667">
        <v>32785.590000000084</v>
      </c>
      <c r="K39" s="549"/>
      <c r="L39" s="549"/>
      <c r="M39" s="549"/>
      <c r="N39" s="549"/>
      <c r="O39" s="549"/>
    </row>
    <row r="40" spans="2:25" ht="11.65" customHeight="1" outlineLevel="1">
      <c r="B40" s="562" t="s">
        <v>239</v>
      </c>
      <c r="C40" s="562" t="s">
        <v>402</v>
      </c>
      <c r="D40" s="572" t="s">
        <v>1852</v>
      </c>
      <c r="E40" s="664">
        <v>129349.25</v>
      </c>
      <c r="F40" s="664">
        <v>129349.25</v>
      </c>
      <c r="G40" s="665">
        <v>129349.25</v>
      </c>
      <c r="H40" s="665">
        <v>133816.46</v>
      </c>
      <c r="I40" s="665">
        <v>133118.13</v>
      </c>
      <c r="J40" s="665">
        <v>133118.13</v>
      </c>
      <c r="K40" s="588"/>
      <c r="L40" s="588"/>
      <c r="M40" s="588"/>
      <c r="N40" s="588"/>
      <c r="O40" s="588"/>
      <c r="Q40" s="594">
        <f t="shared" ref="Q40:Q52" si="45">+IFERROR(F40/E40-1,0)</f>
        <v>0</v>
      </c>
      <c r="R40" s="594">
        <f t="shared" ref="R40:R52" si="46">+IFERROR(G40/F40-1,0)</f>
        <v>0</v>
      </c>
      <c r="S40" s="594">
        <f t="shared" ref="S40:S52" si="47">+IFERROR(H40/G40-1,0)</f>
        <v>3.4536033258793397E-2</v>
      </c>
      <c r="T40" s="594">
        <f t="shared" ref="T40:T52" si="48">+IFERROR(I40/H40-1,0)</f>
        <v>-5.2185657877961145E-3</v>
      </c>
      <c r="U40" s="594">
        <f t="shared" ref="U40:U52" si="49">+IFERROR(K40/I40-1,0)</f>
        <v>-1</v>
      </c>
      <c r="V40" s="594">
        <f t="shared" ref="V40:V52" si="50">+IFERROR(L40/K40-1,0)</f>
        <v>0</v>
      </c>
      <c r="W40" s="594">
        <f t="shared" ref="W40:W52" si="51">+IFERROR(M40/L40-1,0)</f>
        <v>0</v>
      </c>
      <c r="X40" s="594">
        <f t="shared" ref="X40:X52" si="52">+IFERROR(N40/M40-1,0)</f>
        <v>0</v>
      </c>
      <c r="Y40" s="594">
        <f t="shared" ref="Y40:Y52" si="53">+IFERROR(O40/N40-1,0)</f>
        <v>0</v>
      </c>
    </row>
    <row r="41" spans="2:25" ht="12.6" customHeight="1" outlineLevel="1">
      <c r="B41" s="562" t="s">
        <v>239</v>
      </c>
      <c r="C41" s="562" t="s">
        <v>402</v>
      </c>
      <c r="D41" s="579" t="s">
        <v>3449</v>
      </c>
      <c r="E41" s="664">
        <v>0</v>
      </c>
      <c r="F41" s="664">
        <v>0</v>
      </c>
      <c r="G41" s="665">
        <v>0</v>
      </c>
      <c r="H41" s="670"/>
      <c r="I41" s="665">
        <v>0</v>
      </c>
      <c r="J41" s="665">
        <v>0</v>
      </c>
      <c r="K41" s="588"/>
      <c r="L41" s="588"/>
      <c r="M41" s="588"/>
      <c r="N41" s="588"/>
      <c r="O41" s="588"/>
      <c r="Q41" s="594">
        <f t="shared" si="45"/>
        <v>0</v>
      </c>
      <c r="R41" s="594">
        <f t="shared" si="46"/>
        <v>0</v>
      </c>
      <c r="S41" s="594">
        <f t="shared" si="47"/>
        <v>0</v>
      </c>
      <c r="T41" s="594">
        <f t="shared" si="48"/>
        <v>0</v>
      </c>
      <c r="U41" s="594">
        <f t="shared" si="49"/>
        <v>0</v>
      </c>
      <c r="V41" s="594">
        <f t="shared" si="50"/>
        <v>0</v>
      </c>
      <c r="W41" s="594">
        <f t="shared" si="51"/>
        <v>0</v>
      </c>
      <c r="X41" s="594">
        <f t="shared" si="52"/>
        <v>0</v>
      </c>
      <c r="Y41" s="594">
        <f t="shared" si="53"/>
        <v>0</v>
      </c>
    </row>
    <row r="42" spans="2:25" ht="11.65" customHeight="1" outlineLevel="1">
      <c r="B42" s="562" t="s">
        <v>239</v>
      </c>
      <c r="C42" s="562" t="s">
        <v>402</v>
      </c>
      <c r="D42" s="572" t="s">
        <v>1853</v>
      </c>
      <c r="E42" s="664">
        <v>473271.28</v>
      </c>
      <c r="F42" s="664">
        <v>474480.98</v>
      </c>
      <c r="G42" s="665">
        <v>554305.54</v>
      </c>
      <c r="H42" s="665">
        <v>901262.3</v>
      </c>
      <c r="I42" s="665">
        <v>940373.22</v>
      </c>
      <c r="J42" s="665">
        <v>1078787.53</v>
      </c>
      <c r="K42" s="588"/>
      <c r="L42" s="588"/>
      <c r="M42" s="588"/>
      <c r="N42" s="588"/>
      <c r="O42" s="588"/>
      <c r="Q42" s="594">
        <f t="shared" si="45"/>
        <v>2.5560393185066754E-3</v>
      </c>
      <c r="R42" s="594">
        <f t="shared" si="46"/>
        <v>0.16823553180150674</v>
      </c>
      <c r="S42" s="594">
        <f t="shared" si="47"/>
        <v>0.62593052921679249</v>
      </c>
      <c r="T42" s="594">
        <f t="shared" si="48"/>
        <v>4.3395712879591208E-2</v>
      </c>
      <c r="U42" s="594">
        <f t="shared" si="49"/>
        <v>-1</v>
      </c>
      <c r="V42" s="594">
        <f t="shared" si="50"/>
        <v>0</v>
      </c>
      <c r="W42" s="594">
        <f t="shared" si="51"/>
        <v>0</v>
      </c>
      <c r="X42" s="594">
        <f t="shared" si="52"/>
        <v>0</v>
      </c>
      <c r="Y42" s="594">
        <f t="shared" si="53"/>
        <v>0</v>
      </c>
    </row>
    <row r="43" spans="2:25" ht="12.6" customHeight="1" outlineLevel="1">
      <c r="B43" s="562" t="s">
        <v>239</v>
      </c>
      <c r="C43" s="562" t="s">
        <v>402</v>
      </c>
      <c r="D43" s="572" t="s">
        <v>1854</v>
      </c>
      <c r="E43" s="664">
        <v>12622</v>
      </c>
      <c r="F43" s="664">
        <v>9622</v>
      </c>
      <c r="G43" s="665">
        <v>9622</v>
      </c>
      <c r="H43" s="665">
        <v>26073.26</v>
      </c>
      <c r="I43" s="665">
        <v>26073.26</v>
      </c>
      <c r="J43" s="665">
        <v>16451.259999999998</v>
      </c>
      <c r="K43" s="588"/>
      <c r="L43" s="588"/>
      <c r="M43" s="588"/>
      <c r="N43" s="588"/>
      <c r="O43" s="588"/>
      <c r="Q43" s="594">
        <f t="shared" si="45"/>
        <v>-0.23768024084931072</v>
      </c>
      <c r="R43" s="594">
        <f t="shared" si="46"/>
        <v>0</v>
      </c>
      <c r="S43" s="594">
        <f t="shared" si="47"/>
        <v>1.7097547287466224</v>
      </c>
      <c r="T43" s="594">
        <f t="shared" si="48"/>
        <v>0</v>
      </c>
      <c r="U43" s="594">
        <f t="shared" si="49"/>
        <v>-1</v>
      </c>
      <c r="V43" s="594">
        <f t="shared" si="50"/>
        <v>0</v>
      </c>
      <c r="W43" s="594">
        <f t="shared" si="51"/>
        <v>0</v>
      </c>
      <c r="X43" s="594">
        <f t="shared" si="52"/>
        <v>0</v>
      </c>
      <c r="Y43" s="594">
        <f t="shared" si="53"/>
        <v>0</v>
      </c>
    </row>
    <row r="44" spans="2:25" ht="11.65" customHeight="1" outlineLevel="1">
      <c r="B44" s="562" t="s">
        <v>239</v>
      </c>
      <c r="C44" s="562" t="s">
        <v>402</v>
      </c>
      <c r="D44" s="572" t="s">
        <v>1855</v>
      </c>
      <c r="E44" s="664">
        <v>66386.59</v>
      </c>
      <c r="F44" s="664">
        <v>69440.69</v>
      </c>
      <c r="G44" s="665">
        <v>59098.12</v>
      </c>
      <c r="H44" s="665">
        <v>70122.94</v>
      </c>
      <c r="I44" s="665">
        <v>81134.33</v>
      </c>
      <c r="J44" s="665">
        <v>86444.33</v>
      </c>
      <c r="K44" s="588"/>
      <c r="L44" s="588"/>
      <c r="M44" s="588"/>
      <c r="N44" s="588"/>
      <c r="O44" s="588"/>
      <c r="Q44" s="594">
        <f t="shared" si="45"/>
        <v>4.6004772951886874E-2</v>
      </c>
      <c r="R44" s="594">
        <f t="shared" si="46"/>
        <v>-0.14894106034948673</v>
      </c>
      <c r="S44" s="594">
        <f t="shared" si="47"/>
        <v>0.18655111194738505</v>
      </c>
      <c r="T44" s="594">
        <f t="shared" si="48"/>
        <v>0.15702978226526154</v>
      </c>
      <c r="U44" s="594">
        <f t="shared" si="49"/>
        <v>-1</v>
      </c>
      <c r="V44" s="594">
        <f t="shared" si="50"/>
        <v>0</v>
      </c>
      <c r="W44" s="594">
        <f t="shared" si="51"/>
        <v>0</v>
      </c>
      <c r="X44" s="594">
        <f t="shared" si="52"/>
        <v>0</v>
      </c>
      <c r="Y44" s="594">
        <f t="shared" si="53"/>
        <v>0</v>
      </c>
    </row>
    <row r="45" spans="2:25" ht="12.6" customHeight="1" outlineLevel="1">
      <c r="B45" s="562" t="s">
        <v>239</v>
      </c>
      <c r="C45" s="562" t="s">
        <v>402</v>
      </c>
      <c r="D45" s="572" t="s">
        <v>1856</v>
      </c>
      <c r="E45" s="664">
        <v>6290.84</v>
      </c>
      <c r="F45" s="664">
        <v>6290.84</v>
      </c>
      <c r="G45" s="665">
        <v>6290.84</v>
      </c>
      <c r="H45" s="665">
        <v>8419.8700000000008</v>
      </c>
      <c r="I45" s="665">
        <v>8419.8700000000008</v>
      </c>
      <c r="J45" s="665">
        <v>9308.08</v>
      </c>
      <c r="K45" s="588"/>
      <c r="L45" s="588"/>
      <c r="M45" s="588"/>
      <c r="N45" s="588"/>
      <c r="O45" s="588"/>
      <c r="Q45" s="594">
        <f t="shared" si="45"/>
        <v>0</v>
      </c>
      <c r="R45" s="594">
        <f t="shared" si="46"/>
        <v>0</v>
      </c>
      <c r="S45" s="594">
        <f t="shared" si="47"/>
        <v>0.33843334117542345</v>
      </c>
      <c r="T45" s="594">
        <f t="shared" si="48"/>
        <v>0</v>
      </c>
      <c r="U45" s="594">
        <f t="shared" si="49"/>
        <v>-1</v>
      </c>
      <c r="V45" s="594">
        <f t="shared" si="50"/>
        <v>0</v>
      </c>
      <c r="W45" s="594">
        <f t="shared" si="51"/>
        <v>0</v>
      </c>
      <c r="X45" s="594">
        <f t="shared" si="52"/>
        <v>0</v>
      </c>
      <c r="Y45" s="594">
        <f t="shared" si="53"/>
        <v>0</v>
      </c>
    </row>
    <row r="46" spans="2:25" ht="11.65" customHeight="1" outlineLevel="1">
      <c r="B46" s="562" t="s">
        <v>239</v>
      </c>
      <c r="C46" s="562" t="s">
        <v>402</v>
      </c>
      <c r="D46" s="572" t="s">
        <v>1857</v>
      </c>
      <c r="E46" s="664">
        <v>14775.2</v>
      </c>
      <c r="F46" s="664">
        <v>14775.2</v>
      </c>
      <c r="G46" s="665">
        <v>14775.2</v>
      </c>
      <c r="H46" s="665">
        <v>14775.2</v>
      </c>
      <c r="I46" s="665">
        <v>14775.2</v>
      </c>
      <c r="J46" s="665">
        <v>14775.2</v>
      </c>
      <c r="K46" s="588"/>
      <c r="L46" s="588"/>
      <c r="M46" s="588"/>
      <c r="N46" s="588"/>
      <c r="O46" s="588"/>
      <c r="Q46" s="594">
        <f t="shared" si="45"/>
        <v>0</v>
      </c>
      <c r="R46" s="594">
        <f t="shared" si="46"/>
        <v>0</v>
      </c>
      <c r="S46" s="594">
        <f t="shared" si="47"/>
        <v>0</v>
      </c>
      <c r="T46" s="594">
        <f t="shared" si="48"/>
        <v>0</v>
      </c>
      <c r="U46" s="594">
        <f t="shared" si="49"/>
        <v>-1</v>
      </c>
      <c r="V46" s="594">
        <f t="shared" si="50"/>
        <v>0</v>
      </c>
      <c r="W46" s="594">
        <f t="shared" si="51"/>
        <v>0</v>
      </c>
      <c r="X46" s="594">
        <f t="shared" si="52"/>
        <v>0</v>
      </c>
      <c r="Y46" s="594">
        <f t="shared" si="53"/>
        <v>0</v>
      </c>
    </row>
    <row r="47" spans="2:25" ht="12.6" customHeight="1" outlineLevel="1">
      <c r="B47" s="562" t="s">
        <v>239</v>
      </c>
      <c r="C47" s="562" t="s">
        <v>402</v>
      </c>
      <c r="D47" s="572" t="s">
        <v>1858</v>
      </c>
      <c r="E47" s="664">
        <v>-116915.58</v>
      </c>
      <c r="F47" s="664">
        <v>-118738.02</v>
      </c>
      <c r="G47" s="665">
        <v>-120514.17</v>
      </c>
      <c r="H47" s="665">
        <v>-122326.84</v>
      </c>
      <c r="I47" s="665">
        <v>-123709.22</v>
      </c>
      <c r="J47" s="665">
        <v>-124741.02</v>
      </c>
      <c r="K47" s="588"/>
      <c r="L47" s="588"/>
      <c r="M47" s="588"/>
      <c r="N47" s="588"/>
      <c r="O47" s="588"/>
      <c r="Q47" s="594">
        <f t="shared" si="45"/>
        <v>1.5587657350714101E-2</v>
      </c>
      <c r="R47" s="594">
        <f t="shared" si="46"/>
        <v>1.4958561714268015E-2</v>
      </c>
      <c r="S47" s="594">
        <f t="shared" si="47"/>
        <v>1.5041135826600271E-2</v>
      </c>
      <c r="T47" s="594">
        <f t="shared" si="48"/>
        <v>1.1300708822364669E-2</v>
      </c>
      <c r="U47" s="594">
        <f t="shared" si="49"/>
        <v>-1</v>
      </c>
      <c r="V47" s="594">
        <f t="shared" si="50"/>
        <v>0</v>
      </c>
      <c r="W47" s="594">
        <f t="shared" si="51"/>
        <v>0</v>
      </c>
      <c r="X47" s="594">
        <f t="shared" si="52"/>
        <v>0</v>
      </c>
      <c r="Y47" s="594">
        <f t="shared" si="53"/>
        <v>0</v>
      </c>
    </row>
    <row r="48" spans="2:25" ht="11.65" customHeight="1" outlineLevel="1">
      <c r="B48" s="562" t="s">
        <v>239</v>
      </c>
      <c r="C48" s="562" t="s">
        <v>402</v>
      </c>
      <c r="D48" s="572" t="s">
        <v>1859</v>
      </c>
      <c r="E48" s="664">
        <v>-429863.99</v>
      </c>
      <c r="F48" s="664">
        <v>-447442.87</v>
      </c>
      <c r="G48" s="665">
        <v>-434708.24</v>
      </c>
      <c r="H48" s="665">
        <v>-458626.77</v>
      </c>
      <c r="I48" s="665">
        <v>-477438.25</v>
      </c>
      <c r="J48" s="665">
        <v>-541134.17000000004</v>
      </c>
      <c r="K48" s="588"/>
      <c r="L48" s="588"/>
      <c r="M48" s="588"/>
      <c r="N48" s="588"/>
      <c r="O48" s="588"/>
      <c r="Q48" s="594">
        <f t="shared" si="45"/>
        <v>4.0894051162554845E-2</v>
      </c>
      <c r="R48" s="594">
        <f t="shared" si="46"/>
        <v>-2.8460907199169383E-2</v>
      </c>
      <c r="S48" s="594">
        <f t="shared" si="47"/>
        <v>5.5022030408257372E-2</v>
      </c>
      <c r="T48" s="594">
        <f t="shared" si="48"/>
        <v>4.1016968983297541E-2</v>
      </c>
      <c r="U48" s="594">
        <f t="shared" si="49"/>
        <v>-1</v>
      </c>
      <c r="V48" s="594">
        <f t="shared" si="50"/>
        <v>0</v>
      </c>
      <c r="W48" s="594">
        <f t="shared" si="51"/>
        <v>0</v>
      </c>
      <c r="X48" s="594">
        <f t="shared" si="52"/>
        <v>0</v>
      </c>
      <c r="Y48" s="594">
        <f t="shared" si="53"/>
        <v>0</v>
      </c>
    </row>
    <row r="49" spans="2:25" ht="12.6" customHeight="1" outlineLevel="1">
      <c r="B49" s="562" t="s">
        <v>239</v>
      </c>
      <c r="C49" s="562" t="s">
        <v>402</v>
      </c>
      <c r="D49" s="572" t="s">
        <v>1860</v>
      </c>
      <c r="E49" s="664">
        <v>-4202.75</v>
      </c>
      <c r="F49" s="664">
        <v>-3608.25</v>
      </c>
      <c r="G49" s="665">
        <v>-6013.75</v>
      </c>
      <c r="H49" s="665">
        <v>-10475.66</v>
      </c>
      <c r="I49" s="665">
        <v>-15791.23</v>
      </c>
      <c r="J49" s="665">
        <v>-8208.73</v>
      </c>
      <c r="K49" s="588"/>
      <c r="L49" s="588"/>
      <c r="M49" s="588"/>
      <c r="N49" s="588"/>
      <c r="O49" s="588"/>
      <c r="Q49" s="594">
        <f t="shared" si="45"/>
        <v>-0.14145499970257569</v>
      </c>
      <c r="R49" s="594">
        <f t="shared" si="46"/>
        <v>0.66666666666666674</v>
      </c>
      <c r="S49" s="594">
        <f t="shared" si="47"/>
        <v>0.74195136146331331</v>
      </c>
      <c r="T49" s="594">
        <f t="shared" si="48"/>
        <v>0.50742101213670554</v>
      </c>
      <c r="U49" s="594">
        <f t="shared" si="49"/>
        <v>-1</v>
      </c>
      <c r="V49" s="594">
        <f t="shared" si="50"/>
        <v>0</v>
      </c>
      <c r="W49" s="594">
        <f t="shared" si="51"/>
        <v>0</v>
      </c>
      <c r="X49" s="594">
        <f t="shared" si="52"/>
        <v>0</v>
      </c>
      <c r="Y49" s="594">
        <f t="shared" si="53"/>
        <v>0</v>
      </c>
    </row>
    <row r="50" spans="2:25" ht="11.65" customHeight="1" outlineLevel="1">
      <c r="B50" s="562" t="s">
        <v>239</v>
      </c>
      <c r="C50" s="562" t="s">
        <v>402</v>
      </c>
      <c r="D50" s="572" t="s">
        <v>1861</v>
      </c>
      <c r="E50" s="664">
        <v>-47144.88</v>
      </c>
      <c r="F50" s="664">
        <v>-54256.41</v>
      </c>
      <c r="G50" s="665">
        <v>-43128.75</v>
      </c>
      <c r="H50" s="665">
        <v>-50292.160000000003</v>
      </c>
      <c r="I50" s="665">
        <v>-49749.49</v>
      </c>
      <c r="J50" s="665">
        <v>-55563.62</v>
      </c>
      <c r="K50" s="588"/>
      <c r="L50" s="588"/>
      <c r="M50" s="588"/>
      <c r="N50" s="588"/>
      <c r="O50" s="588"/>
      <c r="Q50" s="594">
        <f t="shared" si="45"/>
        <v>0.15084416377769982</v>
      </c>
      <c r="R50" s="594">
        <f t="shared" si="46"/>
        <v>-0.20509392346452715</v>
      </c>
      <c r="S50" s="594">
        <f t="shared" si="47"/>
        <v>0.16609361504796682</v>
      </c>
      <c r="T50" s="594">
        <f t="shared" si="48"/>
        <v>-1.0790349827885848E-2</v>
      </c>
      <c r="U50" s="594">
        <f t="shared" si="49"/>
        <v>-1</v>
      </c>
      <c r="V50" s="594">
        <f t="shared" si="50"/>
        <v>0</v>
      </c>
      <c r="W50" s="594">
        <f t="shared" si="51"/>
        <v>0</v>
      </c>
      <c r="X50" s="594">
        <f t="shared" si="52"/>
        <v>0</v>
      </c>
      <c r="Y50" s="594">
        <f t="shared" si="53"/>
        <v>0</v>
      </c>
    </row>
    <row r="51" spans="2:25" ht="12.6" customHeight="1" outlineLevel="1">
      <c r="B51" s="562" t="s">
        <v>239</v>
      </c>
      <c r="C51" s="562" t="s">
        <v>402</v>
      </c>
      <c r="D51" s="572" t="s">
        <v>1862</v>
      </c>
      <c r="E51" s="664">
        <v>-3579.16</v>
      </c>
      <c r="F51" s="664">
        <v>-4712.05</v>
      </c>
      <c r="G51" s="665">
        <v>-5582.03</v>
      </c>
      <c r="H51" s="665">
        <v>-6296.21</v>
      </c>
      <c r="I51" s="665">
        <v>-6893.33</v>
      </c>
      <c r="J51" s="665">
        <v>-6937.38</v>
      </c>
      <c r="K51" s="588"/>
      <c r="L51" s="588"/>
      <c r="M51" s="588"/>
      <c r="N51" s="588"/>
      <c r="O51" s="588"/>
      <c r="Q51" s="594">
        <f t="shared" si="45"/>
        <v>0.31652398886889666</v>
      </c>
      <c r="R51" s="594">
        <f t="shared" si="46"/>
        <v>0.1846287709171166</v>
      </c>
      <c r="S51" s="594">
        <f t="shared" si="47"/>
        <v>0.12794270184861078</v>
      </c>
      <c r="T51" s="594">
        <f t="shared" si="48"/>
        <v>9.4838005720901952E-2</v>
      </c>
      <c r="U51" s="594">
        <f t="shared" si="49"/>
        <v>-1</v>
      </c>
      <c r="V51" s="594">
        <f t="shared" si="50"/>
        <v>0</v>
      </c>
      <c r="W51" s="594">
        <f t="shared" si="51"/>
        <v>0</v>
      </c>
      <c r="X51" s="594">
        <f t="shared" si="52"/>
        <v>0</v>
      </c>
      <c r="Y51" s="594">
        <f t="shared" si="53"/>
        <v>0</v>
      </c>
    </row>
    <row r="52" spans="2:25" ht="11.65" customHeight="1" outlineLevel="1">
      <c r="B52" s="562" t="s">
        <v>239</v>
      </c>
      <c r="C52" s="562" t="s">
        <v>402</v>
      </c>
      <c r="D52" s="572" t="s">
        <v>1863</v>
      </c>
      <c r="E52" s="664">
        <v>-14775.2</v>
      </c>
      <c r="F52" s="664">
        <v>-14775.2</v>
      </c>
      <c r="G52" s="665">
        <v>-14775.2</v>
      </c>
      <c r="H52" s="665">
        <v>-14775.2</v>
      </c>
      <c r="I52" s="665">
        <v>-14775.2</v>
      </c>
      <c r="J52" s="665">
        <v>-14775.2</v>
      </c>
      <c r="K52" s="588"/>
      <c r="L52" s="588"/>
      <c r="M52" s="588"/>
      <c r="N52" s="588"/>
      <c r="O52" s="588"/>
      <c r="Q52" s="594">
        <f t="shared" si="45"/>
        <v>0</v>
      </c>
      <c r="R52" s="594">
        <f t="shared" si="46"/>
        <v>0</v>
      </c>
      <c r="S52" s="594">
        <f t="shared" si="47"/>
        <v>0</v>
      </c>
      <c r="T52" s="594">
        <f t="shared" si="48"/>
        <v>0</v>
      </c>
      <c r="U52" s="594">
        <f t="shared" si="49"/>
        <v>-1</v>
      </c>
      <c r="V52" s="594">
        <f t="shared" si="50"/>
        <v>0</v>
      </c>
      <c r="W52" s="594">
        <f t="shared" si="51"/>
        <v>0</v>
      </c>
      <c r="X52" s="594">
        <f t="shared" si="52"/>
        <v>0</v>
      </c>
      <c r="Y52" s="594">
        <f t="shared" si="53"/>
        <v>0</v>
      </c>
    </row>
    <row r="53" spans="2:25" ht="11.65" customHeight="1" outlineLevel="1">
      <c r="B53" s="562" t="s">
        <v>239</v>
      </c>
      <c r="C53" s="562" t="s">
        <v>402</v>
      </c>
      <c r="D53" s="572" t="s">
        <v>3730</v>
      </c>
      <c r="E53" s="664"/>
      <c r="F53" s="664"/>
      <c r="G53" s="665"/>
      <c r="H53" s="665"/>
      <c r="I53" s="665">
        <v>2100</v>
      </c>
      <c r="J53" s="665">
        <v>0</v>
      </c>
      <c r="K53" s="588"/>
      <c r="L53" s="588"/>
      <c r="M53" s="588"/>
      <c r="N53" s="588"/>
      <c r="O53" s="588"/>
      <c r="Q53" s="594"/>
      <c r="R53" s="594"/>
      <c r="S53" s="594"/>
      <c r="T53" s="594"/>
      <c r="U53" s="594"/>
      <c r="V53" s="594"/>
      <c r="W53" s="594"/>
      <c r="X53" s="594"/>
      <c r="Y53" s="594"/>
    </row>
    <row r="54" spans="2:25" ht="12.6" customHeight="1" outlineLevel="1">
      <c r="D54" s="569" t="s">
        <v>1864</v>
      </c>
      <c r="E54" s="662"/>
      <c r="F54" s="662"/>
      <c r="G54" s="667"/>
      <c r="H54" s="667">
        <v>491677.19</v>
      </c>
      <c r="I54" s="667">
        <v>517637.29000000033</v>
      </c>
      <c r="J54" s="667">
        <v>587524.41000000027</v>
      </c>
      <c r="K54" s="549"/>
      <c r="L54" s="549"/>
      <c r="M54" s="549"/>
      <c r="N54" s="549"/>
      <c r="O54" s="549"/>
    </row>
    <row r="55" spans="2:25" ht="11.65" customHeight="1" outlineLevel="1">
      <c r="D55" s="573" t="s">
        <v>1865</v>
      </c>
      <c r="E55" s="668"/>
      <c r="F55" s="668"/>
      <c r="G55" s="669"/>
      <c r="H55" s="669">
        <v>5325499.47</v>
      </c>
      <c r="I55" s="669">
        <v>6142464.8400000008</v>
      </c>
      <c r="J55" s="669">
        <v>6945045.2400000002</v>
      </c>
      <c r="K55" s="556"/>
      <c r="L55" s="556"/>
      <c r="M55" s="556"/>
      <c r="N55" s="556"/>
      <c r="O55" s="556"/>
    </row>
    <row r="56" spans="2:25" ht="12.6" customHeight="1" outlineLevel="1">
      <c r="D56" s="569" t="s">
        <v>1866</v>
      </c>
      <c r="E56" s="662"/>
      <c r="F56" s="662"/>
      <c r="G56" s="654"/>
      <c r="H56" s="654"/>
      <c r="I56" s="654"/>
      <c r="J56" s="654"/>
      <c r="K56" s="546"/>
      <c r="L56" s="546"/>
      <c r="M56" s="546"/>
      <c r="N56" s="546"/>
      <c r="O56" s="546"/>
    </row>
    <row r="57" spans="2:25" ht="11.65" customHeight="1" outlineLevel="1">
      <c r="D57" s="568" t="s">
        <v>1867</v>
      </c>
      <c r="E57" s="660"/>
      <c r="F57" s="660"/>
      <c r="G57" s="657"/>
      <c r="H57" s="657"/>
      <c r="I57" s="657"/>
      <c r="J57" s="657"/>
      <c r="K57" s="547"/>
      <c r="L57" s="547"/>
      <c r="M57" s="547"/>
      <c r="N57" s="547"/>
      <c r="O57" s="547"/>
    </row>
    <row r="58" spans="2:25" ht="12.6" customHeight="1" outlineLevel="1">
      <c r="B58" s="562" t="s">
        <v>239</v>
      </c>
      <c r="C58" s="562" t="s">
        <v>403</v>
      </c>
      <c r="D58" s="572" t="s">
        <v>1868</v>
      </c>
      <c r="E58" s="664">
        <v>2300</v>
      </c>
      <c r="F58" s="664">
        <v>2300</v>
      </c>
      <c r="G58" s="665">
        <v>2300</v>
      </c>
      <c r="H58" s="665">
        <v>2300</v>
      </c>
      <c r="I58" s="665">
        <v>0</v>
      </c>
      <c r="J58" s="665">
        <v>0</v>
      </c>
      <c r="K58" s="588"/>
      <c r="L58" s="588"/>
      <c r="M58" s="588"/>
      <c r="N58" s="588"/>
      <c r="O58" s="588"/>
      <c r="Q58" s="594">
        <f>+IFERROR(F58/E58-1,0)</f>
        <v>0</v>
      </c>
      <c r="R58" s="594">
        <f t="shared" ref="R58" si="54">+IFERROR(G58/F58-1,0)</f>
        <v>0</v>
      </c>
      <c r="S58" s="594">
        <f t="shared" ref="S58" si="55">+IFERROR(H58/G58-1,0)</f>
        <v>0</v>
      </c>
      <c r="T58" s="594">
        <f t="shared" ref="T58" si="56">+IFERROR(I58/H58-1,0)</f>
        <v>-1</v>
      </c>
      <c r="U58" s="594">
        <f t="shared" ref="U58" si="57">+IFERROR(K58/I58-1,0)</f>
        <v>0</v>
      </c>
      <c r="V58" s="594">
        <f t="shared" ref="V58" si="58">+IFERROR(L58/K58-1,0)</f>
        <v>0</v>
      </c>
      <c r="W58" s="594">
        <f t="shared" ref="W58" si="59">+IFERROR(M58/L58-1,0)</f>
        <v>0</v>
      </c>
      <c r="X58" s="594">
        <f t="shared" ref="X58" si="60">+IFERROR(N58/M58-1,0)</f>
        <v>0</v>
      </c>
      <c r="Y58" s="594">
        <f t="shared" ref="Y58" si="61">+IFERROR(O58/N58-1,0)</f>
        <v>0</v>
      </c>
    </row>
    <row r="59" spans="2:25" ht="11.65" customHeight="1" outlineLevel="1">
      <c r="D59" s="574" t="s">
        <v>1869</v>
      </c>
      <c r="E59" s="671"/>
      <c r="F59" s="671"/>
      <c r="G59" s="666"/>
      <c r="H59" s="666">
        <v>2300</v>
      </c>
      <c r="I59" s="666">
        <v>0</v>
      </c>
      <c r="J59" s="666">
        <v>0</v>
      </c>
      <c r="K59" s="548"/>
      <c r="L59" s="548"/>
      <c r="M59" s="548"/>
      <c r="N59" s="548"/>
      <c r="O59" s="548"/>
    </row>
    <row r="60" spans="2:25" ht="12.6" customHeight="1" outlineLevel="1">
      <c r="B60" s="562" t="s">
        <v>239</v>
      </c>
      <c r="C60" s="562" t="s">
        <v>403</v>
      </c>
      <c r="D60" s="572" t="s">
        <v>1870</v>
      </c>
      <c r="E60" s="664">
        <v>54250</v>
      </c>
      <c r="F60" s="664">
        <v>54450</v>
      </c>
      <c r="G60" s="665">
        <v>54650</v>
      </c>
      <c r="H60" s="665">
        <v>74850</v>
      </c>
      <c r="I60" s="665">
        <v>77450</v>
      </c>
      <c r="J60" s="665">
        <v>77450</v>
      </c>
      <c r="K60" s="588"/>
      <c r="L60" s="588"/>
      <c r="M60" s="588"/>
      <c r="N60" s="588"/>
      <c r="O60" s="588"/>
      <c r="Q60" s="594">
        <f>+IFERROR(F60/E60-1,0)</f>
        <v>3.6866359447005337E-3</v>
      </c>
      <c r="R60" s="594">
        <f t="shared" ref="R60" si="62">+IFERROR(G60/F60-1,0)</f>
        <v>3.6730945821854544E-3</v>
      </c>
      <c r="S60" s="594">
        <f t="shared" ref="S60" si="63">+IFERROR(H60/G60-1,0)</f>
        <v>0.3696248856358646</v>
      </c>
      <c r="T60" s="594">
        <f t="shared" ref="T60" si="64">+IFERROR(I60/H60-1,0)</f>
        <v>3.4736138944555739E-2</v>
      </c>
      <c r="U60" s="594">
        <f t="shared" ref="U60" si="65">+IFERROR(K60/I60-1,0)</f>
        <v>-1</v>
      </c>
      <c r="V60" s="594">
        <f t="shared" ref="V60" si="66">+IFERROR(L60/K60-1,0)</f>
        <v>0</v>
      </c>
      <c r="W60" s="594">
        <f t="shared" ref="W60" si="67">+IFERROR(M60/L60-1,0)</f>
        <v>0</v>
      </c>
      <c r="X60" s="594">
        <f t="shared" ref="X60" si="68">+IFERROR(N60/M60-1,0)</f>
        <v>0</v>
      </c>
      <c r="Y60" s="594">
        <f t="shared" ref="Y60" si="69">+IFERROR(O60/N60-1,0)</f>
        <v>0</v>
      </c>
    </row>
    <row r="61" spans="2:25" ht="11.65" customHeight="1" outlineLevel="1">
      <c r="D61" s="574" t="s">
        <v>1871</v>
      </c>
      <c r="E61" s="671"/>
      <c r="F61" s="671"/>
      <c r="G61" s="666"/>
      <c r="H61" s="666">
        <v>74850</v>
      </c>
      <c r="I61" s="666">
        <v>77450</v>
      </c>
      <c r="J61" s="666">
        <v>77450</v>
      </c>
      <c r="K61" s="548"/>
      <c r="L61" s="548"/>
      <c r="M61" s="548"/>
      <c r="N61" s="548"/>
      <c r="O61" s="548"/>
    </row>
    <row r="62" spans="2:25" ht="12.6" customHeight="1" outlineLevel="1">
      <c r="D62" s="575" t="s">
        <v>1872</v>
      </c>
      <c r="E62" s="672"/>
      <c r="F62" s="672"/>
      <c r="G62" s="673"/>
      <c r="H62" s="673">
        <v>77150</v>
      </c>
      <c r="I62" s="673">
        <v>77450</v>
      </c>
      <c r="J62" s="673">
        <v>77450</v>
      </c>
      <c r="K62" s="552"/>
      <c r="L62" s="552"/>
      <c r="M62" s="552"/>
      <c r="N62" s="552"/>
      <c r="O62" s="552"/>
    </row>
    <row r="63" spans="2:25" ht="4.5" hidden="1" customHeight="1"/>
    <row r="64" spans="2:25" ht="12.6" customHeight="1" outlineLevel="1">
      <c r="B64" s="562" t="s">
        <v>239</v>
      </c>
      <c r="C64" s="562" t="s">
        <v>403</v>
      </c>
      <c r="D64" s="572" t="s">
        <v>3731</v>
      </c>
      <c r="E64" s="664"/>
      <c r="F64" s="664"/>
      <c r="G64" s="665"/>
      <c r="H64" s="665"/>
      <c r="I64" s="665">
        <v>153547.81</v>
      </c>
      <c r="J64" s="665">
        <v>131299.51</v>
      </c>
      <c r="K64" s="588"/>
      <c r="L64" s="588"/>
      <c r="M64" s="588"/>
      <c r="N64" s="588"/>
      <c r="O64" s="588"/>
      <c r="Q64" s="594"/>
      <c r="R64" s="594"/>
      <c r="S64" s="594"/>
      <c r="T64" s="594"/>
      <c r="U64" s="594"/>
      <c r="V64" s="594"/>
      <c r="W64" s="594"/>
      <c r="X64" s="594"/>
      <c r="Y64" s="594"/>
    </row>
    <row r="65" spans="2:25" ht="11.65" customHeight="1" outlineLevel="1">
      <c r="D65" s="573" t="s">
        <v>1873</v>
      </c>
      <c r="E65" s="668"/>
      <c r="F65" s="668"/>
      <c r="G65" s="669"/>
      <c r="H65" s="669">
        <f>+H62+H64</f>
        <v>77150</v>
      </c>
      <c r="I65" s="669">
        <v>230997.81</v>
      </c>
      <c r="J65" s="669">
        <v>208749.51</v>
      </c>
      <c r="K65" s="556"/>
      <c r="L65" s="556"/>
      <c r="M65" s="556"/>
      <c r="N65" s="556"/>
      <c r="O65" s="556"/>
    </row>
    <row r="66" spans="2:25" ht="18.399999999999999" customHeight="1" outlineLevel="1">
      <c r="D66" s="581" t="s">
        <v>1874</v>
      </c>
      <c r="E66" s="674"/>
      <c r="F66" s="674"/>
      <c r="G66" s="675"/>
      <c r="H66" s="675">
        <v>13623830.65</v>
      </c>
      <c r="I66" s="675">
        <v>14370420.75</v>
      </c>
      <c r="J66" s="675">
        <v>14588059.91</v>
      </c>
      <c r="K66" s="558"/>
      <c r="L66" s="558"/>
      <c r="M66" s="558"/>
      <c r="N66" s="558"/>
      <c r="O66" s="558"/>
    </row>
    <row r="67" spans="2:25" outlineLevel="1">
      <c r="D67" s="569" t="s">
        <v>1875</v>
      </c>
      <c r="E67" s="662"/>
      <c r="F67" s="662"/>
      <c r="G67" s="654"/>
      <c r="H67" s="654"/>
      <c r="I67" s="654"/>
      <c r="J67" s="654"/>
      <c r="K67" s="546"/>
      <c r="L67" s="546"/>
      <c r="M67" s="546"/>
      <c r="N67" s="546"/>
      <c r="O67" s="546"/>
    </row>
    <row r="68" spans="2:25" outlineLevel="1">
      <c r="D68" s="568" t="s">
        <v>1876</v>
      </c>
      <c r="E68" s="660"/>
      <c r="F68" s="660"/>
      <c r="G68" s="657"/>
      <c r="H68" s="657"/>
      <c r="I68" s="657"/>
      <c r="J68" s="657"/>
      <c r="K68" s="547"/>
      <c r="L68" s="547"/>
      <c r="M68" s="547"/>
      <c r="N68" s="547"/>
      <c r="O68" s="547"/>
    </row>
    <row r="69" spans="2:25" outlineLevel="1">
      <c r="B69" s="562" t="s">
        <v>239</v>
      </c>
      <c r="C69" s="562" t="s">
        <v>2344</v>
      </c>
      <c r="D69" s="572" t="s">
        <v>1877</v>
      </c>
      <c r="E69" s="664">
        <v>81280.55</v>
      </c>
      <c r="F69" s="664">
        <v>112580</v>
      </c>
      <c r="G69" s="665">
        <v>100208.61</v>
      </c>
      <c r="H69" s="665">
        <v>80033.78</v>
      </c>
      <c r="I69" s="665">
        <v>298552.58</v>
      </c>
      <c r="J69" s="665">
        <v>754189.01</v>
      </c>
      <c r="K69" s="723">
        <f>-K657</f>
        <v>278138.01513305411</v>
      </c>
      <c r="L69" s="723">
        <f t="shared" ref="L69:O69" si="70">-L657</f>
        <v>285319.17317515053</v>
      </c>
      <c r="M69" s="723">
        <f t="shared" si="70"/>
        <v>296761.00208919222</v>
      </c>
      <c r="N69" s="723">
        <f t="shared" si="70"/>
        <v>309652.96142584988</v>
      </c>
      <c r="O69" s="723">
        <f t="shared" si="70"/>
        <v>323355.64390315558</v>
      </c>
      <c r="Q69" s="594">
        <f>+IFERROR(F69/E69-1,0)</f>
        <v>0.38507921021695846</v>
      </c>
      <c r="R69" s="594">
        <f t="shared" ref="R69" si="71">+IFERROR(G69/F69-1,0)</f>
        <v>-0.10988976727660327</v>
      </c>
      <c r="S69" s="594">
        <f t="shared" ref="S69" si="72">+IFERROR(H69/G69-1,0)</f>
        <v>-0.20132830901456478</v>
      </c>
      <c r="T69" s="594">
        <f t="shared" ref="T69" si="73">+IFERROR(I69/H69-1,0)</f>
        <v>2.7303321172634858</v>
      </c>
      <c r="U69" s="594">
        <f t="shared" ref="U69" si="74">+IFERROR(K69/I69-1,0)</f>
        <v>-6.83784573790851E-2</v>
      </c>
      <c r="V69" s="594">
        <f t="shared" ref="V69" si="75">+IFERROR(L69/K69-1,0)</f>
        <v>2.5818685873130853E-2</v>
      </c>
      <c r="W69" s="594">
        <f t="shared" ref="W69" si="76">+IFERROR(M69/L69-1,0)</f>
        <v>4.0101857813171993E-2</v>
      </c>
      <c r="X69" s="594">
        <f t="shared" ref="X69" si="77">+IFERROR(N69/M69-1,0)</f>
        <v>4.344222874939252E-2</v>
      </c>
      <c r="Y69" s="594">
        <f t="shared" ref="Y69" si="78">+IFERROR(O69/N69-1,0)</f>
        <v>4.4251740445850674E-2</v>
      </c>
    </row>
    <row r="70" spans="2:25" outlineLevel="1">
      <c r="D70" s="568" t="s">
        <v>1878</v>
      </c>
      <c r="E70" s="660"/>
      <c r="F70" s="660"/>
      <c r="G70" s="666"/>
      <c r="H70" s="666">
        <v>80033.78</v>
      </c>
      <c r="I70" s="666">
        <v>298552.58</v>
      </c>
      <c r="J70" s="666">
        <v>754189.01</v>
      </c>
      <c r="K70" s="547"/>
      <c r="L70" s="547"/>
      <c r="M70" s="547"/>
      <c r="N70" s="547"/>
      <c r="O70" s="547"/>
    </row>
    <row r="71" spans="2:25" outlineLevel="1">
      <c r="B71" s="562" t="s">
        <v>239</v>
      </c>
      <c r="C71" s="562" t="s">
        <v>2344</v>
      </c>
      <c r="D71" s="572" t="s">
        <v>1879</v>
      </c>
      <c r="E71" s="664">
        <v>0</v>
      </c>
      <c r="F71" s="664">
        <v>290000</v>
      </c>
      <c r="G71" s="665">
        <v>437594.14</v>
      </c>
      <c r="H71" s="665">
        <v>657594.14</v>
      </c>
      <c r="I71" s="665">
        <v>293016.96999999997</v>
      </c>
      <c r="J71" s="665">
        <v>0</v>
      </c>
      <c r="K71" s="722">
        <f>+K457</f>
        <v>718836.43412940681</v>
      </c>
      <c r="L71" s="722">
        <f t="shared" ref="L71:O71" si="79">+L457</f>
        <v>763995.51312253659</v>
      </c>
      <c r="M71" s="722">
        <f t="shared" si="79"/>
        <v>792169.13049880695</v>
      </c>
      <c r="N71" s="722">
        <f t="shared" si="79"/>
        <v>827223.99325085536</v>
      </c>
      <c r="O71" s="722">
        <f t="shared" si="79"/>
        <v>863830.09469077224</v>
      </c>
      <c r="Q71" s="594">
        <f>+IFERROR(F71/E71-1,0)</f>
        <v>0</v>
      </c>
      <c r="R71" s="594">
        <f t="shared" ref="R71" si="80">+IFERROR(G71/F71-1,0)</f>
        <v>0.5089453103448276</v>
      </c>
      <c r="S71" s="594">
        <f t="shared" ref="S71" si="81">+IFERROR(H71/G71-1,0)</f>
        <v>0.50274896277175918</v>
      </c>
      <c r="T71" s="594">
        <f t="shared" ref="T71" si="82">+IFERROR(I71/H71-1,0)</f>
        <v>-0.55441061260065372</v>
      </c>
      <c r="U71" s="594">
        <f t="shared" ref="U71" si="83">+IFERROR(K71/I71-1,0)</f>
        <v>1.4532245833045332</v>
      </c>
      <c r="V71" s="594">
        <f t="shared" ref="V71" si="84">+IFERROR(L71/K71-1,0)</f>
        <v>6.2822468156921607E-2</v>
      </c>
      <c r="W71" s="594">
        <f t="shared" ref="W71" si="85">+IFERROR(M71/L71-1,0)</f>
        <v>3.6876679106558674E-2</v>
      </c>
      <c r="X71" s="594">
        <f t="shared" ref="X71" si="86">+IFERROR(N71/M71-1,0)</f>
        <v>4.4251740445850674E-2</v>
      </c>
      <c r="Y71" s="594">
        <f t="shared" ref="Y71" si="87">+IFERROR(O71/N71-1,0)</f>
        <v>4.4251740445850452E-2</v>
      </c>
    </row>
    <row r="72" spans="2:25" outlineLevel="1">
      <c r="D72" s="568" t="s">
        <v>1880</v>
      </c>
      <c r="E72" s="660"/>
      <c r="F72" s="660"/>
      <c r="G72" s="666"/>
      <c r="H72" s="666">
        <v>657594.14</v>
      </c>
      <c r="I72" s="666">
        <v>293016.96999999997</v>
      </c>
      <c r="J72" s="666">
        <v>0</v>
      </c>
      <c r="K72" s="547"/>
      <c r="L72" s="547"/>
      <c r="M72" s="547"/>
      <c r="N72" s="547"/>
      <c r="O72" s="547"/>
    </row>
    <row r="73" spans="2:25" outlineLevel="1">
      <c r="B73" s="562" t="s">
        <v>239</v>
      </c>
      <c r="C73" s="562" t="s">
        <v>2344</v>
      </c>
      <c r="D73" s="572" t="s">
        <v>1881</v>
      </c>
      <c r="E73" s="664">
        <v>713225</v>
      </c>
      <c r="F73" s="664">
        <v>697725</v>
      </c>
      <c r="G73" s="665">
        <v>490276</v>
      </c>
      <c r="H73" s="665">
        <v>247500</v>
      </c>
      <c r="I73" s="665">
        <v>210000</v>
      </c>
      <c r="J73" s="665">
        <v>210000</v>
      </c>
      <c r="K73" s="722">
        <f>+K458</f>
        <v>1122329.1459110857</v>
      </c>
      <c r="L73" s="722">
        <f t="shared" ref="L73:O73" si="88">+L458</f>
        <v>1192836.6329416698</v>
      </c>
      <c r="M73" s="722">
        <f t="shared" si="88"/>
        <v>1236824.4866812075</v>
      </c>
      <c r="N73" s="722">
        <f t="shared" si="88"/>
        <v>1291556.122842897</v>
      </c>
      <c r="O73" s="722">
        <f t="shared" si="88"/>
        <v>1348709.7291621899</v>
      </c>
      <c r="Q73" s="594">
        <f>+IFERROR(F73/E73-1,0)</f>
        <v>-2.1732272424550447E-2</v>
      </c>
      <c r="R73" s="594">
        <f t="shared" ref="R73" si="89">+IFERROR(G73/F73-1,0)</f>
        <v>-0.29732201082088217</v>
      </c>
      <c r="S73" s="594">
        <f t="shared" ref="S73" si="90">+IFERROR(H73/G73-1,0)</f>
        <v>-0.495182305476915</v>
      </c>
      <c r="T73" s="594">
        <f t="shared" ref="T73" si="91">+IFERROR(I73/H73-1,0)</f>
        <v>-0.15151515151515149</v>
      </c>
      <c r="U73" s="594">
        <f t="shared" ref="U73" si="92">+IFERROR(K73/I73-1,0)</f>
        <v>4.3444245043385035</v>
      </c>
      <c r="V73" s="594">
        <f t="shared" ref="V73" si="93">+IFERROR(L73/K73-1,0)</f>
        <v>6.2822468156921607E-2</v>
      </c>
      <c r="W73" s="594">
        <f t="shared" ref="W73" si="94">+IFERROR(M73/L73-1,0)</f>
        <v>3.6876679106558674E-2</v>
      </c>
      <c r="X73" s="594">
        <f t="shared" ref="X73" si="95">+IFERROR(N73/M73-1,0)</f>
        <v>4.4251740445850674E-2</v>
      </c>
      <c r="Y73" s="594">
        <f t="shared" ref="Y73" si="96">+IFERROR(O73/N73-1,0)</f>
        <v>4.4251740445850452E-2</v>
      </c>
    </row>
    <row r="74" spans="2:25" outlineLevel="1">
      <c r="B74" s="562" t="s">
        <v>239</v>
      </c>
      <c r="C74" s="562" t="s">
        <v>2344</v>
      </c>
      <c r="D74" s="572" t="s">
        <v>3732</v>
      </c>
      <c r="E74" s="664"/>
      <c r="F74" s="664"/>
      <c r="G74" s="665"/>
      <c r="H74" s="665"/>
      <c r="I74" s="665">
        <v>-100000</v>
      </c>
      <c r="J74" s="665">
        <v>-100000</v>
      </c>
      <c r="K74" s="722"/>
      <c r="L74" s="722"/>
      <c r="M74" s="722"/>
      <c r="N74" s="722"/>
      <c r="O74" s="722"/>
      <c r="Q74" s="594"/>
      <c r="R74" s="594"/>
      <c r="S74" s="594"/>
      <c r="T74" s="594"/>
      <c r="U74" s="594"/>
      <c r="V74" s="594"/>
      <c r="W74" s="594"/>
      <c r="X74" s="594"/>
      <c r="Y74" s="594"/>
    </row>
    <row r="75" spans="2:25" outlineLevel="1">
      <c r="D75" s="568" t="s">
        <v>1882</v>
      </c>
      <c r="E75" s="660"/>
      <c r="F75" s="660"/>
      <c r="G75" s="666"/>
      <c r="H75" s="666">
        <f>+H73+H74</f>
        <v>247500</v>
      </c>
      <c r="I75" s="666">
        <v>110000</v>
      </c>
      <c r="J75" s="666">
        <v>110000</v>
      </c>
      <c r="K75" s="548"/>
      <c r="L75" s="548"/>
      <c r="M75" s="548"/>
      <c r="N75" s="548"/>
      <c r="O75" s="548"/>
    </row>
    <row r="76" spans="2:25" outlineLevel="1">
      <c r="D76" s="573" t="s">
        <v>1883</v>
      </c>
      <c r="E76" s="669">
        <f t="shared" ref="E76:G76" si="97">+E75+E71+E69</f>
        <v>81280.55</v>
      </c>
      <c r="F76" s="669">
        <f t="shared" si="97"/>
        <v>402580</v>
      </c>
      <c r="G76" s="669">
        <f t="shared" si="97"/>
        <v>537802.75</v>
      </c>
      <c r="H76" s="669">
        <v>985127.92</v>
      </c>
      <c r="I76" s="669">
        <v>701569.55</v>
      </c>
      <c r="J76" s="669">
        <v>864189.01</v>
      </c>
      <c r="K76" s="556"/>
      <c r="L76" s="556"/>
      <c r="M76" s="556"/>
      <c r="N76" s="556"/>
      <c r="O76" s="556"/>
    </row>
    <row r="77" spans="2:25" outlineLevel="1">
      <c r="D77" s="568" t="s">
        <v>1884</v>
      </c>
      <c r="E77" s="660"/>
      <c r="F77" s="660"/>
      <c r="G77" s="657"/>
      <c r="H77" s="657"/>
      <c r="I77" s="657"/>
      <c r="J77" s="657"/>
      <c r="K77" s="547"/>
      <c r="L77" s="547"/>
      <c r="M77" s="547"/>
      <c r="N77" s="547"/>
      <c r="O77" s="547"/>
    </row>
    <row r="78" spans="2:25" outlineLevel="1">
      <c r="D78" s="569" t="s">
        <v>1885</v>
      </c>
      <c r="E78" s="662"/>
      <c r="F78" s="662"/>
      <c r="G78" s="654"/>
      <c r="H78" s="654"/>
      <c r="I78" s="654"/>
      <c r="J78" s="654"/>
      <c r="K78" s="546"/>
      <c r="L78" s="546"/>
      <c r="M78" s="546"/>
      <c r="N78" s="546"/>
      <c r="O78" s="546"/>
    </row>
    <row r="79" spans="2:25" outlineLevel="1">
      <c r="B79" s="562" t="s">
        <v>239</v>
      </c>
      <c r="C79" s="562" t="s">
        <v>2345</v>
      </c>
      <c r="D79" s="572" t="s">
        <v>1886</v>
      </c>
      <c r="E79" s="664">
        <v>11884198.68</v>
      </c>
      <c r="F79" s="664">
        <v>10892362.42</v>
      </c>
      <c r="G79" s="665">
        <v>14846607.449999999</v>
      </c>
      <c r="H79" s="665">
        <v>14615798.460000001</v>
      </c>
      <c r="I79" s="665">
        <v>20688416.030000001</v>
      </c>
      <c r="J79" s="665">
        <v>22378057.09</v>
      </c>
      <c r="K79" s="588"/>
      <c r="L79" s="588"/>
      <c r="M79" s="588"/>
      <c r="N79" s="588"/>
      <c r="O79" s="588"/>
      <c r="Q79" s="594">
        <f t="shared" ref="Q79:Q91" si="98">+IFERROR(F79/E79-1,0)</f>
        <v>-8.3458404450033941E-2</v>
      </c>
      <c r="R79" s="594">
        <f t="shared" ref="R79:R91" si="99">+IFERROR(G79/F79-1,0)</f>
        <v>0.36302914625200278</v>
      </c>
      <c r="S79" s="594">
        <f t="shared" ref="S79:S91" si="100">+IFERROR(H79/G79-1,0)</f>
        <v>-1.554624453952258E-2</v>
      </c>
      <c r="T79" s="594">
        <f t="shared" ref="T79:T91" si="101">+IFERROR(I79/H79-1,0)</f>
        <v>0.4154831216795527</v>
      </c>
      <c r="U79" s="594">
        <f t="shared" ref="U79:U91" si="102">+IFERROR(K79/I79-1,0)</f>
        <v>-1</v>
      </c>
      <c r="V79" s="594">
        <f t="shared" ref="V79:V91" si="103">+IFERROR(L79/K79-1,0)</f>
        <v>0</v>
      </c>
      <c r="W79" s="594">
        <f t="shared" ref="W79:W91" si="104">+IFERROR(M79/L79-1,0)</f>
        <v>0</v>
      </c>
      <c r="X79" s="594">
        <f t="shared" ref="X79:X91" si="105">+IFERROR(N79/M79-1,0)</f>
        <v>0</v>
      </c>
      <c r="Y79" s="594">
        <f t="shared" ref="Y79:Y91" si="106">+IFERROR(O79/N79-1,0)</f>
        <v>0</v>
      </c>
    </row>
    <row r="80" spans="2:25" outlineLevel="1">
      <c r="B80" s="562" t="s">
        <v>239</v>
      </c>
      <c r="C80" s="562" t="s">
        <v>2345</v>
      </c>
      <c r="D80" s="572" t="s">
        <v>1887</v>
      </c>
      <c r="E80" s="664">
        <v>1505660.94</v>
      </c>
      <c r="F80" s="664">
        <v>1272888.45</v>
      </c>
      <c r="G80" s="665">
        <v>1364281.98</v>
      </c>
      <c r="H80" s="665">
        <v>1443166.26</v>
      </c>
      <c r="I80" s="665">
        <v>5588807.0899999999</v>
      </c>
      <c r="J80" s="665">
        <v>4175517.15</v>
      </c>
      <c r="K80" s="588"/>
      <c r="L80" s="588"/>
      <c r="M80" s="588"/>
      <c r="N80" s="588"/>
      <c r="O80" s="588"/>
      <c r="Q80" s="594">
        <f t="shared" si="98"/>
        <v>-0.15459821252984085</v>
      </c>
      <c r="R80" s="594">
        <f t="shared" si="99"/>
        <v>7.1800109428284964E-2</v>
      </c>
      <c r="S80" s="594">
        <f t="shared" si="100"/>
        <v>5.7821096486226464E-2</v>
      </c>
      <c r="T80" s="594">
        <f t="shared" si="101"/>
        <v>2.8726009919328352</v>
      </c>
      <c r="U80" s="594">
        <f t="shared" si="102"/>
        <v>-1</v>
      </c>
      <c r="V80" s="594">
        <f t="shared" si="103"/>
        <v>0</v>
      </c>
      <c r="W80" s="594">
        <f t="shared" si="104"/>
        <v>0</v>
      </c>
      <c r="X80" s="594">
        <f t="shared" si="105"/>
        <v>0</v>
      </c>
      <c r="Y80" s="594">
        <f t="shared" si="106"/>
        <v>0</v>
      </c>
    </row>
    <row r="81" spans="2:25" outlineLevel="1">
      <c r="B81" s="562" t="s">
        <v>239</v>
      </c>
      <c r="C81" s="562" t="s">
        <v>2345</v>
      </c>
      <c r="D81" s="572" t="s">
        <v>1888</v>
      </c>
      <c r="E81" s="664">
        <v>275677.71999999997</v>
      </c>
      <c r="F81" s="664">
        <v>87881.75</v>
      </c>
      <c r="G81" s="665">
        <v>259085.35</v>
      </c>
      <c r="H81" s="665">
        <v>250479.58</v>
      </c>
      <c r="I81" s="665">
        <v>307571.09999999998</v>
      </c>
      <c r="J81" s="665">
        <v>0</v>
      </c>
      <c r="K81" s="588"/>
      <c r="L81" s="588"/>
      <c r="M81" s="588"/>
      <c r="N81" s="588"/>
      <c r="O81" s="588"/>
      <c r="Q81" s="594">
        <f t="shared" si="98"/>
        <v>-0.68121562380884459</v>
      </c>
      <c r="R81" s="594">
        <f t="shared" si="99"/>
        <v>1.9481132317005523</v>
      </c>
      <c r="S81" s="594">
        <f t="shared" si="100"/>
        <v>-3.3215965317992757E-2</v>
      </c>
      <c r="T81" s="594">
        <f t="shared" si="101"/>
        <v>0.22792883954851728</v>
      </c>
      <c r="U81" s="594">
        <f t="shared" si="102"/>
        <v>-1</v>
      </c>
      <c r="V81" s="594">
        <f t="shared" si="103"/>
        <v>0</v>
      </c>
      <c r="W81" s="594">
        <f t="shared" si="104"/>
        <v>0</v>
      </c>
      <c r="X81" s="594">
        <f t="shared" si="105"/>
        <v>0</v>
      </c>
      <c r="Y81" s="594">
        <f t="shared" si="106"/>
        <v>0</v>
      </c>
    </row>
    <row r="82" spans="2:25" outlineLevel="1">
      <c r="B82" s="562" t="s">
        <v>239</v>
      </c>
      <c r="C82" s="562" t="s">
        <v>2345</v>
      </c>
      <c r="D82" s="572" t="s">
        <v>1889</v>
      </c>
      <c r="E82" s="664">
        <v>181404.76</v>
      </c>
      <c r="F82" s="664">
        <v>232567.47</v>
      </c>
      <c r="G82" s="665">
        <v>392635.53</v>
      </c>
      <c r="H82" s="665">
        <v>79812.3</v>
      </c>
      <c r="I82" s="665">
        <v>179660.9</v>
      </c>
      <c r="J82" s="665">
        <v>35601.599999999999</v>
      </c>
      <c r="K82" s="588"/>
      <c r="L82" s="588"/>
      <c r="M82" s="588"/>
      <c r="N82" s="588"/>
      <c r="O82" s="588"/>
      <c r="Q82" s="594">
        <f t="shared" si="98"/>
        <v>0.28203620456265854</v>
      </c>
      <c r="R82" s="594">
        <f t="shared" si="99"/>
        <v>0.68826504411816503</v>
      </c>
      <c r="S82" s="594">
        <f t="shared" si="100"/>
        <v>-0.79672675063308707</v>
      </c>
      <c r="T82" s="594">
        <f t="shared" si="101"/>
        <v>1.2510427590734761</v>
      </c>
      <c r="U82" s="594">
        <f t="shared" si="102"/>
        <v>-1</v>
      </c>
      <c r="V82" s="594">
        <f t="shared" si="103"/>
        <v>0</v>
      </c>
      <c r="W82" s="594">
        <f t="shared" si="104"/>
        <v>0</v>
      </c>
      <c r="X82" s="594">
        <f t="shared" si="105"/>
        <v>0</v>
      </c>
      <c r="Y82" s="594">
        <f t="shared" si="106"/>
        <v>0</v>
      </c>
    </row>
    <row r="83" spans="2:25" outlineLevel="1">
      <c r="B83" s="562" t="s">
        <v>239</v>
      </c>
      <c r="C83" s="562" t="s">
        <v>2345</v>
      </c>
      <c r="D83" s="572" t="s">
        <v>1890</v>
      </c>
      <c r="E83" s="664">
        <v>114394.91</v>
      </c>
      <c r="F83" s="664"/>
      <c r="G83" s="665">
        <v>114019.04</v>
      </c>
      <c r="H83" s="665">
        <v>105538.2</v>
      </c>
      <c r="I83" s="665">
        <v>442165.92</v>
      </c>
      <c r="J83" s="665">
        <v>36933.32</v>
      </c>
      <c r="K83" s="588"/>
      <c r="L83" s="588"/>
      <c r="M83" s="588"/>
      <c r="N83" s="588"/>
      <c r="O83" s="588"/>
      <c r="Q83" s="594">
        <f t="shared" si="98"/>
        <v>-1</v>
      </c>
      <c r="R83" s="594">
        <f t="shared" si="99"/>
        <v>0</v>
      </c>
      <c r="S83" s="594">
        <f t="shared" si="100"/>
        <v>-7.438091041636552E-2</v>
      </c>
      <c r="T83" s="594">
        <f t="shared" si="101"/>
        <v>3.1896291579731324</v>
      </c>
      <c r="U83" s="594">
        <f t="shared" si="102"/>
        <v>-1</v>
      </c>
      <c r="V83" s="594">
        <f t="shared" si="103"/>
        <v>0</v>
      </c>
      <c r="W83" s="594">
        <f t="shared" si="104"/>
        <v>0</v>
      </c>
      <c r="X83" s="594">
        <f t="shared" si="105"/>
        <v>0</v>
      </c>
      <c r="Y83" s="594">
        <f t="shared" si="106"/>
        <v>0</v>
      </c>
    </row>
    <row r="84" spans="2:25" outlineLevel="1">
      <c r="B84" s="562" t="s">
        <v>239</v>
      </c>
      <c r="C84" s="562" t="s">
        <v>2345</v>
      </c>
      <c r="D84" s="572" t="s">
        <v>1891</v>
      </c>
      <c r="E84" s="664">
        <v>0</v>
      </c>
      <c r="F84" s="664"/>
      <c r="G84" s="665">
        <v>0</v>
      </c>
      <c r="H84" s="670"/>
      <c r="I84" s="665">
        <v>85030.59</v>
      </c>
      <c r="J84" s="665">
        <v>227100.98</v>
      </c>
      <c r="K84" s="588"/>
      <c r="L84" s="588"/>
      <c r="M84" s="588"/>
      <c r="N84" s="588"/>
      <c r="O84" s="588"/>
      <c r="Q84" s="594">
        <f t="shared" si="98"/>
        <v>0</v>
      </c>
      <c r="R84" s="594">
        <f t="shared" si="99"/>
        <v>0</v>
      </c>
      <c r="S84" s="594">
        <f t="shared" si="100"/>
        <v>0</v>
      </c>
      <c r="T84" s="594">
        <f t="shared" si="101"/>
        <v>0</v>
      </c>
      <c r="U84" s="594">
        <f t="shared" si="102"/>
        <v>-1</v>
      </c>
      <c r="V84" s="594">
        <f t="shared" si="103"/>
        <v>0</v>
      </c>
      <c r="W84" s="594">
        <f t="shared" si="104"/>
        <v>0</v>
      </c>
      <c r="X84" s="594">
        <f t="shared" si="105"/>
        <v>0</v>
      </c>
      <c r="Y84" s="594">
        <f t="shared" si="106"/>
        <v>0</v>
      </c>
    </row>
    <row r="85" spans="2:25" outlineLevel="1">
      <c r="B85" s="562" t="s">
        <v>239</v>
      </c>
      <c r="C85" s="562" t="s">
        <v>2345</v>
      </c>
      <c r="D85" s="572" t="s">
        <v>1892</v>
      </c>
      <c r="E85" s="664">
        <v>47273.13</v>
      </c>
      <c r="F85" s="664">
        <v>501557.36</v>
      </c>
      <c r="G85" s="665">
        <v>185127.34</v>
      </c>
      <c r="H85" s="665">
        <v>139348.51</v>
      </c>
      <c r="I85" s="665">
        <v>82983.839999999997</v>
      </c>
      <c r="J85" s="665">
        <v>555626.72</v>
      </c>
      <c r="K85" s="588"/>
      <c r="L85" s="588"/>
      <c r="M85" s="588"/>
      <c r="N85" s="588"/>
      <c r="O85" s="588"/>
      <c r="Q85" s="594">
        <f t="shared" si="98"/>
        <v>9.6097768436318898</v>
      </c>
      <c r="R85" s="594">
        <f t="shared" si="99"/>
        <v>-0.63089497879165801</v>
      </c>
      <c r="S85" s="594">
        <f t="shared" si="100"/>
        <v>-0.24728292428336074</v>
      </c>
      <c r="T85" s="594">
        <f t="shared" si="101"/>
        <v>-0.40448706627720676</v>
      </c>
      <c r="U85" s="594">
        <f t="shared" si="102"/>
        <v>-1</v>
      </c>
      <c r="V85" s="594">
        <f t="shared" si="103"/>
        <v>0</v>
      </c>
      <c r="W85" s="594">
        <f t="shared" si="104"/>
        <v>0</v>
      </c>
      <c r="X85" s="594">
        <f t="shared" si="105"/>
        <v>0</v>
      </c>
      <c r="Y85" s="594">
        <f t="shared" si="106"/>
        <v>0</v>
      </c>
    </row>
    <row r="86" spans="2:25" outlineLevel="1">
      <c r="B86" s="562" t="s">
        <v>239</v>
      </c>
      <c r="C86" s="562" t="s">
        <v>2345</v>
      </c>
      <c r="D86" s="572" t="s">
        <v>1893</v>
      </c>
      <c r="E86" s="664">
        <v>366619.35</v>
      </c>
      <c r="F86" s="664">
        <v>329262.78999999998</v>
      </c>
      <c r="G86" s="665">
        <v>466701.69</v>
      </c>
      <c r="H86" s="665">
        <v>487565.9</v>
      </c>
      <c r="I86" s="665">
        <v>139681.1</v>
      </c>
      <c r="J86" s="665">
        <v>61450.68</v>
      </c>
      <c r="K86" s="588"/>
      <c r="L86" s="588"/>
      <c r="M86" s="588"/>
      <c r="N86" s="588"/>
      <c r="O86" s="588"/>
      <c r="Q86" s="594">
        <f t="shared" si="98"/>
        <v>-0.10189467631754845</v>
      </c>
      <c r="R86" s="594">
        <f t="shared" si="99"/>
        <v>0.41741400539064877</v>
      </c>
      <c r="S86" s="594">
        <f t="shared" si="100"/>
        <v>4.4705666268318067E-2</v>
      </c>
      <c r="T86" s="594">
        <f t="shared" si="101"/>
        <v>-0.71351339377917933</v>
      </c>
      <c r="U86" s="594">
        <f t="shared" si="102"/>
        <v>-1</v>
      </c>
      <c r="V86" s="594">
        <f t="shared" si="103"/>
        <v>0</v>
      </c>
      <c r="W86" s="594">
        <f t="shared" si="104"/>
        <v>0</v>
      </c>
      <c r="X86" s="594">
        <f t="shared" si="105"/>
        <v>0</v>
      </c>
      <c r="Y86" s="594">
        <f t="shared" si="106"/>
        <v>0</v>
      </c>
    </row>
    <row r="87" spans="2:25" outlineLevel="1">
      <c r="B87" s="562" t="s">
        <v>239</v>
      </c>
      <c r="C87" s="562" t="s">
        <v>2345</v>
      </c>
      <c r="D87" s="572" t="s">
        <v>1894</v>
      </c>
      <c r="E87" s="664">
        <v>0</v>
      </c>
      <c r="F87" s="664">
        <v>176033.88</v>
      </c>
      <c r="G87" s="665">
        <v>225117.51</v>
      </c>
      <c r="H87" s="665">
        <v>146363.29</v>
      </c>
      <c r="I87" s="665">
        <v>68493.399999999994</v>
      </c>
      <c r="J87" s="665">
        <v>4916.6000000000004</v>
      </c>
      <c r="K87" s="588"/>
      <c r="L87" s="588"/>
      <c r="M87" s="588"/>
      <c r="N87" s="588"/>
      <c r="O87" s="588"/>
      <c r="Q87" s="594">
        <f t="shared" si="98"/>
        <v>0</v>
      </c>
      <c r="R87" s="594">
        <f t="shared" si="99"/>
        <v>0.27883058647573988</v>
      </c>
      <c r="S87" s="594">
        <f t="shared" si="100"/>
        <v>-0.3498360478489656</v>
      </c>
      <c r="T87" s="594">
        <f t="shared" si="101"/>
        <v>-0.53203156337904134</v>
      </c>
      <c r="U87" s="594">
        <f t="shared" si="102"/>
        <v>-1</v>
      </c>
      <c r="V87" s="594">
        <f t="shared" si="103"/>
        <v>0</v>
      </c>
      <c r="W87" s="594">
        <f t="shared" si="104"/>
        <v>0</v>
      </c>
      <c r="X87" s="594">
        <f t="shared" si="105"/>
        <v>0</v>
      </c>
      <c r="Y87" s="594">
        <f t="shared" si="106"/>
        <v>0</v>
      </c>
    </row>
    <row r="88" spans="2:25" outlineLevel="1">
      <c r="B88" s="562" t="s">
        <v>239</v>
      </c>
      <c r="C88" s="562" t="s">
        <v>2345</v>
      </c>
      <c r="D88" s="572" t="s">
        <v>1895</v>
      </c>
      <c r="E88" s="664">
        <v>0</v>
      </c>
      <c r="F88" s="664"/>
      <c r="G88" s="665">
        <v>0</v>
      </c>
      <c r="H88" s="665">
        <v>671617.59</v>
      </c>
      <c r="I88" s="665">
        <v>0</v>
      </c>
      <c r="J88" s="665">
        <v>0</v>
      </c>
      <c r="K88" s="588"/>
      <c r="L88" s="588"/>
      <c r="M88" s="588"/>
      <c r="N88" s="588"/>
      <c r="O88" s="588"/>
      <c r="Q88" s="594">
        <f t="shared" si="98"/>
        <v>0</v>
      </c>
      <c r="R88" s="594">
        <f t="shared" si="99"/>
        <v>0</v>
      </c>
      <c r="S88" s="594">
        <f t="shared" si="100"/>
        <v>0</v>
      </c>
      <c r="T88" s="594">
        <f t="shared" si="101"/>
        <v>-1</v>
      </c>
      <c r="U88" s="594">
        <f t="shared" si="102"/>
        <v>0</v>
      </c>
      <c r="V88" s="594">
        <f t="shared" si="103"/>
        <v>0</v>
      </c>
      <c r="W88" s="594">
        <f t="shared" si="104"/>
        <v>0</v>
      </c>
      <c r="X88" s="594">
        <f t="shared" si="105"/>
        <v>0</v>
      </c>
      <c r="Y88" s="594">
        <f t="shared" si="106"/>
        <v>0</v>
      </c>
    </row>
    <row r="89" spans="2:25" outlineLevel="1">
      <c r="B89" s="562" t="s">
        <v>239</v>
      </c>
      <c r="C89" s="562" t="s">
        <v>2345</v>
      </c>
      <c r="D89" s="572" t="s">
        <v>2354</v>
      </c>
      <c r="E89" s="664">
        <v>83223.72</v>
      </c>
      <c r="F89" s="664">
        <v>60375.86</v>
      </c>
      <c r="G89" s="665">
        <v>0</v>
      </c>
      <c r="H89" s="665"/>
      <c r="I89" s="665">
        <v>0</v>
      </c>
      <c r="J89" s="665">
        <v>0</v>
      </c>
      <c r="K89" s="588"/>
      <c r="L89" s="588"/>
      <c r="M89" s="588"/>
      <c r="N89" s="588"/>
      <c r="O89" s="588"/>
      <c r="Q89" s="594">
        <f t="shared" si="98"/>
        <v>-0.27453543292705496</v>
      </c>
      <c r="R89" s="594">
        <f t="shared" si="99"/>
        <v>-1</v>
      </c>
      <c r="S89" s="594">
        <f t="shared" si="100"/>
        <v>0</v>
      </c>
      <c r="T89" s="594">
        <f t="shared" si="101"/>
        <v>0</v>
      </c>
      <c r="U89" s="594">
        <f t="shared" si="102"/>
        <v>0</v>
      </c>
      <c r="V89" s="594">
        <f t="shared" si="103"/>
        <v>0</v>
      </c>
      <c r="W89" s="594">
        <f t="shared" si="104"/>
        <v>0</v>
      </c>
      <c r="X89" s="594">
        <f t="shared" si="105"/>
        <v>0</v>
      </c>
      <c r="Y89" s="594">
        <f t="shared" si="106"/>
        <v>0</v>
      </c>
    </row>
    <row r="90" spans="2:25" outlineLevel="1">
      <c r="B90" s="562" t="s">
        <v>239</v>
      </c>
      <c r="C90" s="562" t="s">
        <v>2345</v>
      </c>
      <c r="D90" s="572" t="s">
        <v>1896</v>
      </c>
      <c r="E90" s="664">
        <v>0</v>
      </c>
      <c r="F90" s="664"/>
      <c r="G90" s="665">
        <v>25500</v>
      </c>
      <c r="H90" s="665">
        <v>11000</v>
      </c>
      <c r="I90" s="665">
        <v>5500</v>
      </c>
      <c r="J90" s="665">
        <v>5500</v>
      </c>
      <c r="K90" s="588"/>
      <c r="L90" s="588"/>
      <c r="M90" s="588"/>
      <c r="N90" s="588"/>
      <c r="O90" s="588"/>
      <c r="Q90" s="594">
        <f t="shared" si="98"/>
        <v>0</v>
      </c>
      <c r="R90" s="594">
        <f t="shared" si="99"/>
        <v>0</v>
      </c>
      <c r="S90" s="594">
        <f t="shared" si="100"/>
        <v>-0.56862745098039214</v>
      </c>
      <c r="T90" s="594">
        <f t="shared" si="101"/>
        <v>-0.5</v>
      </c>
      <c r="U90" s="594">
        <f t="shared" si="102"/>
        <v>-1</v>
      </c>
      <c r="V90" s="594">
        <f t="shared" si="103"/>
        <v>0</v>
      </c>
      <c r="W90" s="594">
        <f t="shared" si="104"/>
        <v>0</v>
      </c>
      <c r="X90" s="594">
        <f t="shared" si="105"/>
        <v>0</v>
      </c>
      <c r="Y90" s="594">
        <f t="shared" si="106"/>
        <v>0</v>
      </c>
    </row>
    <row r="91" spans="2:25" outlineLevel="1">
      <c r="B91" s="562" t="s">
        <v>239</v>
      </c>
      <c r="C91" s="562" t="s">
        <v>2345</v>
      </c>
      <c r="D91" s="572" t="s">
        <v>1897</v>
      </c>
      <c r="E91" s="664">
        <v>-141142</v>
      </c>
      <c r="F91" s="664">
        <v>-192735</v>
      </c>
      <c r="G91" s="665">
        <v>-82574</v>
      </c>
      <c r="H91" s="665">
        <v>-82538</v>
      </c>
      <c r="I91" s="665">
        <v>-148572</v>
      </c>
      <c r="J91" s="665">
        <v>-548572</v>
      </c>
      <c r="K91" s="588"/>
      <c r="L91" s="588"/>
      <c r="M91" s="588"/>
      <c r="N91" s="588"/>
      <c r="O91" s="588"/>
      <c r="Q91" s="594">
        <f t="shared" si="98"/>
        <v>0.36553966926924653</v>
      </c>
      <c r="R91" s="594">
        <f t="shared" si="99"/>
        <v>-0.57156717773108157</v>
      </c>
      <c r="S91" s="594">
        <f t="shared" si="100"/>
        <v>-4.3597258216876433E-4</v>
      </c>
      <c r="T91" s="594">
        <f t="shared" si="101"/>
        <v>0.80004361627371634</v>
      </c>
      <c r="U91" s="594">
        <f t="shared" si="102"/>
        <v>-1</v>
      </c>
      <c r="V91" s="594">
        <f t="shared" si="103"/>
        <v>0</v>
      </c>
      <c r="W91" s="594">
        <f t="shared" si="104"/>
        <v>0</v>
      </c>
      <c r="X91" s="594">
        <f t="shared" si="105"/>
        <v>0</v>
      </c>
      <c r="Y91" s="594">
        <f t="shared" si="106"/>
        <v>0</v>
      </c>
    </row>
    <row r="92" spans="2:25" outlineLevel="1">
      <c r="B92" s="562" t="s">
        <v>239</v>
      </c>
      <c r="C92" s="562" t="s">
        <v>2345</v>
      </c>
      <c r="D92" s="572" t="s">
        <v>4151</v>
      </c>
      <c r="E92" s="664"/>
      <c r="F92" s="664"/>
      <c r="G92" s="665"/>
      <c r="H92" s="665"/>
      <c r="I92" s="665"/>
      <c r="J92" s="665">
        <v>-479591.18</v>
      </c>
      <c r="K92" s="588"/>
      <c r="L92" s="588"/>
      <c r="M92" s="588"/>
      <c r="N92" s="588"/>
      <c r="O92" s="588"/>
      <c r="Q92" s="1034"/>
      <c r="R92" s="1034"/>
      <c r="S92" s="1034"/>
      <c r="T92" s="1034"/>
      <c r="U92" s="1034"/>
      <c r="V92" s="1034"/>
      <c r="W92" s="1034"/>
      <c r="X92" s="1034"/>
      <c r="Y92" s="1034"/>
    </row>
    <row r="93" spans="2:25" outlineLevel="1">
      <c r="D93" s="574" t="s">
        <v>1898</v>
      </c>
      <c r="E93" s="671"/>
      <c r="F93" s="671"/>
      <c r="G93" s="666">
        <f t="shared" ref="G93:H93" si="107">+SUM(G79:G92)</f>
        <v>17796501.890000001</v>
      </c>
      <c r="H93" s="666">
        <f t="shared" si="107"/>
        <v>17868152.09</v>
      </c>
      <c r="I93" s="666">
        <v>27439737.970000003</v>
      </c>
      <c r="J93" s="666">
        <v>26452540.960000001</v>
      </c>
      <c r="K93" s="548"/>
      <c r="L93" s="548"/>
      <c r="M93" s="548"/>
      <c r="N93" s="548"/>
      <c r="O93" s="548"/>
    </row>
    <row r="94" spans="2:25" outlineLevel="1">
      <c r="B94" s="562" t="s">
        <v>239</v>
      </c>
      <c r="C94" s="562" t="s">
        <v>2345</v>
      </c>
      <c r="D94" s="572" t="s">
        <v>3733</v>
      </c>
      <c r="E94" s="664"/>
      <c r="F94" s="664"/>
      <c r="G94" s="665"/>
      <c r="H94" s="665"/>
      <c r="I94" s="665">
        <v>1798927.27</v>
      </c>
      <c r="J94" s="665">
        <v>2133564.0499999998</v>
      </c>
      <c r="K94" s="588"/>
      <c r="L94" s="588"/>
      <c r="M94" s="588"/>
      <c r="N94" s="588"/>
      <c r="O94" s="588"/>
      <c r="Q94" s="594"/>
      <c r="R94" s="594"/>
      <c r="S94" s="594"/>
      <c r="T94" s="594"/>
      <c r="U94" s="594"/>
      <c r="V94" s="594"/>
      <c r="W94" s="594"/>
      <c r="X94" s="594"/>
      <c r="Y94" s="594"/>
    </row>
    <row r="95" spans="2:25" outlineLevel="1">
      <c r="B95" s="562" t="s">
        <v>239</v>
      </c>
      <c r="C95" s="562" t="s">
        <v>2345</v>
      </c>
      <c r="D95" s="572" t="s">
        <v>3734</v>
      </c>
      <c r="E95" s="664"/>
      <c r="F95" s="664"/>
      <c r="G95" s="665"/>
      <c r="H95" s="665"/>
      <c r="I95" s="665">
        <v>3752343.81</v>
      </c>
      <c r="J95" s="665">
        <v>4661548.38</v>
      </c>
      <c r="K95" s="588"/>
      <c r="L95" s="588"/>
      <c r="M95" s="588"/>
      <c r="N95" s="588"/>
      <c r="O95" s="588"/>
      <c r="Q95" s="594"/>
      <c r="R95" s="594"/>
      <c r="S95" s="594"/>
      <c r="T95" s="594"/>
      <c r="U95" s="594"/>
      <c r="V95" s="594"/>
      <c r="W95" s="594"/>
      <c r="X95" s="594"/>
      <c r="Y95" s="594"/>
    </row>
    <row r="96" spans="2:25" outlineLevel="1">
      <c r="D96" s="905" t="s">
        <v>3735</v>
      </c>
      <c r="E96" s="666">
        <f t="shared" ref="E96:H96" si="108">+E94+E95</f>
        <v>0</v>
      </c>
      <c r="F96" s="666">
        <f t="shared" si="108"/>
        <v>0</v>
      </c>
      <c r="G96" s="666">
        <f t="shared" si="108"/>
        <v>0</v>
      </c>
      <c r="H96" s="666">
        <f t="shared" si="108"/>
        <v>0</v>
      </c>
      <c r="I96" s="666">
        <v>5551271.0800000001</v>
      </c>
      <c r="J96" s="666">
        <v>6795112.4299999997</v>
      </c>
      <c r="K96" s="548"/>
      <c r="L96" s="548"/>
      <c r="M96" s="548"/>
      <c r="N96" s="548"/>
      <c r="O96" s="548"/>
    </row>
    <row r="97" spans="2:25" outlineLevel="1">
      <c r="D97" s="573" t="s">
        <v>1899</v>
      </c>
      <c r="E97" s="669">
        <f t="shared" ref="E97:H97" si="109">+E93+E96</f>
        <v>0</v>
      </c>
      <c r="F97" s="669">
        <f t="shared" si="109"/>
        <v>0</v>
      </c>
      <c r="G97" s="669">
        <f t="shared" si="109"/>
        <v>17796501.890000001</v>
      </c>
      <c r="H97" s="669">
        <f t="shared" si="109"/>
        <v>17868152.09</v>
      </c>
      <c r="I97" s="669">
        <v>32991009.050000004</v>
      </c>
      <c r="J97" s="669">
        <v>33247653.390000001</v>
      </c>
      <c r="K97" s="556"/>
      <c r="L97" s="556"/>
      <c r="M97" s="556"/>
      <c r="N97" s="556"/>
      <c r="O97" s="556"/>
    </row>
    <row r="98" spans="2:25" outlineLevel="1">
      <c r="D98" s="568" t="s">
        <v>1900</v>
      </c>
      <c r="E98" s="660"/>
      <c r="F98" s="660"/>
      <c r="G98" s="657"/>
      <c r="H98" s="657"/>
      <c r="I98" s="657"/>
      <c r="J98" s="657"/>
      <c r="K98" s="547"/>
      <c r="L98" s="547"/>
      <c r="M98" s="547"/>
      <c r="N98" s="547"/>
      <c r="O98" s="547"/>
    </row>
    <row r="99" spans="2:25" outlineLevel="1">
      <c r="B99" s="562" t="s">
        <v>239</v>
      </c>
      <c r="C99" s="562" t="s">
        <v>2347</v>
      </c>
      <c r="D99" s="572" t="s">
        <v>3736</v>
      </c>
      <c r="E99" s="664"/>
      <c r="F99" s="664"/>
      <c r="G99" s="665"/>
      <c r="H99" s="665"/>
      <c r="I99" s="665">
        <v>967349</v>
      </c>
      <c r="J99" s="665">
        <v>0</v>
      </c>
      <c r="K99" s="588"/>
      <c r="L99" s="588"/>
      <c r="M99" s="588"/>
      <c r="N99" s="588"/>
      <c r="O99" s="588"/>
      <c r="Q99" s="594"/>
      <c r="R99" s="594"/>
      <c r="S99" s="594"/>
      <c r="T99" s="594"/>
      <c r="U99" s="594"/>
      <c r="V99" s="594"/>
      <c r="W99" s="594"/>
      <c r="X99" s="594"/>
      <c r="Y99" s="594"/>
    </row>
    <row r="100" spans="2:25" outlineLevel="1">
      <c r="B100" s="562" t="s">
        <v>239</v>
      </c>
      <c r="C100" s="562" t="s">
        <v>2347</v>
      </c>
      <c r="D100" s="572" t="s">
        <v>1901</v>
      </c>
      <c r="E100" s="664">
        <v>692309.18</v>
      </c>
      <c r="F100" s="664">
        <v>695219.64</v>
      </c>
      <c r="G100" s="665">
        <v>689628.64</v>
      </c>
      <c r="H100" s="665">
        <v>1032824.76</v>
      </c>
      <c r="I100" s="665">
        <v>1117037</v>
      </c>
      <c r="J100" s="665">
        <v>84933.54</v>
      </c>
      <c r="K100" s="588"/>
      <c r="L100" s="588"/>
      <c r="M100" s="588"/>
      <c r="N100" s="588"/>
      <c r="O100" s="588"/>
      <c r="Q100" s="594">
        <f t="shared" ref="Q100:Q119" si="110">+IFERROR(F100/E100-1,0)</f>
        <v>4.2039887438729551E-3</v>
      </c>
      <c r="R100" s="594">
        <f t="shared" ref="R100:R119" si="111">+IFERROR(G100/F100-1,0)</f>
        <v>-8.0420627932777933E-3</v>
      </c>
      <c r="S100" s="594">
        <f t="shared" ref="S100:S119" si="112">+IFERROR(H100/G100-1,0)</f>
        <v>0.49765351972621086</v>
      </c>
      <c r="T100" s="594">
        <f t="shared" ref="T100:T119" si="113">+IFERROR(I100/H100-1,0)</f>
        <v>8.1535845441970123E-2</v>
      </c>
      <c r="U100" s="594">
        <f t="shared" ref="U100:U119" si="114">+IFERROR(K100/I100-1,0)</f>
        <v>-1</v>
      </c>
      <c r="V100" s="594">
        <f t="shared" ref="V100:V119" si="115">+IFERROR(L100/K100-1,0)</f>
        <v>0</v>
      </c>
      <c r="W100" s="594">
        <f t="shared" ref="W100:W119" si="116">+IFERROR(M100/L100-1,0)</f>
        <v>0</v>
      </c>
      <c r="X100" s="594">
        <f t="shared" ref="X100:X119" si="117">+IFERROR(N100/M100-1,0)</f>
        <v>0</v>
      </c>
      <c r="Y100" s="594">
        <f t="shared" ref="Y100:Y119" si="118">+IFERROR(O100/N100-1,0)</f>
        <v>0</v>
      </c>
    </row>
    <row r="101" spans="2:25" outlineLevel="1">
      <c r="B101" s="562" t="s">
        <v>239</v>
      </c>
      <c r="C101" s="562" t="s">
        <v>2347</v>
      </c>
      <c r="D101" s="572" t="s">
        <v>1902</v>
      </c>
      <c r="E101" s="664">
        <v>973945.74</v>
      </c>
      <c r="F101" s="664">
        <v>1341451.93</v>
      </c>
      <c r="G101" s="665">
        <v>981672.4</v>
      </c>
      <c r="H101" s="665">
        <v>567363.27</v>
      </c>
      <c r="I101" s="665">
        <v>1100000</v>
      </c>
      <c r="J101" s="665">
        <v>4061054.52</v>
      </c>
      <c r="K101" s="588"/>
      <c r="L101" s="588"/>
      <c r="M101" s="588"/>
      <c r="N101" s="588"/>
      <c r="O101" s="588"/>
      <c r="Q101" s="594">
        <f t="shared" si="110"/>
        <v>0.37733743770982553</v>
      </c>
      <c r="R101" s="594">
        <f t="shared" si="111"/>
        <v>-0.2682015821468906</v>
      </c>
      <c r="S101" s="594">
        <f t="shared" si="112"/>
        <v>-0.42204418704243896</v>
      </c>
      <c r="T101" s="594">
        <f t="shared" si="113"/>
        <v>0.93879311221538875</v>
      </c>
      <c r="U101" s="594">
        <f t="shared" si="114"/>
        <v>-1</v>
      </c>
      <c r="V101" s="594">
        <f t="shared" si="115"/>
        <v>0</v>
      </c>
      <c r="W101" s="594">
        <f t="shared" si="116"/>
        <v>0</v>
      </c>
      <c r="X101" s="594">
        <f t="shared" si="117"/>
        <v>0</v>
      </c>
      <c r="Y101" s="594">
        <f t="shared" si="118"/>
        <v>0</v>
      </c>
    </row>
    <row r="102" spans="2:25" outlineLevel="1">
      <c r="B102" s="562" t="s">
        <v>239</v>
      </c>
      <c r="C102" s="562" t="s">
        <v>2347</v>
      </c>
      <c r="D102" s="572" t="s">
        <v>1903</v>
      </c>
      <c r="E102" s="664">
        <v>0</v>
      </c>
      <c r="F102" s="664">
        <v>0</v>
      </c>
      <c r="G102" s="665">
        <v>0</v>
      </c>
      <c r="H102" s="670"/>
      <c r="I102" s="665">
        <v>0</v>
      </c>
      <c r="J102" s="665">
        <v>0</v>
      </c>
      <c r="K102" s="588"/>
      <c r="L102" s="588"/>
      <c r="M102" s="588"/>
      <c r="N102" s="588"/>
      <c r="O102" s="588"/>
      <c r="Q102" s="594">
        <f t="shared" si="110"/>
        <v>0</v>
      </c>
      <c r="R102" s="594">
        <f t="shared" si="111"/>
        <v>0</v>
      </c>
      <c r="S102" s="594">
        <f t="shared" si="112"/>
        <v>0</v>
      </c>
      <c r="T102" s="594">
        <f t="shared" si="113"/>
        <v>0</v>
      </c>
      <c r="U102" s="594">
        <f t="shared" si="114"/>
        <v>0</v>
      </c>
      <c r="V102" s="594">
        <f t="shared" si="115"/>
        <v>0</v>
      </c>
      <c r="W102" s="594">
        <f t="shared" si="116"/>
        <v>0</v>
      </c>
      <c r="X102" s="594">
        <f t="shared" si="117"/>
        <v>0</v>
      </c>
      <c r="Y102" s="594">
        <f t="shared" si="118"/>
        <v>0</v>
      </c>
    </row>
    <row r="103" spans="2:25" outlineLevel="1">
      <c r="B103" s="562" t="s">
        <v>239</v>
      </c>
      <c r="C103" s="562" t="s">
        <v>2347</v>
      </c>
      <c r="D103" s="572" t="s">
        <v>1904</v>
      </c>
      <c r="E103" s="664">
        <v>9798.18</v>
      </c>
      <c r="F103" s="664">
        <v>6920.96</v>
      </c>
      <c r="G103" s="665">
        <v>6566.06</v>
      </c>
      <c r="H103" s="665">
        <v>4922.47</v>
      </c>
      <c r="I103" s="665">
        <v>0</v>
      </c>
      <c r="J103" s="665">
        <v>0</v>
      </c>
      <c r="K103" s="588"/>
      <c r="L103" s="588"/>
      <c r="M103" s="588"/>
      <c r="N103" s="588"/>
      <c r="O103" s="588"/>
      <c r="Q103" s="594">
        <f t="shared" si="110"/>
        <v>-0.29364841225615368</v>
      </c>
      <c r="R103" s="594">
        <f t="shared" si="111"/>
        <v>-5.1279013316071653E-2</v>
      </c>
      <c r="S103" s="594">
        <f t="shared" si="112"/>
        <v>-0.25031601904338374</v>
      </c>
      <c r="T103" s="594">
        <f t="shared" si="113"/>
        <v>-1</v>
      </c>
      <c r="U103" s="594">
        <f t="shared" si="114"/>
        <v>0</v>
      </c>
      <c r="V103" s="594">
        <f t="shared" si="115"/>
        <v>0</v>
      </c>
      <c r="W103" s="594">
        <f t="shared" si="116"/>
        <v>0</v>
      </c>
      <c r="X103" s="594">
        <f t="shared" si="117"/>
        <v>0</v>
      </c>
      <c r="Y103" s="594">
        <f t="shared" si="118"/>
        <v>0</v>
      </c>
    </row>
    <row r="104" spans="2:25" outlineLevel="1">
      <c r="B104" s="562" t="s">
        <v>239</v>
      </c>
      <c r="C104" s="562" t="s">
        <v>2347</v>
      </c>
      <c r="D104" s="572" t="s">
        <v>2356</v>
      </c>
      <c r="E104" s="664">
        <v>38144.800000000003</v>
      </c>
      <c r="F104" s="664">
        <v>127964</v>
      </c>
      <c r="G104" s="665">
        <v>84979.199999999997</v>
      </c>
      <c r="H104" s="665"/>
      <c r="I104" s="665">
        <v>0</v>
      </c>
      <c r="J104" s="665">
        <v>0</v>
      </c>
      <c r="K104" s="588"/>
      <c r="L104" s="588"/>
      <c r="M104" s="588"/>
      <c r="N104" s="588"/>
      <c r="O104" s="588"/>
      <c r="Q104" s="594">
        <f t="shared" si="110"/>
        <v>2.3546905475975755</v>
      </c>
      <c r="R104" s="594">
        <f t="shared" si="111"/>
        <v>-0.33591322559469849</v>
      </c>
      <c r="S104" s="594">
        <f t="shared" si="112"/>
        <v>-1</v>
      </c>
      <c r="T104" s="594">
        <f t="shared" si="113"/>
        <v>0</v>
      </c>
      <c r="U104" s="594">
        <f t="shared" si="114"/>
        <v>0</v>
      </c>
      <c r="V104" s="594">
        <f t="shared" si="115"/>
        <v>0</v>
      </c>
      <c r="W104" s="594">
        <f t="shared" si="116"/>
        <v>0</v>
      </c>
      <c r="X104" s="594">
        <f t="shared" si="117"/>
        <v>0</v>
      </c>
      <c r="Y104" s="594">
        <f t="shared" si="118"/>
        <v>0</v>
      </c>
    </row>
    <row r="105" spans="2:25" outlineLevel="1">
      <c r="B105" s="562" t="s">
        <v>239</v>
      </c>
      <c r="C105" s="562" t="s">
        <v>2347</v>
      </c>
      <c r="D105" s="572" t="s">
        <v>2357</v>
      </c>
      <c r="E105" s="664">
        <v>3435.07</v>
      </c>
      <c r="F105" s="664">
        <v>906.59</v>
      </c>
      <c r="G105" s="665">
        <v>0</v>
      </c>
      <c r="H105" s="665"/>
      <c r="I105" s="665">
        <v>0</v>
      </c>
      <c r="J105" s="665">
        <v>0</v>
      </c>
      <c r="K105" s="588"/>
      <c r="L105" s="588"/>
      <c r="M105" s="588"/>
      <c r="N105" s="588"/>
      <c r="O105" s="588"/>
      <c r="Q105" s="594">
        <f t="shared" si="110"/>
        <v>-0.73607815852369818</v>
      </c>
      <c r="R105" s="594">
        <f t="shared" si="111"/>
        <v>-1</v>
      </c>
      <c r="S105" s="594">
        <f t="shared" si="112"/>
        <v>0</v>
      </c>
      <c r="T105" s="594">
        <f t="shared" si="113"/>
        <v>0</v>
      </c>
      <c r="U105" s="594">
        <f t="shared" si="114"/>
        <v>0</v>
      </c>
      <c r="V105" s="594">
        <f t="shared" si="115"/>
        <v>0</v>
      </c>
      <c r="W105" s="594">
        <f t="shared" si="116"/>
        <v>0</v>
      </c>
      <c r="X105" s="594">
        <f t="shared" si="117"/>
        <v>0</v>
      </c>
      <c r="Y105" s="594">
        <f t="shared" si="118"/>
        <v>0</v>
      </c>
    </row>
    <row r="106" spans="2:25" outlineLevel="1">
      <c r="B106" s="562" t="s">
        <v>239</v>
      </c>
      <c r="C106" s="562" t="s">
        <v>2347</v>
      </c>
      <c r="D106" s="572" t="s">
        <v>1905</v>
      </c>
      <c r="E106" s="664">
        <v>4239.99</v>
      </c>
      <c r="F106" s="664">
        <v>0</v>
      </c>
      <c r="G106" s="665">
        <v>413.14</v>
      </c>
      <c r="H106" s="670"/>
      <c r="I106" s="665">
        <v>0</v>
      </c>
      <c r="J106" s="665">
        <v>0</v>
      </c>
      <c r="K106" s="588"/>
      <c r="L106" s="588"/>
      <c r="M106" s="588"/>
      <c r="N106" s="588"/>
      <c r="O106" s="588"/>
      <c r="Q106" s="594">
        <f t="shared" si="110"/>
        <v>-1</v>
      </c>
      <c r="R106" s="594">
        <f t="shared" si="111"/>
        <v>0</v>
      </c>
      <c r="S106" s="594">
        <f t="shared" si="112"/>
        <v>-1</v>
      </c>
      <c r="T106" s="594">
        <f t="shared" si="113"/>
        <v>0</v>
      </c>
      <c r="U106" s="594">
        <f t="shared" si="114"/>
        <v>0</v>
      </c>
      <c r="V106" s="594">
        <f t="shared" si="115"/>
        <v>0</v>
      </c>
      <c r="W106" s="594">
        <f t="shared" si="116"/>
        <v>0</v>
      </c>
      <c r="X106" s="594">
        <f t="shared" si="117"/>
        <v>0</v>
      </c>
      <c r="Y106" s="594">
        <f t="shared" si="118"/>
        <v>0</v>
      </c>
    </row>
    <row r="107" spans="2:25" outlineLevel="1">
      <c r="B107" s="562" t="s">
        <v>239</v>
      </c>
      <c r="C107" s="562" t="s">
        <v>2347</v>
      </c>
      <c r="D107" s="572" t="s">
        <v>1906</v>
      </c>
      <c r="E107" s="664">
        <v>17.149999999999999</v>
      </c>
      <c r="F107" s="664">
        <v>14.22</v>
      </c>
      <c r="G107" s="665">
        <v>22.96</v>
      </c>
      <c r="H107" s="665">
        <v>35.57</v>
      </c>
      <c r="I107" s="665">
        <v>0</v>
      </c>
      <c r="J107" s="665">
        <v>0</v>
      </c>
      <c r="K107" s="588"/>
      <c r="L107" s="588"/>
      <c r="M107" s="588"/>
      <c r="N107" s="588"/>
      <c r="O107" s="588"/>
      <c r="Q107" s="594">
        <f t="shared" si="110"/>
        <v>-0.17084548104956254</v>
      </c>
      <c r="R107" s="594">
        <f t="shared" si="111"/>
        <v>0.61462728551336143</v>
      </c>
      <c r="S107" s="594">
        <f t="shared" si="112"/>
        <v>0.54921602787456436</v>
      </c>
      <c r="T107" s="594">
        <f t="shared" si="113"/>
        <v>-1</v>
      </c>
      <c r="U107" s="594">
        <f t="shared" si="114"/>
        <v>0</v>
      </c>
      <c r="V107" s="594">
        <f t="shared" si="115"/>
        <v>0</v>
      </c>
      <c r="W107" s="594">
        <f t="shared" si="116"/>
        <v>0</v>
      </c>
      <c r="X107" s="594">
        <f t="shared" si="117"/>
        <v>0</v>
      </c>
      <c r="Y107" s="594">
        <f t="shared" si="118"/>
        <v>0</v>
      </c>
    </row>
    <row r="108" spans="2:25" outlineLevel="1">
      <c r="B108" s="562" t="s">
        <v>239</v>
      </c>
      <c r="C108" s="562" t="s">
        <v>2347</v>
      </c>
      <c r="D108" s="572" t="s">
        <v>1907</v>
      </c>
      <c r="E108" s="664">
        <v>0</v>
      </c>
      <c r="F108" s="664"/>
      <c r="G108" s="665">
        <v>0</v>
      </c>
      <c r="H108" s="665">
        <v>40850</v>
      </c>
      <c r="I108" s="665">
        <v>0</v>
      </c>
      <c r="J108" s="665">
        <v>0</v>
      </c>
      <c r="K108" s="588"/>
      <c r="L108" s="588"/>
      <c r="M108" s="588"/>
      <c r="N108" s="588"/>
      <c r="O108" s="588"/>
      <c r="Q108" s="594">
        <f t="shared" si="110"/>
        <v>0</v>
      </c>
      <c r="R108" s="594">
        <f t="shared" si="111"/>
        <v>0</v>
      </c>
      <c r="S108" s="594">
        <f t="shared" si="112"/>
        <v>0</v>
      </c>
      <c r="T108" s="594">
        <f t="shared" si="113"/>
        <v>-1</v>
      </c>
      <c r="U108" s="594">
        <f t="shared" si="114"/>
        <v>0</v>
      </c>
      <c r="V108" s="594">
        <f t="shared" si="115"/>
        <v>0</v>
      </c>
      <c r="W108" s="594">
        <f t="shared" si="116"/>
        <v>0</v>
      </c>
      <c r="X108" s="594">
        <f t="shared" si="117"/>
        <v>0</v>
      </c>
      <c r="Y108" s="594">
        <f t="shared" si="118"/>
        <v>0</v>
      </c>
    </row>
    <row r="109" spans="2:25" outlineLevel="1">
      <c r="B109" s="562" t="s">
        <v>239</v>
      </c>
      <c r="C109" s="562" t="s">
        <v>2347</v>
      </c>
      <c r="D109" s="572" t="s">
        <v>1908</v>
      </c>
      <c r="E109" s="664">
        <v>0</v>
      </c>
      <c r="F109" s="664"/>
      <c r="G109" s="665">
        <v>0</v>
      </c>
      <c r="H109" s="665">
        <v>143436</v>
      </c>
      <c r="I109" s="665">
        <v>0</v>
      </c>
      <c r="J109" s="665">
        <v>0</v>
      </c>
      <c r="K109" s="588"/>
      <c r="L109" s="588"/>
      <c r="M109" s="588"/>
      <c r="N109" s="588"/>
      <c r="O109" s="588"/>
      <c r="Q109" s="594">
        <f t="shared" si="110"/>
        <v>0</v>
      </c>
      <c r="R109" s="594">
        <f t="shared" si="111"/>
        <v>0</v>
      </c>
      <c r="S109" s="594">
        <f t="shared" si="112"/>
        <v>0</v>
      </c>
      <c r="T109" s="594">
        <f t="shared" si="113"/>
        <v>-1</v>
      </c>
      <c r="U109" s="594">
        <f t="shared" si="114"/>
        <v>0</v>
      </c>
      <c r="V109" s="594">
        <f t="shared" si="115"/>
        <v>0</v>
      </c>
      <c r="W109" s="594">
        <f t="shared" si="116"/>
        <v>0</v>
      </c>
      <c r="X109" s="594">
        <f t="shared" si="117"/>
        <v>0</v>
      </c>
      <c r="Y109" s="594">
        <f t="shared" si="118"/>
        <v>0</v>
      </c>
    </row>
    <row r="110" spans="2:25" outlineLevel="1">
      <c r="B110" s="562" t="s">
        <v>239</v>
      </c>
      <c r="C110" s="562" t="s">
        <v>2347</v>
      </c>
      <c r="D110" s="572" t="s">
        <v>1909</v>
      </c>
      <c r="E110" s="664">
        <v>3380.05</v>
      </c>
      <c r="F110" s="664">
        <v>373.48</v>
      </c>
      <c r="G110" s="665">
        <v>3499.78</v>
      </c>
      <c r="H110" s="665">
        <v>4665.76</v>
      </c>
      <c r="I110" s="665">
        <v>1132.75</v>
      </c>
      <c r="J110" s="665">
        <v>992.33</v>
      </c>
      <c r="K110" s="588"/>
      <c r="L110" s="588"/>
      <c r="M110" s="588"/>
      <c r="N110" s="588"/>
      <c r="O110" s="588"/>
      <c r="Q110" s="594">
        <f t="shared" si="110"/>
        <v>-0.88950459312732066</v>
      </c>
      <c r="R110" s="594">
        <f t="shared" si="111"/>
        <v>8.3707293563243006</v>
      </c>
      <c r="S110" s="594">
        <f t="shared" si="112"/>
        <v>0.33315808422243687</v>
      </c>
      <c r="T110" s="594">
        <f t="shared" si="113"/>
        <v>-0.75722068859092628</v>
      </c>
      <c r="U110" s="594">
        <f t="shared" si="114"/>
        <v>-1</v>
      </c>
      <c r="V110" s="594">
        <f t="shared" si="115"/>
        <v>0</v>
      </c>
      <c r="W110" s="594">
        <f t="shared" si="116"/>
        <v>0</v>
      </c>
      <c r="X110" s="594">
        <f t="shared" si="117"/>
        <v>0</v>
      </c>
      <c r="Y110" s="594">
        <f t="shared" si="118"/>
        <v>0</v>
      </c>
    </row>
    <row r="111" spans="2:25" outlineLevel="1">
      <c r="B111" s="562" t="s">
        <v>239</v>
      </c>
      <c r="C111" s="562" t="s">
        <v>2347</v>
      </c>
      <c r="D111" s="572" t="s">
        <v>2355</v>
      </c>
      <c r="E111" s="664">
        <v>38335.199999999997</v>
      </c>
      <c r="F111" s="664">
        <v>38335</v>
      </c>
      <c r="G111" s="665">
        <v>30656.93</v>
      </c>
      <c r="H111" s="665"/>
      <c r="I111" s="665">
        <v>0</v>
      </c>
      <c r="J111" s="665">
        <v>0</v>
      </c>
      <c r="K111" s="588"/>
      <c r="L111" s="588"/>
      <c r="M111" s="588"/>
      <c r="N111" s="588"/>
      <c r="O111" s="588"/>
      <c r="Q111" s="594">
        <f t="shared" si="110"/>
        <v>-5.2171372523224235E-6</v>
      </c>
      <c r="R111" s="594">
        <f t="shared" si="111"/>
        <v>-0.2002887700534759</v>
      </c>
      <c r="S111" s="594">
        <f t="shared" si="112"/>
        <v>-1</v>
      </c>
      <c r="T111" s="594">
        <f t="shared" si="113"/>
        <v>0</v>
      </c>
      <c r="U111" s="594">
        <f t="shared" si="114"/>
        <v>0</v>
      </c>
      <c r="V111" s="594">
        <f t="shared" si="115"/>
        <v>0</v>
      </c>
      <c r="W111" s="594">
        <f t="shared" si="116"/>
        <v>0</v>
      </c>
      <c r="X111" s="594">
        <f t="shared" si="117"/>
        <v>0</v>
      </c>
      <c r="Y111" s="594">
        <f t="shared" si="118"/>
        <v>0</v>
      </c>
    </row>
    <row r="112" spans="2:25" outlineLevel="1">
      <c r="B112" s="562" t="s">
        <v>239</v>
      </c>
      <c r="C112" s="562" t="s">
        <v>2347</v>
      </c>
      <c r="D112" s="572" t="s">
        <v>1910</v>
      </c>
      <c r="E112" s="664">
        <v>0</v>
      </c>
      <c r="F112" s="664"/>
      <c r="G112" s="665">
        <v>14707.8</v>
      </c>
      <c r="H112" s="665">
        <v>11766.24</v>
      </c>
      <c r="I112" s="665">
        <v>8824.68</v>
      </c>
      <c r="J112" s="665">
        <v>5883.12</v>
      </c>
      <c r="K112" s="588"/>
      <c r="L112" s="588"/>
      <c r="M112" s="588"/>
      <c r="N112" s="588"/>
      <c r="O112" s="588"/>
      <c r="Q112" s="594">
        <f t="shared" si="110"/>
        <v>0</v>
      </c>
      <c r="R112" s="594">
        <f t="shared" si="111"/>
        <v>0</v>
      </c>
      <c r="S112" s="594">
        <f t="shared" si="112"/>
        <v>-0.19999999999999996</v>
      </c>
      <c r="T112" s="594">
        <f t="shared" si="113"/>
        <v>-0.25</v>
      </c>
      <c r="U112" s="594">
        <f t="shared" si="114"/>
        <v>-1</v>
      </c>
      <c r="V112" s="594">
        <f t="shared" si="115"/>
        <v>0</v>
      </c>
      <c r="W112" s="594">
        <f t="shared" si="116"/>
        <v>0</v>
      </c>
      <c r="X112" s="594">
        <f t="shared" si="117"/>
        <v>0</v>
      </c>
      <c r="Y112" s="594">
        <f t="shared" si="118"/>
        <v>0</v>
      </c>
    </row>
    <row r="113" spans="2:25" outlineLevel="1">
      <c r="B113" s="562" t="s">
        <v>239</v>
      </c>
      <c r="C113" s="562" t="s">
        <v>2347</v>
      </c>
      <c r="D113" s="572" t="s">
        <v>1911</v>
      </c>
      <c r="E113" s="664">
        <v>0</v>
      </c>
      <c r="F113" s="664"/>
      <c r="G113" s="665">
        <v>1620</v>
      </c>
      <c r="H113" s="665">
        <v>72536.77</v>
      </c>
      <c r="I113" s="665">
        <v>119999.99</v>
      </c>
      <c r="J113" s="665">
        <v>40000.01</v>
      </c>
      <c r="K113" s="588"/>
      <c r="L113" s="588"/>
      <c r="M113" s="588"/>
      <c r="N113" s="588"/>
      <c r="O113" s="588"/>
      <c r="Q113" s="594">
        <f t="shared" si="110"/>
        <v>0</v>
      </c>
      <c r="R113" s="594">
        <f t="shared" si="111"/>
        <v>0</v>
      </c>
      <c r="S113" s="594">
        <f t="shared" si="112"/>
        <v>43.775783950617289</v>
      </c>
      <c r="T113" s="594">
        <f t="shared" si="113"/>
        <v>0.65433324367765477</v>
      </c>
      <c r="U113" s="594">
        <f t="shared" si="114"/>
        <v>-1</v>
      </c>
      <c r="V113" s="594">
        <f t="shared" si="115"/>
        <v>0</v>
      </c>
      <c r="W113" s="594">
        <f t="shared" si="116"/>
        <v>0</v>
      </c>
      <c r="X113" s="594">
        <f t="shared" si="117"/>
        <v>0</v>
      </c>
      <c r="Y113" s="594">
        <f t="shared" si="118"/>
        <v>0</v>
      </c>
    </row>
    <row r="114" spans="2:25" outlineLevel="1">
      <c r="B114" s="562" t="s">
        <v>239</v>
      </c>
      <c r="C114" s="562" t="s">
        <v>2347</v>
      </c>
      <c r="D114" s="572" t="s">
        <v>1912</v>
      </c>
      <c r="E114" s="664">
        <v>0</v>
      </c>
      <c r="F114" s="664"/>
      <c r="G114" s="665">
        <v>23800</v>
      </c>
      <c r="H114" s="665">
        <v>19040</v>
      </c>
      <c r="I114" s="665">
        <v>14280</v>
      </c>
      <c r="J114" s="665">
        <v>9520</v>
      </c>
      <c r="K114" s="588"/>
      <c r="L114" s="588"/>
      <c r="M114" s="588"/>
      <c r="N114" s="588"/>
      <c r="O114" s="588"/>
      <c r="Q114" s="594">
        <f t="shared" si="110"/>
        <v>0</v>
      </c>
      <c r="R114" s="594">
        <f t="shared" si="111"/>
        <v>0</v>
      </c>
      <c r="S114" s="594">
        <f t="shared" si="112"/>
        <v>-0.19999999999999996</v>
      </c>
      <c r="T114" s="594">
        <f t="shared" si="113"/>
        <v>-0.25</v>
      </c>
      <c r="U114" s="594">
        <f t="shared" si="114"/>
        <v>-1</v>
      </c>
      <c r="V114" s="594">
        <f t="shared" si="115"/>
        <v>0</v>
      </c>
      <c r="W114" s="594">
        <f t="shared" si="116"/>
        <v>0</v>
      </c>
      <c r="X114" s="594">
        <f t="shared" si="117"/>
        <v>0</v>
      </c>
      <c r="Y114" s="594">
        <f t="shared" si="118"/>
        <v>0</v>
      </c>
    </row>
    <row r="115" spans="2:25" outlineLevel="1">
      <c r="B115" s="562" t="s">
        <v>239</v>
      </c>
      <c r="C115" s="562" t="s">
        <v>2347</v>
      </c>
      <c r="D115" s="572" t="s">
        <v>4117</v>
      </c>
      <c r="E115" s="664"/>
      <c r="F115" s="664"/>
      <c r="G115" s="665"/>
      <c r="H115" s="665"/>
      <c r="I115" s="665"/>
      <c r="J115" s="665">
        <v>0</v>
      </c>
      <c r="K115" s="588"/>
      <c r="L115" s="588"/>
      <c r="M115" s="588"/>
      <c r="N115" s="588"/>
      <c r="O115" s="588"/>
      <c r="Q115" s="594"/>
      <c r="R115" s="594"/>
      <c r="S115" s="594"/>
      <c r="T115" s="594"/>
      <c r="U115" s="594"/>
      <c r="V115" s="594"/>
      <c r="W115" s="594"/>
      <c r="X115" s="594"/>
      <c r="Y115" s="594"/>
    </row>
    <row r="116" spans="2:25" outlineLevel="1">
      <c r="B116" s="562" t="s">
        <v>239</v>
      </c>
      <c r="C116" s="562" t="s">
        <v>2347</v>
      </c>
      <c r="D116" s="572" t="s">
        <v>4118</v>
      </c>
      <c r="E116" s="664"/>
      <c r="F116" s="664"/>
      <c r="G116" s="665"/>
      <c r="H116" s="665"/>
      <c r="I116" s="665"/>
      <c r="J116" s="665">
        <v>1369.9</v>
      </c>
      <c r="K116" s="588"/>
      <c r="L116" s="588"/>
      <c r="M116" s="588"/>
      <c r="N116" s="588"/>
      <c r="O116" s="588"/>
      <c r="Q116" s="594"/>
      <c r="R116" s="594"/>
      <c r="S116" s="594"/>
      <c r="T116" s="594"/>
      <c r="U116" s="594"/>
      <c r="V116" s="594"/>
      <c r="W116" s="594"/>
      <c r="X116" s="594"/>
      <c r="Y116" s="594"/>
    </row>
    <row r="117" spans="2:25" outlineLevel="1">
      <c r="B117" s="562" t="s">
        <v>239</v>
      </c>
      <c r="C117" s="562" t="s">
        <v>2347</v>
      </c>
      <c r="D117" s="572" t="s">
        <v>4119</v>
      </c>
      <c r="E117" s="664"/>
      <c r="F117" s="664"/>
      <c r="G117" s="665"/>
      <c r="H117" s="665"/>
      <c r="I117" s="665"/>
      <c r="J117" s="665">
        <v>13.45</v>
      </c>
      <c r="K117" s="588"/>
      <c r="L117" s="588"/>
      <c r="M117" s="588"/>
      <c r="N117" s="588"/>
      <c r="O117" s="588"/>
      <c r="Q117" s="594"/>
      <c r="R117" s="594"/>
      <c r="S117" s="594"/>
      <c r="T117" s="594"/>
      <c r="U117" s="594"/>
      <c r="V117" s="594"/>
      <c r="W117" s="594"/>
      <c r="X117" s="594"/>
      <c r="Y117" s="594"/>
    </row>
    <row r="118" spans="2:25" outlineLevel="1">
      <c r="B118" s="562" t="s">
        <v>239</v>
      </c>
      <c r="C118" s="562" t="s">
        <v>2347</v>
      </c>
      <c r="D118" s="572" t="s">
        <v>4120</v>
      </c>
      <c r="E118" s="664"/>
      <c r="F118" s="664"/>
      <c r="G118" s="665"/>
      <c r="H118" s="665"/>
      <c r="I118" s="665"/>
      <c r="J118" s="665">
        <v>27597.29</v>
      </c>
      <c r="K118" s="588"/>
      <c r="L118" s="588"/>
      <c r="M118" s="588"/>
      <c r="N118" s="588"/>
      <c r="O118" s="588"/>
      <c r="Q118" s="594"/>
      <c r="R118" s="594"/>
      <c r="S118" s="594"/>
      <c r="T118" s="594"/>
      <c r="U118" s="594"/>
      <c r="V118" s="594"/>
      <c r="W118" s="594"/>
      <c r="X118" s="594"/>
      <c r="Y118" s="594"/>
    </row>
    <row r="119" spans="2:25" outlineLevel="1">
      <c r="B119" s="562" t="s">
        <v>239</v>
      </c>
      <c r="C119" s="562" t="s">
        <v>2347</v>
      </c>
      <c r="D119" s="572" t="s">
        <v>1913</v>
      </c>
      <c r="E119" s="664">
        <v>0</v>
      </c>
      <c r="F119" s="664"/>
      <c r="G119" s="665">
        <v>109500</v>
      </c>
      <c r="H119" s="665">
        <v>875666.67</v>
      </c>
      <c r="I119" s="665">
        <v>582333.34</v>
      </c>
      <c r="J119" s="665">
        <v>818089.98</v>
      </c>
      <c r="K119" s="588"/>
      <c r="L119" s="588"/>
      <c r="M119" s="588"/>
      <c r="N119" s="588"/>
      <c r="O119" s="588"/>
      <c r="Q119" s="594">
        <f t="shared" si="110"/>
        <v>0</v>
      </c>
      <c r="R119" s="594">
        <f t="shared" si="111"/>
        <v>0</v>
      </c>
      <c r="S119" s="594">
        <f t="shared" si="112"/>
        <v>6.996955890410959</v>
      </c>
      <c r="T119" s="594">
        <f t="shared" si="113"/>
        <v>-0.33498286511236064</v>
      </c>
      <c r="U119" s="594">
        <f t="shared" si="114"/>
        <v>-1</v>
      </c>
      <c r="V119" s="594">
        <f t="shared" si="115"/>
        <v>0</v>
      </c>
      <c r="W119" s="594">
        <f t="shared" si="116"/>
        <v>0</v>
      </c>
      <c r="X119" s="594">
        <f t="shared" si="117"/>
        <v>0</v>
      </c>
      <c r="Y119" s="594">
        <f t="shared" si="118"/>
        <v>0</v>
      </c>
    </row>
    <row r="120" spans="2:25" outlineLevel="1">
      <c r="D120" s="574" t="s">
        <v>1898</v>
      </c>
      <c r="E120" s="666">
        <f t="shared" ref="E120:H120" si="119">+SUM(E99:E119)</f>
        <v>1763605.3599999999</v>
      </c>
      <c r="F120" s="666">
        <f t="shared" si="119"/>
        <v>2211185.8199999998</v>
      </c>
      <c r="G120" s="666">
        <f t="shared" si="119"/>
        <v>1947066.91</v>
      </c>
      <c r="H120" s="666">
        <f t="shared" si="119"/>
        <v>2773107.5100000002</v>
      </c>
      <c r="I120" s="666">
        <v>3910956.7600000002</v>
      </c>
      <c r="J120" s="666">
        <v>5049454.1400000006</v>
      </c>
      <c r="K120" s="548"/>
      <c r="L120" s="548"/>
      <c r="M120" s="548"/>
      <c r="N120" s="548"/>
      <c r="O120" s="548"/>
    </row>
    <row r="121" spans="2:25" outlineLevel="1">
      <c r="D121" s="573" t="s">
        <v>1914</v>
      </c>
      <c r="E121" s="668"/>
      <c r="F121" s="668"/>
      <c r="G121" s="669"/>
      <c r="H121" s="669">
        <v>2773107.51</v>
      </c>
      <c r="I121" s="669">
        <v>3910956.7600000002</v>
      </c>
      <c r="J121" s="669">
        <v>5049454.1400000006</v>
      </c>
      <c r="K121" s="556"/>
      <c r="L121" s="556"/>
      <c r="M121" s="556"/>
      <c r="N121" s="556"/>
      <c r="O121" s="556"/>
    </row>
    <row r="122" spans="2:25" outlineLevel="1">
      <c r="D122" s="568" t="s">
        <v>1915</v>
      </c>
      <c r="E122" s="660"/>
      <c r="F122" s="660"/>
      <c r="G122" s="657"/>
      <c r="H122" s="657"/>
      <c r="I122" s="657"/>
      <c r="J122" s="657"/>
      <c r="K122" s="547"/>
      <c r="L122" s="547"/>
      <c r="M122" s="547"/>
      <c r="N122" s="547"/>
      <c r="O122" s="547"/>
    </row>
    <row r="123" spans="2:25" outlineLevel="1">
      <c r="B123" s="562" t="s">
        <v>239</v>
      </c>
      <c r="C123" s="562" t="s">
        <v>2347</v>
      </c>
      <c r="D123" s="572" t="s">
        <v>1916</v>
      </c>
      <c r="E123" s="664">
        <v>210.72</v>
      </c>
      <c r="F123" s="664">
        <v>210.72</v>
      </c>
      <c r="G123" s="665">
        <v>210.72</v>
      </c>
      <c r="H123" s="665">
        <v>210.72</v>
      </c>
      <c r="I123" s="665">
        <v>835.72</v>
      </c>
      <c r="J123" s="665">
        <v>-8464.2800000000007</v>
      </c>
      <c r="K123" s="588"/>
      <c r="L123" s="588"/>
      <c r="M123" s="588"/>
      <c r="N123" s="588"/>
      <c r="O123" s="588"/>
      <c r="Q123" s="594">
        <f t="shared" ref="Q123:Q191" si="120">+IFERROR(F123/E123-1,0)</f>
        <v>0</v>
      </c>
      <c r="R123" s="594">
        <f t="shared" ref="R123:R191" si="121">+IFERROR(G123/F123-1,0)</f>
        <v>0</v>
      </c>
      <c r="S123" s="594">
        <f t="shared" ref="S123:S191" si="122">+IFERROR(H123/G123-1,0)</f>
        <v>0</v>
      </c>
      <c r="T123" s="594">
        <f t="shared" ref="T123:T191" si="123">+IFERROR(I123/H123-1,0)</f>
        <v>2.966021260440395</v>
      </c>
      <c r="U123" s="594">
        <f t="shared" ref="U123:U191" si="124">+IFERROR(K123/I123-1,0)</f>
        <v>-1</v>
      </c>
      <c r="V123" s="594">
        <f t="shared" ref="V123:V191" si="125">+IFERROR(L123/K123-1,0)</f>
        <v>0</v>
      </c>
      <c r="W123" s="594">
        <f t="shared" ref="W123:W191" si="126">+IFERROR(M123/L123-1,0)</f>
        <v>0</v>
      </c>
      <c r="X123" s="594">
        <f t="shared" ref="X123:X191" si="127">+IFERROR(N123/M123-1,0)</f>
        <v>0</v>
      </c>
      <c r="Y123" s="594">
        <f t="shared" ref="Y123:Y191" si="128">+IFERROR(O123/N123-1,0)</f>
        <v>0</v>
      </c>
    </row>
    <row r="124" spans="2:25" outlineLevel="1">
      <c r="B124" s="562" t="s">
        <v>239</v>
      </c>
      <c r="C124" s="562" t="s">
        <v>2347</v>
      </c>
      <c r="D124" s="572" t="s">
        <v>4185</v>
      </c>
      <c r="E124" s="664"/>
      <c r="F124" s="664"/>
      <c r="G124" s="665"/>
      <c r="H124" s="665"/>
      <c r="I124" s="665"/>
      <c r="J124" s="665">
        <v>192000</v>
      </c>
      <c r="K124" s="588"/>
      <c r="L124" s="588"/>
      <c r="M124" s="588"/>
      <c r="N124" s="588"/>
      <c r="O124" s="588"/>
      <c r="Q124" s="594"/>
      <c r="R124" s="594"/>
      <c r="S124" s="594"/>
      <c r="T124" s="594"/>
      <c r="U124" s="594"/>
      <c r="V124" s="594"/>
      <c r="W124" s="594"/>
      <c r="X124" s="594"/>
      <c r="Y124" s="594"/>
    </row>
    <row r="125" spans="2:25" outlineLevel="1">
      <c r="B125" s="562" t="s">
        <v>239</v>
      </c>
      <c r="C125" s="562" t="s">
        <v>2347</v>
      </c>
      <c r="D125" s="572" t="s">
        <v>1917</v>
      </c>
      <c r="E125" s="664">
        <v>20746.009999999998</v>
      </c>
      <c r="F125" s="664">
        <v>19200.080000000002</v>
      </c>
      <c r="G125" s="665">
        <v>19709.12</v>
      </c>
      <c r="H125" s="665">
        <v>17709.12</v>
      </c>
      <c r="I125" s="665">
        <v>18959.34</v>
      </c>
      <c r="J125" s="665">
        <v>20760.98</v>
      </c>
      <c r="K125" s="588"/>
      <c r="L125" s="588"/>
      <c r="M125" s="588"/>
      <c r="N125" s="588"/>
      <c r="O125" s="588"/>
      <c r="Q125" s="594">
        <f t="shared" si="120"/>
        <v>-7.4516979409534501E-2</v>
      </c>
      <c r="R125" s="594">
        <f t="shared" si="121"/>
        <v>2.651238953171009E-2</v>
      </c>
      <c r="S125" s="594">
        <f t="shared" si="122"/>
        <v>-0.10147586498027306</v>
      </c>
      <c r="T125" s="594">
        <f t="shared" si="123"/>
        <v>7.0597522632406484E-2</v>
      </c>
      <c r="U125" s="594">
        <f t="shared" si="124"/>
        <v>-1</v>
      </c>
      <c r="V125" s="594">
        <f t="shared" si="125"/>
        <v>0</v>
      </c>
      <c r="W125" s="594">
        <f t="shared" si="126"/>
        <v>0</v>
      </c>
      <c r="X125" s="594">
        <f t="shared" si="127"/>
        <v>0</v>
      </c>
      <c r="Y125" s="594">
        <f t="shared" si="128"/>
        <v>0</v>
      </c>
    </row>
    <row r="126" spans="2:25" outlineLevel="1">
      <c r="B126" s="562" t="s">
        <v>239</v>
      </c>
      <c r="C126" s="562" t="s">
        <v>2347</v>
      </c>
      <c r="D126" s="572" t="s">
        <v>2419</v>
      </c>
      <c r="E126" s="664">
        <v>0</v>
      </c>
      <c r="F126" s="664"/>
      <c r="G126" s="665">
        <v>989</v>
      </c>
      <c r="H126" s="665"/>
      <c r="I126" s="665">
        <v>0</v>
      </c>
      <c r="J126" s="665">
        <v>0</v>
      </c>
      <c r="K126" s="588"/>
      <c r="L126" s="588"/>
      <c r="M126" s="588"/>
      <c r="N126" s="588"/>
      <c r="O126" s="588"/>
      <c r="Q126" s="594">
        <f t="shared" si="120"/>
        <v>0</v>
      </c>
      <c r="R126" s="594">
        <f t="shared" si="121"/>
        <v>0</v>
      </c>
      <c r="S126" s="594">
        <f t="shared" si="122"/>
        <v>-1</v>
      </c>
      <c r="T126" s="594">
        <f t="shared" si="123"/>
        <v>0</v>
      </c>
      <c r="U126" s="594">
        <f t="shared" si="124"/>
        <v>0</v>
      </c>
      <c r="V126" s="594">
        <f t="shared" si="125"/>
        <v>0</v>
      </c>
      <c r="W126" s="594">
        <f t="shared" si="126"/>
        <v>0</v>
      </c>
      <c r="X126" s="594">
        <f t="shared" si="127"/>
        <v>0</v>
      </c>
      <c r="Y126" s="594">
        <f t="shared" si="128"/>
        <v>0</v>
      </c>
    </row>
    <row r="127" spans="2:25" outlineLevel="1">
      <c r="B127" s="562" t="s">
        <v>239</v>
      </c>
      <c r="C127" s="562" t="s">
        <v>2347</v>
      </c>
      <c r="D127" s="572" t="s">
        <v>1918</v>
      </c>
      <c r="E127" s="664">
        <v>0</v>
      </c>
      <c r="F127" s="664"/>
      <c r="G127" s="665">
        <v>10.32</v>
      </c>
      <c r="H127" s="665">
        <v>19.399999999999999</v>
      </c>
      <c r="I127" s="665">
        <v>0</v>
      </c>
      <c r="J127" s="665">
        <v>0</v>
      </c>
      <c r="K127" s="588"/>
      <c r="L127" s="588"/>
      <c r="M127" s="588"/>
      <c r="N127" s="588"/>
      <c r="O127" s="588"/>
      <c r="Q127" s="594">
        <f t="shared" si="120"/>
        <v>0</v>
      </c>
      <c r="R127" s="594">
        <f t="shared" si="121"/>
        <v>0</v>
      </c>
      <c r="S127" s="594">
        <f t="shared" si="122"/>
        <v>0.87984496124030986</v>
      </c>
      <c r="T127" s="594">
        <f t="shared" si="123"/>
        <v>-1</v>
      </c>
      <c r="U127" s="594">
        <f t="shared" si="124"/>
        <v>0</v>
      </c>
      <c r="V127" s="594">
        <f t="shared" si="125"/>
        <v>0</v>
      </c>
      <c r="W127" s="594">
        <f t="shared" si="126"/>
        <v>0</v>
      </c>
      <c r="X127" s="594">
        <f t="shared" si="127"/>
        <v>0</v>
      </c>
      <c r="Y127" s="594">
        <f t="shared" si="128"/>
        <v>0</v>
      </c>
    </row>
    <row r="128" spans="2:25" outlineLevel="1">
      <c r="B128" s="562" t="s">
        <v>239</v>
      </c>
      <c r="C128" s="562" t="s">
        <v>2347</v>
      </c>
      <c r="D128" s="572" t="s">
        <v>1919</v>
      </c>
      <c r="E128" s="664">
        <v>6113.06</v>
      </c>
      <c r="F128" s="664">
        <v>57211.21</v>
      </c>
      <c r="G128" s="665">
        <v>6758.45</v>
      </c>
      <c r="H128" s="665">
        <v>791.17</v>
      </c>
      <c r="I128" s="665">
        <v>791.17</v>
      </c>
      <c r="J128" s="665">
        <v>791.17</v>
      </c>
      <c r="K128" s="588"/>
      <c r="L128" s="588"/>
      <c r="M128" s="588"/>
      <c r="N128" s="588"/>
      <c r="O128" s="588"/>
      <c r="Q128" s="594">
        <f t="shared" si="120"/>
        <v>8.3588497413733869</v>
      </c>
      <c r="R128" s="594">
        <f t="shared" si="121"/>
        <v>-0.88186843102951329</v>
      </c>
      <c r="S128" s="594">
        <f t="shared" si="122"/>
        <v>-0.88293617619424569</v>
      </c>
      <c r="T128" s="594">
        <f t="shared" si="123"/>
        <v>0</v>
      </c>
      <c r="U128" s="594">
        <f t="shared" si="124"/>
        <v>-1</v>
      </c>
      <c r="V128" s="594">
        <f t="shared" si="125"/>
        <v>0</v>
      </c>
      <c r="W128" s="594">
        <f t="shared" si="126"/>
        <v>0</v>
      </c>
      <c r="X128" s="594">
        <f t="shared" si="127"/>
        <v>0</v>
      </c>
      <c r="Y128" s="594">
        <f t="shared" si="128"/>
        <v>0</v>
      </c>
    </row>
    <row r="129" spans="2:25" outlineLevel="1">
      <c r="B129" s="562" t="s">
        <v>239</v>
      </c>
      <c r="C129" s="562" t="s">
        <v>2347</v>
      </c>
      <c r="D129" s="572" t="s">
        <v>1920</v>
      </c>
      <c r="E129" s="664">
        <v>240205.37</v>
      </c>
      <c r="F129" s="664">
        <v>384709.52</v>
      </c>
      <c r="G129" s="665">
        <v>469065.8</v>
      </c>
      <c r="H129" s="665">
        <v>803880.21</v>
      </c>
      <c r="I129" s="665">
        <v>1223.1300000000001</v>
      </c>
      <c r="J129" s="665">
        <v>1223.1300000000001</v>
      </c>
      <c r="K129" s="588"/>
      <c r="L129" s="588"/>
      <c r="M129" s="588"/>
      <c r="N129" s="588"/>
      <c r="O129" s="588"/>
      <c r="Q129" s="594">
        <f t="shared" si="120"/>
        <v>0.60158584298094597</v>
      </c>
      <c r="R129" s="594">
        <f t="shared" si="121"/>
        <v>0.21927266057777817</v>
      </c>
      <c r="S129" s="594">
        <f t="shared" si="122"/>
        <v>0.71378985634851233</v>
      </c>
      <c r="T129" s="594">
        <f t="shared" si="123"/>
        <v>-0.99847846733283807</v>
      </c>
      <c r="U129" s="594">
        <f t="shared" si="124"/>
        <v>-1</v>
      </c>
      <c r="V129" s="594">
        <f t="shared" si="125"/>
        <v>0</v>
      </c>
      <c r="W129" s="594">
        <f t="shared" si="126"/>
        <v>0</v>
      </c>
      <c r="X129" s="594">
        <f t="shared" si="127"/>
        <v>0</v>
      </c>
      <c r="Y129" s="594">
        <f t="shared" si="128"/>
        <v>0</v>
      </c>
    </row>
    <row r="130" spans="2:25" outlineLevel="1">
      <c r="B130" s="562" t="s">
        <v>239</v>
      </c>
      <c r="C130" s="562" t="s">
        <v>2347</v>
      </c>
      <c r="D130" s="572" t="s">
        <v>1921</v>
      </c>
      <c r="E130" s="664">
        <v>0</v>
      </c>
      <c r="F130" s="664"/>
      <c r="G130" s="665">
        <v>0</v>
      </c>
      <c r="H130" s="665">
        <v>381.58</v>
      </c>
      <c r="I130" s="665">
        <v>-4243.92</v>
      </c>
      <c r="J130" s="665">
        <v>0</v>
      </c>
      <c r="K130" s="588"/>
      <c r="L130" s="588"/>
      <c r="M130" s="588"/>
      <c r="N130" s="588"/>
      <c r="O130" s="588"/>
      <c r="Q130" s="594">
        <f t="shared" si="120"/>
        <v>0</v>
      </c>
      <c r="R130" s="594">
        <f t="shared" si="121"/>
        <v>0</v>
      </c>
      <c r="S130" s="594">
        <f t="shared" si="122"/>
        <v>0</v>
      </c>
      <c r="T130" s="594">
        <f t="shared" si="123"/>
        <v>-12.121966560092249</v>
      </c>
      <c r="U130" s="594">
        <f t="shared" si="124"/>
        <v>-1</v>
      </c>
      <c r="V130" s="594">
        <f t="shared" si="125"/>
        <v>0</v>
      </c>
      <c r="W130" s="594">
        <f t="shared" si="126"/>
        <v>0</v>
      </c>
      <c r="X130" s="594">
        <f t="shared" si="127"/>
        <v>0</v>
      </c>
      <c r="Y130" s="594">
        <f t="shared" si="128"/>
        <v>0</v>
      </c>
    </row>
    <row r="131" spans="2:25" outlineLevel="1">
      <c r="B131" s="562" t="s">
        <v>239</v>
      </c>
      <c r="C131" s="562" t="s">
        <v>2347</v>
      </c>
      <c r="D131" s="572" t="s">
        <v>1921</v>
      </c>
      <c r="E131" s="664">
        <v>0</v>
      </c>
      <c r="F131" s="664"/>
      <c r="G131" s="665">
        <v>0</v>
      </c>
      <c r="H131" s="665">
        <v>45013.15</v>
      </c>
      <c r="I131" s="665">
        <v>399180.87</v>
      </c>
      <c r="J131" s="665">
        <v>289946.86</v>
      </c>
      <c r="K131" s="588"/>
      <c r="L131" s="588"/>
      <c r="M131" s="588"/>
      <c r="N131" s="588"/>
      <c r="O131" s="588"/>
      <c r="Q131" s="594">
        <f t="shared" si="120"/>
        <v>0</v>
      </c>
      <c r="R131" s="594">
        <f t="shared" si="121"/>
        <v>0</v>
      </c>
      <c r="S131" s="594">
        <f t="shared" si="122"/>
        <v>0</v>
      </c>
      <c r="T131" s="594">
        <f t="shared" si="123"/>
        <v>7.8680945457049773</v>
      </c>
      <c r="U131" s="594">
        <f t="shared" si="124"/>
        <v>-1</v>
      </c>
      <c r="V131" s="594">
        <f t="shared" si="125"/>
        <v>0</v>
      </c>
      <c r="W131" s="594">
        <f t="shared" si="126"/>
        <v>0</v>
      </c>
      <c r="X131" s="594">
        <f t="shared" si="127"/>
        <v>0</v>
      </c>
      <c r="Y131" s="594">
        <f t="shared" si="128"/>
        <v>0</v>
      </c>
    </row>
    <row r="132" spans="2:25" outlineLevel="1">
      <c r="B132" s="562" t="s">
        <v>239</v>
      </c>
      <c r="C132" s="562" t="s">
        <v>2347</v>
      </c>
      <c r="D132" s="572" t="s">
        <v>1922</v>
      </c>
      <c r="E132" s="664">
        <v>93069.97</v>
      </c>
      <c r="F132" s="664">
        <v>1237400.1299999999</v>
      </c>
      <c r="G132" s="665">
        <v>1574250.47</v>
      </c>
      <c r="H132" s="665">
        <v>2671613.69</v>
      </c>
      <c r="I132" s="904">
        <v>0</v>
      </c>
      <c r="J132" s="665">
        <v>154998.81</v>
      </c>
      <c r="K132" s="588"/>
      <c r="L132" s="588"/>
      <c r="M132" s="588"/>
      <c r="N132" s="588"/>
      <c r="O132" s="588"/>
      <c r="Q132" s="594">
        <f t="shared" si="120"/>
        <v>12.295374759441739</v>
      </c>
      <c r="R132" s="594">
        <f t="shared" si="121"/>
        <v>0.27222426427254387</v>
      </c>
      <c r="S132" s="594">
        <f t="shared" si="122"/>
        <v>0.69707028259613613</v>
      </c>
      <c r="T132" s="594">
        <f t="shared" si="123"/>
        <v>-1</v>
      </c>
      <c r="U132" s="594">
        <f t="shared" si="124"/>
        <v>0</v>
      </c>
      <c r="V132" s="594">
        <f t="shared" si="125"/>
        <v>0</v>
      </c>
      <c r="W132" s="594">
        <f t="shared" si="126"/>
        <v>0</v>
      </c>
      <c r="X132" s="594">
        <f t="shared" si="127"/>
        <v>0</v>
      </c>
      <c r="Y132" s="594">
        <f t="shared" si="128"/>
        <v>0</v>
      </c>
    </row>
    <row r="133" spans="2:25" outlineLevel="1">
      <c r="B133" s="562" t="s">
        <v>239</v>
      </c>
      <c r="C133" s="562" t="s">
        <v>2347</v>
      </c>
      <c r="D133" s="572" t="s">
        <v>1923</v>
      </c>
      <c r="E133" s="664">
        <v>107473.68</v>
      </c>
      <c r="F133" s="664">
        <v>224295.95</v>
      </c>
      <c r="G133" s="665">
        <v>119132.62</v>
      </c>
      <c r="H133" s="665">
        <v>191493.27</v>
      </c>
      <c r="I133" s="665">
        <v>0</v>
      </c>
      <c r="J133" s="665">
        <v>0</v>
      </c>
      <c r="K133" s="588"/>
      <c r="L133" s="588"/>
      <c r="M133" s="588"/>
      <c r="N133" s="588"/>
      <c r="O133" s="588"/>
      <c r="Q133" s="594">
        <f t="shared" si="120"/>
        <v>1.0869849250532786</v>
      </c>
      <c r="R133" s="594">
        <f t="shared" si="121"/>
        <v>-0.46885969184909493</v>
      </c>
      <c r="S133" s="594">
        <f t="shared" si="122"/>
        <v>0.60739577455779958</v>
      </c>
      <c r="T133" s="594">
        <f t="shared" si="123"/>
        <v>-1</v>
      </c>
      <c r="U133" s="594">
        <f t="shared" si="124"/>
        <v>0</v>
      </c>
      <c r="V133" s="594">
        <f t="shared" si="125"/>
        <v>0</v>
      </c>
      <c r="W133" s="594">
        <f t="shared" si="126"/>
        <v>0</v>
      </c>
      <c r="X133" s="594">
        <f t="shared" si="127"/>
        <v>0</v>
      </c>
      <c r="Y133" s="594">
        <f t="shared" si="128"/>
        <v>0</v>
      </c>
    </row>
    <row r="134" spans="2:25" outlineLevel="1">
      <c r="B134" s="562" t="s">
        <v>239</v>
      </c>
      <c r="C134" s="1518" t="s">
        <v>2346</v>
      </c>
      <c r="D134" s="572" t="s">
        <v>1923</v>
      </c>
      <c r="E134" s="664"/>
      <c r="F134" s="664"/>
      <c r="G134" s="665"/>
      <c r="H134" s="665"/>
      <c r="I134" s="665">
        <v>-225803.37</v>
      </c>
      <c r="J134" s="665"/>
      <c r="K134" s="588"/>
      <c r="L134" s="588"/>
      <c r="M134" s="588"/>
      <c r="N134" s="588"/>
      <c r="O134" s="588"/>
      <c r="Q134" s="594"/>
      <c r="R134" s="594"/>
      <c r="S134" s="594"/>
      <c r="T134" s="594"/>
      <c r="U134" s="594"/>
      <c r="V134" s="594"/>
      <c r="W134" s="594"/>
      <c r="X134" s="594"/>
      <c r="Y134" s="594"/>
    </row>
    <row r="135" spans="2:25" outlineLevel="1">
      <c r="B135" s="562" t="s">
        <v>239</v>
      </c>
      <c r="C135" s="562" t="s">
        <v>2347</v>
      </c>
      <c r="D135" s="572" t="s">
        <v>1924</v>
      </c>
      <c r="E135" s="664">
        <v>-4948.3</v>
      </c>
      <c r="F135" s="664">
        <v>0</v>
      </c>
      <c r="G135" s="665">
        <v>0</v>
      </c>
      <c r="H135" s="665">
        <v>-4948.3</v>
      </c>
      <c r="I135" s="665">
        <v>0</v>
      </c>
      <c r="J135" s="665">
        <v>0</v>
      </c>
      <c r="K135" s="588"/>
      <c r="L135" s="588"/>
      <c r="M135" s="588"/>
      <c r="N135" s="588"/>
      <c r="O135" s="588"/>
      <c r="Q135" s="594">
        <f t="shared" si="120"/>
        <v>-1</v>
      </c>
      <c r="R135" s="594">
        <f t="shared" si="121"/>
        <v>0</v>
      </c>
      <c r="S135" s="594">
        <f t="shared" si="122"/>
        <v>0</v>
      </c>
      <c r="T135" s="594">
        <f t="shared" si="123"/>
        <v>-1</v>
      </c>
      <c r="U135" s="594">
        <f t="shared" si="124"/>
        <v>0</v>
      </c>
      <c r="V135" s="594">
        <f t="shared" si="125"/>
        <v>0</v>
      </c>
      <c r="W135" s="594">
        <f t="shared" si="126"/>
        <v>0</v>
      </c>
      <c r="X135" s="594">
        <f t="shared" si="127"/>
        <v>0</v>
      </c>
      <c r="Y135" s="594">
        <f t="shared" si="128"/>
        <v>0</v>
      </c>
    </row>
    <row r="136" spans="2:25" outlineLevel="1">
      <c r="B136" s="562" t="s">
        <v>239</v>
      </c>
      <c r="C136" s="562" t="s">
        <v>2347</v>
      </c>
      <c r="D136" s="572" t="s">
        <v>1924</v>
      </c>
      <c r="E136" s="664">
        <v>4948.3</v>
      </c>
      <c r="F136" s="664">
        <v>0</v>
      </c>
      <c r="G136" s="665">
        <v>0</v>
      </c>
      <c r="H136" s="665">
        <v>4948.3</v>
      </c>
      <c r="I136" s="665">
        <v>0</v>
      </c>
      <c r="J136" s="665">
        <v>0</v>
      </c>
      <c r="K136" s="588"/>
      <c r="L136" s="588"/>
      <c r="M136" s="588"/>
      <c r="N136" s="588"/>
      <c r="O136" s="588"/>
      <c r="Q136" s="594">
        <f t="shared" si="120"/>
        <v>-1</v>
      </c>
      <c r="R136" s="594">
        <f t="shared" si="121"/>
        <v>0</v>
      </c>
      <c r="S136" s="594">
        <f t="shared" si="122"/>
        <v>0</v>
      </c>
      <c r="T136" s="594">
        <f t="shared" si="123"/>
        <v>-1</v>
      </c>
      <c r="U136" s="594">
        <f t="shared" si="124"/>
        <v>0</v>
      </c>
      <c r="V136" s="594">
        <f t="shared" si="125"/>
        <v>0</v>
      </c>
      <c r="W136" s="594">
        <f t="shared" si="126"/>
        <v>0</v>
      </c>
      <c r="X136" s="594">
        <f t="shared" si="127"/>
        <v>0</v>
      </c>
      <c r="Y136" s="594">
        <f t="shared" si="128"/>
        <v>0</v>
      </c>
    </row>
    <row r="137" spans="2:25" outlineLevel="1">
      <c r="B137" s="562" t="s">
        <v>239</v>
      </c>
      <c r="C137" s="562" t="s">
        <v>2347</v>
      </c>
      <c r="D137" s="572" t="s">
        <v>1925</v>
      </c>
      <c r="E137" s="664">
        <v>-8528.83</v>
      </c>
      <c r="F137" s="664">
        <v>0</v>
      </c>
      <c r="G137" s="665">
        <v>0</v>
      </c>
      <c r="H137" s="665">
        <v>-8528.83</v>
      </c>
      <c r="I137" s="665">
        <v>0</v>
      </c>
      <c r="J137" s="665">
        <v>0</v>
      </c>
      <c r="K137" s="588"/>
      <c r="L137" s="588"/>
      <c r="M137" s="588"/>
      <c r="N137" s="588"/>
      <c r="O137" s="588"/>
      <c r="Q137" s="594">
        <f t="shared" si="120"/>
        <v>-1</v>
      </c>
      <c r="R137" s="594">
        <f t="shared" si="121"/>
        <v>0</v>
      </c>
      <c r="S137" s="594">
        <f t="shared" si="122"/>
        <v>0</v>
      </c>
      <c r="T137" s="594">
        <f t="shared" si="123"/>
        <v>-1</v>
      </c>
      <c r="U137" s="594">
        <f t="shared" si="124"/>
        <v>0</v>
      </c>
      <c r="V137" s="594">
        <f t="shared" si="125"/>
        <v>0</v>
      </c>
      <c r="W137" s="594">
        <f t="shared" si="126"/>
        <v>0</v>
      </c>
      <c r="X137" s="594">
        <f t="shared" si="127"/>
        <v>0</v>
      </c>
      <c r="Y137" s="594">
        <f t="shared" si="128"/>
        <v>0</v>
      </c>
    </row>
    <row r="138" spans="2:25" outlineLevel="1">
      <c r="B138" s="562" t="s">
        <v>239</v>
      </c>
      <c r="C138" s="562" t="s">
        <v>2347</v>
      </c>
      <c r="D138" s="572" t="s">
        <v>1925</v>
      </c>
      <c r="E138" s="664">
        <v>8528.83</v>
      </c>
      <c r="F138" s="664">
        <v>0</v>
      </c>
      <c r="G138" s="665">
        <v>0</v>
      </c>
      <c r="H138" s="665">
        <v>8528.83</v>
      </c>
      <c r="I138" s="665">
        <v>0</v>
      </c>
      <c r="J138" s="665">
        <v>0</v>
      </c>
      <c r="K138" s="588"/>
      <c r="L138" s="588"/>
      <c r="M138" s="588"/>
      <c r="N138" s="588"/>
      <c r="O138" s="588"/>
      <c r="Q138" s="594">
        <f t="shared" si="120"/>
        <v>-1</v>
      </c>
      <c r="R138" s="594">
        <f t="shared" si="121"/>
        <v>0</v>
      </c>
      <c r="S138" s="594">
        <f t="shared" si="122"/>
        <v>0</v>
      </c>
      <c r="T138" s="594">
        <f t="shared" si="123"/>
        <v>-1</v>
      </c>
      <c r="U138" s="594">
        <f t="shared" si="124"/>
        <v>0</v>
      </c>
      <c r="V138" s="594">
        <f t="shared" si="125"/>
        <v>0</v>
      </c>
      <c r="W138" s="594">
        <f t="shared" si="126"/>
        <v>0</v>
      </c>
      <c r="X138" s="594">
        <f t="shared" si="127"/>
        <v>0</v>
      </c>
      <c r="Y138" s="594">
        <f t="shared" si="128"/>
        <v>0</v>
      </c>
    </row>
    <row r="139" spans="2:25" outlineLevel="1">
      <c r="B139" s="562" t="s">
        <v>239</v>
      </c>
      <c r="C139" s="562" t="s">
        <v>2347</v>
      </c>
      <c r="D139" s="572" t="s">
        <v>1926</v>
      </c>
      <c r="E139" s="664">
        <v>-14159.68</v>
      </c>
      <c r="F139" s="664">
        <v>0</v>
      </c>
      <c r="G139" s="665">
        <v>0</v>
      </c>
      <c r="H139" s="665">
        <v>-14159.68</v>
      </c>
      <c r="I139" s="665">
        <v>0</v>
      </c>
      <c r="J139" s="665">
        <v>0</v>
      </c>
      <c r="K139" s="588"/>
      <c r="L139" s="588"/>
      <c r="M139" s="588"/>
      <c r="N139" s="588"/>
      <c r="O139" s="588"/>
      <c r="Q139" s="594">
        <f t="shared" si="120"/>
        <v>-1</v>
      </c>
      <c r="R139" s="594">
        <f t="shared" si="121"/>
        <v>0</v>
      </c>
      <c r="S139" s="594">
        <f t="shared" si="122"/>
        <v>0</v>
      </c>
      <c r="T139" s="594">
        <f t="shared" si="123"/>
        <v>-1</v>
      </c>
      <c r="U139" s="594">
        <f t="shared" si="124"/>
        <v>0</v>
      </c>
      <c r="V139" s="594">
        <f t="shared" si="125"/>
        <v>0</v>
      </c>
      <c r="W139" s="594">
        <f t="shared" si="126"/>
        <v>0</v>
      </c>
      <c r="X139" s="594">
        <f t="shared" si="127"/>
        <v>0</v>
      </c>
      <c r="Y139" s="594">
        <f t="shared" si="128"/>
        <v>0</v>
      </c>
    </row>
    <row r="140" spans="2:25" outlineLevel="1">
      <c r="B140" s="562" t="s">
        <v>239</v>
      </c>
      <c r="C140" s="562" t="s">
        <v>2347</v>
      </c>
      <c r="D140" s="572" t="s">
        <v>1926</v>
      </c>
      <c r="E140" s="664">
        <v>14159.68</v>
      </c>
      <c r="F140" s="664">
        <v>0</v>
      </c>
      <c r="G140" s="665">
        <v>0</v>
      </c>
      <c r="H140" s="665">
        <v>14159.68</v>
      </c>
      <c r="I140" s="665">
        <v>0</v>
      </c>
      <c r="J140" s="665">
        <v>0</v>
      </c>
      <c r="K140" s="588"/>
      <c r="L140" s="588"/>
      <c r="M140" s="588"/>
      <c r="N140" s="588"/>
      <c r="O140" s="588"/>
      <c r="Q140" s="594">
        <f t="shared" si="120"/>
        <v>-1</v>
      </c>
      <c r="R140" s="594">
        <f t="shared" si="121"/>
        <v>0</v>
      </c>
      <c r="S140" s="594">
        <f t="shared" si="122"/>
        <v>0</v>
      </c>
      <c r="T140" s="594">
        <f t="shared" si="123"/>
        <v>-1</v>
      </c>
      <c r="U140" s="594">
        <f t="shared" si="124"/>
        <v>0</v>
      </c>
      <c r="V140" s="594">
        <f t="shared" si="125"/>
        <v>0</v>
      </c>
      <c r="W140" s="594">
        <f t="shared" si="126"/>
        <v>0</v>
      </c>
      <c r="X140" s="594">
        <f t="shared" si="127"/>
        <v>0</v>
      </c>
      <c r="Y140" s="594">
        <f t="shared" si="128"/>
        <v>0</v>
      </c>
    </row>
    <row r="141" spans="2:25" outlineLevel="1">
      <c r="B141" s="562" t="s">
        <v>239</v>
      </c>
      <c r="C141" s="562" t="s">
        <v>2347</v>
      </c>
      <c r="D141" s="572" t="s">
        <v>1927</v>
      </c>
      <c r="E141" s="664">
        <v>-940.04</v>
      </c>
      <c r="F141" s="664">
        <v>0</v>
      </c>
      <c r="G141" s="665">
        <v>0</v>
      </c>
      <c r="H141" s="665">
        <v>-940.04</v>
      </c>
      <c r="I141" s="665">
        <v>0</v>
      </c>
      <c r="J141" s="665">
        <v>0</v>
      </c>
      <c r="K141" s="588"/>
      <c r="L141" s="588"/>
      <c r="M141" s="588"/>
      <c r="N141" s="588"/>
      <c r="O141" s="588"/>
      <c r="Q141" s="594">
        <f t="shared" si="120"/>
        <v>-1</v>
      </c>
      <c r="R141" s="594">
        <f t="shared" si="121"/>
        <v>0</v>
      </c>
      <c r="S141" s="594">
        <f t="shared" si="122"/>
        <v>0</v>
      </c>
      <c r="T141" s="594">
        <f t="shared" si="123"/>
        <v>-1</v>
      </c>
      <c r="U141" s="594">
        <f t="shared" si="124"/>
        <v>0</v>
      </c>
      <c r="V141" s="594">
        <f t="shared" si="125"/>
        <v>0</v>
      </c>
      <c r="W141" s="594">
        <f t="shared" si="126"/>
        <v>0</v>
      </c>
      <c r="X141" s="594">
        <f t="shared" si="127"/>
        <v>0</v>
      </c>
      <c r="Y141" s="594">
        <f t="shared" si="128"/>
        <v>0</v>
      </c>
    </row>
    <row r="142" spans="2:25" outlineLevel="1">
      <c r="B142" s="562" t="s">
        <v>239</v>
      </c>
      <c r="C142" s="562" t="s">
        <v>2347</v>
      </c>
      <c r="D142" s="572" t="s">
        <v>1927</v>
      </c>
      <c r="E142" s="664">
        <v>940.04</v>
      </c>
      <c r="F142" s="664">
        <v>0</v>
      </c>
      <c r="G142" s="665">
        <v>0</v>
      </c>
      <c r="H142" s="665">
        <v>940.04</v>
      </c>
      <c r="I142" s="665">
        <v>0</v>
      </c>
      <c r="J142" s="665">
        <v>0</v>
      </c>
      <c r="K142" s="588"/>
      <c r="L142" s="588"/>
      <c r="M142" s="588"/>
      <c r="N142" s="588"/>
      <c r="O142" s="588"/>
      <c r="Q142" s="594">
        <f t="shared" si="120"/>
        <v>-1</v>
      </c>
      <c r="R142" s="594">
        <f t="shared" si="121"/>
        <v>0</v>
      </c>
      <c r="S142" s="594">
        <f t="shared" si="122"/>
        <v>0</v>
      </c>
      <c r="T142" s="594">
        <f t="shared" si="123"/>
        <v>-1</v>
      </c>
      <c r="U142" s="594">
        <f t="shared" si="124"/>
        <v>0</v>
      </c>
      <c r="V142" s="594">
        <f t="shared" si="125"/>
        <v>0</v>
      </c>
      <c r="W142" s="594">
        <f t="shared" si="126"/>
        <v>0</v>
      </c>
      <c r="X142" s="594">
        <f t="shared" si="127"/>
        <v>0</v>
      </c>
      <c r="Y142" s="594">
        <f t="shared" si="128"/>
        <v>0</v>
      </c>
    </row>
    <row r="143" spans="2:25" outlineLevel="1">
      <c r="B143" s="562" t="s">
        <v>239</v>
      </c>
      <c r="C143" s="562" t="s">
        <v>2347</v>
      </c>
      <c r="D143" s="572" t="s">
        <v>1928</v>
      </c>
      <c r="E143" s="664">
        <v>-16711.48</v>
      </c>
      <c r="F143" s="664">
        <v>0</v>
      </c>
      <c r="G143" s="665">
        <v>0</v>
      </c>
      <c r="H143" s="665">
        <v>-16711.48</v>
      </c>
      <c r="I143" s="665">
        <v>0</v>
      </c>
      <c r="J143" s="665">
        <v>0</v>
      </c>
      <c r="K143" s="588"/>
      <c r="L143" s="588"/>
      <c r="M143" s="588"/>
      <c r="N143" s="588"/>
      <c r="O143" s="588"/>
      <c r="Q143" s="594">
        <f t="shared" si="120"/>
        <v>-1</v>
      </c>
      <c r="R143" s="594">
        <f t="shared" si="121"/>
        <v>0</v>
      </c>
      <c r="S143" s="594">
        <f t="shared" si="122"/>
        <v>0</v>
      </c>
      <c r="T143" s="594">
        <f t="shared" si="123"/>
        <v>-1</v>
      </c>
      <c r="U143" s="594">
        <f t="shared" si="124"/>
        <v>0</v>
      </c>
      <c r="V143" s="594">
        <f t="shared" si="125"/>
        <v>0</v>
      </c>
      <c r="W143" s="594">
        <f t="shared" si="126"/>
        <v>0</v>
      </c>
      <c r="X143" s="594">
        <f t="shared" si="127"/>
        <v>0</v>
      </c>
      <c r="Y143" s="594">
        <f t="shared" si="128"/>
        <v>0</v>
      </c>
    </row>
    <row r="144" spans="2:25" outlineLevel="1">
      <c r="B144" s="562" t="s">
        <v>239</v>
      </c>
      <c r="C144" s="562" t="s">
        <v>2347</v>
      </c>
      <c r="D144" s="572" t="s">
        <v>1928</v>
      </c>
      <c r="E144" s="664">
        <v>16711.48</v>
      </c>
      <c r="F144" s="664">
        <v>0</v>
      </c>
      <c r="G144" s="665">
        <v>0</v>
      </c>
      <c r="H144" s="665">
        <v>16711.48</v>
      </c>
      <c r="I144" s="665">
        <v>0</v>
      </c>
      <c r="J144" s="665">
        <v>0</v>
      </c>
      <c r="K144" s="588"/>
      <c r="L144" s="588"/>
      <c r="M144" s="588"/>
      <c r="N144" s="588"/>
      <c r="O144" s="588"/>
      <c r="Q144" s="594">
        <f t="shared" si="120"/>
        <v>-1</v>
      </c>
      <c r="R144" s="594">
        <f t="shared" si="121"/>
        <v>0</v>
      </c>
      <c r="S144" s="594">
        <f t="shared" si="122"/>
        <v>0</v>
      </c>
      <c r="T144" s="594">
        <f t="shared" si="123"/>
        <v>-1</v>
      </c>
      <c r="U144" s="594">
        <f t="shared" si="124"/>
        <v>0</v>
      </c>
      <c r="V144" s="594">
        <f t="shared" si="125"/>
        <v>0</v>
      </c>
      <c r="W144" s="594">
        <f t="shared" si="126"/>
        <v>0</v>
      </c>
      <c r="X144" s="594">
        <f t="shared" si="127"/>
        <v>0</v>
      </c>
      <c r="Y144" s="594">
        <f t="shared" si="128"/>
        <v>0</v>
      </c>
    </row>
    <row r="145" spans="2:25" outlineLevel="1">
      <c r="B145" s="562" t="s">
        <v>239</v>
      </c>
      <c r="C145" s="562" t="s">
        <v>2347</v>
      </c>
      <c r="D145" s="572" t="s">
        <v>1929</v>
      </c>
      <c r="E145" s="664">
        <v>-83112.62</v>
      </c>
      <c r="F145" s="664">
        <v>0</v>
      </c>
      <c r="G145" s="665">
        <v>0</v>
      </c>
      <c r="H145" s="665">
        <v>-83112.62</v>
      </c>
      <c r="I145" s="665">
        <v>0</v>
      </c>
      <c r="J145" s="665">
        <v>0</v>
      </c>
      <c r="K145" s="588"/>
      <c r="L145" s="588"/>
      <c r="M145" s="588"/>
      <c r="N145" s="588"/>
      <c r="O145" s="588"/>
      <c r="Q145" s="594">
        <f t="shared" si="120"/>
        <v>-1</v>
      </c>
      <c r="R145" s="594">
        <f t="shared" si="121"/>
        <v>0</v>
      </c>
      <c r="S145" s="594">
        <f t="shared" si="122"/>
        <v>0</v>
      </c>
      <c r="T145" s="594">
        <f t="shared" si="123"/>
        <v>-1</v>
      </c>
      <c r="U145" s="594">
        <f t="shared" si="124"/>
        <v>0</v>
      </c>
      <c r="V145" s="594">
        <f t="shared" si="125"/>
        <v>0</v>
      </c>
      <c r="W145" s="594">
        <f t="shared" si="126"/>
        <v>0</v>
      </c>
      <c r="X145" s="594">
        <f t="shared" si="127"/>
        <v>0</v>
      </c>
      <c r="Y145" s="594">
        <f t="shared" si="128"/>
        <v>0</v>
      </c>
    </row>
    <row r="146" spans="2:25" outlineLevel="1">
      <c r="B146" s="562" t="s">
        <v>239</v>
      </c>
      <c r="C146" s="562" t="s">
        <v>2347</v>
      </c>
      <c r="D146" s="572" t="s">
        <v>1929</v>
      </c>
      <c r="E146" s="664">
        <v>83112.62</v>
      </c>
      <c r="F146" s="664">
        <v>0</v>
      </c>
      <c r="G146" s="665">
        <v>0</v>
      </c>
      <c r="H146" s="665">
        <v>83112.62</v>
      </c>
      <c r="I146" s="665">
        <v>0</v>
      </c>
      <c r="J146" s="665">
        <v>0</v>
      </c>
      <c r="K146" s="588"/>
      <c r="L146" s="588"/>
      <c r="M146" s="588"/>
      <c r="N146" s="588"/>
      <c r="O146" s="588"/>
      <c r="Q146" s="594">
        <f t="shared" si="120"/>
        <v>-1</v>
      </c>
      <c r="R146" s="594">
        <f t="shared" si="121"/>
        <v>0</v>
      </c>
      <c r="S146" s="594">
        <f t="shared" si="122"/>
        <v>0</v>
      </c>
      <c r="T146" s="594">
        <f t="shared" si="123"/>
        <v>-1</v>
      </c>
      <c r="U146" s="594">
        <f t="shared" si="124"/>
        <v>0</v>
      </c>
      <c r="V146" s="594">
        <f t="shared" si="125"/>
        <v>0</v>
      </c>
      <c r="W146" s="594">
        <f t="shared" si="126"/>
        <v>0</v>
      </c>
      <c r="X146" s="594">
        <f t="shared" si="127"/>
        <v>0</v>
      </c>
      <c r="Y146" s="594">
        <f t="shared" si="128"/>
        <v>0</v>
      </c>
    </row>
    <row r="147" spans="2:25" outlineLevel="1">
      <c r="B147" s="562" t="s">
        <v>239</v>
      </c>
      <c r="C147" s="562" t="s">
        <v>2347</v>
      </c>
      <c r="D147" s="572" t="s">
        <v>1930</v>
      </c>
      <c r="E147" s="664">
        <v>-5277.67</v>
      </c>
      <c r="F147" s="664">
        <v>0</v>
      </c>
      <c r="G147" s="665">
        <v>0</v>
      </c>
      <c r="H147" s="665">
        <v>-5277.67</v>
      </c>
      <c r="I147" s="665">
        <v>0</v>
      </c>
      <c r="J147" s="665">
        <v>0</v>
      </c>
      <c r="K147" s="588"/>
      <c r="L147" s="588"/>
      <c r="M147" s="588"/>
      <c r="N147" s="588"/>
      <c r="O147" s="588"/>
      <c r="Q147" s="594">
        <f t="shared" si="120"/>
        <v>-1</v>
      </c>
      <c r="R147" s="594">
        <f t="shared" si="121"/>
        <v>0</v>
      </c>
      <c r="S147" s="594">
        <f t="shared" si="122"/>
        <v>0</v>
      </c>
      <c r="T147" s="594">
        <f t="shared" si="123"/>
        <v>-1</v>
      </c>
      <c r="U147" s="594">
        <f t="shared" si="124"/>
        <v>0</v>
      </c>
      <c r="V147" s="594">
        <f t="shared" si="125"/>
        <v>0</v>
      </c>
      <c r="W147" s="594">
        <f t="shared" si="126"/>
        <v>0</v>
      </c>
      <c r="X147" s="594">
        <f t="shared" si="127"/>
        <v>0</v>
      </c>
      <c r="Y147" s="594">
        <f t="shared" si="128"/>
        <v>0</v>
      </c>
    </row>
    <row r="148" spans="2:25" outlineLevel="1">
      <c r="B148" s="562" t="s">
        <v>239</v>
      </c>
      <c r="C148" s="562" t="s">
        <v>2347</v>
      </c>
      <c r="D148" s="572" t="s">
        <v>1930</v>
      </c>
      <c r="E148" s="664">
        <v>5277.67</v>
      </c>
      <c r="F148" s="664">
        <v>0</v>
      </c>
      <c r="G148" s="665">
        <v>0</v>
      </c>
      <c r="H148" s="665">
        <v>5277.67</v>
      </c>
      <c r="I148" s="665">
        <v>0</v>
      </c>
      <c r="J148" s="665">
        <v>0</v>
      </c>
      <c r="K148" s="588"/>
      <c r="L148" s="588"/>
      <c r="M148" s="588"/>
      <c r="N148" s="588"/>
      <c r="O148" s="588"/>
      <c r="Q148" s="594">
        <f t="shared" si="120"/>
        <v>-1</v>
      </c>
      <c r="R148" s="594">
        <f t="shared" si="121"/>
        <v>0</v>
      </c>
      <c r="S148" s="594">
        <f t="shared" si="122"/>
        <v>0</v>
      </c>
      <c r="T148" s="594">
        <f t="shared" si="123"/>
        <v>-1</v>
      </c>
      <c r="U148" s="594">
        <f t="shared" si="124"/>
        <v>0</v>
      </c>
      <c r="V148" s="594">
        <f t="shared" si="125"/>
        <v>0</v>
      </c>
      <c r="W148" s="594">
        <f t="shared" si="126"/>
        <v>0</v>
      </c>
      <c r="X148" s="594">
        <f t="shared" si="127"/>
        <v>0</v>
      </c>
      <c r="Y148" s="594">
        <f t="shared" si="128"/>
        <v>0</v>
      </c>
    </row>
    <row r="149" spans="2:25" outlineLevel="1">
      <c r="B149" s="562" t="s">
        <v>239</v>
      </c>
      <c r="C149" s="562" t="s">
        <v>2347</v>
      </c>
      <c r="D149" s="572" t="s">
        <v>1931</v>
      </c>
      <c r="E149" s="664">
        <v>-1695.9</v>
      </c>
      <c r="F149" s="664">
        <v>0</v>
      </c>
      <c r="G149" s="665">
        <v>0</v>
      </c>
      <c r="H149" s="665">
        <v>-1695.9</v>
      </c>
      <c r="I149" s="665">
        <v>0</v>
      </c>
      <c r="J149" s="665">
        <v>0</v>
      </c>
      <c r="K149" s="588"/>
      <c r="L149" s="588"/>
      <c r="M149" s="588"/>
      <c r="N149" s="588"/>
      <c r="O149" s="588"/>
      <c r="Q149" s="594">
        <f t="shared" si="120"/>
        <v>-1</v>
      </c>
      <c r="R149" s="594">
        <f t="shared" si="121"/>
        <v>0</v>
      </c>
      <c r="S149" s="594">
        <f t="shared" si="122"/>
        <v>0</v>
      </c>
      <c r="T149" s="594">
        <f t="shared" si="123"/>
        <v>-1</v>
      </c>
      <c r="U149" s="594">
        <f t="shared" si="124"/>
        <v>0</v>
      </c>
      <c r="V149" s="594">
        <f t="shared" si="125"/>
        <v>0</v>
      </c>
      <c r="W149" s="594">
        <f t="shared" si="126"/>
        <v>0</v>
      </c>
      <c r="X149" s="594">
        <f t="shared" si="127"/>
        <v>0</v>
      </c>
      <c r="Y149" s="594">
        <f t="shared" si="128"/>
        <v>0</v>
      </c>
    </row>
    <row r="150" spans="2:25" outlineLevel="1">
      <c r="B150" s="562" t="s">
        <v>239</v>
      </c>
      <c r="C150" s="562" t="s">
        <v>2347</v>
      </c>
      <c r="D150" s="572" t="s">
        <v>1931</v>
      </c>
      <c r="E150" s="664">
        <v>1695.9</v>
      </c>
      <c r="F150" s="664">
        <v>0</v>
      </c>
      <c r="G150" s="665">
        <v>0</v>
      </c>
      <c r="H150" s="665">
        <v>1695.9</v>
      </c>
      <c r="I150" s="665">
        <v>0</v>
      </c>
      <c r="J150" s="665">
        <v>0</v>
      </c>
      <c r="K150" s="588"/>
      <c r="L150" s="588"/>
      <c r="M150" s="588"/>
      <c r="N150" s="588"/>
      <c r="O150" s="588"/>
      <c r="Q150" s="594">
        <f t="shared" si="120"/>
        <v>-1</v>
      </c>
      <c r="R150" s="594">
        <f t="shared" si="121"/>
        <v>0</v>
      </c>
      <c r="S150" s="594">
        <f t="shared" si="122"/>
        <v>0</v>
      </c>
      <c r="T150" s="594">
        <f t="shared" si="123"/>
        <v>-1</v>
      </c>
      <c r="U150" s="594">
        <f t="shared" si="124"/>
        <v>0</v>
      </c>
      <c r="V150" s="594">
        <f t="shared" si="125"/>
        <v>0</v>
      </c>
      <c r="W150" s="594">
        <f t="shared" si="126"/>
        <v>0</v>
      </c>
      <c r="X150" s="594">
        <f t="shared" si="127"/>
        <v>0</v>
      </c>
      <c r="Y150" s="594">
        <f t="shared" si="128"/>
        <v>0</v>
      </c>
    </row>
    <row r="151" spans="2:25" outlineLevel="1">
      <c r="B151" s="562" t="s">
        <v>239</v>
      </c>
      <c r="C151" s="562" t="s">
        <v>2347</v>
      </c>
      <c r="D151" s="572" t="s">
        <v>2358</v>
      </c>
      <c r="E151" s="664">
        <v>6865.96</v>
      </c>
      <c r="F151" s="664"/>
      <c r="G151" s="665"/>
      <c r="H151" s="665"/>
      <c r="I151" s="665">
        <v>0</v>
      </c>
      <c r="J151" s="665">
        <v>0</v>
      </c>
      <c r="K151" s="588"/>
      <c r="L151" s="588"/>
      <c r="M151" s="588"/>
      <c r="N151" s="588"/>
      <c r="O151" s="588"/>
      <c r="Q151" s="594">
        <f t="shared" si="120"/>
        <v>-1</v>
      </c>
      <c r="R151" s="594">
        <f t="shared" si="121"/>
        <v>0</v>
      </c>
      <c r="S151" s="594">
        <f t="shared" si="122"/>
        <v>0</v>
      </c>
      <c r="T151" s="594">
        <f t="shared" si="123"/>
        <v>0</v>
      </c>
      <c r="U151" s="594">
        <f t="shared" si="124"/>
        <v>0</v>
      </c>
      <c r="V151" s="594">
        <f t="shared" si="125"/>
        <v>0</v>
      </c>
      <c r="W151" s="594">
        <f t="shared" si="126"/>
        <v>0</v>
      </c>
      <c r="X151" s="594">
        <f t="shared" si="127"/>
        <v>0</v>
      </c>
      <c r="Y151" s="594">
        <f t="shared" si="128"/>
        <v>0</v>
      </c>
    </row>
    <row r="152" spans="2:25" outlineLevel="1">
      <c r="B152" s="562" t="s">
        <v>239</v>
      </c>
      <c r="C152" s="562" t="s">
        <v>2347</v>
      </c>
      <c r="D152" s="572" t="s">
        <v>2359</v>
      </c>
      <c r="E152" s="664">
        <v>10623.21</v>
      </c>
      <c r="F152" s="664"/>
      <c r="G152" s="665"/>
      <c r="H152" s="665"/>
      <c r="I152" s="665">
        <v>0</v>
      </c>
      <c r="J152" s="665">
        <v>0</v>
      </c>
      <c r="K152" s="588"/>
      <c r="L152" s="588"/>
      <c r="M152" s="588"/>
      <c r="N152" s="588"/>
      <c r="O152" s="588"/>
      <c r="Q152" s="594">
        <f t="shared" si="120"/>
        <v>-1</v>
      </c>
      <c r="R152" s="594">
        <f t="shared" si="121"/>
        <v>0</v>
      </c>
      <c r="S152" s="594">
        <f t="shared" si="122"/>
        <v>0</v>
      </c>
      <c r="T152" s="594">
        <f t="shared" si="123"/>
        <v>0</v>
      </c>
      <c r="U152" s="594">
        <f t="shared" si="124"/>
        <v>0</v>
      </c>
      <c r="V152" s="594">
        <f t="shared" si="125"/>
        <v>0</v>
      </c>
      <c r="W152" s="594">
        <f t="shared" si="126"/>
        <v>0</v>
      </c>
      <c r="X152" s="594">
        <f t="shared" si="127"/>
        <v>0</v>
      </c>
      <c r="Y152" s="594">
        <f t="shared" si="128"/>
        <v>0</v>
      </c>
    </row>
    <row r="153" spans="2:25" outlineLevel="1">
      <c r="B153" s="562" t="s">
        <v>239</v>
      </c>
      <c r="C153" s="562" t="s">
        <v>2347</v>
      </c>
      <c r="D153" s="572" t="s">
        <v>2360</v>
      </c>
      <c r="E153" s="664">
        <v>8560.18</v>
      </c>
      <c r="F153" s="664"/>
      <c r="G153" s="665"/>
      <c r="H153" s="665"/>
      <c r="I153" s="665">
        <v>0</v>
      </c>
      <c r="J153" s="665">
        <v>0</v>
      </c>
      <c r="K153" s="588"/>
      <c r="L153" s="588"/>
      <c r="M153" s="588"/>
      <c r="N153" s="588"/>
      <c r="O153" s="588"/>
      <c r="Q153" s="594">
        <f t="shared" si="120"/>
        <v>-1</v>
      </c>
      <c r="R153" s="594">
        <f t="shared" si="121"/>
        <v>0</v>
      </c>
      <c r="S153" s="594">
        <f t="shared" si="122"/>
        <v>0</v>
      </c>
      <c r="T153" s="594">
        <f t="shared" si="123"/>
        <v>0</v>
      </c>
      <c r="U153" s="594">
        <f t="shared" si="124"/>
        <v>0</v>
      </c>
      <c r="V153" s="594">
        <f t="shared" si="125"/>
        <v>0</v>
      </c>
      <c r="W153" s="594">
        <f t="shared" si="126"/>
        <v>0</v>
      </c>
      <c r="X153" s="594">
        <f t="shared" si="127"/>
        <v>0</v>
      </c>
      <c r="Y153" s="594">
        <f t="shared" si="128"/>
        <v>0</v>
      </c>
    </row>
    <row r="154" spans="2:25" outlineLevel="1">
      <c r="B154" s="562" t="s">
        <v>239</v>
      </c>
      <c r="C154" s="562" t="s">
        <v>2347</v>
      </c>
      <c r="D154" s="572" t="s">
        <v>2361</v>
      </c>
      <c r="E154" s="664">
        <v>10520.1</v>
      </c>
      <c r="F154" s="664"/>
      <c r="G154" s="665"/>
      <c r="H154" s="665"/>
      <c r="I154" s="665">
        <v>0</v>
      </c>
      <c r="J154" s="665">
        <v>0</v>
      </c>
      <c r="K154" s="588"/>
      <c r="L154" s="588"/>
      <c r="M154" s="588"/>
      <c r="N154" s="588"/>
      <c r="O154" s="588"/>
      <c r="Q154" s="594">
        <f t="shared" si="120"/>
        <v>-1</v>
      </c>
      <c r="R154" s="594">
        <f t="shared" si="121"/>
        <v>0</v>
      </c>
      <c r="S154" s="594">
        <f t="shared" si="122"/>
        <v>0</v>
      </c>
      <c r="T154" s="594">
        <f t="shared" si="123"/>
        <v>0</v>
      </c>
      <c r="U154" s="594">
        <f t="shared" si="124"/>
        <v>0</v>
      </c>
      <c r="V154" s="594">
        <f t="shared" si="125"/>
        <v>0</v>
      </c>
      <c r="W154" s="594">
        <f t="shared" si="126"/>
        <v>0</v>
      </c>
      <c r="X154" s="594">
        <f t="shared" si="127"/>
        <v>0</v>
      </c>
      <c r="Y154" s="594">
        <f t="shared" si="128"/>
        <v>0</v>
      </c>
    </row>
    <row r="155" spans="2:25" outlineLevel="1">
      <c r="B155" s="562" t="s">
        <v>239</v>
      </c>
      <c r="C155" s="562" t="s">
        <v>2347</v>
      </c>
      <c r="D155" s="572" t="s">
        <v>2362</v>
      </c>
      <c r="E155" s="664">
        <v>31808.76</v>
      </c>
      <c r="F155" s="664"/>
      <c r="G155" s="665"/>
      <c r="H155" s="665"/>
      <c r="I155" s="665">
        <v>0</v>
      </c>
      <c r="J155" s="665">
        <v>0</v>
      </c>
      <c r="K155" s="588"/>
      <c r="L155" s="588"/>
      <c r="M155" s="588"/>
      <c r="N155" s="588"/>
      <c r="O155" s="588"/>
      <c r="Q155" s="594">
        <f t="shared" si="120"/>
        <v>-1</v>
      </c>
      <c r="R155" s="594">
        <f t="shared" si="121"/>
        <v>0</v>
      </c>
      <c r="S155" s="594">
        <f t="shared" si="122"/>
        <v>0</v>
      </c>
      <c r="T155" s="594">
        <f t="shared" si="123"/>
        <v>0</v>
      </c>
      <c r="U155" s="594">
        <f t="shared" si="124"/>
        <v>0</v>
      </c>
      <c r="V155" s="594">
        <f t="shared" si="125"/>
        <v>0</v>
      </c>
      <c r="W155" s="594">
        <f t="shared" si="126"/>
        <v>0</v>
      </c>
      <c r="X155" s="594">
        <f t="shared" si="127"/>
        <v>0</v>
      </c>
      <c r="Y155" s="594">
        <f t="shared" si="128"/>
        <v>0</v>
      </c>
    </row>
    <row r="156" spans="2:25" outlineLevel="1">
      <c r="B156" s="562" t="s">
        <v>239</v>
      </c>
      <c r="C156" s="562" t="s">
        <v>2347</v>
      </c>
      <c r="D156" s="572" t="s">
        <v>2363</v>
      </c>
      <c r="E156" s="664">
        <v>13001.85</v>
      </c>
      <c r="F156" s="664"/>
      <c r="G156" s="665"/>
      <c r="H156" s="665"/>
      <c r="I156" s="665">
        <v>0</v>
      </c>
      <c r="J156" s="665">
        <v>0</v>
      </c>
      <c r="K156" s="588"/>
      <c r="L156" s="588"/>
      <c r="M156" s="588"/>
      <c r="N156" s="588"/>
      <c r="O156" s="588"/>
      <c r="Q156" s="594">
        <f t="shared" si="120"/>
        <v>-1</v>
      </c>
      <c r="R156" s="594">
        <f t="shared" si="121"/>
        <v>0</v>
      </c>
      <c r="S156" s="594">
        <f t="shared" si="122"/>
        <v>0</v>
      </c>
      <c r="T156" s="594">
        <f t="shared" si="123"/>
        <v>0</v>
      </c>
      <c r="U156" s="594">
        <f t="shared" si="124"/>
        <v>0</v>
      </c>
      <c r="V156" s="594">
        <f t="shared" si="125"/>
        <v>0</v>
      </c>
      <c r="W156" s="594">
        <f t="shared" si="126"/>
        <v>0</v>
      </c>
      <c r="X156" s="594">
        <f t="shared" si="127"/>
        <v>0</v>
      </c>
      <c r="Y156" s="594">
        <f t="shared" si="128"/>
        <v>0</v>
      </c>
    </row>
    <row r="157" spans="2:25" outlineLevel="1">
      <c r="B157" s="562" t="s">
        <v>239</v>
      </c>
      <c r="C157" s="562" t="s">
        <v>2347</v>
      </c>
      <c r="D157" s="572" t="s">
        <v>2364</v>
      </c>
      <c r="E157" s="664">
        <v>17542.3</v>
      </c>
      <c r="F157" s="664"/>
      <c r="G157" s="665"/>
      <c r="H157" s="665"/>
      <c r="I157" s="665">
        <v>0</v>
      </c>
      <c r="J157" s="665">
        <v>0</v>
      </c>
      <c r="K157" s="588"/>
      <c r="L157" s="588"/>
      <c r="M157" s="588"/>
      <c r="N157" s="588"/>
      <c r="O157" s="588"/>
      <c r="Q157" s="594">
        <f t="shared" si="120"/>
        <v>-1</v>
      </c>
      <c r="R157" s="594">
        <f t="shared" si="121"/>
        <v>0</v>
      </c>
      <c r="S157" s="594">
        <f t="shared" si="122"/>
        <v>0</v>
      </c>
      <c r="T157" s="594">
        <f t="shared" si="123"/>
        <v>0</v>
      </c>
      <c r="U157" s="594">
        <f t="shared" si="124"/>
        <v>0</v>
      </c>
      <c r="V157" s="594">
        <f t="shared" si="125"/>
        <v>0</v>
      </c>
      <c r="W157" s="594">
        <f t="shared" si="126"/>
        <v>0</v>
      </c>
      <c r="X157" s="594">
        <f t="shared" si="127"/>
        <v>0</v>
      </c>
      <c r="Y157" s="594">
        <f t="shared" si="128"/>
        <v>0</v>
      </c>
    </row>
    <row r="158" spans="2:25" outlineLevel="1">
      <c r="B158" s="562" t="s">
        <v>239</v>
      </c>
      <c r="C158" s="562" t="s">
        <v>2347</v>
      </c>
      <c r="D158" s="572" t="s">
        <v>2365</v>
      </c>
      <c r="E158" s="664">
        <v>1614.78</v>
      </c>
      <c r="F158" s="664"/>
      <c r="G158" s="665"/>
      <c r="H158" s="665"/>
      <c r="I158" s="665">
        <v>0</v>
      </c>
      <c r="J158" s="665">
        <v>0</v>
      </c>
      <c r="K158" s="588"/>
      <c r="L158" s="588"/>
      <c r="M158" s="588"/>
      <c r="N158" s="588"/>
      <c r="O158" s="588"/>
      <c r="Q158" s="594">
        <f t="shared" si="120"/>
        <v>-1</v>
      </c>
      <c r="R158" s="594">
        <f t="shared" si="121"/>
        <v>0</v>
      </c>
      <c r="S158" s="594">
        <f t="shared" si="122"/>
        <v>0</v>
      </c>
      <c r="T158" s="594">
        <f t="shared" si="123"/>
        <v>0</v>
      </c>
      <c r="U158" s="594">
        <f t="shared" si="124"/>
        <v>0</v>
      </c>
      <c r="V158" s="594">
        <f t="shared" si="125"/>
        <v>0</v>
      </c>
      <c r="W158" s="594">
        <f t="shared" si="126"/>
        <v>0</v>
      </c>
      <c r="X158" s="594">
        <f t="shared" si="127"/>
        <v>0</v>
      </c>
      <c r="Y158" s="594">
        <f t="shared" si="128"/>
        <v>0</v>
      </c>
    </row>
    <row r="159" spans="2:25" outlineLevel="1">
      <c r="B159" s="562" t="s">
        <v>239</v>
      </c>
      <c r="C159" s="562" t="s">
        <v>2347</v>
      </c>
      <c r="D159" s="572" t="s">
        <v>2366</v>
      </c>
      <c r="E159" s="664">
        <v>21714.27</v>
      </c>
      <c r="F159" s="664"/>
      <c r="G159" s="665"/>
      <c r="H159" s="665"/>
      <c r="I159" s="665">
        <v>0</v>
      </c>
      <c r="J159" s="665">
        <v>0</v>
      </c>
      <c r="K159" s="588"/>
      <c r="L159" s="588"/>
      <c r="M159" s="588"/>
      <c r="N159" s="588"/>
      <c r="O159" s="588"/>
      <c r="Q159" s="594">
        <f t="shared" si="120"/>
        <v>-1</v>
      </c>
      <c r="R159" s="594">
        <f t="shared" si="121"/>
        <v>0</v>
      </c>
      <c r="S159" s="594">
        <f t="shared" si="122"/>
        <v>0</v>
      </c>
      <c r="T159" s="594">
        <f t="shared" si="123"/>
        <v>0</v>
      </c>
      <c r="U159" s="594">
        <f t="shared" si="124"/>
        <v>0</v>
      </c>
      <c r="V159" s="594">
        <f t="shared" si="125"/>
        <v>0</v>
      </c>
      <c r="W159" s="594">
        <f t="shared" si="126"/>
        <v>0</v>
      </c>
      <c r="X159" s="594">
        <f t="shared" si="127"/>
        <v>0</v>
      </c>
      <c r="Y159" s="594">
        <f t="shared" si="128"/>
        <v>0</v>
      </c>
    </row>
    <row r="160" spans="2:25" outlineLevel="1">
      <c r="B160" s="562" t="s">
        <v>239</v>
      </c>
      <c r="C160" s="562" t="s">
        <v>2347</v>
      </c>
      <c r="D160" s="572" t="s">
        <v>2367</v>
      </c>
      <c r="E160" s="664">
        <v>4148.16</v>
      </c>
      <c r="F160" s="664"/>
      <c r="G160" s="665"/>
      <c r="H160" s="665"/>
      <c r="I160" s="665">
        <v>0</v>
      </c>
      <c r="J160" s="665">
        <v>0</v>
      </c>
      <c r="K160" s="588"/>
      <c r="L160" s="588"/>
      <c r="M160" s="588"/>
      <c r="N160" s="588"/>
      <c r="O160" s="588"/>
      <c r="Q160" s="594">
        <f t="shared" si="120"/>
        <v>-1</v>
      </c>
      <c r="R160" s="594">
        <f t="shared" si="121"/>
        <v>0</v>
      </c>
      <c r="S160" s="594">
        <f t="shared" si="122"/>
        <v>0</v>
      </c>
      <c r="T160" s="594">
        <f t="shared" si="123"/>
        <v>0</v>
      </c>
      <c r="U160" s="594">
        <f t="shared" si="124"/>
        <v>0</v>
      </c>
      <c r="V160" s="594">
        <f t="shared" si="125"/>
        <v>0</v>
      </c>
      <c r="W160" s="594">
        <f t="shared" si="126"/>
        <v>0</v>
      </c>
      <c r="X160" s="594">
        <f t="shared" si="127"/>
        <v>0</v>
      </c>
      <c r="Y160" s="594">
        <f t="shared" si="128"/>
        <v>0</v>
      </c>
    </row>
    <row r="161" spans="2:25" outlineLevel="1">
      <c r="B161" s="562" t="s">
        <v>239</v>
      </c>
      <c r="C161" s="562" t="s">
        <v>2347</v>
      </c>
      <c r="D161" s="572" t="s">
        <v>2368</v>
      </c>
      <c r="E161" s="664">
        <v>16162.7</v>
      </c>
      <c r="F161" s="664"/>
      <c r="G161" s="665"/>
      <c r="H161" s="665"/>
      <c r="I161" s="665">
        <v>0</v>
      </c>
      <c r="J161" s="665">
        <v>0</v>
      </c>
      <c r="K161" s="588"/>
      <c r="L161" s="588"/>
      <c r="M161" s="588"/>
      <c r="N161" s="588"/>
      <c r="O161" s="588"/>
      <c r="Q161" s="594">
        <f t="shared" si="120"/>
        <v>-1</v>
      </c>
      <c r="R161" s="594">
        <f t="shared" si="121"/>
        <v>0</v>
      </c>
      <c r="S161" s="594">
        <f t="shared" si="122"/>
        <v>0</v>
      </c>
      <c r="T161" s="594">
        <f t="shared" si="123"/>
        <v>0</v>
      </c>
      <c r="U161" s="594">
        <f t="shared" si="124"/>
        <v>0</v>
      </c>
      <c r="V161" s="594">
        <f t="shared" si="125"/>
        <v>0</v>
      </c>
      <c r="W161" s="594">
        <f t="shared" si="126"/>
        <v>0</v>
      </c>
      <c r="X161" s="594">
        <f t="shared" si="127"/>
        <v>0</v>
      </c>
      <c r="Y161" s="594">
        <f t="shared" si="128"/>
        <v>0</v>
      </c>
    </row>
    <row r="162" spans="2:25" outlineLevel="1">
      <c r="B162" s="562" t="s">
        <v>239</v>
      </c>
      <c r="C162" s="562" t="s">
        <v>2347</v>
      </c>
      <c r="D162" s="572" t="s">
        <v>2369</v>
      </c>
      <c r="E162" s="664">
        <v>7117.61</v>
      </c>
      <c r="F162" s="664"/>
      <c r="G162" s="665"/>
      <c r="H162" s="665"/>
      <c r="I162" s="665">
        <v>0</v>
      </c>
      <c r="J162" s="665">
        <v>0</v>
      </c>
      <c r="K162" s="588"/>
      <c r="L162" s="588"/>
      <c r="M162" s="588"/>
      <c r="N162" s="588"/>
      <c r="O162" s="588"/>
      <c r="Q162" s="594">
        <f t="shared" si="120"/>
        <v>-1</v>
      </c>
      <c r="R162" s="594">
        <f t="shared" si="121"/>
        <v>0</v>
      </c>
      <c r="S162" s="594">
        <f t="shared" si="122"/>
        <v>0</v>
      </c>
      <c r="T162" s="594">
        <f t="shared" si="123"/>
        <v>0</v>
      </c>
      <c r="U162" s="594">
        <f t="shared" si="124"/>
        <v>0</v>
      </c>
      <c r="V162" s="594">
        <f t="shared" si="125"/>
        <v>0</v>
      </c>
      <c r="W162" s="594">
        <f t="shared" si="126"/>
        <v>0</v>
      </c>
      <c r="X162" s="594">
        <f t="shared" si="127"/>
        <v>0</v>
      </c>
      <c r="Y162" s="594">
        <f t="shared" si="128"/>
        <v>0</v>
      </c>
    </row>
    <row r="163" spans="2:25" outlineLevel="1">
      <c r="B163" s="562" t="s">
        <v>239</v>
      </c>
      <c r="C163" s="562" t="s">
        <v>2347</v>
      </c>
      <c r="D163" s="572" t="s">
        <v>2370</v>
      </c>
      <c r="E163" s="664">
        <v>3705</v>
      </c>
      <c r="F163" s="664"/>
      <c r="G163" s="665"/>
      <c r="H163" s="665"/>
      <c r="I163" s="665">
        <v>0</v>
      </c>
      <c r="J163" s="665">
        <v>0</v>
      </c>
      <c r="K163" s="588"/>
      <c r="L163" s="588"/>
      <c r="M163" s="588"/>
      <c r="N163" s="588"/>
      <c r="O163" s="588"/>
      <c r="Q163" s="594">
        <f t="shared" si="120"/>
        <v>-1</v>
      </c>
      <c r="R163" s="594">
        <f t="shared" si="121"/>
        <v>0</v>
      </c>
      <c r="S163" s="594">
        <f t="shared" si="122"/>
        <v>0</v>
      </c>
      <c r="T163" s="594">
        <f t="shared" si="123"/>
        <v>0</v>
      </c>
      <c r="U163" s="594">
        <f t="shared" si="124"/>
        <v>0</v>
      </c>
      <c r="V163" s="594">
        <f t="shared" si="125"/>
        <v>0</v>
      </c>
      <c r="W163" s="594">
        <f t="shared" si="126"/>
        <v>0</v>
      </c>
      <c r="X163" s="594">
        <f t="shared" si="127"/>
        <v>0</v>
      </c>
      <c r="Y163" s="594">
        <f t="shared" si="128"/>
        <v>0</v>
      </c>
    </row>
    <row r="164" spans="2:25" outlineLevel="1">
      <c r="B164" s="562" t="s">
        <v>239</v>
      </c>
      <c r="C164" s="562" t="s">
        <v>2347</v>
      </c>
      <c r="D164" s="572" t="s">
        <v>2371</v>
      </c>
      <c r="E164" s="664">
        <v>903.46</v>
      </c>
      <c r="F164" s="664"/>
      <c r="G164" s="665"/>
      <c r="H164" s="665"/>
      <c r="I164" s="665">
        <v>0</v>
      </c>
      <c r="J164" s="665">
        <v>0</v>
      </c>
      <c r="K164" s="588"/>
      <c r="L164" s="588"/>
      <c r="M164" s="588"/>
      <c r="N164" s="588"/>
      <c r="O164" s="588"/>
      <c r="Q164" s="594">
        <f t="shared" si="120"/>
        <v>-1</v>
      </c>
      <c r="R164" s="594">
        <f t="shared" si="121"/>
        <v>0</v>
      </c>
      <c r="S164" s="594">
        <f t="shared" si="122"/>
        <v>0</v>
      </c>
      <c r="T164" s="594">
        <f t="shared" si="123"/>
        <v>0</v>
      </c>
      <c r="U164" s="594">
        <f t="shared" si="124"/>
        <v>0</v>
      </c>
      <c r="V164" s="594">
        <f t="shared" si="125"/>
        <v>0</v>
      </c>
      <c r="W164" s="594">
        <f t="shared" si="126"/>
        <v>0</v>
      </c>
      <c r="X164" s="594">
        <f t="shared" si="127"/>
        <v>0</v>
      </c>
      <c r="Y164" s="594">
        <f t="shared" si="128"/>
        <v>0</v>
      </c>
    </row>
    <row r="165" spans="2:25" outlineLevel="1">
      <c r="B165" s="562" t="s">
        <v>239</v>
      </c>
      <c r="C165" s="562" t="s">
        <v>2347</v>
      </c>
      <c r="D165" s="572" t="s">
        <v>2372</v>
      </c>
      <c r="E165" s="664">
        <v>11408.57</v>
      </c>
      <c r="F165" s="664"/>
      <c r="G165" s="665"/>
      <c r="H165" s="665"/>
      <c r="I165" s="665">
        <v>0</v>
      </c>
      <c r="J165" s="665">
        <v>0</v>
      </c>
      <c r="K165" s="588"/>
      <c r="L165" s="588"/>
      <c r="M165" s="588"/>
      <c r="N165" s="588"/>
      <c r="O165" s="588"/>
      <c r="Q165" s="594">
        <f t="shared" si="120"/>
        <v>-1</v>
      </c>
      <c r="R165" s="594">
        <f t="shared" si="121"/>
        <v>0</v>
      </c>
      <c r="S165" s="594">
        <f t="shared" si="122"/>
        <v>0</v>
      </c>
      <c r="T165" s="594">
        <f t="shared" si="123"/>
        <v>0</v>
      </c>
      <c r="U165" s="594">
        <f t="shared" si="124"/>
        <v>0</v>
      </c>
      <c r="V165" s="594">
        <f t="shared" si="125"/>
        <v>0</v>
      </c>
      <c r="W165" s="594">
        <f t="shared" si="126"/>
        <v>0</v>
      </c>
      <c r="X165" s="594">
        <f t="shared" si="127"/>
        <v>0</v>
      </c>
      <c r="Y165" s="594">
        <f t="shared" si="128"/>
        <v>0</v>
      </c>
    </row>
    <row r="166" spans="2:25" outlineLevel="1">
      <c r="B166" s="562" t="s">
        <v>239</v>
      </c>
      <c r="C166" s="562" t="s">
        <v>2347</v>
      </c>
      <c r="D166" s="572" t="s">
        <v>2373</v>
      </c>
      <c r="E166" s="664">
        <v>42204.78</v>
      </c>
      <c r="F166" s="664"/>
      <c r="G166" s="665"/>
      <c r="H166" s="665"/>
      <c r="I166" s="665">
        <v>0</v>
      </c>
      <c r="J166" s="665">
        <v>0</v>
      </c>
      <c r="K166" s="588"/>
      <c r="L166" s="588"/>
      <c r="M166" s="588"/>
      <c r="N166" s="588"/>
      <c r="O166" s="588"/>
      <c r="Q166" s="594">
        <f t="shared" si="120"/>
        <v>-1</v>
      </c>
      <c r="R166" s="594">
        <f t="shared" si="121"/>
        <v>0</v>
      </c>
      <c r="S166" s="594">
        <f t="shared" si="122"/>
        <v>0</v>
      </c>
      <c r="T166" s="594">
        <f t="shared" si="123"/>
        <v>0</v>
      </c>
      <c r="U166" s="594">
        <f t="shared" si="124"/>
        <v>0</v>
      </c>
      <c r="V166" s="594">
        <f t="shared" si="125"/>
        <v>0</v>
      </c>
      <c r="W166" s="594">
        <f t="shared" si="126"/>
        <v>0</v>
      </c>
      <c r="X166" s="594">
        <f t="shared" si="127"/>
        <v>0</v>
      </c>
      <c r="Y166" s="594">
        <f t="shared" si="128"/>
        <v>0</v>
      </c>
    </row>
    <row r="167" spans="2:25" outlineLevel="1">
      <c r="B167" s="562" t="s">
        <v>239</v>
      </c>
      <c r="C167" s="562" t="s">
        <v>2347</v>
      </c>
      <c r="D167" s="572" t="s">
        <v>2374</v>
      </c>
      <c r="E167" s="664">
        <v>284967.08</v>
      </c>
      <c r="F167" s="664"/>
      <c r="G167" s="665"/>
      <c r="H167" s="665"/>
      <c r="I167" s="665">
        <v>0</v>
      </c>
      <c r="J167" s="665">
        <v>0</v>
      </c>
      <c r="K167" s="588"/>
      <c r="L167" s="588"/>
      <c r="M167" s="588"/>
      <c r="N167" s="588"/>
      <c r="O167" s="588"/>
      <c r="Q167" s="594">
        <f t="shared" si="120"/>
        <v>-1</v>
      </c>
      <c r="R167" s="594">
        <f t="shared" si="121"/>
        <v>0</v>
      </c>
      <c r="S167" s="594">
        <f t="shared" si="122"/>
        <v>0</v>
      </c>
      <c r="T167" s="594">
        <f t="shared" si="123"/>
        <v>0</v>
      </c>
      <c r="U167" s="594">
        <f t="shared" si="124"/>
        <v>0</v>
      </c>
      <c r="V167" s="594">
        <f t="shared" si="125"/>
        <v>0</v>
      </c>
      <c r="W167" s="594">
        <f t="shared" si="126"/>
        <v>0</v>
      </c>
      <c r="X167" s="594">
        <f t="shared" si="127"/>
        <v>0</v>
      </c>
      <c r="Y167" s="594">
        <f t="shared" si="128"/>
        <v>0</v>
      </c>
    </row>
    <row r="168" spans="2:25" outlineLevel="1">
      <c r="B168" s="562" t="s">
        <v>239</v>
      </c>
      <c r="C168" s="562" t="s">
        <v>2347</v>
      </c>
      <c r="D168" s="572" t="s">
        <v>2375</v>
      </c>
      <c r="E168" s="664">
        <v>2964.8</v>
      </c>
      <c r="F168" s="664"/>
      <c r="G168" s="665"/>
      <c r="H168" s="665"/>
      <c r="I168" s="665">
        <v>0</v>
      </c>
      <c r="J168" s="665">
        <v>0</v>
      </c>
      <c r="K168" s="588"/>
      <c r="L168" s="588"/>
      <c r="M168" s="588"/>
      <c r="N168" s="588"/>
      <c r="O168" s="588"/>
      <c r="Q168" s="594">
        <f t="shared" si="120"/>
        <v>-1</v>
      </c>
      <c r="R168" s="594">
        <f t="shared" si="121"/>
        <v>0</v>
      </c>
      <c r="S168" s="594">
        <f t="shared" si="122"/>
        <v>0</v>
      </c>
      <c r="T168" s="594">
        <f t="shared" si="123"/>
        <v>0</v>
      </c>
      <c r="U168" s="594">
        <f t="shared" si="124"/>
        <v>0</v>
      </c>
      <c r="V168" s="594">
        <f t="shared" si="125"/>
        <v>0</v>
      </c>
      <c r="W168" s="594">
        <f t="shared" si="126"/>
        <v>0</v>
      </c>
      <c r="X168" s="594">
        <f t="shared" si="127"/>
        <v>0</v>
      </c>
      <c r="Y168" s="594">
        <f t="shared" si="128"/>
        <v>0</v>
      </c>
    </row>
    <row r="169" spans="2:25" outlineLevel="1">
      <c r="B169" s="562" t="s">
        <v>239</v>
      </c>
      <c r="C169" s="562" t="s">
        <v>2347</v>
      </c>
      <c r="D169" s="572" t="s">
        <v>1932</v>
      </c>
      <c r="E169" s="664">
        <v>-1449.29</v>
      </c>
      <c r="F169" s="664">
        <v>0</v>
      </c>
      <c r="G169" s="665">
        <v>0</v>
      </c>
      <c r="H169" s="665">
        <v>-1449.29</v>
      </c>
      <c r="I169" s="665">
        <v>0</v>
      </c>
      <c r="J169" s="665">
        <v>0</v>
      </c>
      <c r="K169" s="588"/>
      <c r="L169" s="588"/>
      <c r="M169" s="588"/>
      <c r="N169" s="588"/>
      <c r="O169" s="588"/>
      <c r="Q169" s="594">
        <f t="shared" si="120"/>
        <v>-1</v>
      </c>
      <c r="R169" s="594">
        <f t="shared" si="121"/>
        <v>0</v>
      </c>
      <c r="S169" s="594">
        <f t="shared" si="122"/>
        <v>0</v>
      </c>
      <c r="T169" s="594">
        <f t="shared" si="123"/>
        <v>-1</v>
      </c>
      <c r="U169" s="594">
        <f t="shared" si="124"/>
        <v>0</v>
      </c>
      <c r="V169" s="594">
        <f t="shared" si="125"/>
        <v>0</v>
      </c>
      <c r="W169" s="594">
        <f t="shared" si="126"/>
        <v>0</v>
      </c>
      <c r="X169" s="594">
        <f t="shared" si="127"/>
        <v>0</v>
      </c>
      <c r="Y169" s="594">
        <f t="shared" si="128"/>
        <v>0</v>
      </c>
    </row>
    <row r="170" spans="2:25" outlineLevel="1">
      <c r="B170" s="562" t="s">
        <v>239</v>
      </c>
      <c r="C170" s="562" t="s">
        <v>2347</v>
      </c>
      <c r="D170" s="572" t="s">
        <v>1932</v>
      </c>
      <c r="E170" s="664">
        <v>1449.29</v>
      </c>
      <c r="F170" s="664">
        <v>0</v>
      </c>
      <c r="G170" s="665">
        <v>0</v>
      </c>
      <c r="H170" s="665">
        <v>1449.29</v>
      </c>
      <c r="I170" s="665">
        <v>0</v>
      </c>
      <c r="J170" s="665">
        <v>0</v>
      </c>
      <c r="K170" s="588"/>
      <c r="L170" s="588"/>
      <c r="M170" s="588"/>
      <c r="N170" s="588"/>
      <c r="O170" s="588"/>
      <c r="Q170" s="594">
        <f t="shared" si="120"/>
        <v>-1</v>
      </c>
      <c r="R170" s="594">
        <f t="shared" si="121"/>
        <v>0</v>
      </c>
      <c r="S170" s="594">
        <f t="shared" si="122"/>
        <v>0</v>
      </c>
      <c r="T170" s="594">
        <f t="shared" si="123"/>
        <v>-1</v>
      </c>
      <c r="U170" s="594">
        <f t="shared" si="124"/>
        <v>0</v>
      </c>
      <c r="V170" s="594">
        <f t="shared" si="125"/>
        <v>0</v>
      </c>
      <c r="W170" s="594">
        <f t="shared" si="126"/>
        <v>0</v>
      </c>
      <c r="X170" s="594">
        <f t="shared" si="127"/>
        <v>0</v>
      </c>
      <c r="Y170" s="594">
        <f t="shared" si="128"/>
        <v>0</v>
      </c>
    </row>
    <row r="171" spans="2:25" outlineLevel="1">
      <c r="B171" s="562" t="s">
        <v>239</v>
      </c>
      <c r="C171" s="562" t="s">
        <v>2347</v>
      </c>
      <c r="D171" s="572" t="s">
        <v>1933</v>
      </c>
      <c r="E171" s="664">
        <v>-10681.44</v>
      </c>
      <c r="F171" s="664">
        <v>0</v>
      </c>
      <c r="G171" s="665">
        <v>0</v>
      </c>
      <c r="H171" s="665">
        <v>-10681.44</v>
      </c>
      <c r="I171" s="665">
        <v>0</v>
      </c>
      <c r="J171" s="665">
        <v>0</v>
      </c>
      <c r="K171" s="588"/>
      <c r="L171" s="588"/>
      <c r="M171" s="588"/>
      <c r="N171" s="588"/>
      <c r="O171" s="588"/>
      <c r="Q171" s="594">
        <f t="shared" si="120"/>
        <v>-1</v>
      </c>
      <c r="R171" s="594">
        <f t="shared" si="121"/>
        <v>0</v>
      </c>
      <c r="S171" s="594">
        <f t="shared" si="122"/>
        <v>0</v>
      </c>
      <c r="T171" s="594">
        <f t="shared" si="123"/>
        <v>-1</v>
      </c>
      <c r="U171" s="594">
        <f t="shared" si="124"/>
        <v>0</v>
      </c>
      <c r="V171" s="594">
        <f t="shared" si="125"/>
        <v>0</v>
      </c>
      <c r="W171" s="594">
        <f t="shared" si="126"/>
        <v>0</v>
      </c>
      <c r="X171" s="594">
        <f t="shared" si="127"/>
        <v>0</v>
      </c>
      <c r="Y171" s="594">
        <f t="shared" si="128"/>
        <v>0</v>
      </c>
    </row>
    <row r="172" spans="2:25" outlineLevel="1">
      <c r="B172" s="562" t="s">
        <v>239</v>
      </c>
      <c r="C172" s="562" t="s">
        <v>2347</v>
      </c>
      <c r="D172" s="572" t="s">
        <v>1933</v>
      </c>
      <c r="E172" s="664">
        <v>10681.44</v>
      </c>
      <c r="F172" s="664">
        <v>0</v>
      </c>
      <c r="G172" s="665">
        <v>0</v>
      </c>
      <c r="H172" s="665">
        <v>10681.44</v>
      </c>
      <c r="I172" s="665">
        <v>0</v>
      </c>
      <c r="J172" s="665">
        <v>0</v>
      </c>
      <c r="K172" s="588"/>
      <c r="L172" s="588"/>
      <c r="M172" s="588"/>
      <c r="N172" s="588"/>
      <c r="O172" s="588"/>
      <c r="Q172" s="594">
        <f t="shared" si="120"/>
        <v>-1</v>
      </c>
      <c r="R172" s="594">
        <f t="shared" si="121"/>
        <v>0</v>
      </c>
      <c r="S172" s="594">
        <f t="shared" si="122"/>
        <v>0</v>
      </c>
      <c r="T172" s="594">
        <f t="shared" si="123"/>
        <v>-1</v>
      </c>
      <c r="U172" s="594">
        <f t="shared" si="124"/>
        <v>0</v>
      </c>
      <c r="V172" s="594">
        <f t="shared" si="125"/>
        <v>0</v>
      </c>
      <c r="W172" s="594">
        <f t="shared" si="126"/>
        <v>0</v>
      </c>
      <c r="X172" s="594">
        <f t="shared" si="127"/>
        <v>0</v>
      </c>
      <c r="Y172" s="594">
        <f t="shared" si="128"/>
        <v>0</v>
      </c>
    </row>
    <row r="173" spans="2:25" outlineLevel="1">
      <c r="B173" s="562" t="s">
        <v>239</v>
      </c>
      <c r="C173" s="562" t="s">
        <v>2347</v>
      </c>
      <c r="D173" s="572" t="s">
        <v>1934</v>
      </c>
      <c r="E173" s="664">
        <v>-1950</v>
      </c>
      <c r="F173" s="664">
        <v>0</v>
      </c>
      <c r="G173" s="665">
        <v>0</v>
      </c>
      <c r="H173" s="665">
        <v>-1950</v>
      </c>
      <c r="I173" s="665">
        <v>0</v>
      </c>
      <c r="J173" s="665">
        <v>0</v>
      </c>
      <c r="K173" s="588"/>
      <c r="L173" s="588"/>
      <c r="M173" s="588"/>
      <c r="N173" s="588"/>
      <c r="O173" s="588"/>
      <c r="Q173" s="594">
        <f t="shared" si="120"/>
        <v>-1</v>
      </c>
      <c r="R173" s="594">
        <f t="shared" si="121"/>
        <v>0</v>
      </c>
      <c r="S173" s="594">
        <f t="shared" si="122"/>
        <v>0</v>
      </c>
      <c r="T173" s="594">
        <f t="shared" si="123"/>
        <v>-1</v>
      </c>
      <c r="U173" s="594">
        <f t="shared" si="124"/>
        <v>0</v>
      </c>
      <c r="V173" s="594">
        <f t="shared" si="125"/>
        <v>0</v>
      </c>
      <c r="W173" s="594">
        <f t="shared" si="126"/>
        <v>0</v>
      </c>
      <c r="X173" s="594">
        <f t="shared" si="127"/>
        <v>0</v>
      </c>
      <c r="Y173" s="594">
        <f t="shared" si="128"/>
        <v>0</v>
      </c>
    </row>
    <row r="174" spans="2:25" outlineLevel="1">
      <c r="B174" s="562" t="s">
        <v>239</v>
      </c>
      <c r="C174" s="562" t="s">
        <v>2347</v>
      </c>
      <c r="D174" s="572" t="s">
        <v>1934</v>
      </c>
      <c r="E174" s="664">
        <v>1950</v>
      </c>
      <c r="F174" s="664">
        <v>0</v>
      </c>
      <c r="G174" s="665">
        <v>0</v>
      </c>
      <c r="H174" s="665">
        <v>1950</v>
      </c>
      <c r="I174" s="665">
        <v>0</v>
      </c>
      <c r="J174" s="665">
        <v>0</v>
      </c>
      <c r="K174" s="588"/>
      <c r="L174" s="588"/>
      <c r="M174" s="588"/>
      <c r="N174" s="588"/>
      <c r="O174" s="588"/>
      <c r="Q174" s="594">
        <f t="shared" si="120"/>
        <v>-1</v>
      </c>
      <c r="R174" s="594">
        <f t="shared" si="121"/>
        <v>0</v>
      </c>
      <c r="S174" s="594">
        <f t="shared" si="122"/>
        <v>0</v>
      </c>
      <c r="T174" s="594">
        <f t="shared" si="123"/>
        <v>-1</v>
      </c>
      <c r="U174" s="594">
        <f t="shared" si="124"/>
        <v>0</v>
      </c>
      <c r="V174" s="594">
        <f t="shared" si="125"/>
        <v>0</v>
      </c>
      <c r="W174" s="594">
        <f t="shared" si="126"/>
        <v>0</v>
      </c>
      <c r="X174" s="594">
        <f t="shared" si="127"/>
        <v>0</v>
      </c>
      <c r="Y174" s="594">
        <f t="shared" si="128"/>
        <v>0</v>
      </c>
    </row>
    <row r="175" spans="2:25" outlineLevel="1">
      <c r="B175" s="562" t="s">
        <v>239</v>
      </c>
      <c r="C175" s="562" t="s">
        <v>2347</v>
      </c>
      <c r="D175" s="572" t="s">
        <v>1935</v>
      </c>
      <c r="E175" s="664">
        <v>-7455.43</v>
      </c>
      <c r="F175" s="664">
        <v>0</v>
      </c>
      <c r="G175" s="665">
        <v>0</v>
      </c>
      <c r="H175" s="665">
        <v>-7455.43</v>
      </c>
      <c r="I175" s="665">
        <v>0</v>
      </c>
      <c r="J175" s="665">
        <v>0</v>
      </c>
      <c r="K175" s="588"/>
      <c r="L175" s="588"/>
      <c r="M175" s="588"/>
      <c r="N175" s="588"/>
      <c r="O175" s="588"/>
      <c r="Q175" s="594">
        <f t="shared" si="120"/>
        <v>-1</v>
      </c>
      <c r="R175" s="594">
        <f t="shared" si="121"/>
        <v>0</v>
      </c>
      <c r="S175" s="594">
        <f t="shared" si="122"/>
        <v>0</v>
      </c>
      <c r="T175" s="594">
        <f t="shared" si="123"/>
        <v>-1</v>
      </c>
      <c r="U175" s="594">
        <f t="shared" si="124"/>
        <v>0</v>
      </c>
      <c r="V175" s="594">
        <f t="shared" si="125"/>
        <v>0</v>
      </c>
      <c r="W175" s="594">
        <f t="shared" si="126"/>
        <v>0</v>
      </c>
      <c r="X175" s="594">
        <f t="shared" si="127"/>
        <v>0</v>
      </c>
      <c r="Y175" s="594">
        <f t="shared" si="128"/>
        <v>0</v>
      </c>
    </row>
    <row r="176" spans="2:25" outlineLevel="1">
      <c r="B176" s="562" t="s">
        <v>239</v>
      </c>
      <c r="C176" s="562" t="s">
        <v>2347</v>
      </c>
      <c r="D176" s="572" t="s">
        <v>1935</v>
      </c>
      <c r="E176" s="664">
        <v>7455.43</v>
      </c>
      <c r="F176" s="664">
        <v>0</v>
      </c>
      <c r="G176" s="665">
        <v>0</v>
      </c>
      <c r="H176" s="665">
        <v>7455.43</v>
      </c>
      <c r="I176" s="665">
        <v>0</v>
      </c>
      <c r="J176" s="665">
        <v>0</v>
      </c>
      <c r="K176" s="588"/>
      <c r="L176" s="588"/>
      <c r="M176" s="588"/>
      <c r="N176" s="588"/>
      <c r="O176" s="588"/>
      <c r="Q176" s="594">
        <f t="shared" si="120"/>
        <v>-1</v>
      </c>
      <c r="R176" s="594">
        <f t="shared" si="121"/>
        <v>0</v>
      </c>
      <c r="S176" s="594">
        <f t="shared" si="122"/>
        <v>0</v>
      </c>
      <c r="T176" s="594">
        <f t="shared" si="123"/>
        <v>-1</v>
      </c>
      <c r="U176" s="594">
        <f t="shared" si="124"/>
        <v>0</v>
      </c>
      <c r="V176" s="594">
        <f t="shared" si="125"/>
        <v>0</v>
      </c>
      <c r="W176" s="594">
        <f t="shared" si="126"/>
        <v>0</v>
      </c>
      <c r="X176" s="594">
        <f t="shared" si="127"/>
        <v>0</v>
      </c>
      <c r="Y176" s="594">
        <f t="shared" si="128"/>
        <v>0</v>
      </c>
    </row>
    <row r="177" spans="2:25" outlineLevel="1">
      <c r="B177" s="562" t="s">
        <v>239</v>
      </c>
      <c r="C177" s="562" t="s">
        <v>2347</v>
      </c>
      <c r="D177" s="572" t="s">
        <v>1936</v>
      </c>
      <c r="E177" s="664">
        <v>-6633.99</v>
      </c>
      <c r="F177" s="664">
        <v>0</v>
      </c>
      <c r="G177" s="665">
        <v>0</v>
      </c>
      <c r="H177" s="665">
        <v>-6633.99</v>
      </c>
      <c r="I177" s="665">
        <v>0</v>
      </c>
      <c r="J177" s="665">
        <v>0</v>
      </c>
      <c r="K177" s="588"/>
      <c r="L177" s="588"/>
      <c r="M177" s="588"/>
      <c r="N177" s="588"/>
      <c r="O177" s="588"/>
      <c r="Q177" s="594">
        <f t="shared" si="120"/>
        <v>-1</v>
      </c>
      <c r="R177" s="594">
        <f t="shared" si="121"/>
        <v>0</v>
      </c>
      <c r="S177" s="594">
        <f t="shared" si="122"/>
        <v>0</v>
      </c>
      <c r="T177" s="594">
        <f t="shared" si="123"/>
        <v>-1</v>
      </c>
      <c r="U177" s="594">
        <f t="shared" si="124"/>
        <v>0</v>
      </c>
      <c r="V177" s="594">
        <f t="shared" si="125"/>
        <v>0</v>
      </c>
      <c r="W177" s="594">
        <f t="shared" si="126"/>
        <v>0</v>
      </c>
      <c r="X177" s="594">
        <f t="shared" si="127"/>
        <v>0</v>
      </c>
      <c r="Y177" s="594">
        <f t="shared" si="128"/>
        <v>0</v>
      </c>
    </row>
    <row r="178" spans="2:25" outlineLevel="1">
      <c r="B178" s="562" t="s">
        <v>239</v>
      </c>
      <c r="C178" s="562" t="s">
        <v>2347</v>
      </c>
      <c r="D178" s="572" t="s">
        <v>1936</v>
      </c>
      <c r="E178" s="664">
        <v>6633.99</v>
      </c>
      <c r="F178" s="664">
        <v>0</v>
      </c>
      <c r="G178" s="665">
        <v>0</v>
      </c>
      <c r="H178" s="665">
        <v>6633.99</v>
      </c>
      <c r="I178" s="665">
        <v>0</v>
      </c>
      <c r="J178" s="665">
        <v>0</v>
      </c>
      <c r="K178" s="588"/>
      <c r="L178" s="588"/>
      <c r="M178" s="588"/>
      <c r="N178" s="588"/>
      <c r="O178" s="588"/>
      <c r="Q178" s="594">
        <f t="shared" si="120"/>
        <v>-1</v>
      </c>
      <c r="R178" s="594">
        <f t="shared" si="121"/>
        <v>0</v>
      </c>
      <c r="S178" s="594">
        <f t="shared" si="122"/>
        <v>0</v>
      </c>
      <c r="T178" s="594">
        <f t="shared" si="123"/>
        <v>-1</v>
      </c>
      <c r="U178" s="594">
        <f t="shared" si="124"/>
        <v>0</v>
      </c>
      <c r="V178" s="594">
        <f t="shared" si="125"/>
        <v>0</v>
      </c>
      <c r="W178" s="594">
        <f t="shared" si="126"/>
        <v>0</v>
      </c>
      <c r="X178" s="594">
        <f t="shared" si="127"/>
        <v>0</v>
      </c>
      <c r="Y178" s="594">
        <f t="shared" si="128"/>
        <v>0</v>
      </c>
    </row>
    <row r="179" spans="2:25" outlineLevel="1">
      <c r="B179" s="562" t="s">
        <v>239</v>
      </c>
      <c r="C179" s="562" t="s">
        <v>2347</v>
      </c>
      <c r="D179" s="572" t="s">
        <v>1937</v>
      </c>
      <c r="E179" s="664">
        <v>-6816.36</v>
      </c>
      <c r="F179" s="664">
        <v>0</v>
      </c>
      <c r="G179" s="665">
        <v>0</v>
      </c>
      <c r="H179" s="665">
        <v>-6816.36</v>
      </c>
      <c r="I179" s="665">
        <v>0</v>
      </c>
      <c r="J179" s="665">
        <v>0</v>
      </c>
      <c r="K179" s="588"/>
      <c r="L179" s="588"/>
      <c r="M179" s="588"/>
      <c r="N179" s="588"/>
      <c r="O179" s="588"/>
      <c r="Q179" s="594">
        <f t="shared" si="120"/>
        <v>-1</v>
      </c>
      <c r="R179" s="594">
        <f t="shared" si="121"/>
        <v>0</v>
      </c>
      <c r="S179" s="594">
        <f t="shared" si="122"/>
        <v>0</v>
      </c>
      <c r="T179" s="594">
        <f t="shared" si="123"/>
        <v>-1</v>
      </c>
      <c r="U179" s="594">
        <f t="shared" si="124"/>
        <v>0</v>
      </c>
      <c r="V179" s="594">
        <f t="shared" si="125"/>
        <v>0</v>
      </c>
      <c r="W179" s="594">
        <f t="shared" si="126"/>
        <v>0</v>
      </c>
      <c r="X179" s="594">
        <f t="shared" si="127"/>
        <v>0</v>
      </c>
      <c r="Y179" s="594">
        <f t="shared" si="128"/>
        <v>0</v>
      </c>
    </row>
    <row r="180" spans="2:25" outlineLevel="1">
      <c r="B180" s="562" t="s">
        <v>239</v>
      </c>
      <c r="C180" s="562" t="s">
        <v>2347</v>
      </c>
      <c r="D180" s="572" t="s">
        <v>1937</v>
      </c>
      <c r="E180" s="664">
        <v>6816.36</v>
      </c>
      <c r="F180" s="664">
        <v>0</v>
      </c>
      <c r="G180" s="665">
        <v>0</v>
      </c>
      <c r="H180" s="665">
        <v>6816.36</v>
      </c>
      <c r="I180" s="665">
        <v>0</v>
      </c>
      <c r="J180" s="665">
        <v>0</v>
      </c>
      <c r="K180" s="588"/>
      <c r="L180" s="588"/>
      <c r="M180" s="588"/>
      <c r="N180" s="588"/>
      <c r="O180" s="588"/>
      <c r="Q180" s="594">
        <f t="shared" si="120"/>
        <v>-1</v>
      </c>
      <c r="R180" s="594">
        <f t="shared" si="121"/>
        <v>0</v>
      </c>
      <c r="S180" s="594">
        <f t="shared" si="122"/>
        <v>0</v>
      </c>
      <c r="T180" s="594">
        <f t="shared" si="123"/>
        <v>-1</v>
      </c>
      <c r="U180" s="594">
        <f t="shared" si="124"/>
        <v>0</v>
      </c>
      <c r="V180" s="594">
        <f t="shared" si="125"/>
        <v>0</v>
      </c>
      <c r="W180" s="594">
        <f t="shared" si="126"/>
        <v>0</v>
      </c>
      <c r="X180" s="594">
        <f t="shared" si="127"/>
        <v>0</v>
      </c>
      <c r="Y180" s="594">
        <f t="shared" si="128"/>
        <v>0</v>
      </c>
    </row>
    <row r="181" spans="2:25" outlineLevel="1">
      <c r="B181" s="562" t="s">
        <v>239</v>
      </c>
      <c r="C181" s="562" t="s">
        <v>2347</v>
      </c>
      <c r="D181" s="572" t="s">
        <v>1938</v>
      </c>
      <c r="E181" s="664">
        <v>0</v>
      </c>
      <c r="F181" s="664">
        <v>0</v>
      </c>
      <c r="G181" s="665">
        <v>64.430000000000007</v>
      </c>
      <c r="H181" s="665">
        <v>2939</v>
      </c>
      <c r="I181" s="665">
        <v>0</v>
      </c>
      <c r="J181" s="665">
        <v>0</v>
      </c>
      <c r="K181" s="588"/>
      <c r="L181" s="588"/>
      <c r="M181" s="588"/>
      <c r="N181" s="588"/>
      <c r="O181" s="588"/>
      <c r="Q181" s="594">
        <f t="shared" si="120"/>
        <v>0</v>
      </c>
      <c r="R181" s="594">
        <f t="shared" si="121"/>
        <v>0</v>
      </c>
      <c r="S181" s="594">
        <f t="shared" si="122"/>
        <v>44.615396554400121</v>
      </c>
      <c r="T181" s="594">
        <f t="shared" si="123"/>
        <v>-1</v>
      </c>
      <c r="U181" s="594">
        <f t="shared" si="124"/>
        <v>0</v>
      </c>
      <c r="V181" s="594">
        <f t="shared" si="125"/>
        <v>0</v>
      </c>
      <c r="W181" s="594">
        <f t="shared" si="126"/>
        <v>0</v>
      </c>
      <c r="X181" s="594">
        <f t="shared" si="127"/>
        <v>0</v>
      </c>
      <c r="Y181" s="594">
        <f t="shared" si="128"/>
        <v>0</v>
      </c>
    </row>
    <row r="182" spans="2:25" outlineLevel="1">
      <c r="B182" s="562" t="s">
        <v>239</v>
      </c>
      <c r="C182" s="562" t="s">
        <v>2347</v>
      </c>
      <c r="D182" s="572" t="s">
        <v>1939</v>
      </c>
      <c r="E182" s="664">
        <v>21741.58</v>
      </c>
      <c r="F182" s="664">
        <v>18141.580000000002</v>
      </c>
      <c r="G182" s="665">
        <v>12841.58</v>
      </c>
      <c r="H182" s="665">
        <v>40941.58</v>
      </c>
      <c r="I182" s="665">
        <v>18541.580000000002</v>
      </c>
      <c r="J182" s="665">
        <v>18541.580000000002</v>
      </c>
      <c r="K182" s="588"/>
      <c r="L182" s="588"/>
      <c r="M182" s="588"/>
      <c r="N182" s="588"/>
      <c r="O182" s="588"/>
      <c r="Q182" s="594">
        <f t="shared" si="120"/>
        <v>-0.16558134229435029</v>
      </c>
      <c r="R182" s="594">
        <f t="shared" si="121"/>
        <v>-0.29214654952876218</v>
      </c>
      <c r="S182" s="594">
        <f t="shared" si="122"/>
        <v>2.1882042552396204</v>
      </c>
      <c r="T182" s="594">
        <f t="shared" si="123"/>
        <v>-0.54712104418051277</v>
      </c>
      <c r="U182" s="594">
        <f t="shared" si="124"/>
        <v>-1</v>
      </c>
      <c r="V182" s="594">
        <f t="shared" si="125"/>
        <v>0</v>
      </c>
      <c r="W182" s="594">
        <f t="shared" si="126"/>
        <v>0</v>
      </c>
      <c r="X182" s="594">
        <f t="shared" si="127"/>
        <v>0</v>
      </c>
      <c r="Y182" s="594">
        <f t="shared" si="128"/>
        <v>0</v>
      </c>
    </row>
    <row r="183" spans="2:25" outlineLevel="1">
      <c r="B183" s="562" t="s">
        <v>239</v>
      </c>
      <c r="C183" s="562" t="s">
        <v>2347</v>
      </c>
      <c r="D183" s="572" t="s">
        <v>3737</v>
      </c>
      <c r="E183" s="664"/>
      <c r="F183" s="664"/>
      <c r="G183" s="665"/>
      <c r="H183" s="665"/>
      <c r="I183" s="904">
        <v>259974.49</v>
      </c>
      <c r="J183" s="665">
        <v>0</v>
      </c>
      <c r="K183" s="588"/>
      <c r="L183" s="588"/>
      <c r="M183" s="588"/>
      <c r="N183" s="588"/>
      <c r="O183" s="588"/>
      <c r="Q183" s="594"/>
      <c r="R183" s="594"/>
      <c r="S183" s="594"/>
      <c r="T183" s="594"/>
      <c r="U183" s="594"/>
      <c r="V183" s="594"/>
      <c r="W183" s="594"/>
      <c r="X183" s="594"/>
      <c r="Y183" s="594"/>
    </row>
    <row r="184" spans="2:25" outlineLevel="1">
      <c r="B184" s="562" t="s">
        <v>239</v>
      </c>
      <c r="C184" s="562" t="s">
        <v>2347</v>
      </c>
      <c r="D184" s="572" t="s">
        <v>2376</v>
      </c>
      <c r="E184" s="664">
        <v>220</v>
      </c>
      <c r="F184" s="664">
        <v>4245</v>
      </c>
      <c r="G184" s="665">
        <v>8559</v>
      </c>
      <c r="H184" s="665"/>
      <c r="I184" s="665">
        <v>0</v>
      </c>
      <c r="J184" s="665">
        <v>0</v>
      </c>
      <c r="K184" s="588"/>
      <c r="L184" s="588"/>
      <c r="M184" s="588"/>
      <c r="N184" s="588"/>
      <c r="O184" s="588"/>
      <c r="Q184" s="594">
        <f t="shared" si="120"/>
        <v>18.295454545454547</v>
      </c>
      <c r="R184" s="594">
        <f t="shared" si="121"/>
        <v>1.0162544169611309</v>
      </c>
      <c r="S184" s="594">
        <f t="shared" si="122"/>
        <v>-1</v>
      </c>
      <c r="T184" s="594">
        <f t="shared" si="123"/>
        <v>0</v>
      </c>
      <c r="U184" s="594">
        <f t="shared" si="124"/>
        <v>0</v>
      </c>
      <c r="V184" s="594">
        <f t="shared" si="125"/>
        <v>0</v>
      </c>
      <c r="W184" s="594">
        <f t="shared" si="126"/>
        <v>0</v>
      </c>
      <c r="X184" s="594">
        <f t="shared" si="127"/>
        <v>0</v>
      </c>
      <c r="Y184" s="594">
        <f t="shared" si="128"/>
        <v>0</v>
      </c>
    </row>
    <row r="185" spans="2:25" outlineLevel="1">
      <c r="B185" s="562" t="s">
        <v>239</v>
      </c>
      <c r="C185" s="562" t="s">
        <v>2347</v>
      </c>
      <c r="D185" s="572" t="s">
        <v>1940</v>
      </c>
      <c r="E185" s="664">
        <v>869.7</v>
      </c>
      <c r="F185" s="664">
        <v>5382.78</v>
      </c>
      <c r="G185" s="665">
        <v>18418.48</v>
      </c>
      <c r="H185" s="665">
        <v>21082.880000000001</v>
      </c>
      <c r="I185" s="665">
        <v>20399.87</v>
      </c>
      <c r="J185" s="665">
        <v>29745.3</v>
      </c>
      <c r="K185" s="588"/>
      <c r="L185" s="588"/>
      <c r="M185" s="588"/>
      <c r="N185" s="588"/>
      <c r="O185" s="588"/>
      <c r="Q185" s="594">
        <f t="shared" si="120"/>
        <v>5.1892376681614341</v>
      </c>
      <c r="R185" s="594">
        <f t="shared" si="121"/>
        <v>2.4217411820657726</v>
      </c>
      <c r="S185" s="594">
        <f t="shared" si="122"/>
        <v>0.14465905981383931</v>
      </c>
      <c r="T185" s="594">
        <f t="shared" si="123"/>
        <v>-3.2396427812519057E-2</v>
      </c>
      <c r="U185" s="594">
        <f t="shared" si="124"/>
        <v>-1</v>
      </c>
      <c r="V185" s="594">
        <f t="shared" si="125"/>
        <v>0</v>
      </c>
      <c r="W185" s="594">
        <f t="shared" si="126"/>
        <v>0</v>
      </c>
      <c r="X185" s="594">
        <f t="shared" si="127"/>
        <v>0</v>
      </c>
      <c r="Y185" s="594">
        <f t="shared" si="128"/>
        <v>0</v>
      </c>
    </row>
    <row r="186" spans="2:25" outlineLevel="1">
      <c r="B186" s="562" t="s">
        <v>239</v>
      </c>
      <c r="C186" s="562" t="s">
        <v>2347</v>
      </c>
      <c r="D186" s="572" t="s">
        <v>2420</v>
      </c>
      <c r="E186" s="664">
        <v>0</v>
      </c>
      <c r="F186" s="664"/>
      <c r="G186" s="665">
        <v>17985</v>
      </c>
      <c r="H186" s="665"/>
      <c r="I186" s="665">
        <v>0</v>
      </c>
      <c r="J186" s="665">
        <v>0</v>
      </c>
      <c r="K186" s="588"/>
      <c r="L186" s="588"/>
      <c r="M186" s="588"/>
      <c r="N186" s="588"/>
      <c r="O186" s="588"/>
      <c r="Q186" s="594">
        <f t="shared" si="120"/>
        <v>0</v>
      </c>
      <c r="R186" s="594">
        <f t="shared" si="121"/>
        <v>0</v>
      </c>
      <c r="S186" s="594">
        <f t="shared" si="122"/>
        <v>-1</v>
      </c>
      <c r="T186" s="594">
        <f t="shared" si="123"/>
        <v>0</v>
      </c>
      <c r="U186" s="594">
        <f t="shared" si="124"/>
        <v>0</v>
      </c>
      <c r="V186" s="594">
        <f t="shared" si="125"/>
        <v>0</v>
      </c>
      <c r="W186" s="594">
        <f t="shared" si="126"/>
        <v>0</v>
      </c>
      <c r="X186" s="594">
        <f t="shared" si="127"/>
        <v>0</v>
      </c>
      <c r="Y186" s="594">
        <f t="shared" si="128"/>
        <v>0</v>
      </c>
    </row>
    <row r="187" spans="2:25" outlineLevel="1">
      <c r="B187" s="562" t="s">
        <v>239</v>
      </c>
      <c r="C187" s="562" t="s">
        <v>2347</v>
      </c>
      <c r="D187" s="572" t="s">
        <v>1941</v>
      </c>
      <c r="E187" s="664">
        <v>7440.69</v>
      </c>
      <c r="F187" s="664">
        <v>10856.41</v>
      </c>
      <c r="G187" s="665">
        <v>10534.88</v>
      </c>
      <c r="H187" s="665">
        <v>4058.55</v>
      </c>
      <c r="I187" s="665">
        <v>6737.79</v>
      </c>
      <c r="J187" s="665">
        <v>10435.4</v>
      </c>
      <c r="K187" s="588"/>
      <c r="L187" s="588"/>
      <c r="M187" s="588"/>
      <c r="N187" s="588"/>
      <c r="O187" s="588"/>
      <c r="Q187" s="594">
        <f t="shared" si="120"/>
        <v>0.45905957646401085</v>
      </c>
      <c r="R187" s="594">
        <f t="shared" si="121"/>
        <v>-2.961660438395386E-2</v>
      </c>
      <c r="S187" s="594">
        <f t="shared" si="122"/>
        <v>-0.61475118843309073</v>
      </c>
      <c r="T187" s="594">
        <f t="shared" si="123"/>
        <v>0.66014709686957151</v>
      </c>
      <c r="U187" s="594">
        <f t="shared" si="124"/>
        <v>-1</v>
      </c>
      <c r="V187" s="594">
        <f t="shared" si="125"/>
        <v>0</v>
      </c>
      <c r="W187" s="594">
        <f t="shared" si="126"/>
        <v>0</v>
      </c>
      <c r="X187" s="594">
        <f t="shared" si="127"/>
        <v>0</v>
      </c>
      <c r="Y187" s="594">
        <f t="shared" si="128"/>
        <v>0</v>
      </c>
    </row>
    <row r="188" spans="2:25" outlineLevel="1">
      <c r="B188" s="562" t="s">
        <v>239</v>
      </c>
      <c r="C188" s="562" t="s">
        <v>2347</v>
      </c>
      <c r="D188" s="572" t="s">
        <v>4121</v>
      </c>
      <c r="E188" s="664"/>
      <c r="F188" s="664"/>
      <c r="G188" s="665"/>
      <c r="H188" s="665"/>
      <c r="I188" s="665"/>
      <c r="J188" s="904">
        <v>316055.2</v>
      </c>
      <c r="K188" s="588"/>
      <c r="L188" s="588"/>
      <c r="M188" s="588"/>
      <c r="N188" s="588"/>
      <c r="O188" s="588"/>
      <c r="Q188" s="594"/>
      <c r="R188" s="594"/>
      <c r="S188" s="594"/>
      <c r="T188" s="594"/>
      <c r="U188" s="594"/>
      <c r="V188" s="594"/>
      <c r="W188" s="594"/>
      <c r="X188" s="594"/>
      <c r="Y188" s="594"/>
    </row>
    <row r="189" spans="2:25" outlineLevel="1">
      <c r="B189" s="562" t="s">
        <v>239</v>
      </c>
      <c r="C189" s="562" t="s">
        <v>2347</v>
      </c>
      <c r="D189" s="572" t="s">
        <v>4123</v>
      </c>
      <c r="E189" s="664"/>
      <c r="F189" s="664"/>
      <c r="G189" s="665"/>
      <c r="H189" s="665"/>
      <c r="I189" s="665"/>
      <c r="J189" s="665">
        <v>0.2</v>
      </c>
      <c r="K189" s="588"/>
      <c r="L189" s="588"/>
      <c r="M189" s="588"/>
      <c r="N189" s="588"/>
      <c r="O189" s="588"/>
      <c r="Q189" s="594"/>
      <c r="R189" s="594"/>
      <c r="S189" s="594"/>
      <c r="T189" s="594"/>
      <c r="U189" s="594"/>
      <c r="V189" s="594"/>
      <c r="W189" s="594"/>
      <c r="X189" s="594"/>
      <c r="Y189" s="594"/>
    </row>
    <row r="190" spans="2:25" outlineLevel="1">
      <c r="B190" s="562" t="s">
        <v>239</v>
      </c>
      <c r="C190" s="562" t="s">
        <v>2347</v>
      </c>
      <c r="D190" s="572" t="s">
        <v>4122</v>
      </c>
      <c r="E190" s="664"/>
      <c r="F190" s="664"/>
      <c r="G190" s="665"/>
      <c r="H190" s="665"/>
      <c r="I190" s="665"/>
      <c r="J190" s="904">
        <v>29750</v>
      </c>
      <c r="K190" s="588"/>
      <c r="L190" s="588"/>
      <c r="M190" s="588"/>
      <c r="N190" s="588"/>
      <c r="O190" s="588"/>
      <c r="Q190" s="594"/>
      <c r="R190" s="594"/>
      <c r="S190" s="594"/>
      <c r="T190" s="594"/>
      <c r="U190" s="594"/>
      <c r="V190" s="594"/>
      <c r="W190" s="594"/>
      <c r="X190" s="594"/>
      <c r="Y190" s="594"/>
    </row>
    <row r="191" spans="2:25" outlineLevel="1">
      <c r="B191" s="562" t="s">
        <v>239</v>
      </c>
      <c r="C191" s="562" t="s">
        <v>2347</v>
      </c>
      <c r="D191" s="572" t="s">
        <v>1942</v>
      </c>
      <c r="E191" s="664">
        <v>0</v>
      </c>
      <c r="F191" s="664">
        <v>0</v>
      </c>
      <c r="G191" s="665">
        <v>0</v>
      </c>
      <c r="H191" s="670"/>
      <c r="I191" s="665">
        <v>0</v>
      </c>
      <c r="J191" s="665">
        <v>0</v>
      </c>
      <c r="K191" s="588"/>
      <c r="L191" s="588"/>
      <c r="M191" s="588"/>
      <c r="N191" s="588"/>
      <c r="O191" s="588"/>
      <c r="Q191" s="594">
        <f t="shared" si="120"/>
        <v>0</v>
      </c>
      <c r="R191" s="594">
        <f t="shared" si="121"/>
        <v>0</v>
      </c>
      <c r="S191" s="594">
        <f t="shared" si="122"/>
        <v>0</v>
      </c>
      <c r="T191" s="594">
        <f t="shared" si="123"/>
        <v>0</v>
      </c>
      <c r="U191" s="594">
        <f t="shared" si="124"/>
        <v>0</v>
      </c>
      <c r="V191" s="594">
        <f t="shared" si="125"/>
        <v>0</v>
      </c>
      <c r="W191" s="594">
        <f t="shared" si="126"/>
        <v>0</v>
      </c>
      <c r="X191" s="594">
        <f t="shared" si="127"/>
        <v>0</v>
      </c>
      <c r="Y191" s="594">
        <f t="shared" si="128"/>
        <v>0</v>
      </c>
    </row>
    <row r="192" spans="2:25" outlineLevel="1">
      <c r="D192" s="570" t="s">
        <v>1898</v>
      </c>
      <c r="E192" s="676"/>
      <c r="F192" s="676"/>
      <c r="G192" s="667"/>
      <c r="H192" s="667">
        <v>3800134.32</v>
      </c>
      <c r="I192" s="667">
        <v>948203.40999999992</v>
      </c>
      <c r="J192" s="667">
        <v>1055784.3499999999</v>
      </c>
      <c r="K192" s="549"/>
      <c r="L192" s="549"/>
      <c r="M192" s="549"/>
      <c r="N192" s="549"/>
      <c r="O192" s="549"/>
    </row>
    <row r="193" spans="2:25" outlineLevel="1">
      <c r="B193" s="562" t="s">
        <v>239</v>
      </c>
      <c r="C193" s="562" t="s">
        <v>2347</v>
      </c>
      <c r="D193" s="572" t="s">
        <v>1943</v>
      </c>
      <c r="E193" s="664">
        <v>0</v>
      </c>
      <c r="F193" s="664"/>
      <c r="G193" s="665">
        <v>153185.56</v>
      </c>
      <c r="H193" s="665">
        <v>160191.63</v>
      </c>
      <c r="I193" s="665">
        <v>150654.95000000001</v>
      </c>
      <c r="J193" s="665">
        <v>0</v>
      </c>
      <c r="K193" s="588"/>
      <c r="L193" s="588"/>
      <c r="M193" s="588"/>
      <c r="N193" s="588"/>
      <c r="O193" s="588"/>
      <c r="Q193" s="594">
        <f t="shared" ref="Q193" si="129">+IFERROR(F193/E193-1,0)</f>
        <v>0</v>
      </c>
      <c r="R193" s="594">
        <f t="shared" ref="R193" si="130">+IFERROR(G193/F193-1,0)</f>
        <v>0</v>
      </c>
      <c r="S193" s="594">
        <f t="shared" ref="S193" si="131">+IFERROR(H193/G193-1,0)</f>
        <v>4.573583828658534E-2</v>
      </c>
      <c r="T193" s="594">
        <f t="shared" ref="T193" si="132">+IFERROR(I193/H193-1,0)</f>
        <v>-5.9532948132183905E-2</v>
      </c>
      <c r="U193" s="594">
        <f t="shared" ref="U193" si="133">+IFERROR(K193/I193-1,0)</f>
        <v>-1</v>
      </c>
      <c r="V193" s="594">
        <f t="shared" ref="V193" si="134">+IFERROR(L193/K193-1,0)</f>
        <v>0</v>
      </c>
      <c r="W193" s="594">
        <f t="shared" ref="W193" si="135">+IFERROR(M193/L193-1,0)</f>
        <v>0</v>
      </c>
      <c r="X193" s="594">
        <f t="shared" ref="X193" si="136">+IFERROR(N193/M193-1,0)</f>
        <v>0</v>
      </c>
      <c r="Y193" s="594">
        <f t="shared" ref="Y193" si="137">+IFERROR(O193/N193-1,0)</f>
        <v>0</v>
      </c>
    </row>
    <row r="194" spans="2:25" outlineLevel="1">
      <c r="D194" s="570" t="s">
        <v>1944</v>
      </c>
      <c r="E194" s="676"/>
      <c r="F194" s="676"/>
      <c r="G194" s="667"/>
      <c r="H194" s="667">
        <v>160191.63</v>
      </c>
      <c r="I194" s="667">
        <v>150654.95000000001</v>
      </c>
      <c r="J194" s="667">
        <v>0</v>
      </c>
      <c r="K194" s="549"/>
      <c r="L194" s="549"/>
      <c r="M194" s="549"/>
      <c r="N194" s="549"/>
      <c r="O194" s="549"/>
    </row>
    <row r="195" spans="2:25" outlineLevel="1">
      <c r="D195" s="573" t="s">
        <v>1945</v>
      </c>
      <c r="E195" s="668"/>
      <c r="F195" s="668"/>
      <c r="G195" s="669"/>
      <c r="H195" s="669">
        <v>3960325.95</v>
      </c>
      <c r="I195" s="669">
        <v>1098858.3599999999</v>
      </c>
      <c r="J195" s="669">
        <v>1055784.3499999999</v>
      </c>
      <c r="K195" s="556"/>
      <c r="L195" s="556"/>
      <c r="M195" s="556"/>
      <c r="N195" s="556"/>
      <c r="O195" s="556"/>
    </row>
    <row r="196" spans="2:25" outlineLevel="1">
      <c r="D196" s="576" t="s">
        <v>1946</v>
      </c>
      <c r="E196" s="677"/>
      <c r="F196" s="677"/>
      <c r="G196" s="678"/>
      <c r="H196" s="678">
        <v>24601585.550000001</v>
      </c>
      <c r="I196" s="678">
        <v>38000824.170000002</v>
      </c>
      <c r="J196" s="678">
        <v>39352891.880000003</v>
      </c>
      <c r="K196" s="559"/>
      <c r="L196" s="559"/>
      <c r="M196" s="559"/>
      <c r="N196" s="559"/>
      <c r="O196" s="559"/>
    </row>
    <row r="197" spans="2:25" outlineLevel="1">
      <c r="D197" s="568" t="s">
        <v>1947</v>
      </c>
      <c r="E197" s="660"/>
      <c r="F197" s="660"/>
      <c r="G197" s="657"/>
      <c r="H197" s="657"/>
      <c r="I197" s="657"/>
      <c r="J197" s="657"/>
      <c r="K197" s="547"/>
      <c r="L197" s="547"/>
      <c r="M197" s="547"/>
      <c r="N197" s="547"/>
      <c r="O197" s="547"/>
    </row>
    <row r="198" spans="2:25" outlineLevel="1">
      <c r="B198" s="562" t="s">
        <v>239</v>
      </c>
      <c r="C198" s="562" t="s">
        <v>429</v>
      </c>
      <c r="D198" s="572" t="s">
        <v>1948</v>
      </c>
      <c r="E198" s="664">
        <v>0</v>
      </c>
      <c r="F198" s="664">
        <v>283</v>
      </c>
      <c r="G198" s="665">
        <v>283</v>
      </c>
      <c r="H198" s="665">
        <v>995.08</v>
      </c>
      <c r="I198" s="665">
        <v>1810.36</v>
      </c>
      <c r="J198" s="665">
        <v>3286.92</v>
      </c>
      <c r="K198" s="588"/>
      <c r="L198" s="588"/>
      <c r="M198" s="588"/>
      <c r="N198" s="588"/>
      <c r="O198" s="588"/>
      <c r="Q198" s="594">
        <f t="shared" ref="Q198" si="138">+IFERROR(F198/E198-1,0)</f>
        <v>0</v>
      </c>
      <c r="R198" s="594">
        <f t="shared" ref="R198" si="139">+IFERROR(G198/F198-1,0)</f>
        <v>0</v>
      </c>
      <c r="S198" s="594">
        <f t="shared" ref="S198" si="140">+IFERROR(H198/G198-1,0)</f>
        <v>2.5161837455830391</v>
      </c>
      <c r="T198" s="594">
        <f t="shared" ref="T198" si="141">+IFERROR(I198/H198-1,0)</f>
        <v>0.81931101017003649</v>
      </c>
      <c r="U198" s="594">
        <f t="shared" ref="U198" si="142">+IFERROR(K198/I198-1,0)</f>
        <v>-1</v>
      </c>
      <c r="V198" s="594">
        <f t="shared" ref="V198" si="143">+IFERROR(L198/K198-1,0)</f>
        <v>0</v>
      </c>
      <c r="W198" s="594">
        <f t="shared" ref="W198" si="144">+IFERROR(M198/L198-1,0)</f>
        <v>0</v>
      </c>
      <c r="X198" s="594">
        <f t="shared" ref="X198" si="145">+IFERROR(N198/M198-1,0)</f>
        <v>0</v>
      </c>
      <c r="Y198" s="594">
        <f t="shared" ref="Y198" si="146">+IFERROR(O198/N198-1,0)</f>
        <v>0</v>
      </c>
    </row>
    <row r="199" spans="2:25" outlineLevel="1">
      <c r="D199" s="568" t="s">
        <v>1949</v>
      </c>
      <c r="E199" s="660"/>
      <c r="F199" s="660"/>
      <c r="G199" s="666"/>
      <c r="H199" s="666">
        <v>995.08</v>
      </c>
      <c r="I199" s="666">
        <v>1810.36</v>
      </c>
      <c r="J199" s="666">
        <v>3286.92</v>
      </c>
      <c r="K199" s="548"/>
      <c r="L199" s="548"/>
      <c r="M199" s="548"/>
      <c r="N199" s="548"/>
      <c r="O199" s="548"/>
    </row>
    <row r="200" spans="2:25" outlineLevel="1">
      <c r="D200" s="573" t="s">
        <v>1950</v>
      </c>
      <c r="E200" s="668"/>
      <c r="F200" s="668"/>
      <c r="G200" s="669"/>
      <c r="H200" s="669">
        <v>995.08</v>
      </c>
      <c r="I200" s="669">
        <v>1810.36</v>
      </c>
      <c r="J200" s="669">
        <v>3286.92</v>
      </c>
      <c r="K200" s="556"/>
      <c r="L200" s="556"/>
      <c r="M200" s="556"/>
      <c r="N200" s="556"/>
      <c r="O200" s="556"/>
    </row>
    <row r="201" spans="2:25" outlineLevel="1">
      <c r="D201" s="568" t="s">
        <v>1951</v>
      </c>
      <c r="E201" s="660"/>
      <c r="F201" s="660"/>
      <c r="G201" s="657"/>
      <c r="H201" s="657"/>
      <c r="I201" s="657"/>
      <c r="J201" s="657"/>
      <c r="K201" s="547"/>
      <c r="L201" s="547"/>
      <c r="M201" s="547"/>
      <c r="N201" s="547"/>
      <c r="O201" s="547"/>
    </row>
    <row r="202" spans="2:25" outlineLevel="1">
      <c r="B202" s="562" t="s">
        <v>239</v>
      </c>
      <c r="C202" s="562" t="s">
        <v>430</v>
      </c>
      <c r="D202" s="572" t="s">
        <v>1952</v>
      </c>
      <c r="E202" s="664">
        <v>223334.15</v>
      </c>
      <c r="F202" s="664">
        <v>105679.47</v>
      </c>
      <c r="G202" s="665">
        <v>148973.04999999999</v>
      </c>
      <c r="H202" s="665">
        <v>134391.72</v>
      </c>
      <c r="I202" s="665">
        <v>0</v>
      </c>
      <c r="J202" s="665">
        <v>44.85</v>
      </c>
      <c r="K202" s="588"/>
      <c r="L202" s="588"/>
      <c r="M202" s="588"/>
      <c r="N202" s="588"/>
      <c r="O202" s="588"/>
      <c r="Q202" s="594">
        <f t="shared" ref="Q202:Q251" si="147">+IFERROR(F202/E202-1,0)</f>
        <v>-0.52681007360495469</v>
      </c>
      <c r="R202" s="594">
        <f t="shared" ref="R202:R251" si="148">+IFERROR(G202/F202-1,0)</f>
        <v>0.40966878429651454</v>
      </c>
      <c r="S202" s="594">
        <f t="shared" ref="S202:S251" si="149">+IFERROR(H202/G202-1,0)</f>
        <v>-9.7878978781732573E-2</v>
      </c>
      <c r="T202" s="594">
        <f t="shared" ref="T202:T251" si="150">+IFERROR(I202/H202-1,0)</f>
        <v>-1</v>
      </c>
      <c r="U202" s="594">
        <f t="shared" ref="U202:U251" si="151">+IFERROR(K202/I202-1,0)</f>
        <v>0</v>
      </c>
      <c r="V202" s="594">
        <f t="shared" ref="V202:V251" si="152">+IFERROR(L202/K202-1,0)</f>
        <v>0</v>
      </c>
      <c r="W202" s="594">
        <f t="shared" ref="W202:W251" si="153">+IFERROR(M202/L202-1,0)</f>
        <v>0</v>
      </c>
      <c r="X202" s="594">
        <f t="shared" ref="X202:X251" si="154">+IFERROR(N202/M202-1,0)</f>
        <v>0</v>
      </c>
      <c r="Y202" s="594">
        <f t="shared" ref="Y202:Y251" si="155">+IFERROR(O202/N202-1,0)</f>
        <v>0</v>
      </c>
    </row>
    <row r="203" spans="2:25" outlineLevel="1">
      <c r="B203" s="562" t="s">
        <v>239</v>
      </c>
      <c r="C203" s="562" t="s">
        <v>430</v>
      </c>
      <c r="D203" s="572" t="s">
        <v>2429</v>
      </c>
      <c r="E203" s="664">
        <v>93336.8</v>
      </c>
      <c r="F203" s="664"/>
      <c r="G203" s="665"/>
      <c r="H203" s="665"/>
      <c r="I203" s="665">
        <v>0</v>
      </c>
      <c r="J203" s="665">
        <v>0</v>
      </c>
      <c r="K203" s="588"/>
      <c r="L203" s="588"/>
      <c r="M203" s="588"/>
      <c r="N203" s="588"/>
      <c r="O203" s="588"/>
      <c r="Q203" s="594">
        <f t="shared" si="147"/>
        <v>-1</v>
      </c>
      <c r="R203" s="594">
        <f t="shared" si="148"/>
        <v>0</v>
      </c>
      <c r="S203" s="594">
        <f t="shared" si="149"/>
        <v>0</v>
      </c>
      <c r="T203" s="594">
        <f t="shared" si="150"/>
        <v>0</v>
      </c>
      <c r="U203" s="594">
        <f t="shared" si="151"/>
        <v>0</v>
      </c>
      <c r="V203" s="594">
        <f t="shared" si="152"/>
        <v>0</v>
      </c>
      <c r="W203" s="594">
        <f t="shared" si="153"/>
        <v>0</v>
      </c>
      <c r="X203" s="594">
        <f t="shared" si="154"/>
        <v>0</v>
      </c>
      <c r="Y203" s="594">
        <f t="shared" si="155"/>
        <v>0</v>
      </c>
    </row>
    <row r="204" spans="2:25" outlineLevel="1">
      <c r="B204" s="562" t="s">
        <v>239</v>
      </c>
      <c r="C204" s="562" t="s">
        <v>430</v>
      </c>
      <c r="D204" s="572" t="s">
        <v>2430</v>
      </c>
      <c r="E204" s="664">
        <v>39801.800000000003</v>
      </c>
      <c r="F204" s="664"/>
      <c r="G204" s="665"/>
      <c r="H204" s="665"/>
      <c r="I204" s="665">
        <v>0</v>
      </c>
      <c r="J204" s="665">
        <v>0</v>
      </c>
      <c r="K204" s="588"/>
      <c r="L204" s="588"/>
      <c r="M204" s="588"/>
      <c r="N204" s="588"/>
      <c r="O204" s="588"/>
      <c r="Q204" s="594">
        <f t="shared" si="147"/>
        <v>-1</v>
      </c>
      <c r="R204" s="594">
        <f t="shared" si="148"/>
        <v>0</v>
      </c>
      <c r="S204" s="594">
        <f t="shared" si="149"/>
        <v>0</v>
      </c>
      <c r="T204" s="594">
        <f t="shared" si="150"/>
        <v>0</v>
      </c>
      <c r="U204" s="594">
        <f t="shared" si="151"/>
        <v>0</v>
      </c>
      <c r="V204" s="594">
        <f t="shared" si="152"/>
        <v>0</v>
      </c>
      <c r="W204" s="594">
        <f t="shared" si="153"/>
        <v>0</v>
      </c>
      <c r="X204" s="594">
        <f t="shared" si="154"/>
        <v>0</v>
      </c>
      <c r="Y204" s="594">
        <f t="shared" si="155"/>
        <v>0</v>
      </c>
    </row>
    <row r="205" spans="2:25" outlineLevel="1">
      <c r="B205" s="562" t="s">
        <v>239</v>
      </c>
      <c r="C205" s="562" t="s">
        <v>430</v>
      </c>
      <c r="D205" s="572" t="s">
        <v>1953</v>
      </c>
      <c r="E205" s="664">
        <v>0</v>
      </c>
      <c r="F205" s="664"/>
      <c r="G205" s="665">
        <v>0</v>
      </c>
      <c r="H205" s="665">
        <v>334820.64</v>
      </c>
      <c r="I205" s="665">
        <v>959353.49</v>
      </c>
      <c r="J205" s="665">
        <v>1119162.93</v>
      </c>
      <c r="K205" s="588"/>
      <c r="L205" s="588"/>
      <c r="M205" s="588"/>
      <c r="N205" s="588"/>
      <c r="O205" s="588"/>
      <c r="Q205" s="594">
        <f t="shared" si="147"/>
        <v>0</v>
      </c>
      <c r="R205" s="594">
        <f t="shared" si="148"/>
        <v>0</v>
      </c>
      <c r="S205" s="594">
        <f t="shared" si="149"/>
        <v>0</v>
      </c>
      <c r="T205" s="594">
        <f t="shared" si="150"/>
        <v>1.8652758384309878</v>
      </c>
      <c r="U205" s="594">
        <f t="shared" si="151"/>
        <v>-1</v>
      </c>
      <c r="V205" s="594">
        <f t="shared" si="152"/>
        <v>0</v>
      </c>
      <c r="W205" s="594">
        <f t="shared" si="153"/>
        <v>0</v>
      </c>
      <c r="X205" s="594">
        <f t="shared" si="154"/>
        <v>0</v>
      </c>
      <c r="Y205" s="594">
        <f t="shared" si="155"/>
        <v>0</v>
      </c>
    </row>
    <row r="206" spans="2:25" outlineLevel="1">
      <c r="B206" s="562" t="s">
        <v>239</v>
      </c>
      <c r="C206" s="562" t="s">
        <v>430</v>
      </c>
      <c r="D206" s="572" t="s">
        <v>1954</v>
      </c>
      <c r="E206" s="664">
        <v>2225.17</v>
      </c>
      <c r="F206" s="664">
        <v>1849.39</v>
      </c>
      <c r="G206" s="665">
        <v>1000.73</v>
      </c>
      <c r="H206" s="665">
        <v>727.66</v>
      </c>
      <c r="I206" s="665">
        <v>454.56</v>
      </c>
      <c r="J206" s="665">
        <v>386.57</v>
      </c>
      <c r="K206" s="588"/>
      <c r="L206" s="588"/>
      <c r="M206" s="588"/>
      <c r="N206" s="588"/>
      <c r="O206" s="588"/>
      <c r="Q206" s="594">
        <f t="shared" si="147"/>
        <v>-0.16887698467982215</v>
      </c>
      <c r="R206" s="594">
        <f t="shared" si="148"/>
        <v>-0.45888644363817266</v>
      </c>
      <c r="S206" s="594">
        <f t="shared" si="149"/>
        <v>-0.27287080431285171</v>
      </c>
      <c r="T206" s="594">
        <f t="shared" si="150"/>
        <v>-0.37531264601599645</v>
      </c>
      <c r="U206" s="594">
        <f t="shared" si="151"/>
        <v>-1</v>
      </c>
      <c r="V206" s="594">
        <f t="shared" si="152"/>
        <v>0</v>
      </c>
      <c r="W206" s="594">
        <f t="shared" si="153"/>
        <v>0</v>
      </c>
      <c r="X206" s="594">
        <f t="shared" si="154"/>
        <v>0</v>
      </c>
      <c r="Y206" s="594">
        <f t="shared" si="155"/>
        <v>0</v>
      </c>
    </row>
    <row r="207" spans="2:25" outlineLevel="1">
      <c r="B207" s="562" t="s">
        <v>239</v>
      </c>
      <c r="C207" s="562" t="s">
        <v>430</v>
      </c>
      <c r="D207" s="572" t="s">
        <v>1955</v>
      </c>
      <c r="E207" s="664">
        <v>1170.08</v>
      </c>
      <c r="F207" s="664">
        <v>919.57</v>
      </c>
      <c r="G207" s="665">
        <v>671.57</v>
      </c>
      <c r="H207" s="665">
        <v>448.77</v>
      </c>
      <c r="I207" s="665">
        <v>200.76</v>
      </c>
      <c r="J207" s="665">
        <v>11595.17</v>
      </c>
      <c r="K207" s="588"/>
      <c r="L207" s="588"/>
      <c r="M207" s="588"/>
      <c r="N207" s="588"/>
      <c r="O207" s="588"/>
      <c r="Q207" s="594">
        <f t="shared" si="147"/>
        <v>-0.21409647203610005</v>
      </c>
      <c r="R207" s="594">
        <f t="shared" si="148"/>
        <v>-0.26969126874517435</v>
      </c>
      <c r="S207" s="594">
        <f t="shared" si="149"/>
        <v>-0.3317599058921632</v>
      </c>
      <c r="T207" s="594">
        <f t="shared" si="150"/>
        <v>-0.55264389330837616</v>
      </c>
      <c r="U207" s="594">
        <f t="shared" si="151"/>
        <v>-1</v>
      </c>
      <c r="V207" s="594">
        <f t="shared" si="152"/>
        <v>0</v>
      </c>
      <c r="W207" s="594">
        <f t="shared" si="153"/>
        <v>0</v>
      </c>
      <c r="X207" s="594">
        <f t="shared" si="154"/>
        <v>0</v>
      </c>
      <c r="Y207" s="594">
        <f t="shared" si="155"/>
        <v>0</v>
      </c>
    </row>
    <row r="208" spans="2:25" outlineLevel="1">
      <c r="B208" s="562" t="s">
        <v>239</v>
      </c>
      <c r="C208" s="562" t="s">
        <v>430</v>
      </c>
      <c r="D208" s="572" t="s">
        <v>1956</v>
      </c>
      <c r="E208" s="664">
        <v>120</v>
      </c>
      <c r="F208" s="664">
        <v>55.26</v>
      </c>
      <c r="G208" s="665">
        <v>318.08</v>
      </c>
      <c r="H208" s="665">
        <v>44.72</v>
      </c>
      <c r="I208" s="665">
        <v>0</v>
      </c>
      <c r="J208" s="665">
        <v>0</v>
      </c>
      <c r="K208" s="588"/>
      <c r="L208" s="588"/>
      <c r="M208" s="588"/>
      <c r="N208" s="588"/>
      <c r="O208" s="588"/>
      <c r="Q208" s="594">
        <f t="shared" si="147"/>
        <v>-0.53950000000000009</v>
      </c>
      <c r="R208" s="594">
        <f t="shared" si="148"/>
        <v>4.7560622511762576</v>
      </c>
      <c r="S208" s="594">
        <f t="shared" si="149"/>
        <v>-0.85940643863179078</v>
      </c>
      <c r="T208" s="594">
        <f t="shared" si="150"/>
        <v>-1</v>
      </c>
      <c r="U208" s="594">
        <f t="shared" si="151"/>
        <v>0</v>
      </c>
      <c r="V208" s="594">
        <f t="shared" si="152"/>
        <v>0</v>
      </c>
      <c r="W208" s="594">
        <f t="shared" si="153"/>
        <v>0</v>
      </c>
      <c r="X208" s="594">
        <f t="shared" si="154"/>
        <v>0</v>
      </c>
      <c r="Y208" s="594">
        <f t="shared" si="155"/>
        <v>0</v>
      </c>
    </row>
    <row r="209" spans="2:25" outlineLevel="1">
      <c r="B209" s="562" t="s">
        <v>239</v>
      </c>
      <c r="C209" s="562" t="s">
        <v>430</v>
      </c>
      <c r="D209" s="572" t="s">
        <v>1957</v>
      </c>
      <c r="E209" s="664">
        <v>0</v>
      </c>
      <c r="F209" s="664"/>
      <c r="G209" s="665">
        <v>464</v>
      </c>
      <c r="H209" s="665">
        <v>6836.08</v>
      </c>
      <c r="I209" s="665">
        <v>43535.56</v>
      </c>
      <c r="J209" s="665">
        <v>3463.14</v>
      </c>
      <c r="K209" s="588"/>
      <c r="L209" s="588"/>
      <c r="M209" s="588"/>
      <c r="N209" s="588"/>
      <c r="O209" s="588"/>
      <c r="Q209" s="594">
        <f t="shared" si="147"/>
        <v>0</v>
      </c>
      <c r="R209" s="594">
        <f t="shared" si="148"/>
        <v>0</v>
      </c>
      <c r="S209" s="594">
        <f t="shared" si="149"/>
        <v>13.732931034482759</v>
      </c>
      <c r="T209" s="594">
        <f t="shared" si="150"/>
        <v>5.3684977355443468</v>
      </c>
      <c r="U209" s="594">
        <f t="shared" si="151"/>
        <v>-1</v>
      </c>
      <c r="V209" s="594">
        <f t="shared" si="152"/>
        <v>0</v>
      </c>
      <c r="W209" s="594">
        <f t="shared" si="153"/>
        <v>0</v>
      </c>
      <c r="X209" s="594">
        <f t="shared" si="154"/>
        <v>0</v>
      </c>
      <c r="Y209" s="594">
        <f t="shared" si="155"/>
        <v>0</v>
      </c>
    </row>
    <row r="210" spans="2:25" outlineLevel="1">
      <c r="B210" s="562" t="s">
        <v>239</v>
      </c>
      <c r="C210" s="562" t="s">
        <v>430</v>
      </c>
      <c r="D210" s="572" t="s">
        <v>1958</v>
      </c>
      <c r="E210" s="664">
        <v>814.39</v>
      </c>
      <c r="F210" s="664">
        <v>2566.38</v>
      </c>
      <c r="G210" s="665">
        <v>2778.16</v>
      </c>
      <c r="H210" s="665">
        <v>45418.86</v>
      </c>
      <c r="I210" s="665">
        <v>11689.67</v>
      </c>
      <c r="J210" s="665">
        <v>2561.06</v>
      </c>
      <c r="K210" s="588"/>
      <c r="L210" s="588"/>
      <c r="M210" s="588"/>
      <c r="N210" s="588"/>
      <c r="O210" s="588"/>
      <c r="Q210" s="594">
        <f t="shared" si="147"/>
        <v>2.1512911504316117</v>
      </c>
      <c r="R210" s="594">
        <f t="shared" si="148"/>
        <v>8.252090493223907E-2</v>
      </c>
      <c r="S210" s="594">
        <f t="shared" si="149"/>
        <v>15.348540040890374</v>
      </c>
      <c r="T210" s="594">
        <f t="shared" si="150"/>
        <v>-0.74262520019216693</v>
      </c>
      <c r="U210" s="594">
        <f t="shared" si="151"/>
        <v>-1</v>
      </c>
      <c r="V210" s="594">
        <f t="shared" si="152"/>
        <v>0</v>
      </c>
      <c r="W210" s="594">
        <f t="shared" si="153"/>
        <v>0</v>
      </c>
      <c r="X210" s="594">
        <f t="shared" si="154"/>
        <v>0</v>
      </c>
      <c r="Y210" s="594">
        <f t="shared" si="155"/>
        <v>0</v>
      </c>
    </row>
    <row r="211" spans="2:25" outlineLevel="1">
      <c r="B211" s="562" t="s">
        <v>239</v>
      </c>
      <c r="C211" s="562" t="s">
        <v>430</v>
      </c>
      <c r="D211" s="572" t="s">
        <v>1959</v>
      </c>
      <c r="E211" s="664">
        <v>290.49</v>
      </c>
      <c r="F211" s="664">
        <v>42.48</v>
      </c>
      <c r="G211" s="665">
        <v>89.47</v>
      </c>
      <c r="H211" s="665">
        <v>64.05</v>
      </c>
      <c r="I211" s="665">
        <v>110.98</v>
      </c>
      <c r="J211" s="665">
        <v>110035.83</v>
      </c>
      <c r="K211" s="588"/>
      <c r="L211" s="588"/>
      <c r="M211" s="588"/>
      <c r="N211" s="588"/>
      <c r="O211" s="588"/>
      <c r="Q211" s="594">
        <f t="shared" si="147"/>
        <v>-0.85376432923680678</v>
      </c>
      <c r="R211" s="594">
        <f t="shared" si="148"/>
        <v>1.1061676082862526</v>
      </c>
      <c r="S211" s="594">
        <f t="shared" si="149"/>
        <v>-0.28411758131217169</v>
      </c>
      <c r="T211" s="594">
        <f t="shared" si="150"/>
        <v>0.73270882123341163</v>
      </c>
      <c r="U211" s="594">
        <f t="shared" si="151"/>
        <v>-1</v>
      </c>
      <c r="V211" s="594">
        <f t="shared" si="152"/>
        <v>0</v>
      </c>
      <c r="W211" s="594">
        <f t="shared" si="153"/>
        <v>0</v>
      </c>
      <c r="X211" s="594">
        <f t="shared" si="154"/>
        <v>0</v>
      </c>
      <c r="Y211" s="594">
        <f t="shared" si="155"/>
        <v>0</v>
      </c>
    </row>
    <row r="212" spans="2:25" outlineLevel="1">
      <c r="B212" s="562" t="s">
        <v>239</v>
      </c>
      <c r="C212" s="562" t="s">
        <v>430</v>
      </c>
      <c r="D212" s="572" t="s">
        <v>1960</v>
      </c>
      <c r="E212" s="664">
        <v>0</v>
      </c>
      <c r="F212" s="664"/>
      <c r="G212" s="665">
        <v>0</v>
      </c>
      <c r="H212" s="665">
        <v>3293.78</v>
      </c>
      <c r="I212" s="665">
        <v>2766.93</v>
      </c>
      <c r="J212" s="665">
        <v>2695.21</v>
      </c>
      <c r="K212" s="588"/>
      <c r="L212" s="588"/>
      <c r="M212" s="588"/>
      <c r="N212" s="588"/>
      <c r="O212" s="588"/>
      <c r="Q212" s="594">
        <f t="shared" si="147"/>
        <v>0</v>
      </c>
      <c r="R212" s="594">
        <f t="shared" si="148"/>
        <v>0</v>
      </c>
      <c r="S212" s="594">
        <f t="shared" si="149"/>
        <v>0</v>
      </c>
      <c r="T212" s="594">
        <f t="shared" si="150"/>
        <v>-0.15995300232559562</v>
      </c>
      <c r="U212" s="594">
        <f t="shared" si="151"/>
        <v>-1</v>
      </c>
      <c r="V212" s="594">
        <f t="shared" si="152"/>
        <v>0</v>
      </c>
      <c r="W212" s="594">
        <f t="shared" si="153"/>
        <v>0</v>
      </c>
      <c r="X212" s="594">
        <f t="shared" si="154"/>
        <v>0</v>
      </c>
      <c r="Y212" s="594">
        <f t="shared" si="155"/>
        <v>0</v>
      </c>
    </row>
    <row r="213" spans="2:25" outlineLevel="1">
      <c r="B213" s="562" t="s">
        <v>239</v>
      </c>
      <c r="C213" s="562" t="s">
        <v>430</v>
      </c>
      <c r="D213" s="572" t="s">
        <v>1961</v>
      </c>
      <c r="E213" s="664">
        <v>23555.24</v>
      </c>
      <c r="F213" s="664">
        <v>40362.71</v>
      </c>
      <c r="G213" s="665">
        <v>230252.97</v>
      </c>
      <c r="H213" s="665">
        <v>3057.39</v>
      </c>
      <c r="I213" s="665">
        <v>2705.63</v>
      </c>
      <c r="J213" s="665">
        <v>61681.95</v>
      </c>
      <c r="K213" s="588"/>
      <c r="L213" s="588"/>
      <c r="M213" s="588"/>
      <c r="N213" s="588"/>
      <c r="O213" s="588"/>
      <c r="Q213" s="594">
        <f t="shared" si="147"/>
        <v>0.71353422847740022</v>
      </c>
      <c r="R213" s="594">
        <f t="shared" si="148"/>
        <v>4.7045963960299</v>
      </c>
      <c r="S213" s="594">
        <f t="shared" si="149"/>
        <v>-0.98672160450308199</v>
      </c>
      <c r="T213" s="594">
        <f t="shared" si="150"/>
        <v>-0.11505238127945727</v>
      </c>
      <c r="U213" s="594">
        <f t="shared" si="151"/>
        <v>-1</v>
      </c>
      <c r="V213" s="594">
        <f t="shared" si="152"/>
        <v>0</v>
      </c>
      <c r="W213" s="594">
        <f t="shared" si="153"/>
        <v>0</v>
      </c>
      <c r="X213" s="594">
        <f t="shared" si="154"/>
        <v>0</v>
      </c>
      <c r="Y213" s="594">
        <f t="shared" si="155"/>
        <v>0</v>
      </c>
    </row>
    <row r="214" spans="2:25" outlineLevel="1">
      <c r="B214" s="562" t="s">
        <v>239</v>
      </c>
      <c r="C214" s="562" t="s">
        <v>430</v>
      </c>
      <c r="D214" s="572" t="s">
        <v>1962</v>
      </c>
      <c r="E214" s="664">
        <v>28.29</v>
      </c>
      <c r="F214" s="664">
        <v>5242.2</v>
      </c>
      <c r="G214" s="665">
        <v>1230.6300000000001</v>
      </c>
      <c r="H214" s="665">
        <v>2492.46</v>
      </c>
      <c r="I214" s="665">
        <v>9092.5400000000009</v>
      </c>
      <c r="J214" s="665">
        <v>59020.63</v>
      </c>
      <c r="K214" s="588"/>
      <c r="L214" s="588"/>
      <c r="M214" s="588"/>
      <c r="N214" s="588"/>
      <c r="O214" s="588"/>
      <c r="Q214" s="594">
        <f t="shared" si="147"/>
        <v>184.30222693531283</v>
      </c>
      <c r="R214" s="594">
        <f t="shared" si="148"/>
        <v>-0.76524550761130816</v>
      </c>
      <c r="S214" s="594">
        <f t="shared" si="149"/>
        <v>1.0253528680431971</v>
      </c>
      <c r="T214" s="594">
        <f t="shared" si="150"/>
        <v>2.6480184235654738</v>
      </c>
      <c r="U214" s="594">
        <f t="shared" si="151"/>
        <v>-1</v>
      </c>
      <c r="V214" s="594">
        <f t="shared" si="152"/>
        <v>0</v>
      </c>
      <c r="W214" s="594">
        <f t="shared" si="153"/>
        <v>0</v>
      </c>
      <c r="X214" s="594">
        <f t="shared" si="154"/>
        <v>0</v>
      </c>
      <c r="Y214" s="594">
        <f t="shared" si="155"/>
        <v>0</v>
      </c>
    </row>
    <row r="215" spans="2:25" outlineLevel="1">
      <c r="B215" s="562" t="s">
        <v>239</v>
      </c>
      <c r="C215" s="562" t="s">
        <v>430</v>
      </c>
      <c r="D215" s="572" t="s">
        <v>3739</v>
      </c>
      <c r="E215" s="664">
        <v>349945.35</v>
      </c>
      <c r="F215" s="664">
        <v>696910.75</v>
      </c>
      <c r="G215" s="665">
        <v>537697.38</v>
      </c>
      <c r="H215" s="665">
        <v>257181.84</v>
      </c>
      <c r="I215" s="665">
        <v>1499868.25</v>
      </c>
      <c r="J215" s="665">
        <v>826953.74</v>
      </c>
      <c r="K215" s="588"/>
      <c r="L215" s="588"/>
      <c r="M215" s="588"/>
      <c r="N215" s="588"/>
      <c r="O215" s="588"/>
      <c r="Q215" s="594">
        <f t="shared" si="147"/>
        <v>0.99148452751265315</v>
      </c>
      <c r="R215" s="594">
        <f t="shared" si="148"/>
        <v>-0.22845589625357332</v>
      </c>
      <c r="S215" s="594">
        <f t="shared" si="149"/>
        <v>-0.52169779960616514</v>
      </c>
      <c r="T215" s="594">
        <f t="shared" si="150"/>
        <v>4.8319368505956719</v>
      </c>
      <c r="U215" s="594">
        <f t="shared" si="151"/>
        <v>-1</v>
      </c>
      <c r="V215" s="594">
        <f t="shared" si="152"/>
        <v>0</v>
      </c>
      <c r="W215" s="594">
        <f t="shared" si="153"/>
        <v>0</v>
      </c>
      <c r="X215" s="594">
        <f t="shared" si="154"/>
        <v>0</v>
      </c>
      <c r="Y215" s="594">
        <f t="shared" si="155"/>
        <v>0</v>
      </c>
    </row>
    <row r="216" spans="2:25" outlineLevel="1">
      <c r="B216" s="562" t="s">
        <v>239</v>
      </c>
      <c r="C216" s="562" t="s">
        <v>430</v>
      </c>
      <c r="D216" s="572" t="s">
        <v>3740</v>
      </c>
      <c r="E216" s="664">
        <v>2605.5500000000002</v>
      </c>
      <c r="F216" s="664">
        <v>500.24</v>
      </c>
      <c r="G216" s="665">
        <v>1525.16</v>
      </c>
      <c r="H216" s="665">
        <v>1576.84</v>
      </c>
      <c r="I216" s="665">
        <v>1576.84</v>
      </c>
      <c r="J216" s="665">
        <v>1576.84</v>
      </c>
      <c r="K216" s="588"/>
      <c r="L216" s="588"/>
      <c r="M216" s="588"/>
      <c r="N216" s="588"/>
      <c r="O216" s="588"/>
      <c r="Q216" s="594">
        <f t="shared" si="147"/>
        <v>-0.80800982518086395</v>
      </c>
      <c r="R216" s="594">
        <f t="shared" si="148"/>
        <v>2.0488565488565489</v>
      </c>
      <c r="S216" s="594">
        <f t="shared" si="149"/>
        <v>3.3884969445828528E-2</v>
      </c>
      <c r="T216" s="594">
        <f t="shared" si="150"/>
        <v>0</v>
      </c>
      <c r="U216" s="594">
        <f t="shared" si="151"/>
        <v>-1</v>
      </c>
      <c r="V216" s="594">
        <f t="shared" si="152"/>
        <v>0</v>
      </c>
      <c r="W216" s="594">
        <f t="shared" si="153"/>
        <v>0</v>
      </c>
      <c r="X216" s="594">
        <f t="shared" si="154"/>
        <v>0</v>
      </c>
      <c r="Y216" s="594">
        <f t="shared" si="155"/>
        <v>0</v>
      </c>
    </row>
    <row r="217" spans="2:25" outlineLevel="1">
      <c r="B217" s="562" t="s">
        <v>239</v>
      </c>
      <c r="C217" s="562" t="s">
        <v>430</v>
      </c>
      <c r="D217" s="572" t="s">
        <v>1963</v>
      </c>
      <c r="E217" s="664">
        <v>761.19</v>
      </c>
      <c r="F217" s="664">
        <v>660.7</v>
      </c>
      <c r="G217" s="665">
        <v>660.81</v>
      </c>
      <c r="H217" s="665">
        <v>712.52</v>
      </c>
      <c r="I217" s="665">
        <v>712.52</v>
      </c>
      <c r="J217" s="665">
        <v>712.52</v>
      </c>
      <c r="K217" s="588"/>
      <c r="L217" s="588"/>
      <c r="M217" s="588"/>
      <c r="N217" s="588"/>
      <c r="O217" s="588"/>
      <c r="Q217" s="594">
        <f t="shared" si="147"/>
        <v>-0.13201697342319263</v>
      </c>
      <c r="R217" s="594">
        <f t="shared" si="148"/>
        <v>1.6649008627189765E-4</v>
      </c>
      <c r="S217" s="594">
        <f t="shared" si="149"/>
        <v>7.8252447753514698E-2</v>
      </c>
      <c r="T217" s="594">
        <f t="shared" si="150"/>
        <v>0</v>
      </c>
      <c r="U217" s="594">
        <f t="shared" si="151"/>
        <v>-1</v>
      </c>
      <c r="V217" s="594">
        <f t="shared" si="152"/>
        <v>0</v>
      </c>
      <c r="W217" s="594">
        <f t="shared" si="153"/>
        <v>0</v>
      </c>
      <c r="X217" s="594">
        <f t="shared" si="154"/>
        <v>0</v>
      </c>
      <c r="Y217" s="594">
        <f t="shared" si="155"/>
        <v>0</v>
      </c>
    </row>
    <row r="218" spans="2:25" outlineLevel="1">
      <c r="B218" s="562" t="s">
        <v>239</v>
      </c>
      <c r="C218" s="562" t="s">
        <v>430</v>
      </c>
      <c r="D218" s="572" t="s">
        <v>3741</v>
      </c>
      <c r="E218" s="664">
        <v>31</v>
      </c>
      <c r="F218" s="664">
        <v>41.5</v>
      </c>
      <c r="G218" s="665">
        <v>933.71</v>
      </c>
      <c r="H218" s="665">
        <v>17342.009999999998</v>
      </c>
      <c r="I218" s="665">
        <v>91773.29</v>
      </c>
      <c r="J218" s="665">
        <v>86278.59</v>
      </c>
      <c r="K218" s="588"/>
      <c r="L218" s="588"/>
      <c r="M218" s="588"/>
      <c r="N218" s="588"/>
      <c r="O218" s="588"/>
      <c r="Q218" s="594">
        <f t="shared" si="147"/>
        <v>0.33870967741935476</v>
      </c>
      <c r="R218" s="594">
        <f t="shared" si="148"/>
        <v>21.499036144578316</v>
      </c>
      <c r="S218" s="594">
        <f t="shared" si="149"/>
        <v>17.573229375287827</v>
      </c>
      <c r="T218" s="594">
        <f t="shared" si="150"/>
        <v>4.2919638496345005</v>
      </c>
      <c r="U218" s="594">
        <f t="shared" si="151"/>
        <v>-1</v>
      </c>
      <c r="V218" s="594">
        <f t="shared" si="152"/>
        <v>0</v>
      </c>
      <c r="W218" s="594">
        <f t="shared" si="153"/>
        <v>0</v>
      </c>
      <c r="X218" s="594">
        <f t="shared" si="154"/>
        <v>0</v>
      </c>
      <c r="Y218" s="594">
        <f t="shared" si="155"/>
        <v>0</v>
      </c>
    </row>
    <row r="219" spans="2:25" outlineLevel="1">
      <c r="B219" s="562" t="s">
        <v>239</v>
      </c>
      <c r="C219" s="562" t="s">
        <v>430</v>
      </c>
      <c r="D219" s="572" t="s">
        <v>1964</v>
      </c>
      <c r="E219" s="664">
        <v>24.34</v>
      </c>
      <c r="F219" s="664">
        <v>6030.69</v>
      </c>
      <c r="G219" s="665">
        <v>193.99</v>
      </c>
      <c r="H219" s="665">
        <v>265.08</v>
      </c>
      <c r="I219" s="665">
        <v>5032.37</v>
      </c>
      <c r="J219" s="665">
        <v>4960.46</v>
      </c>
      <c r="K219" s="588"/>
      <c r="L219" s="588"/>
      <c r="M219" s="588"/>
      <c r="N219" s="588"/>
      <c r="O219" s="588"/>
      <c r="Q219" s="594">
        <f t="shared" si="147"/>
        <v>246.76869350862776</v>
      </c>
      <c r="R219" s="594">
        <f t="shared" si="148"/>
        <v>-0.96783286821242676</v>
      </c>
      <c r="S219" s="594">
        <f t="shared" si="149"/>
        <v>0.36646218877261694</v>
      </c>
      <c r="T219" s="594">
        <f t="shared" si="150"/>
        <v>17.984344348875812</v>
      </c>
      <c r="U219" s="594">
        <f t="shared" si="151"/>
        <v>-1</v>
      </c>
      <c r="V219" s="594">
        <f t="shared" si="152"/>
        <v>0</v>
      </c>
      <c r="W219" s="594">
        <f t="shared" si="153"/>
        <v>0</v>
      </c>
      <c r="X219" s="594">
        <f t="shared" si="154"/>
        <v>0</v>
      </c>
      <c r="Y219" s="594">
        <f t="shared" si="155"/>
        <v>0</v>
      </c>
    </row>
    <row r="220" spans="2:25" outlineLevel="1">
      <c r="B220" s="562" t="s">
        <v>239</v>
      </c>
      <c r="C220" s="562" t="s">
        <v>430</v>
      </c>
      <c r="D220" s="572" t="s">
        <v>1965</v>
      </c>
      <c r="E220" s="664">
        <v>0</v>
      </c>
      <c r="F220" s="664">
        <v>4994.25</v>
      </c>
      <c r="G220" s="665">
        <v>4994.25</v>
      </c>
      <c r="H220" s="665">
        <v>993.5</v>
      </c>
      <c r="I220" s="665">
        <v>993.5</v>
      </c>
      <c r="J220" s="665">
        <v>993.5</v>
      </c>
      <c r="K220" s="588"/>
      <c r="L220" s="588"/>
      <c r="M220" s="588"/>
      <c r="N220" s="588"/>
      <c r="O220" s="588"/>
      <c r="Q220" s="594">
        <f t="shared" si="147"/>
        <v>0</v>
      </c>
      <c r="R220" s="594">
        <f t="shared" si="148"/>
        <v>0</v>
      </c>
      <c r="S220" s="594">
        <f t="shared" si="149"/>
        <v>-0.80107123191670415</v>
      </c>
      <c r="T220" s="594">
        <f t="shared" si="150"/>
        <v>0</v>
      </c>
      <c r="U220" s="594">
        <f t="shared" si="151"/>
        <v>-1</v>
      </c>
      <c r="V220" s="594">
        <f t="shared" si="152"/>
        <v>0</v>
      </c>
      <c r="W220" s="594">
        <f t="shared" si="153"/>
        <v>0</v>
      </c>
      <c r="X220" s="594">
        <f t="shared" si="154"/>
        <v>0</v>
      </c>
      <c r="Y220" s="594">
        <f t="shared" si="155"/>
        <v>0</v>
      </c>
    </row>
    <row r="221" spans="2:25" outlineLevel="1">
      <c r="B221" s="562" t="s">
        <v>239</v>
      </c>
      <c r="C221" s="562" t="s">
        <v>430</v>
      </c>
      <c r="D221" s="572" t="s">
        <v>3742</v>
      </c>
      <c r="E221" s="664">
        <v>43308.94</v>
      </c>
      <c r="F221" s="664">
        <v>447212.58</v>
      </c>
      <c r="G221" s="665">
        <v>178689.29</v>
      </c>
      <c r="H221" s="670"/>
      <c r="I221" s="665">
        <v>30233.61</v>
      </c>
      <c r="J221" s="665">
        <v>0</v>
      </c>
      <c r="K221" s="588"/>
      <c r="L221" s="588"/>
      <c r="M221" s="588"/>
      <c r="N221" s="588"/>
      <c r="O221" s="588"/>
      <c r="Q221" s="594">
        <f t="shared" si="147"/>
        <v>9.3261031094272919</v>
      </c>
      <c r="R221" s="594">
        <f t="shared" si="148"/>
        <v>-0.60043769341193398</v>
      </c>
      <c r="S221" s="594">
        <f t="shared" si="149"/>
        <v>-1</v>
      </c>
      <c r="T221" s="594">
        <f t="shared" si="150"/>
        <v>0</v>
      </c>
      <c r="U221" s="594">
        <f t="shared" si="151"/>
        <v>-1</v>
      </c>
      <c r="V221" s="594">
        <f t="shared" si="152"/>
        <v>0</v>
      </c>
      <c r="W221" s="594">
        <f t="shared" si="153"/>
        <v>0</v>
      </c>
      <c r="X221" s="594">
        <f t="shared" si="154"/>
        <v>0</v>
      </c>
      <c r="Y221" s="594">
        <f t="shared" si="155"/>
        <v>0</v>
      </c>
    </row>
    <row r="222" spans="2:25" outlineLevel="1">
      <c r="B222" s="562" t="s">
        <v>239</v>
      </c>
      <c r="C222" s="562" t="s">
        <v>430</v>
      </c>
      <c r="D222" s="572" t="s">
        <v>1967</v>
      </c>
      <c r="E222" s="664">
        <v>0</v>
      </c>
      <c r="F222" s="664">
        <v>8.8800000000000008</v>
      </c>
      <c r="G222" s="665">
        <v>1423.06</v>
      </c>
      <c r="H222" s="665">
        <v>30433.22</v>
      </c>
      <c r="I222" s="665">
        <v>21802.34</v>
      </c>
      <c r="J222" s="665">
        <v>6438.58</v>
      </c>
      <c r="K222" s="588"/>
      <c r="L222" s="588"/>
      <c r="M222" s="588"/>
      <c r="N222" s="588"/>
      <c r="O222" s="588"/>
      <c r="Q222" s="594">
        <f t="shared" si="147"/>
        <v>0</v>
      </c>
      <c r="R222" s="594">
        <f t="shared" si="148"/>
        <v>159.2545045045045</v>
      </c>
      <c r="S222" s="594">
        <f t="shared" si="149"/>
        <v>20.385760263095023</v>
      </c>
      <c r="T222" s="594">
        <f t="shared" si="150"/>
        <v>-0.28360061800887326</v>
      </c>
      <c r="U222" s="594">
        <f t="shared" si="151"/>
        <v>-1</v>
      </c>
      <c r="V222" s="594">
        <f t="shared" si="152"/>
        <v>0</v>
      </c>
      <c r="W222" s="594">
        <f t="shared" si="153"/>
        <v>0</v>
      </c>
      <c r="X222" s="594">
        <f t="shared" si="154"/>
        <v>0</v>
      </c>
      <c r="Y222" s="594">
        <f t="shared" si="155"/>
        <v>0</v>
      </c>
    </row>
    <row r="223" spans="2:25" outlineLevel="1">
      <c r="B223" s="562" t="s">
        <v>239</v>
      </c>
      <c r="C223" s="562" t="s">
        <v>430</v>
      </c>
      <c r="D223" s="572" t="s">
        <v>1968</v>
      </c>
      <c r="E223" s="664">
        <v>0</v>
      </c>
      <c r="F223" s="664"/>
      <c r="G223" s="665">
        <v>1639.4</v>
      </c>
      <c r="H223" s="665">
        <v>14078.89</v>
      </c>
      <c r="I223" s="665">
        <v>40980.769999999997</v>
      </c>
      <c r="J223" s="665">
        <v>47184.76</v>
      </c>
      <c r="K223" s="588"/>
      <c r="L223" s="588"/>
      <c r="M223" s="588"/>
      <c r="N223" s="588"/>
      <c r="O223" s="588"/>
      <c r="Q223" s="594">
        <f t="shared" si="147"/>
        <v>0</v>
      </c>
      <c r="R223" s="594">
        <f t="shared" si="148"/>
        <v>0</v>
      </c>
      <c r="S223" s="594">
        <f t="shared" si="149"/>
        <v>7.587830913748931</v>
      </c>
      <c r="T223" s="594">
        <f t="shared" si="150"/>
        <v>1.910795524363071</v>
      </c>
      <c r="U223" s="594">
        <f t="shared" si="151"/>
        <v>-1</v>
      </c>
      <c r="V223" s="594">
        <f t="shared" si="152"/>
        <v>0</v>
      </c>
      <c r="W223" s="594">
        <f t="shared" si="153"/>
        <v>0</v>
      </c>
      <c r="X223" s="594">
        <f t="shared" si="154"/>
        <v>0</v>
      </c>
      <c r="Y223" s="594">
        <f t="shared" si="155"/>
        <v>0</v>
      </c>
    </row>
    <row r="224" spans="2:25" outlineLevel="1">
      <c r="B224" s="562" t="s">
        <v>239</v>
      </c>
      <c r="C224" s="562" t="s">
        <v>430</v>
      </c>
      <c r="D224" s="572" t="s">
        <v>1969</v>
      </c>
      <c r="E224" s="664">
        <v>0</v>
      </c>
      <c r="F224" s="664"/>
      <c r="G224" s="665">
        <v>21.31</v>
      </c>
      <c r="H224" s="665">
        <v>11129.27</v>
      </c>
      <c r="I224" s="665">
        <v>26147.19</v>
      </c>
      <c r="J224" s="665">
        <v>27930.65</v>
      </c>
      <c r="K224" s="588"/>
      <c r="L224" s="588"/>
      <c r="M224" s="588"/>
      <c r="N224" s="588"/>
      <c r="O224" s="588"/>
      <c r="Q224" s="594">
        <f t="shared" si="147"/>
        <v>0</v>
      </c>
      <c r="R224" s="594">
        <f t="shared" si="148"/>
        <v>0</v>
      </c>
      <c r="S224" s="594">
        <f t="shared" si="149"/>
        <v>521.25574847489452</v>
      </c>
      <c r="T224" s="594">
        <f t="shared" si="150"/>
        <v>1.3494074633825934</v>
      </c>
      <c r="U224" s="594">
        <f t="shared" si="151"/>
        <v>-1</v>
      </c>
      <c r="V224" s="594">
        <f t="shared" si="152"/>
        <v>0</v>
      </c>
      <c r="W224" s="594">
        <f t="shared" si="153"/>
        <v>0</v>
      </c>
      <c r="X224" s="594">
        <f t="shared" si="154"/>
        <v>0</v>
      </c>
      <c r="Y224" s="594">
        <f t="shared" si="155"/>
        <v>0</v>
      </c>
    </row>
    <row r="225" spans="2:25" outlineLevel="1">
      <c r="B225" s="562" t="s">
        <v>239</v>
      </c>
      <c r="C225" s="562" t="s">
        <v>430</v>
      </c>
      <c r="D225" s="572" t="s">
        <v>1970</v>
      </c>
      <c r="E225" s="664">
        <v>0</v>
      </c>
      <c r="F225" s="664"/>
      <c r="G225" s="665">
        <v>0</v>
      </c>
      <c r="H225" s="670"/>
      <c r="I225" s="665">
        <v>279.85000000000002</v>
      </c>
      <c r="J225" s="665">
        <v>35.35</v>
      </c>
      <c r="K225" s="588"/>
      <c r="L225" s="588"/>
      <c r="M225" s="588"/>
      <c r="N225" s="588"/>
      <c r="O225" s="588"/>
      <c r="Q225" s="594">
        <f t="shared" si="147"/>
        <v>0</v>
      </c>
      <c r="R225" s="594">
        <f t="shared" si="148"/>
        <v>0</v>
      </c>
      <c r="S225" s="594">
        <f t="shared" si="149"/>
        <v>0</v>
      </c>
      <c r="T225" s="594">
        <f t="shared" si="150"/>
        <v>0</v>
      </c>
      <c r="U225" s="594">
        <f t="shared" si="151"/>
        <v>-1</v>
      </c>
      <c r="V225" s="594">
        <f t="shared" si="152"/>
        <v>0</v>
      </c>
      <c r="W225" s="594">
        <f t="shared" si="153"/>
        <v>0</v>
      </c>
      <c r="X225" s="594">
        <f t="shared" si="154"/>
        <v>0</v>
      </c>
      <c r="Y225" s="594">
        <f t="shared" si="155"/>
        <v>0</v>
      </c>
    </row>
    <row r="226" spans="2:25" outlineLevel="1">
      <c r="B226" s="562" t="s">
        <v>239</v>
      </c>
      <c r="C226" s="562" t="s">
        <v>430</v>
      </c>
      <c r="D226" s="572" t="s">
        <v>1971</v>
      </c>
      <c r="E226" s="664">
        <v>0</v>
      </c>
      <c r="F226" s="664"/>
      <c r="G226" s="665">
        <v>0</v>
      </c>
      <c r="H226" s="670"/>
      <c r="I226" s="665">
        <v>1380110.68</v>
      </c>
      <c r="J226" s="665">
        <v>1067830.27</v>
      </c>
      <c r="K226" s="588"/>
      <c r="L226" s="588"/>
      <c r="M226" s="588"/>
      <c r="N226" s="588"/>
      <c r="O226" s="588"/>
      <c r="Q226" s="594">
        <f t="shared" si="147"/>
        <v>0</v>
      </c>
      <c r="R226" s="594">
        <f t="shared" si="148"/>
        <v>0</v>
      </c>
      <c r="S226" s="594">
        <f t="shared" si="149"/>
        <v>0</v>
      </c>
      <c r="T226" s="594">
        <f t="shared" si="150"/>
        <v>0</v>
      </c>
      <c r="U226" s="594">
        <f t="shared" si="151"/>
        <v>-1</v>
      </c>
      <c r="V226" s="594">
        <f t="shared" si="152"/>
        <v>0</v>
      </c>
      <c r="W226" s="594">
        <f t="shared" si="153"/>
        <v>0</v>
      </c>
      <c r="X226" s="594">
        <f t="shared" si="154"/>
        <v>0</v>
      </c>
      <c r="Y226" s="594">
        <f t="shared" si="155"/>
        <v>0</v>
      </c>
    </row>
    <row r="227" spans="2:25" outlineLevel="1">
      <c r="B227" s="562" t="s">
        <v>239</v>
      </c>
      <c r="C227" s="562" t="s">
        <v>430</v>
      </c>
      <c r="D227" s="572" t="s">
        <v>1972</v>
      </c>
      <c r="E227" s="664">
        <v>463482.14</v>
      </c>
      <c r="F227" s="664">
        <v>273349.28999999998</v>
      </c>
      <c r="G227" s="665">
        <v>428885.94</v>
      </c>
      <c r="H227" s="670"/>
      <c r="I227" s="665">
        <v>7945.49</v>
      </c>
      <c r="J227" s="665">
        <v>680467.33</v>
      </c>
      <c r="K227" s="588"/>
      <c r="L227" s="588"/>
      <c r="M227" s="588"/>
      <c r="N227" s="588"/>
      <c r="O227" s="588"/>
      <c r="Q227" s="594">
        <f t="shared" si="147"/>
        <v>-0.41022691834468539</v>
      </c>
      <c r="R227" s="594">
        <f t="shared" si="148"/>
        <v>0.56900330708742652</v>
      </c>
      <c r="S227" s="594">
        <f t="shared" si="149"/>
        <v>-1</v>
      </c>
      <c r="T227" s="594">
        <f t="shared" si="150"/>
        <v>0</v>
      </c>
      <c r="U227" s="594">
        <f t="shared" si="151"/>
        <v>-1</v>
      </c>
      <c r="V227" s="594">
        <f t="shared" si="152"/>
        <v>0</v>
      </c>
      <c r="W227" s="594">
        <f t="shared" si="153"/>
        <v>0</v>
      </c>
      <c r="X227" s="594">
        <f t="shared" si="154"/>
        <v>0</v>
      </c>
      <c r="Y227" s="594">
        <f t="shared" si="155"/>
        <v>0</v>
      </c>
    </row>
    <row r="228" spans="2:25" outlineLevel="1">
      <c r="B228" s="562" t="s">
        <v>239</v>
      </c>
      <c r="C228" s="562" t="s">
        <v>430</v>
      </c>
      <c r="D228" s="572" t="s">
        <v>3743</v>
      </c>
      <c r="E228" s="664">
        <v>101.84</v>
      </c>
      <c r="F228" s="664">
        <v>604.66999999999996</v>
      </c>
      <c r="G228" s="665">
        <v>6549.53</v>
      </c>
      <c r="H228" s="665">
        <v>21928.46</v>
      </c>
      <c r="I228" s="665">
        <v>5735.98</v>
      </c>
      <c r="J228" s="665">
        <v>27385.39</v>
      </c>
      <c r="K228" s="588"/>
      <c r="L228" s="588"/>
      <c r="M228" s="588"/>
      <c r="N228" s="588"/>
      <c r="O228" s="588"/>
      <c r="Q228" s="594">
        <f t="shared" si="147"/>
        <v>4.9374509033778473</v>
      </c>
      <c r="R228" s="594">
        <f t="shared" si="148"/>
        <v>9.8315775546992583</v>
      </c>
      <c r="S228" s="594">
        <f t="shared" si="149"/>
        <v>2.348096733658751</v>
      </c>
      <c r="T228" s="594">
        <f t="shared" si="150"/>
        <v>-0.73842303563496936</v>
      </c>
      <c r="U228" s="594">
        <f t="shared" si="151"/>
        <v>-1</v>
      </c>
      <c r="V228" s="594">
        <f t="shared" si="152"/>
        <v>0</v>
      </c>
      <c r="W228" s="594">
        <f t="shared" si="153"/>
        <v>0</v>
      </c>
      <c r="X228" s="594">
        <f t="shared" si="154"/>
        <v>0</v>
      </c>
      <c r="Y228" s="594">
        <f t="shared" si="155"/>
        <v>0</v>
      </c>
    </row>
    <row r="229" spans="2:25" outlineLevel="1">
      <c r="B229" s="562" t="s">
        <v>239</v>
      </c>
      <c r="C229" s="562" t="s">
        <v>430</v>
      </c>
      <c r="D229" s="572" t="s">
        <v>3744</v>
      </c>
      <c r="E229" s="664"/>
      <c r="F229" s="664"/>
      <c r="G229" s="665"/>
      <c r="H229" s="665"/>
      <c r="I229" s="665">
        <v>7108.02</v>
      </c>
      <c r="J229" s="665">
        <v>826.02</v>
      </c>
      <c r="K229" s="588"/>
      <c r="L229" s="588"/>
      <c r="M229" s="588"/>
      <c r="N229" s="588"/>
      <c r="O229" s="588"/>
      <c r="Q229" s="594"/>
      <c r="R229" s="594"/>
      <c r="S229" s="594"/>
      <c r="T229" s="594"/>
      <c r="U229" s="594"/>
      <c r="V229" s="594"/>
      <c r="W229" s="594"/>
      <c r="X229" s="594"/>
      <c r="Y229" s="594"/>
    </row>
    <row r="230" spans="2:25" outlineLevel="1">
      <c r="B230" s="562" t="s">
        <v>239</v>
      </c>
      <c r="C230" s="562" t="s">
        <v>430</v>
      </c>
      <c r="D230" s="572" t="s">
        <v>3745</v>
      </c>
      <c r="E230" s="664"/>
      <c r="F230" s="664"/>
      <c r="G230" s="665"/>
      <c r="H230" s="665"/>
      <c r="I230" s="665">
        <v>1053.47</v>
      </c>
      <c r="J230" s="665">
        <v>2702.16</v>
      </c>
      <c r="K230" s="588"/>
      <c r="L230" s="588"/>
      <c r="M230" s="588"/>
      <c r="N230" s="588"/>
      <c r="O230" s="588"/>
      <c r="Q230" s="594"/>
      <c r="R230" s="594"/>
      <c r="S230" s="594"/>
      <c r="T230" s="594"/>
      <c r="U230" s="594"/>
      <c r="V230" s="594"/>
      <c r="W230" s="594"/>
      <c r="X230" s="594"/>
      <c r="Y230" s="594"/>
    </row>
    <row r="231" spans="2:25" outlineLevel="1">
      <c r="B231" s="562" t="s">
        <v>239</v>
      </c>
      <c r="C231" s="562" t="s">
        <v>430</v>
      </c>
      <c r="D231" s="572" t="s">
        <v>2377</v>
      </c>
      <c r="E231" s="664">
        <v>0</v>
      </c>
      <c r="F231" s="664">
        <v>3063.93</v>
      </c>
      <c r="G231" s="665">
        <v>114373.75999999999</v>
      </c>
      <c r="H231" s="665"/>
      <c r="I231" s="665">
        <v>0</v>
      </c>
      <c r="J231" s="665">
        <v>0</v>
      </c>
      <c r="K231" s="588"/>
      <c r="L231" s="588"/>
      <c r="M231" s="588"/>
      <c r="N231" s="588"/>
      <c r="O231" s="588"/>
      <c r="Q231" s="594">
        <f t="shared" si="147"/>
        <v>0</v>
      </c>
      <c r="R231" s="594">
        <f t="shared" si="148"/>
        <v>36.329103471685059</v>
      </c>
      <c r="S231" s="594">
        <f t="shared" si="149"/>
        <v>-1</v>
      </c>
      <c r="T231" s="594">
        <f t="shared" si="150"/>
        <v>0</v>
      </c>
      <c r="U231" s="594">
        <f t="shared" si="151"/>
        <v>0</v>
      </c>
      <c r="V231" s="594">
        <f t="shared" si="152"/>
        <v>0</v>
      </c>
      <c r="W231" s="594">
        <f t="shared" si="153"/>
        <v>0</v>
      </c>
      <c r="X231" s="594">
        <f t="shared" si="154"/>
        <v>0</v>
      </c>
      <c r="Y231" s="594">
        <f t="shared" si="155"/>
        <v>0</v>
      </c>
    </row>
    <row r="232" spans="2:25" outlineLevel="1">
      <c r="B232" s="562" t="s">
        <v>239</v>
      </c>
      <c r="C232" s="562" t="s">
        <v>430</v>
      </c>
      <c r="D232" s="572" t="s">
        <v>2378</v>
      </c>
      <c r="E232" s="664">
        <v>49169.46</v>
      </c>
      <c r="F232" s="664">
        <v>254374.19</v>
      </c>
      <c r="G232" s="665">
        <v>30990.53</v>
      </c>
      <c r="H232" s="665"/>
      <c r="I232" s="665">
        <v>0</v>
      </c>
      <c r="J232" s="665">
        <v>0</v>
      </c>
      <c r="K232" s="588"/>
      <c r="L232" s="588"/>
      <c r="M232" s="588"/>
      <c r="N232" s="588"/>
      <c r="O232" s="588"/>
      <c r="Q232" s="594">
        <f t="shared" si="147"/>
        <v>4.1734184186688239</v>
      </c>
      <c r="R232" s="594">
        <f t="shared" si="148"/>
        <v>-0.87816951869212834</v>
      </c>
      <c r="S232" s="594">
        <f t="shared" si="149"/>
        <v>-1</v>
      </c>
      <c r="T232" s="594">
        <f t="shared" si="150"/>
        <v>0</v>
      </c>
      <c r="U232" s="594">
        <f t="shared" si="151"/>
        <v>0</v>
      </c>
      <c r="V232" s="594">
        <f t="shared" si="152"/>
        <v>0</v>
      </c>
      <c r="W232" s="594">
        <f t="shared" si="153"/>
        <v>0</v>
      </c>
      <c r="X232" s="594">
        <f t="shared" si="154"/>
        <v>0</v>
      </c>
      <c r="Y232" s="594">
        <f t="shared" si="155"/>
        <v>0</v>
      </c>
    </row>
    <row r="233" spans="2:25" outlineLevel="1">
      <c r="B233" s="562" t="s">
        <v>239</v>
      </c>
      <c r="C233" s="562" t="s">
        <v>430</v>
      </c>
      <c r="D233" s="572" t="s">
        <v>2379</v>
      </c>
      <c r="E233" s="664">
        <v>2755.93</v>
      </c>
      <c r="F233" s="664">
        <v>1064.44</v>
      </c>
      <c r="G233" s="665">
        <v>0</v>
      </c>
      <c r="H233" s="665"/>
      <c r="I233" s="665">
        <v>0</v>
      </c>
      <c r="J233" s="665">
        <v>0</v>
      </c>
      <c r="K233" s="588"/>
      <c r="L233" s="588"/>
      <c r="M233" s="588"/>
      <c r="N233" s="588"/>
      <c r="O233" s="588"/>
      <c r="Q233" s="594">
        <f t="shared" si="147"/>
        <v>-0.61376377484188638</v>
      </c>
      <c r="R233" s="594">
        <f t="shared" si="148"/>
        <v>-1</v>
      </c>
      <c r="S233" s="594">
        <f t="shared" si="149"/>
        <v>0</v>
      </c>
      <c r="T233" s="594">
        <f t="shared" si="150"/>
        <v>0</v>
      </c>
      <c r="U233" s="594">
        <f t="shared" si="151"/>
        <v>0</v>
      </c>
      <c r="V233" s="594">
        <f t="shared" si="152"/>
        <v>0</v>
      </c>
      <c r="W233" s="594">
        <f t="shared" si="153"/>
        <v>0</v>
      </c>
      <c r="X233" s="594">
        <f t="shared" si="154"/>
        <v>0</v>
      </c>
      <c r="Y233" s="594">
        <f t="shared" si="155"/>
        <v>0</v>
      </c>
    </row>
    <row r="234" spans="2:25" outlineLevel="1">
      <c r="B234" s="562" t="s">
        <v>239</v>
      </c>
      <c r="C234" s="562" t="s">
        <v>430</v>
      </c>
      <c r="D234" s="572" t="s">
        <v>2380</v>
      </c>
      <c r="E234" s="664">
        <v>484.11</v>
      </c>
      <c r="F234" s="664">
        <v>12886.88</v>
      </c>
      <c r="G234" s="665">
        <v>4501.62</v>
      </c>
      <c r="H234" s="665"/>
      <c r="I234" s="665">
        <v>0</v>
      </c>
      <c r="J234" s="665">
        <v>0</v>
      </c>
      <c r="K234" s="588"/>
      <c r="L234" s="588"/>
      <c r="M234" s="588"/>
      <c r="N234" s="588"/>
      <c r="O234" s="588"/>
      <c r="Q234" s="594">
        <f t="shared" si="147"/>
        <v>25.619735184152361</v>
      </c>
      <c r="R234" s="594">
        <f t="shared" si="148"/>
        <v>-0.65068193387383133</v>
      </c>
      <c r="S234" s="594">
        <f t="shared" si="149"/>
        <v>-1</v>
      </c>
      <c r="T234" s="594">
        <f t="shared" si="150"/>
        <v>0</v>
      </c>
      <c r="U234" s="594">
        <f t="shared" si="151"/>
        <v>0</v>
      </c>
      <c r="V234" s="594">
        <f t="shared" si="152"/>
        <v>0</v>
      </c>
      <c r="W234" s="594">
        <f t="shared" si="153"/>
        <v>0</v>
      </c>
      <c r="X234" s="594">
        <f t="shared" si="154"/>
        <v>0</v>
      </c>
      <c r="Y234" s="594">
        <f t="shared" si="155"/>
        <v>0</v>
      </c>
    </row>
    <row r="235" spans="2:25" outlineLevel="1">
      <c r="B235" s="562" t="s">
        <v>239</v>
      </c>
      <c r="C235" s="562" t="s">
        <v>430</v>
      </c>
      <c r="D235" s="572" t="s">
        <v>2381</v>
      </c>
      <c r="E235" s="664">
        <v>4644.7</v>
      </c>
      <c r="F235" s="664">
        <v>52801.440000000002</v>
      </c>
      <c r="G235" s="665">
        <v>1268.7</v>
      </c>
      <c r="H235" s="665"/>
      <c r="I235" s="665">
        <v>0</v>
      </c>
      <c r="J235" s="665">
        <v>0</v>
      </c>
      <c r="K235" s="588"/>
      <c r="L235" s="588"/>
      <c r="M235" s="588"/>
      <c r="N235" s="588"/>
      <c r="O235" s="588"/>
      <c r="Q235" s="594">
        <f t="shared" si="147"/>
        <v>10.368105582707173</v>
      </c>
      <c r="R235" s="594">
        <f t="shared" si="148"/>
        <v>-0.97597224621146694</v>
      </c>
      <c r="S235" s="594">
        <f t="shared" si="149"/>
        <v>-1</v>
      </c>
      <c r="T235" s="594">
        <f t="shared" si="150"/>
        <v>0</v>
      </c>
      <c r="U235" s="594">
        <f t="shared" si="151"/>
        <v>0</v>
      </c>
      <c r="V235" s="594">
        <f t="shared" si="152"/>
        <v>0</v>
      </c>
      <c r="W235" s="594">
        <f t="shared" si="153"/>
        <v>0</v>
      </c>
      <c r="X235" s="594">
        <f t="shared" si="154"/>
        <v>0</v>
      </c>
      <c r="Y235" s="594">
        <f t="shared" si="155"/>
        <v>0</v>
      </c>
    </row>
    <row r="236" spans="2:25" outlineLevel="1">
      <c r="B236" s="562" t="s">
        <v>239</v>
      </c>
      <c r="C236" s="562" t="s">
        <v>430</v>
      </c>
      <c r="D236" s="572" t="s">
        <v>4124</v>
      </c>
      <c r="E236" s="664"/>
      <c r="F236" s="664"/>
      <c r="G236" s="665"/>
      <c r="H236" s="665"/>
      <c r="I236" s="665"/>
      <c r="J236" s="665">
        <v>250923.03</v>
      </c>
      <c r="K236" s="588"/>
      <c r="L236" s="588"/>
      <c r="M236" s="588"/>
      <c r="N236" s="588"/>
      <c r="O236" s="588"/>
      <c r="Q236" s="594"/>
      <c r="R236" s="594"/>
      <c r="S236" s="594"/>
      <c r="T236" s="594"/>
      <c r="U236" s="594"/>
      <c r="V236" s="594"/>
      <c r="W236" s="594"/>
      <c r="X236" s="594"/>
      <c r="Y236" s="594"/>
    </row>
    <row r="237" spans="2:25" outlineLevel="1">
      <c r="B237" s="562" t="s">
        <v>239</v>
      </c>
      <c r="C237" s="562" t="s">
        <v>430</v>
      </c>
      <c r="D237" s="572" t="s">
        <v>4125</v>
      </c>
      <c r="E237" s="664"/>
      <c r="F237" s="664"/>
      <c r="G237" s="665"/>
      <c r="H237" s="665"/>
      <c r="I237" s="665"/>
      <c r="J237" s="665">
        <v>875.72</v>
      </c>
      <c r="K237" s="588"/>
      <c r="L237" s="588"/>
      <c r="M237" s="588"/>
      <c r="N237" s="588"/>
      <c r="O237" s="588"/>
      <c r="Q237" s="594"/>
      <c r="R237" s="594"/>
      <c r="S237" s="594"/>
      <c r="T237" s="594"/>
      <c r="U237" s="594"/>
      <c r="V237" s="594"/>
      <c r="W237" s="594"/>
      <c r="X237" s="594"/>
      <c r="Y237" s="594"/>
    </row>
    <row r="238" spans="2:25" outlineLevel="1">
      <c r="B238" s="562" t="s">
        <v>239</v>
      </c>
      <c r="C238" s="562" t="s">
        <v>430</v>
      </c>
      <c r="D238" s="572" t="s">
        <v>4126</v>
      </c>
      <c r="E238" s="664"/>
      <c r="F238" s="664"/>
      <c r="G238" s="665"/>
      <c r="H238" s="665"/>
      <c r="I238" s="665"/>
      <c r="J238" s="665">
        <v>262.16000000000003</v>
      </c>
      <c r="K238" s="588"/>
      <c r="L238" s="588"/>
      <c r="M238" s="588"/>
      <c r="N238" s="588"/>
      <c r="O238" s="588"/>
      <c r="Q238" s="594"/>
      <c r="R238" s="594"/>
      <c r="S238" s="594"/>
      <c r="T238" s="594"/>
      <c r="U238" s="594"/>
      <c r="V238" s="594"/>
      <c r="W238" s="594"/>
      <c r="X238" s="594"/>
      <c r="Y238" s="594"/>
    </row>
    <row r="239" spans="2:25" outlineLevel="1">
      <c r="B239" s="562" t="s">
        <v>239</v>
      </c>
      <c r="C239" s="562" t="s">
        <v>430</v>
      </c>
      <c r="D239" s="572" t="s">
        <v>4127</v>
      </c>
      <c r="E239" s="664"/>
      <c r="F239" s="664"/>
      <c r="G239" s="665"/>
      <c r="H239" s="665"/>
      <c r="I239" s="665"/>
      <c r="J239" s="665">
        <v>1057.4000000000001</v>
      </c>
      <c r="K239" s="588"/>
      <c r="L239" s="588"/>
      <c r="M239" s="588"/>
      <c r="N239" s="588"/>
      <c r="O239" s="588"/>
      <c r="Q239" s="594"/>
      <c r="R239" s="594"/>
      <c r="S239" s="594"/>
      <c r="T239" s="594"/>
      <c r="U239" s="594"/>
      <c r="V239" s="594"/>
      <c r="W239" s="594"/>
      <c r="X239" s="594"/>
      <c r="Y239" s="594"/>
    </row>
    <row r="240" spans="2:25" outlineLevel="1">
      <c r="B240" s="562" t="s">
        <v>239</v>
      </c>
      <c r="C240" s="562" t="s">
        <v>430</v>
      </c>
      <c r="D240" s="572" t="s">
        <v>4128</v>
      </c>
      <c r="E240" s="664"/>
      <c r="F240" s="664"/>
      <c r="G240" s="665"/>
      <c r="H240" s="665"/>
      <c r="I240" s="665"/>
      <c r="J240" s="665">
        <v>460.28</v>
      </c>
      <c r="K240" s="588"/>
      <c r="L240" s="588"/>
      <c r="M240" s="588"/>
      <c r="N240" s="588"/>
      <c r="O240" s="588"/>
      <c r="Q240" s="594"/>
      <c r="R240" s="594"/>
      <c r="S240" s="594"/>
      <c r="T240" s="594"/>
      <c r="U240" s="594"/>
      <c r="V240" s="594"/>
      <c r="W240" s="594"/>
      <c r="X240" s="594"/>
      <c r="Y240" s="594"/>
    </row>
    <row r="241" spans="2:25" outlineLevel="1">
      <c r="B241" s="562" t="s">
        <v>239</v>
      </c>
      <c r="C241" s="562" t="s">
        <v>430</v>
      </c>
      <c r="D241" s="572" t="s">
        <v>4129</v>
      </c>
      <c r="E241" s="664"/>
      <c r="F241" s="664"/>
      <c r="G241" s="665"/>
      <c r="H241" s="665"/>
      <c r="I241" s="665"/>
      <c r="J241" s="665">
        <v>4.25</v>
      </c>
      <c r="K241" s="588"/>
      <c r="L241" s="588"/>
      <c r="M241" s="588"/>
      <c r="N241" s="588"/>
      <c r="O241" s="588"/>
      <c r="Q241" s="594"/>
      <c r="R241" s="594"/>
      <c r="S241" s="594"/>
      <c r="T241" s="594"/>
      <c r="U241" s="594"/>
      <c r="V241" s="594"/>
      <c r="W241" s="594"/>
      <c r="X241" s="594"/>
      <c r="Y241" s="594"/>
    </row>
    <row r="242" spans="2:25" outlineLevel="1">
      <c r="B242" s="562" t="s">
        <v>239</v>
      </c>
      <c r="C242" s="562" t="s">
        <v>430</v>
      </c>
      <c r="D242" s="572" t="s">
        <v>4130</v>
      </c>
      <c r="E242" s="664"/>
      <c r="F242" s="664"/>
      <c r="G242" s="665"/>
      <c r="H242" s="665"/>
      <c r="I242" s="665"/>
      <c r="J242" s="665">
        <v>751.43</v>
      </c>
      <c r="K242" s="588"/>
      <c r="L242" s="588"/>
      <c r="M242" s="588"/>
      <c r="N242" s="588"/>
      <c r="O242" s="588"/>
      <c r="Q242" s="594"/>
      <c r="R242" s="594"/>
      <c r="S242" s="594"/>
      <c r="T242" s="594"/>
      <c r="U242" s="594"/>
      <c r="V242" s="594"/>
      <c r="W242" s="594"/>
      <c r="X242" s="594"/>
      <c r="Y242" s="594"/>
    </row>
    <row r="243" spans="2:25" outlineLevel="1">
      <c r="B243" s="562" t="s">
        <v>239</v>
      </c>
      <c r="C243" s="562" t="s">
        <v>430</v>
      </c>
      <c r="D243" s="572" t="s">
        <v>4131</v>
      </c>
      <c r="E243" s="664"/>
      <c r="F243" s="664"/>
      <c r="G243" s="665"/>
      <c r="H243" s="665"/>
      <c r="I243" s="665"/>
      <c r="J243" s="665">
        <v>168.27</v>
      </c>
      <c r="K243" s="588"/>
      <c r="L243" s="588"/>
      <c r="M243" s="588"/>
      <c r="N243" s="588"/>
      <c r="O243" s="588"/>
      <c r="Q243" s="594"/>
      <c r="R243" s="594"/>
      <c r="S243" s="594"/>
      <c r="T243" s="594"/>
      <c r="U243" s="594"/>
      <c r="V243" s="594"/>
      <c r="W243" s="594"/>
      <c r="X243" s="594"/>
      <c r="Y243" s="594"/>
    </row>
    <row r="244" spans="2:25" outlineLevel="1">
      <c r="B244" s="562" t="s">
        <v>239</v>
      </c>
      <c r="C244" s="562" t="s">
        <v>430</v>
      </c>
      <c r="D244" s="572" t="s">
        <v>4132</v>
      </c>
      <c r="E244" s="664"/>
      <c r="F244" s="664"/>
      <c r="G244" s="665"/>
      <c r="H244" s="665"/>
      <c r="I244" s="665"/>
      <c r="J244" s="665">
        <v>0.73</v>
      </c>
      <c r="K244" s="588"/>
      <c r="L244" s="588"/>
      <c r="M244" s="588"/>
      <c r="N244" s="588"/>
      <c r="O244" s="588"/>
      <c r="Q244" s="594"/>
      <c r="R244" s="594"/>
      <c r="S244" s="594"/>
      <c r="T244" s="594"/>
      <c r="U244" s="594"/>
      <c r="V244" s="594"/>
      <c r="W244" s="594"/>
      <c r="X244" s="594"/>
      <c r="Y244" s="594"/>
    </row>
    <row r="245" spans="2:25" outlineLevel="1">
      <c r="B245" s="562" t="s">
        <v>239</v>
      </c>
      <c r="C245" s="562" t="s">
        <v>430</v>
      </c>
      <c r="D245" s="572" t="s">
        <v>4133</v>
      </c>
      <c r="E245" s="664"/>
      <c r="F245" s="664"/>
      <c r="G245" s="665"/>
      <c r="H245" s="665"/>
      <c r="I245" s="665"/>
      <c r="J245" s="665">
        <v>581.86</v>
      </c>
      <c r="K245" s="588"/>
      <c r="L245" s="588"/>
      <c r="M245" s="588"/>
      <c r="N245" s="588"/>
      <c r="O245" s="588"/>
      <c r="Q245" s="594"/>
      <c r="R245" s="594"/>
      <c r="S245" s="594"/>
      <c r="T245" s="594"/>
      <c r="U245" s="594"/>
      <c r="V245" s="594"/>
      <c r="W245" s="594"/>
      <c r="X245" s="594"/>
      <c r="Y245" s="594"/>
    </row>
    <row r="246" spans="2:25" outlineLevel="1">
      <c r="B246" s="562" t="s">
        <v>239</v>
      </c>
      <c r="C246" s="562" t="s">
        <v>430</v>
      </c>
      <c r="D246" s="572" t="s">
        <v>4134</v>
      </c>
      <c r="E246" s="664"/>
      <c r="F246" s="664"/>
      <c r="G246" s="665"/>
      <c r="H246" s="665"/>
      <c r="I246" s="665"/>
      <c r="J246" s="665">
        <v>424014.89</v>
      </c>
      <c r="K246" s="588"/>
      <c r="L246" s="588"/>
      <c r="M246" s="588"/>
      <c r="N246" s="588"/>
      <c r="O246" s="588"/>
      <c r="Q246" s="594"/>
      <c r="R246" s="594"/>
      <c r="S246" s="594"/>
      <c r="T246" s="594"/>
      <c r="U246" s="594"/>
      <c r="V246" s="594"/>
      <c r="W246" s="594"/>
      <c r="X246" s="594"/>
      <c r="Y246" s="594"/>
    </row>
    <row r="247" spans="2:25" outlineLevel="1">
      <c r="B247" s="562" t="s">
        <v>239</v>
      </c>
      <c r="C247" s="562" t="s">
        <v>430</v>
      </c>
      <c r="D247" s="572" t="s">
        <v>4135</v>
      </c>
      <c r="E247" s="664"/>
      <c r="F247" s="664"/>
      <c r="G247" s="665"/>
      <c r="H247" s="665"/>
      <c r="I247" s="665"/>
      <c r="J247" s="665">
        <v>24318.52</v>
      </c>
      <c r="K247" s="588"/>
      <c r="L247" s="588"/>
      <c r="M247" s="588"/>
      <c r="N247" s="588"/>
      <c r="O247" s="588"/>
      <c r="Q247" s="594"/>
      <c r="R247" s="594"/>
      <c r="S247" s="594"/>
      <c r="T247" s="594"/>
      <c r="U247" s="594"/>
      <c r="V247" s="594"/>
      <c r="W247" s="594"/>
      <c r="X247" s="594"/>
      <c r="Y247" s="594"/>
    </row>
    <row r="248" spans="2:25" outlineLevel="1">
      <c r="B248" s="562" t="s">
        <v>239</v>
      </c>
      <c r="C248" s="562" t="s">
        <v>430</v>
      </c>
      <c r="D248" s="572" t="s">
        <v>4136</v>
      </c>
      <c r="E248" s="664"/>
      <c r="F248" s="664"/>
      <c r="G248" s="665"/>
      <c r="H248" s="665"/>
      <c r="I248" s="665"/>
      <c r="J248" s="665">
        <v>561330.84</v>
      </c>
      <c r="K248" s="588"/>
      <c r="L248" s="588"/>
      <c r="M248" s="588"/>
      <c r="N248" s="588"/>
      <c r="O248" s="588"/>
      <c r="Q248" s="594"/>
      <c r="R248" s="594"/>
      <c r="S248" s="594"/>
      <c r="T248" s="594"/>
      <c r="U248" s="594"/>
      <c r="V248" s="594"/>
      <c r="W248" s="594"/>
      <c r="X248" s="594"/>
      <c r="Y248" s="594"/>
    </row>
    <row r="249" spans="2:25" outlineLevel="1">
      <c r="B249" s="562" t="s">
        <v>239</v>
      </c>
      <c r="C249" s="562" t="s">
        <v>430</v>
      </c>
      <c r="D249" s="572" t="s">
        <v>4137</v>
      </c>
      <c r="E249" s="664"/>
      <c r="F249" s="664"/>
      <c r="G249" s="665"/>
      <c r="H249" s="665"/>
      <c r="I249" s="665"/>
      <c r="J249" s="665">
        <v>103389.67</v>
      </c>
      <c r="K249" s="588"/>
      <c r="L249" s="588"/>
      <c r="M249" s="588"/>
      <c r="N249" s="588"/>
      <c r="O249" s="588"/>
      <c r="Q249" s="594"/>
      <c r="R249" s="594"/>
      <c r="S249" s="594"/>
      <c r="T249" s="594"/>
      <c r="U249" s="594"/>
      <c r="V249" s="594"/>
      <c r="W249" s="594"/>
      <c r="X249" s="594"/>
      <c r="Y249" s="594"/>
    </row>
    <row r="250" spans="2:25" outlineLevel="1">
      <c r="B250" s="562" t="s">
        <v>239</v>
      </c>
      <c r="C250" s="562" t="s">
        <v>430</v>
      </c>
      <c r="D250" s="572" t="s">
        <v>4138</v>
      </c>
      <c r="E250" s="664"/>
      <c r="F250" s="664"/>
      <c r="G250" s="665"/>
      <c r="H250" s="665"/>
      <c r="I250" s="665"/>
      <c r="J250" s="665">
        <v>111.51</v>
      </c>
      <c r="K250" s="588"/>
      <c r="L250" s="588"/>
      <c r="M250" s="588"/>
      <c r="N250" s="588"/>
      <c r="O250" s="588"/>
      <c r="Q250" s="594"/>
      <c r="R250" s="594"/>
      <c r="S250" s="594"/>
      <c r="T250" s="594"/>
      <c r="U250" s="594"/>
      <c r="V250" s="594"/>
      <c r="W250" s="594"/>
      <c r="X250" s="594"/>
      <c r="Y250" s="594"/>
    </row>
    <row r="251" spans="2:25" outlineLevel="1">
      <c r="B251" s="562" t="s">
        <v>239</v>
      </c>
      <c r="C251" s="562" t="s">
        <v>430</v>
      </c>
      <c r="D251" s="572" t="s">
        <v>1973</v>
      </c>
      <c r="E251" s="664">
        <v>2351.88</v>
      </c>
      <c r="F251" s="664">
        <v>2596.34</v>
      </c>
      <c r="G251" s="665">
        <v>48.63</v>
      </c>
      <c r="H251" s="665">
        <v>2053.41</v>
      </c>
      <c r="I251" s="665">
        <v>1710.28</v>
      </c>
      <c r="J251" s="665">
        <v>4837.76</v>
      </c>
      <c r="K251" s="588"/>
      <c r="L251" s="588"/>
      <c r="M251" s="588"/>
      <c r="N251" s="588"/>
      <c r="O251" s="588"/>
      <c r="Q251" s="594">
        <f t="shared" si="147"/>
        <v>0.10394237801248374</v>
      </c>
      <c r="R251" s="594">
        <f t="shared" si="148"/>
        <v>-0.981269787470054</v>
      </c>
      <c r="S251" s="594">
        <f t="shared" si="149"/>
        <v>41.225169648365203</v>
      </c>
      <c r="T251" s="594">
        <f t="shared" si="150"/>
        <v>-0.16710252701603667</v>
      </c>
      <c r="U251" s="594">
        <f t="shared" si="151"/>
        <v>-1</v>
      </c>
      <c r="V251" s="594">
        <f t="shared" si="152"/>
        <v>0</v>
      </c>
      <c r="W251" s="594">
        <f t="shared" si="153"/>
        <v>0</v>
      </c>
      <c r="X251" s="594">
        <f t="shared" si="154"/>
        <v>0</v>
      </c>
      <c r="Y251" s="594">
        <f t="shared" si="155"/>
        <v>0</v>
      </c>
    </row>
    <row r="252" spans="2:25" outlineLevel="1">
      <c r="D252" s="569" t="s">
        <v>1974</v>
      </c>
      <c r="E252" s="662"/>
      <c r="F252" s="662"/>
      <c r="G252" s="667"/>
      <c r="H252" s="667">
        <v>889291.17</v>
      </c>
      <c r="I252" s="667">
        <v>4152974.5700000003</v>
      </c>
      <c r="J252" s="667">
        <v>5526011.8199999994</v>
      </c>
      <c r="K252" s="549"/>
      <c r="L252" s="549"/>
      <c r="M252" s="549"/>
      <c r="N252" s="549"/>
      <c r="O252" s="549"/>
    </row>
    <row r="253" spans="2:25" outlineLevel="1">
      <c r="B253" s="562" t="s">
        <v>239</v>
      </c>
      <c r="C253" s="562" t="s">
        <v>430</v>
      </c>
      <c r="D253" s="572" t="s">
        <v>1975</v>
      </c>
      <c r="E253" s="664">
        <v>5733.39</v>
      </c>
      <c r="F253" s="664">
        <v>2339.88</v>
      </c>
      <c r="G253" s="665">
        <v>2670.07</v>
      </c>
      <c r="H253" s="665">
        <v>5161.6400000000003</v>
      </c>
      <c r="I253" s="665">
        <v>547.01</v>
      </c>
      <c r="J253" s="665">
        <v>539.39</v>
      </c>
      <c r="K253" s="588"/>
      <c r="L253" s="588"/>
      <c r="M253" s="588"/>
      <c r="N253" s="588"/>
      <c r="O253" s="588"/>
      <c r="Q253" s="594">
        <f t="shared" ref="Q253" si="156">+IFERROR(F253/E253-1,0)</f>
        <v>-0.59188542903936414</v>
      </c>
      <c r="R253" s="594">
        <f t="shared" ref="R253" si="157">+IFERROR(G253/F253-1,0)</f>
        <v>0.14111407422602862</v>
      </c>
      <c r="S253" s="594">
        <f t="shared" ref="S253" si="158">+IFERROR(H253/G253-1,0)</f>
        <v>0.93314782009460417</v>
      </c>
      <c r="T253" s="594">
        <f t="shared" ref="T253" si="159">+IFERROR(I253/H253-1,0)</f>
        <v>-0.89402399237451657</v>
      </c>
      <c r="U253" s="594">
        <f t="shared" ref="U253" si="160">+IFERROR(K253/I253-1,0)</f>
        <v>-1</v>
      </c>
      <c r="V253" s="594">
        <f t="shared" ref="V253" si="161">+IFERROR(L253/K253-1,0)</f>
        <v>0</v>
      </c>
      <c r="W253" s="594">
        <f t="shared" ref="W253" si="162">+IFERROR(M253/L253-1,0)</f>
        <v>0</v>
      </c>
      <c r="X253" s="594">
        <f t="shared" ref="X253" si="163">+IFERROR(N253/M253-1,0)</f>
        <v>0</v>
      </c>
      <c r="Y253" s="594">
        <f t="shared" ref="Y253" si="164">+IFERROR(O253/N253-1,0)</f>
        <v>0</v>
      </c>
    </row>
    <row r="254" spans="2:25" outlineLevel="1">
      <c r="B254" s="562" t="s">
        <v>239</v>
      </c>
      <c r="C254" s="562" t="s">
        <v>430</v>
      </c>
      <c r="D254" s="572" t="s">
        <v>4139</v>
      </c>
      <c r="E254" s="664"/>
      <c r="F254" s="664"/>
      <c r="G254" s="665"/>
      <c r="H254" s="665"/>
      <c r="I254" s="665"/>
      <c r="J254" s="665">
        <v>2</v>
      </c>
      <c r="K254" s="588"/>
      <c r="L254" s="588"/>
      <c r="M254" s="588"/>
      <c r="N254" s="588"/>
      <c r="O254" s="588"/>
      <c r="Q254" s="1034"/>
      <c r="R254" s="1034"/>
      <c r="S254" s="1034"/>
      <c r="T254" s="1034"/>
      <c r="U254" s="1034"/>
      <c r="V254" s="1034"/>
      <c r="W254" s="1034"/>
      <c r="X254" s="1034"/>
      <c r="Y254" s="1034"/>
    </row>
    <row r="255" spans="2:25" outlineLevel="1">
      <c r="D255" s="569" t="s">
        <v>1976</v>
      </c>
      <c r="E255" s="662"/>
      <c r="F255" s="662"/>
      <c r="G255" s="667"/>
      <c r="H255" s="667">
        <f t="shared" ref="H255" si="165">+H253+H254</f>
        <v>5161.6400000000003</v>
      </c>
      <c r="I255" s="667">
        <v>547.01</v>
      </c>
      <c r="J255" s="667">
        <v>541.39</v>
      </c>
      <c r="K255" s="551"/>
      <c r="L255" s="551"/>
      <c r="M255" s="551"/>
      <c r="N255" s="551"/>
      <c r="O255" s="551"/>
    </row>
    <row r="256" spans="2:25" outlineLevel="1">
      <c r="D256" s="573" t="s">
        <v>1977</v>
      </c>
      <c r="E256" s="668"/>
      <c r="F256" s="668"/>
      <c r="G256" s="669"/>
      <c r="H256" s="669">
        <v>894452.81</v>
      </c>
      <c r="I256" s="669">
        <v>4153521.58</v>
      </c>
      <c r="J256" s="669">
        <v>5526553.209999999</v>
      </c>
      <c r="K256" s="556"/>
      <c r="L256" s="556"/>
      <c r="M256" s="556"/>
      <c r="N256" s="556"/>
      <c r="O256" s="556"/>
    </row>
    <row r="257" spans="2:25" outlineLevel="1">
      <c r="D257" s="576" t="s">
        <v>1978</v>
      </c>
      <c r="E257" s="679"/>
      <c r="F257" s="679"/>
      <c r="G257" s="678"/>
      <c r="H257" s="678">
        <v>26482161.359999999</v>
      </c>
      <c r="I257" s="678">
        <v>42857725.659999996</v>
      </c>
      <c r="J257" s="678">
        <v>45746921.020000003</v>
      </c>
      <c r="K257" s="559"/>
      <c r="L257" s="559"/>
      <c r="M257" s="559"/>
      <c r="N257" s="559"/>
      <c r="O257" s="559"/>
    </row>
    <row r="258" spans="2:25" outlineLevel="1">
      <c r="D258" s="577"/>
      <c r="E258" s="680"/>
      <c r="F258" s="680"/>
      <c r="G258" s="657"/>
      <c r="H258" s="657"/>
      <c r="I258" s="657"/>
      <c r="J258" s="657"/>
      <c r="K258" s="547"/>
      <c r="L258" s="547"/>
      <c r="M258" s="547"/>
      <c r="N258" s="547"/>
      <c r="O258" s="547"/>
    </row>
    <row r="259" spans="2:25" outlineLevel="1">
      <c r="B259" s="562" t="s">
        <v>239</v>
      </c>
      <c r="C259" s="562" t="s">
        <v>2347</v>
      </c>
      <c r="D259" s="572" t="s">
        <v>3746</v>
      </c>
      <c r="E259" s="664">
        <v>0.14000000000000001</v>
      </c>
      <c r="F259" s="664"/>
      <c r="G259" s="665">
        <v>13080</v>
      </c>
      <c r="H259" s="665"/>
      <c r="I259" s="665">
        <v>48910.23</v>
      </c>
      <c r="J259" s="665">
        <v>48910.23</v>
      </c>
      <c r="K259" s="588"/>
      <c r="L259" s="588"/>
      <c r="M259" s="588"/>
      <c r="N259" s="588"/>
      <c r="O259" s="588"/>
      <c r="Q259" s="594">
        <f t="shared" ref="Q259:Q263" si="166">+IFERROR(F259/E259-1,0)</f>
        <v>-1</v>
      </c>
      <c r="R259" s="594">
        <f t="shared" ref="R259:R263" si="167">+IFERROR(G259/F259-1,0)</f>
        <v>0</v>
      </c>
      <c r="S259" s="594">
        <f t="shared" ref="S259:S263" si="168">+IFERROR(H259/G259-1,0)</f>
        <v>-1</v>
      </c>
      <c r="T259" s="594">
        <f t="shared" ref="T259:T263" si="169">+IFERROR(I259/H259-1,0)</f>
        <v>0</v>
      </c>
      <c r="U259" s="594">
        <f t="shared" ref="U259:U263" si="170">+IFERROR(K259/I259-1,0)</f>
        <v>-1</v>
      </c>
      <c r="V259" s="594">
        <f t="shared" ref="V259:V263" si="171">+IFERROR(L259/K259-1,0)</f>
        <v>0</v>
      </c>
      <c r="W259" s="594">
        <f t="shared" ref="W259:W263" si="172">+IFERROR(M259/L259-1,0)</f>
        <v>0</v>
      </c>
      <c r="X259" s="594">
        <f t="shared" ref="X259:X263" si="173">+IFERROR(N259/M259-1,0)</f>
        <v>0</v>
      </c>
      <c r="Y259" s="594">
        <f t="shared" ref="Y259:Y263" si="174">+IFERROR(O259/N259-1,0)</f>
        <v>0</v>
      </c>
    </row>
    <row r="260" spans="2:25" outlineLevel="1">
      <c r="B260" s="562" t="s">
        <v>239</v>
      </c>
      <c r="C260" s="562" t="s">
        <v>2347</v>
      </c>
      <c r="D260" s="572" t="s">
        <v>1979</v>
      </c>
      <c r="E260" s="664">
        <v>181637.17</v>
      </c>
      <c r="F260" s="664">
        <v>202057.13</v>
      </c>
      <c r="G260" s="665">
        <v>375629.44</v>
      </c>
      <c r="H260" s="665">
        <v>583973.56000000006</v>
      </c>
      <c r="I260" s="665">
        <v>477824.65</v>
      </c>
      <c r="J260" s="665">
        <v>916304.33</v>
      </c>
      <c r="K260" s="588"/>
      <c r="L260" s="588"/>
      <c r="M260" s="588"/>
      <c r="N260" s="588"/>
      <c r="O260" s="588"/>
      <c r="Q260" s="594">
        <f t="shared" si="166"/>
        <v>0.11242170311285959</v>
      </c>
      <c r="R260" s="594">
        <f t="shared" si="167"/>
        <v>0.85902591014729346</v>
      </c>
      <c r="S260" s="594">
        <f t="shared" si="168"/>
        <v>0.5546533306867536</v>
      </c>
      <c r="T260" s="594">
        <f t="shared" si="169"/>
        <v>-0.18177006164457177</v>
      </c>
      <c r="U260" s="594">
        <f t="shared" si="170"/>
        <v>-1</v>
      </c>
      <c r="V260" s="594">
        <f t="shared" si="171"/>
        <v>0</v>
      </c>
      <c r="W260" s="594">
        <f t="shared" si="172"/>
        <v>0</v>
      </c>
      <c r="X260" s="594">
        <f t="shared" si="173"/>
        <v>0</v>
      </c>
      <c r="Y260" s="594">
        <f t="shared" si="174"/>
        <v>0</v>
      </c>
    </row>
    <row r="261" spans="2:25" outlineLevel="1">
      <c r="B261" s="562" t="s">
        <v>239</v>
      </c>
      <c r="C261" s="562" t="s">
        <v>2347</v>
      </c>
      <c r="D261" s="572" t="s">
        <v>4140</v>
      </c>
      <c r="E261" s="664"/>
      <c r="F261" s="664"/>
      <c r="G261" s="665"/>
      <c r="H261" s="665"/>
      <c r="I261" s="665"/>
      <c r="J261" s="665">
        <v>0</v>
      </c>
      <c r="K261" s="588"/>
      <c r="L261" s="588"/>
      <c r="M261" s="588"/>
      <c r="N261" s="588"/>
      <c r="O261" s="588"/>
      <c r="Q261" s="594"/>
      <c r="R261" s="594"/>
      <c r="S261" s="594"/>
      <c r="T261" s="594"/>
      <c r="U261" s="594"/>
      <c r="V261" s="594"/>
      <c r="W261" s="594"/>
      <c r="X261" s="594"/>
      <c r="Y261" s="594"/>
    </row>
    <row r="262" spans="2:25" outlineLevel="1">
      <c r="B262" s="562" t="s">
        <v>239</v>
      </c>
      <c r="C262" s="562" t="s">
        <v>2347</v>
      </c>
      <c r="D262" s="572" t="s">
        <v>4141</v>
      </c>
      <c r="E262" s="664"/>
      <c r="F262" s="664"/>
      <c r="G262" s="665"/>
      <c r="H262" s="665"/>
      <c r="I262" s="665"/>
      <c r="J262" s="665">
        <v>75.39</v>
      </c>
      <c r="K262" s="588"/>
      <c r="L262" s="588"/>
      <c r="M262" s="588"/>
      <c r="N262" s="588"/>
      <c r="O262" s="588"/>
      <c r="Q262" s="594"/>
      <c r="R262" s="594"/>
      <c r="S262" s="594"/>
      <c r="T262" s="594"/>
      <c r="U262" s="594"/>
      <c r="V262" s="594"/>
      <c r="W262" s="594"/>
      <c r="X262" s="594"/>
      <c r="Y262" s="594"/>
    </row>
    <row r="263" spans="2:25" outlineLevel="1">
      <c r="B263" s="562" t="s">
        <v>239</v>
      </c>
      <c r="C263" s="562" t="s">
        <v>2347</v>
      </c>
      <c r="D263" s="572" t="s">
        <v>1980</v>
      </c>
      <c r="E263" s="664">
        <v>96086.58</v>
      </c>
      <c r="F263" s="664">
        <v>71721.86</v>
      </c>
      <c r="G263" s="665">
        <v>130507.42</v>
      </c>
      <c r="H263" s="665">
        <v>132393.87</v>
      </c>
      <c r="I263" s="665">
        <v>194057.76</v>
      </c>
      <c r="J263" s="665">
        <v>90</v>
      </c>
      <c r="K263" s="588"/>
      <c r="L263" s="588"/>
      <c r="M263" s="588"/>
      <c r="N263" s="588"/>
      <c r="O263" s="588"/>
      <c r="Q263" s="594">
        <f t="shared" si="166"/>
        <v>-0.25357047779200803</v>
      </c>
      <c r="R263" s="594">
        <f t="shared" si="167"/>
        <v>0.81963239659428799</v>
      </c>
      <c r="S263" s="594">
        <f t="shared" si="168"/>
        <v>1.4454733684873933E-2</v>
      </c>
      <c r="T263" s="594">
        <f t="shared" si="169"/>
        <v>0.46576091476138592</v>
      </c>
      <c r="U263" s="594">
        <f t="shared" si="170"/>
        <v>-1</v>
      </c>
      <c r="V263" s="594">
        <f t="shared" si="171"/>
        <v>0</v>
      </c>
      <c r="W263" s="594">
        <f t="shared" si="172"/>
        <v>0</v>
      </c>
      <c r="X263" s="594">
        <f t="shared" si="173"/>
        <v>0</v>
      </c>
      <c r="Y263" s="594">
        <f t="shared" si="174"/>
        <v>0</v>
      </c>
    </row>
    <row r="264" spans="2:25" outlineLevel="1">
      <c r="D264" s="583" t="s">
        <v>2433</v>
      </c>
      <c r="E264" s="681"/>
      <c r="F264" s="681"/>
      <c r="G264" s="669"/>
      <c r="H264" s="669">
        <f t="shared" ref="H264" si="175">+SUM(H259:H263)</f>
        <v>716367.43</v>
      </c>
      <c r="I264" s="669">
        <v>720792.64</v>
      </c>
      <c r="J264" s="669">
        <v>965379.95</v>
      </c>
      <c r="K264" s="556"/>
      <c r="L264" s="556"/>
      <c r="M264" s="556"/>
      <c r="N264" s="556"/>
      <c r="O264" s="556"/>
    </row>
    <row r="265" spans="2:25" outlineLevel="1">
      <c r="D265" s="577"/>
      <c r="E265" s="680"/>
      <c r="F265" s="680"/>
      <c r="G265" s="657"/>
      <c r="H265" s="657"/>
      <c r="I265" s="657"/>
      <c r="J265" s="657"/>
      <c r="K265" s="547"/>
      <c r="L265" s="547"/>
      <c r="M265" s="547"/>
      <c r="N265" s="547"/>
      <c r="O265" s="547"/>
    </row>
    <row r="266" spans="2:25" outlineLevel="1">
      <c r="D266" s="575" t="s">
        <v>1981</v>
      </c>
      <c r="E266" s="682"/>
      <c r="F266" s="682"/>
      <c r="G266" s="673"/>
      <c r="H266" s="673">
        <v>40822359.439999998</v>
      </c>
      <c r="I266" s="673">
        <v>57948939.049999997</v>
      </c>
      <c r="J266" s="673">
        <v>61300360.88000001</v>
      </c>
      <c r="K266" s="552"/>
      <c r="L266" s="552"/>
      <c r="M266" s="552"/>
      <c r="N266" s="552"/>
      <c r="O266" s="552"/>
    </row>
    <row r="267" spans="2:25" outlineLevel="1">
      <c r="D267" s="577"/>
      <c r="E267" s="680"/>
      <c r="F267" s="680"/>
      <c r="G267" s="657"/>
      <c r="H267" s="657"/>
      <c r="I267" s="657"/>
      <c r="J267" s="657">
        <v>-546188.85000000894</v>
      </c>
      <c r="K267" s="547"/>
      <c r="L267" s="547"/>
      <c r="M267" s="547"/>
      <c r="N267" s="547"/>
      <c r="O267" s="547"/>
    </row>
    <row r="268" spans="2:25" outlineLevel="1">
      <c r="D268" s="575" t="s">
        <v>1982</v>
      </c>
      <c r="E268" s="658"/>
      <c r="F268" s="658"/>
      <c r="G268" s="654"/>
      <c r="H268" s="654"/>
      <c r="I268" s="654"/>
      <c r="J268" s="654"/>
      <c r="K268" s="546"/>
      <c r="L268" s="546"/>
      <c r="M268" s="546"/>
      <c r="N268" s="546"/>
      <c r="O268" s="546"/>
    </row>
    <row r="269" spans="2:25" outlineLevel="1">
      <c r="D269" s="568" t="s">
        <v>1983</v>
      </c>
      <c r="E269" s="660"/>
      <c r="F269" s="660"/>
      <c r="G269" s="657"/>
      <c r="H269" s="657"/>
      <c r="I269" s="657"/>
      <c r="J269" s="657"/>
      <c r="K269" s="547"/>
      <c r="L269" s="547"/>
      <c r="M269" s="547"/>
      <c r="N269" s="547"/>
      <c r="O269" s="547"/>
    </row>
    <row r="270" spans="2:25" outlineLevel="1">
      <c r="B270" s="562" t="s">
        <v>239</v>
      </c>
      <c r="C270" s="562" t="s">
        <v>418</v>
      </c>
      <c r="D270" s="572" t="s">
        <v>1984</v>
      </c>
      <c r="E270" s="664">
        <v>1000000</v>
      </c>
      <c r="F270" s="664">
        <v>1000000</v>
      </c>
      <c r="G270" s="665">
        <v>1000000</v>
      </c>
      <c r="H270" s="665">
        <v>1000000</v>
      </c>
      <c r="I270" s="665">
        <v>1000000</v>
      </c>
      <c r="J270" s="665">
        <v>1000000</v>
      </c>
      <c r="K270" s="588">
        <f>+I270</f>
        <v>1000000</v>
      </c>
      <c r="L270" s="588">
        <f t="shared" ref="L270:O270" si="176">+K270</f>
        <v>1000000</v>
      </c>
      <c r="M270" s="588">
        <f t="shared" si="176"/>
        <v>1000000</v>
      </c>
      <c r="N270" s="588">
        <f t="shared" si="176"/>
        <v>1000000</v>
      </c>
      <c r="O270" s="588">
        <f t="shared" si="176"/>
        <v>1000000</v>
      </c>
      <c r="Q270" s="594">
        <f t="shared" ref="Q270" si="177">+IFERROR(F270/E270-1,0)</f>
        <v>0</v>
      </c>
      <c r="R270" s="594">
        <f t="shared" ref="R270" si="178">+IFERROR(G270/F270-1,0)</f>
        <v>0</v>
      </c>
      <c r="S270" s="594">
        <f t="shared" ref="S270" si="179">+IFERROR(H270/G270-1,0)</f>
        <v>0</v>
      </c>
      <c r="T270" s="594">
        <f t="shared" ref="T270" si="180">+IFERROR(I270/H270-1,0)</f>
        <v>0</v>
      </c>
      <c r="U270" s="594">
        <f t="shared" ref="U270" si="181">+IFERROR(K270/I270-1,0)</f>
        <v>0</v>
      </c>
      <c r="V270" s="594">
        <f t="shared" ref="V270" si="182">+IFERROR(L270/K270-1,0)</f>
        <v>0</v>
      </c>
      <c r="W270" s="594">
        <f t="shared" ref="W270" si="183">+IFERROR(M270/L270-1,0)</f>
        <v>0</v>
      </c>
      <c r="X270" s="594">
        <f t="shared" ref="X270" si="184">+IFERROR(N270/M270-1,0)</f>
        <v>0</v>
      </c>
      <c r="Y270" s="594">
        <f t="shared" ref="Y270" si="185">+IFERROR(O270/N270-1,0)</f>
        <v>0</v>
      </c>
    </row>
    <row r="271" spans="2:25" outlineLevel="1">
      <c r="D271" s="568" t="s">
        <v>1985</v>
      </c>
      <c r="E271" s="660"/>
      <c r="F271" s="660"/>
      <c r="G271" s="666"/>
      <c r="H271" s="666">
        <v>1000000</v>
      </c>
      <c r="I271" s="666">
        <v>1000000</v>
      </c>
      <c r="J271" s="666">
        <v>1000000</v>
      </c>
      <c r="K271" s="548"/>
      <c r="L271" s="548"/>
      <c r="M271" s="548"/>
      <c r="N271" s="548"/>
      <c r="O271" s="548"/>
    </row>
    <row r="272" spans="2:25" outlineLevel="1">
      <c r="B272" s="562" t="s">
        <v>239</v>
      </c>
      <c r="C272" s="562" t="s">
        <v>420</v>
      </c>
      <c r="D272" s="572" t="s">
        <v>1986</v>
      </c>
      <c r="E272" s="664">
        <v>350000</v>
      </c>
      <c r="F272" s="664">
        <v>350000</v>
      </c>
      <c r="G272" s="665">
        <v>350000</v>
      </c>
      <c r="H272" s="665">
        <v>350000</v>
      </c>
      <c r="I272" s="665">
        <v>350000</v>
      </c>
      <c r="J272" s="665">
        <v>350000</v>
      </c>
      <c r="K272" s="588">
        <f>+I272</f>
        <v>350000</v>
      </c>
      <c r="L272" s="588">
        <f t="shared" ref="L272:O272" si="186">+K272</f>
        <v>350000</v>
      </c>
      <c r="M272" s="588">
        <f t="shared" si="186"/>
        <v>350000</v>
      </c>
      <c r="N272" s="588">
        <f t="shared" si="186"/>
        <v>350000</v>
      </c>
      <c r="O272" s="588">
        <f t="shared" si="186"/>
        <v>350000</v>
      </c>
      <c r="Q272" s="594">
        <f t="shared" ref="Q272" si="187">+IFERROR(F272/E272-1,0)</f>
        <v>0</v>
      </c>
      <c r="R272" s="594">
        <f t="shared" ref="R272" si="188">+IFERROR(G272/F272-1,0)</f>
        <v>0</v>
      </c>
      <c r="S272" s="594">
        <f t="shared" ref="S272" si="189">+IFERROR(H272/G272-1,0)</f>
        <v>0</v>
      </c>
      <c r="T272" s="594">
        <f t="shared" ref="T272" si="190">+IFERROR(I272/H272-1,0)</f>
        <v>0</v>
      </c>
      <c r="U272" s="594">
        <f t="shared" ref="U272" si="191">+IFERROR(K272/I272-1,0)</f>
        <v>0</v>
      </c>
      <c r="V272" s="594">
        <f t="shared" ref="V272" si="192">+IFERROR(L272/K272-1,0)</f>
        <v>0</v>
      </c>
      <c r="W272" s="594">
        <f t="shared" ref="W272" si="193">+IFERROR(M272/L272-1,0)</f>
        <v>0</v>
      </c>
      <c r="X272" s="594">
        <f t="shared" ref="X272" si="194">+IFERROR(N272/M272-1,0)</f>
        <v>0</v>
      </c>
      <c r="Y272" s="594">
        <f t="shared" ref="Y272" si="195">+IFERROR(O272/N272-1,0)</f>
        <v>0</v>
      </c>
    </row>
    <row r="273" spans="2:25" outlineLevel="1">
      <c r="D273" s="568" t="s">
        <v>1987</v>
      </c>
      <c r="E273" s="660"/>
      <c r="F273" s="660"/>
      <c r="G273" s="666"/>
      <c r="H273" s="666">
        <v>350000</v>
      </c>
      <c r="I273" s="666">
        <v>350000</v>
      </c>
      <c r="J273" s="666">
        <v>350000</v>
      </c>
      <c r="K273" s="548"/>
      <c r="L273" s="548"/>
      <c r="M273" s="548"/>
      <c r="N273" s="548"/>
      <c r="O273" s="548"/>
    </row>
    <row r="274" spans="2:25" outlineLevel="1">
      <c r="B274" s="562" t="s">
        <v>239</v>
      </c>
      <c r="C274" s="562" t="s">
        <v>2349</v>
      </c>
      <c r="D274" s="572" t="s">
        <v>1988</v>
      </c>
      <c r="E274" s="664">
        <v>0</v>
      </c>
      <c r="F274" s="664"/>
      <c r="G274" s="665">
        <v>0</v>
      </c>
      <c r="H274" s="665">
        <v>5768000</v>
      </c>
      <c r="I274" s="665">
        <v>5768000</v>
      </c>
      <c r="J274" s="665">
        <v>5768000</v>
      </c>
      <c r="K274" s="588">
        <f>+I274</f>
        <v>5768000</v>
      </c>
      <c r="L274" s="588">
        <f t="shared" ref="L274:O274" si="196">+K274</f>
        <v>5768000</v>
      </c>
      <c r="M274" s="588">
        <f t="shared" si="196"/>
        <v>5768000</v>
      </c>
      <c r="N274" s="588">
        <f t="shared" si="196"/>
        <v>5768000</v>
      </c>
      <c r="O274" s="588">
        <f t="shared" si="196"/>
        <v>5768000</v>
      </c>
      <c r="Q274" s="594">
        <f t="shared" ref="Q274" si="197">+IFERROR(F274/E274-1,0)</f>
        <v>0</v>
      </c>
      <c r="R274" s="594">
        <f t="shared" ref="R274" si="198">+IFERROR(G274/F274-1,0)</f>
        <v>0</v>
      </c>
      <c r="S274" s="594">
        <f t="shared" ref="S274" si="199">+IFERROR(H274/G274-1,0)</f>
        <v>0</v>
      </c>
      <c r="T274" s="594">
        <f t="shared" ref="T274" si="200">+IFERROR(I274/H274-1,0)</f>
        <v>0</v>
      </c>
      <c r="U274" s="594">
        <f t="shared" ref="U274" si="201">+IFERROR(K274/I274-1,0)</f>
        <v>0</v>
      </c>
      <c r="V274" s="594">
        <f t="shared" ref="V274" si="202">+IFERROR(L274/K274-1,0)</f>
        <v>0</v>
      </c>
      <c r="W274" s="594">
        <f t="shared" ref="W274" si="203">+IFERROR(M274/L274-1,0)</f>
        <v>0</v>
      </c>
      <c r="X274" s="594">
        <f t="shared" ref="X274" si="204">+IFERROR(N274/M274-1,0)</f>
        <v>0</v>
      </c>
      <c r="Y274" s="594">
        <f t="shared" ref="Y274" si="205">+IFERROR(O274/N274-1,0)</f>
        <v>0</v>
      </c>
    </row>
    <row r="275" spans="2:25" outlineLevel="1">
      <c r="D275" s="568" t="s">
        <v>1989</v>
      </c>
      <c r="E275" s="660"/>
      <c r="F275" s="660"/>
      <c r="G275" s="666"/>
      <c r="H275" s="666">
        <v>5768000</v>
      </c>
      <c r="I275" s="666">
        <v>5768000</v>
      </c>
      <c r="J275" s="666">
        <v>5768000</v>
      </c>
      <c r="K275" s="548"/>
      <c r="L275" s="548"/>
      <c r="M275" s="548"/>
      <c r="N275" s="548"/>
      <c r="O275" s="548"/>
    </row>
    <row r="276" spans="2:25" outlineLevel="1">
      <c r="B276" s="562" t="s">
        <v>239</v>
      </c>
      <c r="C276" s="562" t="s">
        <v>420</v>
      </c>
      <c r="D276" s="572" t="s">
        <v>1990</v>
      </c>
      <c r="E276" s="664">
        <v>73000</v>
      </c>
      <c r="F276" s="664">
        <v>124000</v>
      </c>
      <c r="G276" s="665">
        <v>180000</v>
      </c>
      <c r="H276" s="665">
        <v>200000</v>
      </c>
      <c r="I276" s="665">
        <v>200000</v>
      </c>
      <c r="J276" s="665">
        <v>200000</v>
      </c>
      <c r="K276" s="588">
        <f>+I276</f>
        <v>200000</v>
      </c>
      <c r="L276" s="588">
        <f t="shared" ref="L276:O276" si="206">+K276</f>
        <v>200000</v>
      </c>
      <c r="M276" s="588">
        <f t="shared" si="206"/>
        <v>200000</v>
      </c>
      <c r="N276" s="588">
        <f t="shared" si="206"/>
        <v>200000</v>
      </c>
      <c r="O276" s="588">
        <f t="shared" si="206"/>
        <v>200000</v>
      </c>
      <c r="Q276" s="594">
        <f t="shared" ref="Q276" si="207">+IFERROR(F276/E276-1,0)</f>
        <v>0.69863013698630128</v>
      </c>
      <c r="R276" s="594">
        <f t="shared" ref="R276" si="208">+IFERROR(G276/F276-1,0)</f>
        <v>0.45161290322580649</v>
      </c>
      <c r="S276" s="594">
        <f t="shared" ref="S276" si="209">+IFERROR(H276/G276-1,0)</f>
        <v>0.11111111111111116</v>
      </c>
      <c r="T276" s="594">
        <f t="shared" ref="T276" si="210">+IFERROR(I276/H276-1,0)</f>
        <v>0</v>
      </c>
      <c r="U276" s="594">
        <f t="shared" ref="U276" si="211">+IFERROR(K276/I276-1,0)</f>
        <v>0</v>
      </c>
      <c r="V276" s="594">
        <f t="shared" ref="V276" si="212">+IFERROR(L276/K276-1,0)</f>
        <v>0</v>
      </c>
      <c r="W276" s="594">
        <f t="shared" ref="W276" si="213">+IFERROR(M276/L276-1,0)</f>
        <v>0</v>
      </c>
      <c r="X276" s="594">
        <f t="shared" ref="X276" si="214">+IFERROR(N276/M276-1,0)</f>
        <v>0</v>
      </c>
      <c r="Y276" s="594">
        <f t="shared" ref="Y276" si="215">+IFERROR(O276/N276-1,0)</f>
        <v>0</v>
      </c>
    </row>
    <row r="277" spans="2:25" outlineLevel="1">
      <c r="D277" s="568" t="s">
        <v>1991</v>
      </c>
      <c r="E277" s="660"/>
      <c r="F277" s="660"/>
      <c r="G277" s="666"/>
      <c r="H277" s="666">
        <v>200000</v>
      </c>
      <c r="I277" s="666">
        <v>200000</v>
      </c>
      <c r="J277" s="666">
        <v>200000</v>
      </c>
      <c r="K277" s="548"/>
      <c r="L277" s="548"/>
      <c r="M277" s="548"/>
      <c r="N277" s="548"/>
      <c r="O277" s="548"/>
    </row>
    <row r="278" spans="2:25" outlineLevel="1">
      <c r="D278" s="569" t="s">
        <v>1992</v>
      </c>
      <c r="E278" s="662"/>
      <c r="F278" s="662"/>
      <c r="G278" s="654"/>
      <c r="H278" s="654"/>
      <c r="I278" s="654"/>
      <c r="J278" s="654"/>
      <c r="K278" s="546"/>
      <c r="L278" s="546"/>
      <c r="M278" s="546"/>
      <c r="N278" s="546"/>
      <c r="O278" s="546"/>
    </row>
    <row r="279" spans="2:25" outlineLevel="1">
      <c r="B279" s="562" t="s">
        <v>239</v>
      </c>
      <c r="C279" s="562" t="s">
        <v>420</v>
      </c>
      <c r="D279" s="572" t="s">
        <v>1993</v>
      </c>
      <c r="E279" s="664">
        <v>2022549.45</v>
      </c>
      <c r="F279" s="664">
        <v>2983954.31</v>
      </c>
      <c r="G279" s="665">
        <v>4030379.98</v>
      </c>
      <c r="H279" s="665">
        <v>5176368.21</v>
      </c>
      <c r="I279" s="665">
        <v>6451992.4299999997</v>
      </c>
      <c r="J279" s="665">
        <v>6451992.4299999997</v>
      </c>
      <c r="K279" s="588">
        <f>+I279</f>
        <v>6451992.4299999997</v>
      </c>
      <c r="L279" s="588">
        <f t="shared" ref="L279:O279" si="216">+K279</f>
        <v>6451992.4299999997</v>
      </c>
      <c r="M279" s="588">
        <f t="shared" si="216"/>
        <v>6451992.4299999997</v>
      </c>
      <c r="N279" s="588">
        <f t="shared" si="216"/>
        <v>6451992.4299999997</v>
      </c>
      <c r="O279" s="588">
        <f t="shared" si="216"/>
        <v>6451992.4299999997</v>
      </c>
      <c r="Q279" s="594">
        <f t="shared" ref="Q279" si="217">+IFERROR(F279/E279-1,0)</f>
        <v>0.47534306763179512</v>
      </c>
      <c r="R279" s="594">
        <f t="shared" ref="R279" si="218">+IFERROR(G279/F279-1,0)</f>
        <v>0.35068421339199385</v>
      </c>
      <c r="S279" s="594">
        <f t="shared" ref="S279" si="219">+IFERROR(H279/G279-1,0)</f>
        <v>0.2843375154915293</v>
      </c>
      <c r="T279" s="594">
        <f t="shared" ref="T279" si="220">+IFERROR(I279/H279-1,0)</f>
        <v>0.24643227997878459</v>
      </c>
      <c r="U279" s="594">
        <f t="shared" ref="U279" si="221">+IFERROR(K279/I279-1,0)</f>
        <v>0</v>
      </c>
      <c r="V279" s="594">
        <f t="shared" ref="V279" si="222">+IFERROR(L279/K279-1,0)</f>
        <v>0</v>
      </c>
      <c r="W279" s="594">
        <f t="shared" ref="W279" si="223">+IFERROR(M279/L279-1,0)</f>
        <v>0</v>
      </c>
      <c r="X279" s="594">
        <f t="shared" ref="X279" si="224">+IFERROR(N279/M279-1,0)</f>
        <v>0</v>
      </c>
      <c r="Y279" s="594">
        <f t="shared" ref="Y279" si="225">+IFERROR(O279/N279-1,0)</f>
        <v>0</v>
      </c>
    </row>
    <row r="280" spans="2:25" outlineLevel="1">
      <c r="B280" s="562" t="s">
        <v>239</v>
      </c>
      <c r="C280" s="562" t="s">
        <v>420</v>
      </c>
      <c r="D280" s="572" t="s">
        <v>3747</v>
      </c>
      <c r="E280" s="664"/>
      <c r="F280" s="664"/>
      <c r="G280" s="665"/>
      <c r="H280" s="665"/>
      <c r="I280" s="665">
        <v>95820.28</v>
      </c>
      <c r="J280" s="665">
        <v>83536.95</v>
      </c>
      <c r="K280" s="588"/>
      <c r="L280" s="588"/>
      <c r="M280" s="588"/>
      <c r="N280" s="588"/>
      <c r="O280" s="588"/>
      <c r="Q280" s="594"/>
      <c r="R280" s="594"/>
      <c r="S280" s="594"/>
      <c r="T280" s="594"/>
      <c r="U280" s="594"/>
      <c r="V280" s="594"/>
      <c r="W280" s="594"/>
      <c r="X280" s="594"/>
      <c r="Y280" s="594"/>
    </row>
    <row r="281" spans="2:25" outlineLevel="1">
      <c r="D281" s="570" t="s">
        <v>1994</v>
      </c>
      <c r="E281" s="676"/>
      <c r="F281" s="676"/>
      <c r="G281" s="667"/>
      <c r="H281" s="667">
        <v>5176368.21</v>
      </c>
      <c r="I281" s="667">
        <v>6547812.71</v>
      </c>
      <c r="J281" s="667">
        <v>6535529.3799999999</v>
      </c>
      <c r="K281" s="549"/>
      <c r="L281" s="549"/>
      <c r="M281" s="549"/>
      <c r="N281" s="549"/>
      <c r="O281" s="549"/>
    </row>
    <row r="282" spans="2:25" outlineLevel="1">
      <c r="D282" s="567" t="s">
        <v>1995</v>
      </c>
      <c r="E282" s="655"/>
      <c r="F282" s="655"/>
      <c r="G282" s="683"/>
      <c r="H282" s="683">
        <v>5176368.21</v>
      </c>
      <c r="I282" s="683">
        <v>6547812.71</v>
      </c>
      <c r="J282" s="683">
        <v>6535529.3799999999</v>
      </c>
      <c r="K282" s="550"/>
      <c r="L282" s="550"/>
      <c r="M282" s="550"/>
      <c r="N282" s="550"/>
      <c r="O282" s="550"/>
    </row>
    <row r="283" spans="2:25" outlineLevel="1">
      <c r="B283" s="562" t="s">
        <v>239</v>
      </c>
      <c r="C283" s="562" t="s">
        <v>421</v>
      </c>
      <c r="D283" s="572" t="s">
        <v>1996</v>
      </c>
      <c r="E283" s="664">
        <v>0</v>
      </c>
      <c r="F283" s="664">
        <v>0</v>
      </c>
      <c r="G283" s="665">
        <v>0</v>
      </c>
      <c r="H283" s="670"/>
      <c r="I283" s="665">
        <v>0</v>
      </c>
      <c r="J283" s="665">
        <v>3638754.6999999918</v>
      </c>
      <c r="K283" s="588"/>
      <c r="L283" s="588"/>
      <c r="M283" s="588"/>
      <c r="N283" s="588"/>
      <c r="O283" s="588"/>
      <c r="Q283" s="594">
        <f t="shared" ref="Q283" si="226">+IFERROR(F283/E283-1,0)</f>
        <v>0</v>
      </c>
      <c r="R283" s="594">
        <f t="shared" ref="R283" si="227">+IFERROR(G283/F283-1,0)</f>
        <v>0</v>
      </c>
      <c r="S283" s="594">
        <f t="shared" ref="S283" si="228">+IFERROR(H283/G283-1,0)</f>
        <v>0</v>
      </c>
      <c r="T283" s="594">
        <f t="shared" ref="T283" si="229">+IFERROR(I283/H283-1,0)</f>
        <v>0</v>
      </c>
      <c r="U283" s="594">
        <f t="shared" ref="U283" si="230">+IFERROR(K283/I283-1,0)</f>
        <v>0</v>
      </c>
      <c r="V283" s="594">
        <f t="shared" ref="V283" si="231">+IFERROR(L283/K283-1,0)</f>
        <v>0</v>
      </c>
      <c r="W283" s="594">
        <f t="shared" ref="W283" si="232">+IFERROR(M283/L283-1,0)</f>
        <v>0</v>
      </c>
      <c r="X283" s="594">
        <f t="shared" ref="X283" si="233">+IFERROR(N283/M283-1,0)</f>
        <v>0</v>
      </c>
      <c r="Y283" s="594">
        <f t="shared" ref="Y283" si="234">+IFERROR(O283/N283-1,0)</f>
        <v>0</v>
      </c>
    </row>
    <row r="284" spans="2:25" outlineLevel="1">
      <c r="D284" s="568" t="s">
        <v>1997</v>
      </c>
      <c r="E284" s="660"/>
      <c r="F284" s="660"/>
      <c r="G284" s="657"/>
      <c r="H284" s="657"/>
      <c r="I284" s="657">
        <v>1791846.61</v>
      </c>
      <c r="J284" s="657">
        <v>3638754.6999999918</v>
      </c>
      <c r="K284" s="548"/>
      <c r="L284" s="548"/>
      <c r="M284" s="548"/>
      <c r="N284" s="548"/>
      <c r="O284" s="548"/>
    </row>
    <row r="285" spans="2:25" outlineLevel="1">
      <c r="B285" s="562" t="s">
        <v>239</v>
      </c>
      <c r="C285" s="562" t="s">
        <v>422</v>
      </c>
      <c r="D285" s="569" t="s">
        <v>1998</v>
      </c>
      <c r="E285" s="664">
        <v>0</v>
      </c>
      <c r="F285" s="664"/>
      <c r="G285" s="665">
        <v>0</v>
      </c>
      <c r="H285" s="667">
        <v>1791846.61</v>
      </c>
      <c r="I285" s="904">
        <v>3638754.6999999918</v>
      </c>
      <c r="J285" s="667">
        <v>1931087.94</v>
      </c>
      <c r="K285" s="549"/>
      <c r="L285" s="549"/>
      <c r="M285" s="549"/>
      <c r="N285" s="549"/>
      <c r="O285" s="549"/>
    </row>
    <row r="286" spans="2:25" outlineLevel="1">
      <c r="D286" s="574" t="s">
        <v>1999</v>
      </c>
      <c r="E286" s="671"/>
      <c r="F286" s="671"/>
      <c r="G286" s="666"/>
      <c r="H286" s="666">
        <v>1791846.61</v>
      </c>
      <c r="I286" s="666">
        <v>3638754.6999999918</v>
      </c>
      <c r="J286" s="666">
        <v>1931087.94</v>
      </c>
      <c r="K286" s="548"/>
      <c r="L286" s="548"/>
      <c r="M286" s="548"/>
      <c r="N286" s="548"/>
      <c r="O286" s="548"/>
    </row>
    <row r="287" spans="2:25" outlineLevel="1">
      <c r="D287" s="573" t="s">
        <v>2000</v>
      </c>
      <c r="E287" s="684"/>
      <c r="F287" s="684"/>
      <c r="G287" s="669"/>
      <c r="H287" s="669">
        <v>14286214.82</v>
      </c>
      <c r="I287" s="669">
        <v>17408747.129999992</v>
      </c>
      <c r="J287" s="669">
        <v>19423372.019999992</v>
      </c>
      <c r="K287" s="556"/>
      <c r="L287" s="556"/>
      <c r="M287" s="556"/>
      <c r="N287" s="556"/>
      <c r="O287" s="556"/>
    </row>
    <row r="288" spans="2:25" outlineLevel="1">
      <c r="D288" s="577"/>
      <c r="E288" s="680"/>
      <c r="F288" s="680"/>
      <c r="G288" s="657"/>
      <c r="H288" s="657"/>
      <c r="I288" s="657"/>
      <c r="J288" s="657"/>
      <c r="K288" s="547"/>
      <c r="L288" s="547"/>
      <c r="M288" s="547"/>
      <c r="N288" s="547"/>
      <c r="O288" s="547"/>
    </row>
    <row r="289" spans="2:25" outlineLevel="1">
      <c r="D289" s="569" t="s">
        <v>2001</v>
      </c>
      <c r="E289" s="662"/>
      <c r="F289" s="662"/>
      <c r="G289" s="654"/>
      <c r="H289" s="654"/>
      <c r="I289" s="654"/>
      <c r="J289" s="654"/>
      <c r="K289" s="546"/>
      <c r="L289" s="546"/>
      <c r="M289" s="546"/>
      <c r="N289" s="546"/>
      <c r="O289" s="546"/>
    </row>
    <row r="290" spans="2:25" outlineLevel="1">
      <c r="B290" s="562" t="s">
        <v>239</v>
      </c>
      <c r="C290" s="562" t="s">
        <v>414</v>
      </c>
      <c r="D290" s="572" t="s">
        <v>2002</v>
      </c>
      <c r="E290" s="664">
        <v>0</v>
      </c>
      <c r="F290" s="664"/>
      <c r="G290" s="665">
        <v>0</v>
      </c>
      <c r="H290" s="665">
        <v>2187360</v>
      </c>
      <c r="I290" s="665">
        <v>2039059.03</v>
      </c>
      <c r="J290" s="665">
        <v>1979838.71</v>
      </c>
      <c r="K290" s="588"/>
      <c r="L290" s="588"/>
      <c r="M290" s="588"/>
      <c r="N290" s="588"/>
      <c r="O290" s="588"/>
      <c r="Q290" s="594">
        <f t="shared" ref="Q290" si="235">+IFERROR(F290/E290-1,0)</f>
        <v>0</v>
      </c>
      <c r="R290" s="594">
        <f t="shared" ref="R290" si="236">+IFERROR(G290/F290-1,0)</f>
        <v>0</v>
      </c>
      <c r="S290" s="594">
        <f t="shared" ref="S290" si="237">+IFERROR(H290/G290-1,0)</f>
        <v>0</v>
      </c>
      <c r="T290" s="594">
        <f t="shared" ref="T290" si="238">+IFERROR(I290/H290-1,0)</f>
        <v>-6.7799068283227237E-2</v>
      </c>
      <c r="U290" s="594">
        <f t="shared" ref="U290" si="239">+IFERROR(K290/I290-1,0)</f>
        <v>-1</v>
      </c>
      <c r="V290" s="594">
        <f t="shared" ref="V290" si="240">+IFERROR(L290/K290-1,0)</f>
        <v>0</v>
      </c>
      <c r="W290" s="594">
        <f t="shared" ref="W290" si="241">+IFERROR(M290/L290-1,0)</f>
        <v>0</v>
      </c>
      <c r="X290" s="594">
        <f t="shared" ref="X290" si="242">+IFERROR(N290/M290-1,0)</f>
        <v>0</v>
      </c>
      <c r="Y290" s="594">
        <f t="shared" ref="Y290" si="243">+IFERROR(O290/N290-1,0)</f>
        <v>0</v>
      </c>
    </row>
    <row r="291" spans="2:25" outlineLevel="1">
      <c r="D291" s="569" t="s">
        <v>2003</v>
      </c>
      <c r="E291" s="662"/>
      <c r="F291" s="662"/>
      <c r="G291" s="667"/>
      <c r="H291" s="667">
        <v>2187360</v>
      </c>
      <c r="I291" s="667">
        <v>2039059.03</v>
      </c>
      <c r="J291" s="667">
        <v>1979838.71</v>
      </c>
      <c r="K291" s="549"/>
      <c r="L291" s="549"/>
      <c r="M291" s="549"/>
      <c r="N291" s="549"/>
      <c r="O291" s="549"/>
    </row>
    <row r="292" spans="2:25" outlineLevel="1">
      <c r="B292" s="562" t="s">
        <v>239</v>
      </c>
      <c r="C292" s="562" t="s">
        <v>414</v>
      </c>
      <c r="D292" s="572" t="s">
        <v>3749</v>
      </c>
      <c r="E292" s="664"/>
      <c r="F292" s="664"/>
      <c r="G292" s="665"/>
      <c r="H292" s="665"/>
      <c r="I292" s="665">
        <v>400000</v>
      </c>
      <c r="J292" s="665">
        <v>400000</v>
      </c>
      <c r="K292" s="588"/>
      <c r="L292" s="588"/>
      <c r="M292" s="588"/>
      <c r="N292" s="588"/>
      <c r="O292" s="588"/>
      <c r="Q292" s="594"/>
      <c r="R292" s="594"/>
      <c r="S292" s="594"/>
      <c r="T292" s="594"/>
      <c r="U292" s="594"/>
      <c r="V292" s="594"/>
      <c r="W292" s="594"/>
      <c r="X292" s="594"/>
      <c r="Y292" s="594"/>
    </row>
    <row r="293" spans="2:25" outlineLevel="1">
      <c r="D293" s="573" t="s">
        <v>2004</v>
      </c>
      <c r="E293" s="669">
        <f t="shared" ref="E293:H293" si="244">+E291+E292</f>
        <v>0</v>
      </c>
      <c r="F293" s="669">
        <f t="shared" si="244"/>
        <v>0</v>
      </c>
      <c r="G293" s="669">
        <f t="shared" si="244"/>
        <v>0</v>
      </c>
      <c r="H293" s="669">
        <f t="shared" si="244"/>
        <v>2187360</v>
      </c>
      <c r="I293" s="669">
        <v>2439059.0300000003</v>
      </c>
      <c r="J293" s="669">
        <v>2379838.71</v>
      </c>
      <c r="K293" s="556"/>
      <c r="L293" s="556"/>
      <c r="M293" s="556"/>
      <c r="N293" s="556"/>
      <c r="O293" s="556"/>
    </row>
    <row r="294" spans="2:25" outlineLevel="1">
      <c r="D294" s="565"/>
      <c r="E294" s="652"/>
      <c r="F294" s="652"/>
      <c r="G294" s="654"/>
      <c r="H294" s="654"/>
      <c r="I294" s="654"/>
      <c r="J294" s="654"/>
      <c r="K294" s="546"/>
      <c r="L294" s="546"/>
      <c r="M294" s="546"/>
      <c r="N294" s="546"/>
      <c r="O294" s="546"/>
    </row>
    <row r="295" spans="2:25" outlineLevel="1">
      <c r="D295" s="578" t="s">
        <v>2005</v>
      </c>
      <c r="E295" s="685"/>
      <c r="F295" s="685"/>
      <c r="G295" s="669"/>
      <c r="H295" s="669">
        <v>1417974.84</v>
      </c>
      <c r="I295" s="669">
        <v>1700347.85</v>
      </c>
      <c r="J295" s="669">
        <v>1693885.56</v>
      </c>
      <c r="K295" s="556"/>
      <c r="L295" s="556"/>
      <c r="M295" s="556"/>
      <c r="N295" s="556"/>
      <c r="O295" s="556"/>
    </row>
    <row r="296" spans="2:25" outlineLevel="1">
      <c r="B296" s="562" t="s">
        <v>239</v>
      </c>
      <c r="C296" s="562" t="s">
        <v>415</v>
      </c>
      <c r="D296" s="572" t="s">
        <v>2006</v>
      </c>
      <c r="E296" s="664">
        <v>1085068.6000000001</v>
      </c>
      <c r="F296" s="664">
        <v>1186782.25</v>
      </c>
      <c r="G296" s="665">
        <v>1222871.27</v>
      </c>
      <c r="H296" s="665">
        <v>1417974.84</v>
      </c>
      <c r="I296" s="665">
        <v>1700347.85</v>
      </c>
      <c r="J296" s="665">
        <v>1693885.56</v>
      </c>
      <c r="K296" s="588"/>
      <c r="L296" s="588"/>
      <c r="M296" s="588"/>
      <c r="N296" s="588"/>
      <c r="O296" s="588"/>
      <c r="Q296" s="594">
        <f t="shared" ref="Q296" si="245">+IFERROR(F296/E296-1,0)</f>
        <v>9.3739372791729281E-2</v>
      </c>
      <c r="R296" s="594">
        <f t="shared" ref="R296" si="246">+IFERROR(G296/F296-1,0)</f>
        <v>3.0409133604753613E-2</v>
      </c>
      <c r="S296" s="594">
        <f t="shared" ref="S296" si="247">+IFERROR(H296/G296-1,0)</f>
        <v>0.15954546875567699</v>
      </c>
      <c r="T296" s="594">
        <f t="shared" ref="T296" si="248">+IFERROR(I296/H296-1,0)</f>
        <v>0.19913823717774859</v>
      </c>
      <c r="U296" s="594">
        <f t="shared" ref="U296" si="249">+IFERROR(K296/I296-1,0)</f>
        <v>-1</v>
      </c>
      <c r="V296" s="594">
        <f t="shared" ref="V296" si="250">+IFERROR(L296/K296-1,0)</f>
        <v>0</v>
      </c>
      <c r="W296" s="594">
        <f t="shared" ref="W296" si="251">+IFERROR(M296/L296-1,0)</f>
        <v>0</v>
      </c>
      <c r="X296" s="594">
        <f t="shared" ref="X296" si="252">+IFERROR(N296/M296-1,0)</f>
        <v>0</v>
      </c>
      <c r="Y296" s="594">
        <f t="shared" ref="Y296" si="253">+IFERROR(O296/N296-1,0)</f>
        <v>0</v>
      </c>
    </row>
    <row r="297" spans="2:25" outlineLevel="1">
      <c r="D297" s="574" t="s">
        <v>2007</v>
      </c>
      <c r="E297" s="671"/>
      <c r="F297" s="671"/>
      <c r="G297" s="666"/>
      <c r="H297" s="666">
        <v>1417974.84</v>
      </c>
      <c r="I297" s="666">
        <v>1700347.85</v>
      </c>
      <c r="J297" s="666">
        <v>1693885.56</v>
      </c>
      <c r="K297" s="548"/>
      <c r="L297" s="548"/>
      <c r="M297" s="548"/>
      <c r="N297" s="548"/>
      <c r="O297" s="548"/>
    </row>
    <row r="298" spans="2:25" outlineLevel="1">
      <c r="D298" s="565"/>
      <c r="E298" s="652"/>
      <c r="F298" s="652"/>
      <c r="G298" s="654"/>
      <c r="H298" s="654"/>
      <c r="I298" s="654"/>
      <c r="J298" s="654"/>
      <c r="K298" s="546"/>
      <c r="L298" s="546"/>
      <c r="M298" s="546"/>
      <c r="N298" s="546"/>
      <c r="O298" s="546"/>
    </row>
    <row r="299" spans="2:25" outlineLevel="1">
      <c r="D299" s="568" t="s">
        <v>2008</v>
      </c>
      <c r="E299" s="660"/>
      <c r="F299" s="660"/>
      <c r="G299" s="686"/>
      <c r="H299" s="686"/>
      <c r="I299" s="686"/>
      <c r="J299" s="686"/>
      <c r="K299" s="553"/>
      <c r="L299" s="553"/>
      <c r="M299" s="553"/>
      <c r="N299" s="553"/>
      <c r="O299" s="553"/>
    </row>
    <row r="300" spans="2:25" outlineLevel="1">
      <c r="D300" s="569" t="s">
        <v>2009</v>
      </c>
      <c r="E300" s="662"/>
      <c r="F300" s="662"/>
      <c r="G300" s="654"/>
      <c r="H300" s="654"/>
      <c r="I300" s="654"/>
      <c r="J300" s="654"/>
      <c r="K300" s="546"/>
      <c r="L300" s="546"/>
      <c r="M300" s="546"/>
      <c r="N300" s="546"/>
      <c r="O300" s="546"/>
    </row>
    <row r="301" spans="2:25" outlineLevel="1">
      <c r="B301" s="562" t="s">
        <v>239</v>
      </c>
      <c r="C301" s="562" t="s">
        <v>2350</v>
      </c>
      <c r="D301" s="572" t="s">
        <v>2010</v>
      </c>
      <c r="E301" s="664">
        <v>1493820</v>
      </c>
      <c r="F301" s="664">
        <v>1185620</v>
      </c>
      <c r="G301" s="665">
        <v>855320</v>
      </c>
      <c r="H301" s="665">
        <v>224680</v>
      </c>
      <c r="I301" s="665">
        <v>0</v>
      </c>
      <c r="J301" s="665">
        <v>0</v>
      </c>
      <c r="K301" s="588"/>
      <c r="L301" s="588"/>
      <c r="M301" s="588"/>
      <c r="N301" s="588"/>
      <c r="O301" s="588"/>
      <c r="Q301" s="594">
        <f t="shared" ref="Q301" si="254">+IFERROR(F301/E301-1,0)</f>
        <v>-0.20631669143538045</v>
      </c>
      <c r="R301" s="594">
        <f t="shared" ref="R301" si="255">+IFERROR(G301/F301-1,0)</f>
        <v>-0.27858841787419242</v>
      </c>
      <c r="S301" s="594">
        <f t="shared" ref="S301" si="256">+IFERROR(H301/G301-1,0)</f>
        <v>-0.73731468923911514</v>
      </c>
      <c r="T301" s="594">
        <f t="shared" ref="T301" si="257">+IFERROR(I301/H301-1,0)</f>
        <v>-1</v>
      </c>
      <c r="U301" s="594">
        <f t="shared" ref="U301" si="258">+IFERROR(K301/I301-1,0)</f>
        <v>0</v>
      </c>
      <c r="V301" s="594">
        <f t="shared" ref="V301" si="259">+IFERROR(L301/K301-1,0)</f>
        <v>0</v>
      </c>
      <c r="W301" s="594">
        <f t="shared" ref="W301" si="260">+IFERROR(M301/L301-1,0)</f>
        <v>0</v>
      </c>
      <c r="X301" s="594">
        <f t="shared" ref="X301" si="261">+IFERROR(N301/M301-1,0)</f>
        <v>0</v>
      </c>
      <c r="Y301" s="594">
        <f t="shared" ref="Y301" si="262">+IFERROR(O301/N301-1,0)</f>
        <v>0</v>
      </c>
    </row>
    <row r="302" spans="2:25" outlineLevel="1">
      <c r="D302" s="570" t="s">
        <v>1944</v>
      </c>
      <c r="E302" s="676"/>
      <c r="F302" s="676"/>
      <c r="G302" s="667"/>
      <c r="H302" s="667">
        <v>224680</v>
      </c>
      <c r="I302" s="667"/>
      <c r="J302" s="667"/>
      <c r="K302" s="546"/>
      <c r="L302" s="546"/>
      <c r="M302" s="546"/>
      <c r="N302" s="546"/>
      <c r="O302" s="546"/>
    </row>
    <row r="303" spans="2:25" outlineLevel="1">
      <c r="D303" s="573" t="s">
        <v>2011</v>
      </c>
      <c r="E303" s="668"/>
      <c r="F303" s="668"/>
      <c r="G303" s="669"/>
      <c r="H303" s="669">
        <v>224680</v>
      </c>
      <c r="I303" s="669"/>
      <c r="J303" s="669"/>
      <c r="K303" s="560"/>
      <c r="L303" s="560"/>
      <c r="M303" s="560"/>
      <c r="N303" s="560"/>
      <c r="O303" s="560"/>
    </row>
    <row r="304" spans="2:25" outlineLevel="1">
      <c r="D304" s="569" t="s">
        <v>2012</v>
      </c>
      <c r="E304" s="662"/>
      <c r="F304" s="662"/>
      <c r="G304" s="654"/>
      <c r="H304" s="654"/>
      <c r="I304" s="654"/>
      <c r="J304" s="654"/>
      <c r="K304" s="546"/>
      <c r="L304" s="546"/>
      <c r="M304" s="546"/>
      <c r="N304" s="546"/>
      <c r="O304" s="546"/>
    </row>
    <row r="305" spans="2:25" outlineLevel="1">
      <c r="B305" s="562" t="s">
        <v>239</v>
      </c>
      <c r="C305" s="562" t="s">
        <v>424</v>
      </c>
      <c r="D305" s="572" t="s">
        <v>3738</v>
      </c>
      <c r="E305" s="664">
        <v>223334.15</v>
      </c>
      <c r="F305" s="664">
        <v>105679.47</v>
      </c>
      <c r="G305" s="665">
        <v>148973.04999999999</v>
      </c>
      <c r="H305" s="670">
        <v>0</v>
      </c>
      <c r="I305" s="665">
        <v>5403.61</v>
      </c>
      <c r="J305" s="1046">
        <v>44.85</v>
      </c>
      <c r="K305" s="588"/>
      <c r="L305" s="588"/>
      <c r="M305" s="588"/>
      <c r="N305" s="588"/>
      <c r="O305" s="588"/>
      <c r="Q305" s="594">
        <f t="shared" ref="Q305:Q327" si="263">+IFERROR(F305/E305-1,0)</f>
        <v>-0.52681007360495469</v>
      </c>
      <c r="R305" s="594">
        <f t="shared" ref="R305:R327" si="264">+IFERROR(G305/F305-1,0)</f>
        <v>0.40966878429651454</v>
      </c>
      <c r="S305" s="594">
        <f t="shared" ref="S305:S327" si="265">+IFERROR(H305/G305-1,0)</f>
        <v>-1</v>
      </c>
      <c r="T305" s="594">
        <f t="shared" ref="T305:T327" si="266">+IFERROR(I305/H305-1,0)</f>
        <v>0</v>
      </c>
      <c r="U305" s="594">
        <f t="shared" ref="U305:U327" si="267">+IFERROR(K305/I305-1,0)</f>
        <v>-1</v>
      </c>
      <c r="V305" s="594">
        <f t="shared" ref="V305:V327" si="268">+IFERROR(L305/K305-1,0)</f>
        <v>0</v>
      </c>
      <c r="W305" s="594">
        <f t="shared" ref="W305:W327" si="269">+IFERROR(M305/L305-1,0)</f>
        <v>0</v>
      </c>
      <c r="X305" s="594">
        <f t="shared" ref="X305:X327" si="270">+IFERROR(N305/M305-1,0)</f>
        <v>0</v>
      </c>
      <c r="Y305" s="594">
        <f t="shared" ref="Y305:Y327" si="271">+IFERROR(O305/N305-1,0)</f>
        <v>0</v>
      </c>
    </row>
    <row r="306" spans="2:25" outlineLevel="1">
      <c r="B306" s="562" t="s">
        <v>239</v>
      </c>
      <c r="C306" s="562" t="s">
        <v>424</v>
      </c>
      <c r="D306" s="572" t="s">
        <v>2013</v>
      </c>
      <c r="E306" s="664">
        <v>0</v>
      </c>
      <c r="F306" s="664">
        <v>91773.4</v>
      </c>
      <c r="G306" s="665">
        <v>381466.04</v>
      </c>
      <c r="H306" s="665">
        <v>20178.849999999999</v>
      </c>
      <c r="I306" s="665">
        <v>28508.75</v>
      </c>
      <c r="J306" s="1046">
        <v>335383.69</v>
      </c>
      <c r="K306" s="588"/>
      <c r="L306" s="588"/>
      <c r="M306" s="588"/>
      <c r="N306" s="588"/>
      <c r="O306" s="588"/>
      <c r="Q306" s="594">
        <f t="shared" si="263"/>
        <v>0</v>
      </c>
      <c r="R306" s="594">
        <f t="shared" si="264"/>
        <v>3.1566079059945471</v>
      </c>
      <c r="S306" s="594">
        <f t="shared" si="265"/>
        <v>-0.94710184424280597</v>
      </c>
      <c r="T306" s="594">
        <f t="shared" si="266"/>
        <v>0.41280350465958171</v>
      </c>
      <c r="U306" s="594">
        <f t="shared" si="267"/>
        <v>-1</v>
      </c>
      <c r="V306" s="594">
        <f t="shared" si="268"/>
        <v>0</v>
      </c>
      <c r="W306" s="594">
        <f t="shared" si="269"/>
        <v>0</v>
      </c>
      <c r="X306" s="594">
        <f t="shared" si="270"/>
        <v>0</v>
      </c>
      <c r="Y306" s="594">
        <f t="shared" si="271"/>
        <v>0</v>
      </c>
    </row>
    <row r="307" spans="2:25" outlineLevel="1">
      <c r="B307" s="562" t="s">
        <v>239</v>
      </c>
      <c r="C307" s="562" t="s">
        <v>424</v>
      </c>
      <c r="D307" s="572" t="s">
        <v>2014</v>
      </c>
      <c r="E307" s="664">
        <v>0</v>
      </c>
      <c r="F307" s="664"/>
      <c r="G307" s="665">
        <v>0</v>
      </c>
      <c r="H307" s="665">
        <v>58104.04</v>
      </c>
      <c r="I307" s="665">
        <v>260174.67</v>
      </c>
      <c r="J307" s="1046">
        <v>1675000</v>
      </c>
      <c r="K307" s="588"/>
      <c r="L307" s="588"/>
      <c r="M307" s="588"/>
      <c r="N307" s="588"/>
      <c r="O307" s="588"/>
      <c r="Q307" s="594">
        <f t="shared" si="263"/>
        <v>0</v>
      </c>
      <c r="R307" s="594">
        <f t="shared" si="264"/>
        <v>0</v>
      </c>
      <c r="S307" s="594">
        <f t="shared" si="265"/>
        <v>0</v>
      </c>
      <c r="T307" s="594">
        <f t="shared" si="266"/>
        <v>3.4777380368043254</v>
      </c>
      <c r="U307" s="594">
        <f t="shared" si="267"/>
        <v>-1</v>
      </c>
      <c r="V307" s="594">
        <f t="shared" si="268"/>
        <v>0</v>
      </c>
      <c r="W307" s="594">
        <f t="shared" si="269"/>
        <v>0</v>
      </c>
      <c r="X307" s="594">
        <f t="shared" si="270"/>
        <v>0</v>
      </c>
      <c r="Y307" s="594">
        <f t="shared" si="271"/>
        <v>0</v>
      </c>
    </row>
    <row r="308" spans="2:25" outlineLevel="1">
      <c r="B308" s="562" t="s">
        <v>239</v>
      </c>
      <c r="C308" s="562" t="s">
        <v>424</v>
      </c>
      <c r="D308" s="572" t="s">
        <v>2015</v>
      </c>
      <c r="E308" s="664">
        <v>0</v>
      </c>
      <c r="F308" s="664">
        <v>90493.6</v>
      </c>
      <c r="G308" s="665">
        <v>200822.77</v>
      </c>
      <c r="H308" s="665">
        <v>84025.31</v>
      </c>
      <c r="I308" s="665">
        <v>35540.94</v>
      </c>
      <c r="J308" s="1046">
        <v>250923.03</v>
      </c>
      <c r="K308" s="588"/>
      <c r="L308" s="588"/>
      <c r="M308" s="588"/>
      <c r="N308" s="588"/>
      <c r="O308" s="588"/>
      <c r="Q308" s="594">
        <f t="shared" si="263"/>
        <v>0</v>
      </c>
      <c r="R308" s="594">
        <f t="shared" si="264"/>
        <v>1.2191930700071603</v>
      </c>
      <c r="S308" s="594">
        <f t="shared" si="265"/>
        <v>-0.58159470661618706</v>
      </c>
      <c r="T308" s="594">
        <f t="shared" si="266"/>
        <v>-0.57702101902391068</v>
      </c>
      <c r="U308" s="594">
        <f t="shared" si="267"/>
        <v>-1</v>
      </c>
      <c r="V308" s="594">
        <f t="shared" si="268"/>
        <v>0</v>
      </c>
      <c r="W308" s="594">
        <f t="shared" si="269"/>
        <v>0</v>
      </c>
      <c r="X308" s="594">
        <f t="shared" si="270"/>
        <v>0</v>
      </c>
      <c r="Y308" s="594">
        <f t="shared" si="271"/>
        <v>0</v>
      </c>
    </row>
    <row r="309" spans="2:25" outlineLevel="1">
      <c r="B309" s="562" t="s">
        <v>239</v>
      </c>
      <c r="C309" s="562" t="s">
        <v>424</v>
      </c>
      <c r="D309" s="572" t="s">
        <v>1966</v>
      </c>
      <c r="E309" s="664">
        <v>0</v>
      </c>
      <c r="F309" s="664">
        <v>447212.58</v>
      </c>
      <c r="G309" s="665">
        <v>178689.29</v>
      </c>
      <c r="H309" s="665">
        <v>63901.2</v>
      </c>
      <c r="I309" s="665">
        <v>0</v>
      </c>
      <c r="J309" s="1046">
        <v>0</v>
      </c>
      <c r="K309" s="588"/>
      <c r="L309" s="588"/>
      <c r="M309" s="588"/>
      <c r="N309" s="588"/>
      <c r="O309" s="588"/>
      <c r="Q309" s="594">
        <f t="shared" si="263"/>
        <v>0</v>
      </c>
      <c r="R309" s="594">
        <f t="shared" si="264"/>
        <v>-0.60043769341193398</v>
      </c>
      <c r="S309" s="594">
        <f t="shared" si="265"/>
        <v>-0.6423893116369761</v>
      </c>
      <c r="T309" s="594">
        <f t="shared" si="266"/>
        <v>-1</v>
      </c>
      <c r="U309" s="594">
        <f t="shared" si="267"/>
        <v>0</v>
      </c>
      <c r="V309" s="594">
        <f t="shared" si="268"/>
        <v>0</v>
      </c>
      <c r="W309" s="594">
        <f t="shared" si="269"/>
        <v>0</v>
      </c>
      <c r="X309" s="594">
        <f t="shared" si="270"/>
        <v>0</v>
      </c>
      <c r="Y309" s="594">
        <f t="shared" si="271"/>
        <v>0</v>
      </c>
    </row>
    <row r="310" spans="2:25" outlineLevel="1">
      <c r="B310" s="562" t="s">
        <v>239</v>
      </c>
      <c r="C310" s="562" t="s">
        <v>424</v>
      </c>
      <c r="D310" s="572" t="s">
        <v>1970</v>
      </c>
      <c r="E310" s="664">
        <v>0</v>
      </c>
      <c r="F310" s="664"/>
      <c r="G310" s="665">
        <v>0</v>
      </c>
      <c r="H310" s="665">
        <v>56.58</v>
      </c>
      <c r="I310" s="665">
        <v>0</v>
      </c>
      <c r="J310" s="1046">
        <v>0</v>
      </c>
      <c r="K310" s="588"/>
      <c r="L310" s="588"/>
      <c r="M310" s="588"/>
      <c r="N310" s="588"/>
      <c r="O310" s="588"/>
      <c r="Q310" s="594">
        <f t="shared" si="263"/>
        <v>0</v>
      </c>
      <c r="R310" s="594">
        <f t="shared" si="264"/>
        <v>0</v>
      </c>
      <c r="S310" s="594">
        <f t="shared" si="265"/>
        <v>0</v>
      </c>
      <c r="T310" s="594">
        <f t="shared" si="266"/>
        <v>-1</v>
      </c>
      <c r="U310" s="594">
        <f t="shared" si="267"/>
        <v>0</v>
      </c>
      <c r="V310" s="594">
        <f t="shared" si="268"/>
        <v>0</v>
      </c>
      <c r="W310" s="594">
        <f t="shared" si="269"/>
        <v>0</v>
      </c>
      <c r="X310" s="594">
        <f t="shared" si="270"/>
        <v>0</v>
      </c>
      <c r="Y310" s="594">
        <f t="shared" si="271"/>
        <v>0</v>
      </c>
    </row>
    <row r="311" spans="2:25" outlineLevel="1">
      <c r="B311" s="562" t="s">
        <v>239</v>
      </c>
      <c r="C311" s="562" t="s">
        <v>424</v>
      </c>
      <c r="D311" s="572" t="s">
        <v>2016</v>
      </c>
      <c r="E311" s="664">
        <v>0</v>
      </c>
      <c r="F311" s="664"/>
      <c r="G311" s="665">
        <v>0</v>
      </c>
      <c r="H311" s="670">
        <v>0</v>
      </c>
      <c r="I311" s="665">
        <v>22006.22</v>
      </c>
      <c r="J311" s="1046">
        <v>1000000</v>
      </c>
      <c r="K311" s="588"/>
      <c r="L311" s="588"/>
      <c r="M311" s="588"/>
      <c r="N311" s="588"/>
      <c r="O311" s="588"/>
      <c r="Q311" s="594">
        <f t="shared" si="263"/>
        <v>0</v>
      </c>
      <c r="R311" s="594">
        <f t="shared" si="264"/>
        <v>0</v>
      </c>
      <c r="S311" s="594">
        <f t="shared" si="265"/>
        <v>0</v>
      </c>
      <c r="T311" s="594">
        <f t="shared" si="266"/>
        <v>0</v>
      </c>
      <c r="U311" s="594">
        <f t="shared" si="267"/>
        <v>-1</v>
      </c>
      <c r="V311" s="594">
        <f t="shared" si="268"/>
        <v>0</v>
      </c>
      <c r="W311" s="594">
        <f t="shared" si="269"/>
        <v>0</v>
      </c>
      <c r="X311" s="594">
        <f t="shared" si="270"/>
        <v>0</v>
      </c>
      <c r="Y311" s="594">
        <f t="shared" si="271"/>
        <v>0</v>
      </c>
    </row>
    <row r="312" spans="2:25" outlineLevel="1">
      <c r="B312" s="562" t="s">
        <v>239</v>
      </c>
      <c r="C312" s="562" t="s">
        <v>424</v>
      </c>
      <c r="D312" s="572" t="s">
        <v>2017</v>
      </c>
      <c r="E312" s="664">
        <v>0</v>
      </c>
      <c r="F312" s="664"/>
      <c r="G312" s="665">
        <v>0</v>
      </c>
      <c r="H312" s="670">
        <v>0</v>
      </c>
      <c r="I312" s="665">
        <v>0</v>
      </c>
      <c r="J312" s="1046">
        <v>0</v>
      </c>
      <c r="K312" s="588"/>
      <c r="L312" s="588"/>
      <c r="M312" s="588"/>
      <c r="N312" s="588"/>
      <c r="O312" s="588"/>
      <c r="Q312" s="594">
        <f t="shared" si="263"/>
        <v>0</v>
      </c>
      <c r="R312" s="594">
        <f t="shared" si="264"/>
        <v>0</v>
      </c>
      <c r="S312" s="594">
        <f t="shared" si="265"/>
        <v>0</v>
      </c>
      <c r="T312" s="594">
        <f t="shared" si="266"/>
        <v>0</v>
      </c>
      <c r="U312" s="594">
        <f t="shared" si="267"/>
        <v>0</v>
      </c>
      <c r="V312" s="594">
        <f t="shared" si="268"/>
        <v>0</v>
      </c>
      <c r="W312" s="594">
        <f t="shared" si="269"/>
        <v>0</v>
      </c>
      <c r="X312" s="594">
        <f t="shared" si="270"/>
        <v>0</v>
      </c>
      <c r="Y312" s="594">
        <f t="shared" si="271"/>
        <v>0</v>
      </c>
    </row>
    <row r="313" spans="2:25" outlineLevel="1">
      <c r="B313" s="562" t="s">
        <v>239</v>
      </c>
      <c r="C313" s="562" t="s">
        <v>424</v>
      </c>
      <c r="D313" s="572" t="s">
        <v>1972</v>
      </c>
      <c r="E313" s="664">
        <v>463482.14</v>
      </c>
      <c r="F313" s="664">
        <v>273349.28999999998</v>
      </c>
      <c r="G313" s="665">
        <v>428885.94</v>
      </c>
      <c r="H313" s="665">
        <v>329734.87</v>
      </c>
      <c r="I313" s="665">
        <v>0</v>
      </c>
      <c r="J313" s="665">
        <v>0</v>
      </c>
      <c r="K313" s="588"/>
      <c r="L313" s="588"/>
      <c r="M313" s="588"/>
      <c r="N313" s="588"/>
      <c r="O313" s="588"/>
      <c r="Q313" s="594">
        <f t="shared" si="263"/>
        <v>-0.41022691834468539</v>
      </c>
      <c r="R313" s="594">
        <f t="shared" si="264"/>
        <v>0.56900330708742652</v>
      </c>
      <c r="S313" s="594">
        <f t="shared" si="265"/>
        <v>-0.23118284082709728</v>
      </c>
      <c r="T313" s="594">
        <f t="shared" si="266"/>
        <v>-1</v>
      </c>
      <c r="U313" s="594">
        <f t="shared" si="267"/>
        <v>0</v>
      </c>
      <c r="V313" s="594">
        <f t="shared" si="268"/>
        <v>0</v>
      </c>
      <c r="W313" s="594">
        <f t="shared" si="269"/>
        <v>0</v>
      </c>
      <c r="X313" s="594">
        <f t="shared" si="270"/>
        <v>0</v>
      </c>
      <c r="Y313" s="594">
        <f t="shared" si="271"/>
        <v>0</v>
      </c>
    </row>
    <row r="314" spans="2:25" outlineLevel="1">
      <c r="B314" s="562" t="s">
        <v>239</v>
      </c>
      <c r="C314" s="562" t="s">
        <v>424</v>
      </c>
      <c r="D314" s="572" t="s">
        <v>2018</v>
      </c>
      <c r="E314" s="664">
        <v>2016.03</v>
      </c>
      <c r="F314" s="664">
        <v>2834.03</v>
      </c>
      <c r="G314" s="665">
        <v>3250.36</v>
      </c>
      <c r="H314" s="665">
        <v>4220.3500000000004</v>
      </c>
      <c r="I314" s="665">
        <v>4001.46</v>
      </c>
      <c r="J314" s="665">
        <v>4017.0299999999997</v>
      </c>
      <c r="K314" s="588"/>
      <c r="L314" s="588"/>
      <c r="M314" s="588"/>
      <c r="N314" s="588"/>
      <c r="O314" s="588"/>
      <c r="Q314" s="594">
        <f t="shared" si="263"/>
        <v>0.40574793033833845</v>
      </c>
      <c r="R314" s="594">
        <f t="shared" si="264"/>
        <v>0.1469038789285928</v>
      </c>
      <c r="S314" s="594">
        <f t="shared" si="265"/>
        <v>0.29842540518588723</v>
      </c>
      <c r="T314" s="594">
        <f t="shared" si="266"/>
        <v>-5.1865366616512976E-2</v>
      </c>
      <c r="U314" s="594">
        <f t="shared" si="267"/>
        <v>-1</v>
      </c>
      <c r="V314" s="594">
        <f t="shared" si="268"/>
        <v>0</v>
      </c>
      <c r="W314" s="594">
        <f t="shared" si="269"/>
        <v>0</v>
      </c>
      <c r="X314" s="594">
        <f t="shared" si="270"/>
        <v>0</v>
      </c>
      <c r="Y314" s="594">
        <f t="shared" si="271"/>
        <v>0</v>
      </c>
    </row>
    <row r="315" spans="2:25" outlineLevel="1">
      <c r="B315" s="562" t="s">
        <v>239</v>
      </c>
      <c r="C315" s="562" t="s">
        <v>424</v>
      </c>
      <c r="D315" s="572" t="s">
        <v>2431</v>
      </c>
      <c r="E315" s="664">
        <v>1119658.8500000001</v>
      </c>
      <c r="F315" s="664"/>
      <c r="G315" s="665"/>
      <c r="H315" s="665"/>
      <c r="I315" s="665">
        <v>0</v>
      </c>
      <c r="J315" s="665">
        <v>0</v>
      </c>
      <c r="K315" s="588"/>
      <c r="L315" s="588"/>
      <c r="M315" s="588"/>
      <c r="N315" s="588"/>
      <c r="O315" s="588"/>
      <c r="Q315" s="594">
        <f t="shared" si="263"/>
        <v>-1</v>
      </c>
      <c r="R315" s="594">
        <f t="shared" si="264"/>
        <v>0</v>
      </c>
      <c r="S315" s="594">
        <f t="shared" si="265"/>
        <v>0</v>
      </c>
      <c r="T315" s="594">
        <f t="shared" si="266"/>
        <v>0</v>
      </c>
      <c r="U315" s="594">
        <f t="shared" si="267"/>
        <v>0</v>
      </c>
      <c r="V315" s="594">
        <f t="shared" si="268"/>
        <v>0</v>
      </c>
      <c r="W315" s="594">
        <f t="shared" si="269"/>
        <v>0</v>
      </c>
      <c r="X315" s="594">
        <f t="shared" si="270"/>
        <v>0</v>
      </c>
      <c r="Y315" s="594">
        <f t="shared" si="271"/>
        <v>0</v>
      </c>
    </row>
    <row r="316" spans="2:25" outlineLevel="1">
      <c r="B316" s="562" t="s">
        <v>239</v>
      </c>
      <c r="C316" s="562" t="s">
        <v>424</v>
      </c>
      <c r="D316" s="572" t="s">
        <v>2432</v>
      </c>
      <c r="E316" s="664">
        <v>198738</v>
      </c>
      <c r="F316" s="664"/>
      <c r="G316" s="665"/>
      <c r="H316" s="665"/>
      <c r="I316" s="665">
        <v>0</v>
      </c>
      <c r="J316" s="665">
        <v>0</v>
      </c>
      <c r="K316" s="588"/>
      <c r="L316" s="588"/>
      <c r="M316" s="588"/>
      <c r="N316" s="588"/>
      <c r="O316" s="588"/>
      <c r="Q316" s="594">
        <f t="shared" si="263"/>
        <v>-1</v>
      </c>
      <c r="R316" s="594">
        <f t="shared" si="264"/>
        <v>0</v>
      </c>
      <c r="S316" s="594">
        <f t="shared" si="265"/>
        <v>0</v>
      </c>
      <c r="T316" s="594">
        <f t="shared" si="266"/>
        <v>0</v>
      </c>
      <c r="U316" s="594">
        <f t="shared" si="267"/>
        <v>0</v>
      </c>
      <c r="V316" s="594">
        <f t="shared" si="268"/>
        <v>0</v>
      </c>
      <c r="W316" s="594">
        <f t="shared" si="269"/>
        <v>0</v>
      </c>
      <c r="X316" s="594">
        <f t="shared" si="270"/>
        <v>0</v>
      </c>
      <c r="Y316" s="594">
        <f t="shared" si="271"/>
        <v>0</v>
      </c>
    </row>
    <row r="317" spans="2:25" outlineLevel="1">
      <c r="B317" s="562" t="s">
        <v>239</v>
      </c>
      <c r="C317" s="562" t="s">
        <v>424</v>
      </c>
      <c r="D317" s="572" t="s">
        <v>2019</v>
      </c>
      <c r="E317" s="664">
        <v>724831.87</v>
      </c>
      <c r="F317" s="664">
        <v>996239.07</v>
      </c>
      <c r="G317" s="665">
        <v>1220000</v>
      </c>
      <c r="H317" s="665">
        <v>735000</v>
      </c>
      <c r="I317" s="665">
        <v>1290000</v>
      </c>
      <c r="J317" s="665">
        <v>68743.360000000001</v>
      </c>
      <c r="K317" s="588"/>
      <c r="L317" s="588"/>
      <c r="M317" s="588"/>
      <c r="N317" s="588"/>
      <c r="O317" s="588"/>
      <c r="Q317" s="594">
        <f t="shared" si="263"/>
        <v>0.37444159291726509</v>
      </c>
      <c r="R317" s="594">
        <f t="shared" si="264"/>
        <v>0.22460565615038575</v>
      </c>
      <c r="S317" s="594">
        <f t="shared" si="265"/>
        <v>-0.39754098360655743</v>
      </c>
      <c r="T317" s="594">
        <f t="shared" si="266"/>
        <v>0.75510204081632648</v>
      </c>
      <c r="U317" s="594">
        <f t="shared" si="267"/>
        <v>-1</v>
      </c>
      <c r="V317" s="594">
        <f t="shared" si="268"/>
        <v>0</v>
      </c>
      <c r="W317" s="594">
        <f t="shared" si="269"/>
        <v>0</v>
      </c>
      <c r="X317" s="594">
        <f t="shared" si="270"/>
        <v>0</v>
      </c>
      <c r="Y317" s="594">
        <f t="shared" si="271"/>
        <v>0</v>
      </c>
    </row>
    <row r="318" spans="2:25" outlineLevel="1">
      <c r="B318" s="562" t="s">
        <v>239</v>
      </c>
      <c r="C318" s="562" t="s">
        <v>424</v>
      </c>
      <c r="D318" s="572" t="s">
        <v>2020</v>
      </c>
      <c r="E318" s="664">
        <v>0</v>
      </c>
      <c r="F318" s="664">
        <v>-1122.01</v>
      </c>
      <c r="G318" s="665">
        <v>-1786.62</v>
      </c>
      <c r="H318" s="665">
        <v>-4173.2</v>
      </c>
      <c r="I318" s="665">
        <v>0</v>
      </c>
      <c r="J318" s="665">
        <v>0</v>
      </c>
      <c r="K318" s="588"/>
      <c r="L318" s="588"/>
      <c r="M318" s="588"/>
      <c r="N318" s="588"/>
      <c r="O318" s="588"/>
      <c r="Q318" s="594">
        <f t="shared" si="263"/>
        <v>0</v>
      </c>
      <c r="R318" s="594">
        <f t="shared" si="264"/>
        <v>0.59233874920900864</v>
      </c>
      <c r="S318" s="594">
        <f t="shared" si="265"/>
        <v>1.3358072785483204</v>
      </c>
      <c r="T318" s="594">
        <f t="shared" si="266"/>
        <v>-1</v>
      </c>
      <c r="U318" s="594">
        <f t="shared" si="267"/>
        <v>0</v>
      </c>
      <c r="V318" s="594">
        <f t="shared" si="268"/>
        <v>0</v>
      </c>
      <c r="W318" s="594">
        <f t="shared" si="269"/>
        <v>0</v>
      </c>
      <c r="X318" s="594">
        <f t="shared" si="270"/>
        <v>0</v>
      </c>
      <c r="Y318" s="594">
        <f t="shared" si="271"/>
        <v>0</v>
      </c>
    </row>
    <row r="319" spans="2:25" outlineLevel="1">
      <c r="B319" s="562" t="s">
        <v>239</v>
      </c>
      <c r="C319" s="562" t="s">
        <v>424</v>
      </c>
      <c r="D319" s="572" t="s">
        <v>2021</v>
      </c>
      <c r="E319" s="664">
        <v>514599.01</v>
      </c>
      <c r="F319" s="664"/>
      <c r="G319" s="665">
        <v>0</v>
      </c>
      <c r="H319" s="665">
        <v>360000</v>
      </c>
      <c r="I319" s="665">
        <v>600000</v>
      </c>
      <c r="J319" s="665">
        <v>500000</v>
      </c>
      <c r="K319" s="588"/>
      <c r="L319" s="588"/>
      <c r="M319" s="588"/>
      <c r="N319" s="588"/>
      <c r="O319" s="588"/>
      <c r="Q319" s="594">
        <f t="shared" si="263"/>
        <v>-1</v>
      </c>
      <c r="R319" s="594">
        <f t="shared" si="264"/>
        <v>0</v>
      </c>
      <c r="S319" s="594">
        <f t="shared" si="265"/>
        <v>0</v>
      </c>
      <c r="T319" s="594">
        <f t="shared" si="266"/>
        <v>0.66666666666666674</v>
      </c>
      <c r="U319" s="594">
        <f t="shared" si="267"/>
        <v>-1</v>
      </c>
      <c r="V319" s="594">
        <f t="shared" si="268"/>
        <v>0</v>
      </c>
      <c r="W319" s="594">
        <f t="shared" si="269"/>
        <v>0</v>
      </c>
      <c r="X319" s="594">
        <f t="shared" si="270"/>
        <v>0</v>
      </c>
      <c r="Y319" s="594">
        <f t="shared" si="271"/>
        <v>0</v>
      </c>
    </row>
    <row r="320" spans="2:25" outlineLevel="1">
      <c r="B320" s="562" t="s">
        <v>239</v>
      </c>
      <c r="C320" s="562" t="s">
        <v>424</v>
      </c>
      <c r="D320" s="572" t="s">
        <v>2022</v>
      </c>
      <c r="E320" s="664">
        <v>0</v>
      </c>
      <c r="F320" s="664"/>
      <c r="G320" s="665">
        <v>0</v>
      </c>
      <c r="H320" s="665">
        <v>51.29</v>
      </c>
      <c r="I320" s="665">
        <v>0</v>
      </c>
      <c r="J320" s="665">
        <v>0</v>
      </c>
      <c r="K320" s="588"/>
      <c r="L320" s="588"/>
      <c r="M320" s="588"/>
      <c r="N320" s="588"/>
      <c r="O320" s="588"/>
      <c r="Q320" s="594">
        <f t="shared" si="263"/>
        <v>0</v>
      </c>
      <c r="R320" s="594">
        <f t="shared" si="264"/>
        <v>0</v>
      </c>
      <c r="S320" s="594">
        <f t="shared" si="265"/>
        <v>0</v>
      </c>
      <c r="T320" s="594">
        <f t="shared" si="266"/>
        <v>-1</v>
      </c>
      <c r="U320" s="594">
        <f t="shared" si="267"/>
        <v>0</v>
      </c>
      <c r="V320" s="594">
        <f t="shared" si="268"/>
        <v>0</v>
      </c>
      <c r="W320" s="594">
        <f t="shared" si="269"/>
        <v>0</v>
      </c>
      <c r="X320" s="594">
        <f t="shared" si="270"/>
        <v>0</v>
      </c>
      <c r="Y320" s="594">
        <f t="shared" si="271"/>
        <v>0</v>
      </c>
    </row>
    <row r="321" spans="1:25" outlineLevel="1">
      <c r="B321" s="562" t="s">
        <v>239</v>
      </c>
      <c r="C321" s="562" t="s">
        <v>424</v>
      </c>
      <c r="D321" s="572" t="s">
        <v>2023</v>
      </c>
      <c r="E321" s="664">
        <v>-8426.56</v>
      </c>
      <c r="F321" s="664">
        <v>-9305.7099999999991</v>
      </c>
      <c r="G321" s="665">
        <v>-5053.79</v>
      </c>
      <c r="H321" s="665">
        <v>-6816.73</v>
      </c>
      <c r="I321" s="665">
        <v>0</v>
      </c>
      <c r="J321" s="665">
        <v>0</v>
      </c>
      <c r="K321" s="588"/>
      <c r="L321" s="588"/>
      <c r="M321" s="588"/>
      <c r="N321" s="588"/>
      <c r="O321" s="588"/>
      <c r="Q321" s="594">
        <f t="shared" si="263"/>
        <v>0.10433083013709021</v>
      </c>
      <c r="R321" s="594">
        <f t="shared" si="264"/>
        <v>-0.45691516284087941</v>
      </c>
      <c r="S321" s="594">
        <f t="shared" si="265"/>
        <v>0.34883523058932009</v>
      </c>
      <c r="T321" s="594">
        <f t="shared" si="266"/>
        <v>-1</v>
      </c>
      <c r="U321" s="594">
        <f t="shared" si="267"/>
        <v>0</v>
      </c>
      <c r="V321" s="594">
        <f t="shared" si="268"/>
        <v>0</v>
      </c>
      <c r="W321" s="594">
        <f t="shared" si="269"/>
        <v>0</v>
      </c>
      <c r="X321" s="594">
        <f t="shared" si="270"/>
        <v>0</v>
      </c>
      <c r="Y321" s="594">
        <f t="shared" si="271"/>
        <v>0</v>
      </c>
    </row>
    <row r="322" spans="1:25" outlineLevel="1">
      <c r="B322" s="562" t="s">
        <v>239</v>
      </c>
      <c r="C322" s="562" t="s">
        <v>424</v>
      </c>
      <c r="D322" s="572" t="s">
        <v>2024</v>
      </c>
      <c r="E322" s="664">
        <v>41600</v>
      </c>
      <c r="F322" s="664">
        <v>148920</v>
      </c>
      <c r="G322" s="665">
        <v>0</v>
      </c>
      <c r="H322" s="670"/>
      <c r="I322" s="665">
        <v>150000</v>
      </c>
      <c r="J322" s="665">
        <v>85000</v>
      </c>
      <c r="K322" s="588"/>
      <c r="L322" s="588"/>
      <c r="M322" s="588"/>
      <c r="N322" s="588"/>
      <c r="O322" s="588"/>
      <c r="Q322" s="594">
        <f t="shared" si="263"/>
        <v>2.5798076923076922</v>
      </c>
      <c r="R322" s="594">
        <f t="shared" si="264"/>
        <v>-1</v>
      </c>
      <c r="S322" s="594">
        <f t="shared" si="265"/>
        <v>0</v>
      </c>
      <c r="T322" s="594">
        <f t="shared" si="266"/>
        <v>0</v>
      </c>
      <c r="U322" s="594">
        <f t="shared" si="267"/>
        <v>-1</v>
      </c>
      <c r="V322" s="594">
        <f t="shared" si="268"/>
        <v>0</v>
      </c>
      <c r="W322" s="594">
        <f t="shared" si="269"/>
        <v>0</v>
      </c>
      <c r="X322" s="594">
        <f t="shared" si="270"/>
        <v>0</v>
      </c>
      <c r="Y322" s="594">
        <f t="shared" si="271"/>
        <v>0</v>
      </c>
    </row>
    <row r="323" spans="1:25" outlineLevel="1">
      <c r="B323" s="562" t="s">
        <v>239</v>
      </c>
      <c r="C323" s="562" t="s">
        <v>424</v>
      </c>
      <c r="D323" s="572" t="s">
        <v>2382</v>
      </c>
      <c r="E323" s="664">
        <v>0</v>
      </c>
      <c r="F323" s="664">
        <v>239212.79999999999</v>
      </c>
      <c r="G323" s="665">
        <v>69200</v>
      </c>
      <c r="H323" s="670"/>
      <c r="I323" s="665">
        <v>0</v>
      </c>
      <c r="J323" s="665">
        <v>0</v>
      </c>
      <c r="K323" s="588"/>
      <c r="L323" s="588"/>
      <c r="M323" s="588"/>
      <c r="N323" s="588"/>
      <c r="O323" s="588"/>
      <c r="Q323" s="594">
        <f t="shared" si="263"/>
        <v>0</v>
      </c>
      <c r="R323" s="594">
        <f t="shared" si="264"/>
        <v>-0.71071782111994009</v>
      </c>
      <c r="S323" s="594">
        <f t="shared" si="265"/>
        <v>-1</v>
      </c>
      <c r="T323" s="594">
        <f t="shared" si="266"/>
        <v>0</v>
      </c>
      <c r="U323" s="594">
        <f t="shared" si="267"/>
        <v>0</v>
      </c>
      <c r="V323" s="594">
        <f t="shared" si="268"/>
        <v>0</v>
      </c>
      <c r="W323" s="594">
        <f t="shared" si="269"/>
        <v>0</v>
      </c>
      <c r="X323" s="594">
        <f t="shared" si="270"/>
        <v>0</v>
      </c>
      <c r="Y323" s="594">
        <f t="shared" si="271"/>
        <v>0</v>
      </c>
    </row>
    <row r="324" spans="1:25" outlineLevel="1">
      <c r="B324" s="562" t="s">
        <v>239</v>
      </c>
      <c r="C324" s="562" t="s">
        <v>424</v>
      </c>
      <c r="D324" s="572" t="s">
        <v>2383</v>
      </c>
      <c r="E324" s="664">
        <v>0</v>
      </c>
      <c r="F324" s="664">
        <v>1066457.06</v>
      </c>
      <c r="G324" s="665">
        <v>910000</v>
      </c>
      <c r="H324" s="670"/>
      <c r="I324" s="665">
        <v>0</v>
      </c>
      <c r="J324" s="665">
        <v>0</v>
      </c>
      <c r="K324" s="588"/>
      <c r="L324" s="588"/>
      <c r="M324" s="588"/>
      <c r="N324" s="588"/>
      <c r="O324" s="588"/>
      <c r="Q324" s="594">
        <f t="shared" si="263"/>
        <v>0</v>
      </c>
      <c r="R324" s="594">
        <f t="shared" si="264"/>
        <v>-0.14670732265582265</v>
      </c>
      <c r="S324" s="594">
        <f t="shared" si="265"/>
        <v>-1</v>
      </c>
      <c r="T324" s="594">
        <f t="shared" si="266"/>
        <v>0</v>
      </c>
      <c r="U324" s="594">
        <f t="shared" si="267"/>
        <v>0</v>
      </c>
      <c r="V324" s="594">
        <f t="shared" si="268"/>
        <v>0</v>
      </c>
      <c r="W324" s="594">
        <f t="shared" si="269"/>
        <v>0</v>
      </c>
      <c r="X324" s="594">
        <f t="shared" si="270"/>
        <v>0</v>
      </c>
      <c r="Y324" s="594">
        <f t="shared" si="271"/>
        <v>0</v>
      </c>
    </row>
    <row r="325" spans="1:25" outlineLevel="1">
      <c r="B325" s="562" t="s">
        <v>239</v>
      </c>
      <c r="C325" s="562" t="s">
        <v>424</v>
      </c>
      <c r="D325" s="572" t="s">
        <v>2384</v>
      </c>
      <c r="E325" s="664">
        <v>83223.72</v>
      </c>
      <c r="F325" s="664">
        <v>60375.86</v>
      </c>
      <c r="G325" s="665">
        <v>0</v>
      </c>
      <c r="H325" s="670"/>
      <c r="I325" s="665">
        <v>0</v>
      </c>
      <c r="J325" s="665">
        <v>0</v>
      </c>
      <c r="K325" s="588"/>
      <c r="L325" s="588"/>
      <c r="M325" s="588"/>
      <c r="N325" s="588"/>
      <c r="O325" s="588"/>
      <c r="Q325" s="594">
        <f t="shared" si="263"/>
        <v>-0.27453543292705496</v>
      </c>
      <c r="R325" s="594">
        <f t="shared" si="264"/>
        <v>-1</v>
      </c>
      <c r="S325" s="594">
        <f t="shared" si="265"/>
        <v>0</v>
      </c>
      <c r="T325" s="594">
        <f t="shared" si="266"/>
        <v>0</v>
      </c>
      <c r="U325" s="594">
        <f t="shared" si="267"/>
        <v>0</v>
      </c>
      <c r="V325" s="594">
        <f t="shared" si="268"/>
        <v>0</v>
      </c>
      <c r="W325" s="594">
        <f t="shared" si="269"/>
        <v>0</v>
      </c>
      <c r="X325" s="594">
        <f t="shared" si="270"/>
        <v>0</v>
      </c>
      <c r="Y325" s="594">
        <f t="shared" si="271"/>
        <v>0</v>
      </c>
    </row>
    <row r="326" spans="1:25" outlineLevel="1">
      <c r="B326" s="562" t="s">
        <v>239</v>
      </c>
      <c r="C326" s="562" t="s">
        <v>424</v>
      </c>
      <c r="D326" s="572" t="s">
        <v>2385</v>
      </c>
      <c r="E326" s="664">
        <v>0</v>
      </c>
      <c r="F326" s="664">
        <v>75947.97</v>
      </c>
      <c r="G326" s="665">
        <v>0</v>
      </c>
      <c r="H326" s="670"/>
      <c r="I326" s="665">
        <v>0</v>
      </c>
      <c r="J326" s="665">
        <v>0</v>
      </c>
      <c r="K326" s="588"/>
      <c r="L326" s="588"/>
      <c r="M326" s="588"/>
      <c r="N326" s="588"/>
      <c r="O326" s="588"/>
      <c r="Q326" s="594">
        <f t="shared" si="263"/>
        <v>0</v>
      </c>
      <c r="R326" s="594">
        <f t="shared" si="264"/>
        <v>-1</v>
      </c>
      <c r="S326" s="594">
        <f t="shared" si="265"/>
        <v>0</v>
      </c>
      <c r="T326" s="594">
        <f t="shared" si="266"/>
        <v>0</v>
      </c>
      <c r="U326" s="594">
        <f t="shared" si="267"/>
        <v>0</v>
      </c>
      <c r="V326" s="594">
        <f t="shared" si="268"/>
        <v>0</v>
      </c>
      <c r="W326" s="594">
        <f t="shared" si="269"/>
        <v>0</v>
      </c>
      <c r="X326" s="594">
        <f t="shared" si="270"/>
        <v>0</v>
      </c>
      <c r="Y326" s="594">
        <f t="shared" si="271"/>
        <v>0</v>
      </c>
    </row>
    <row r="327" spans="1:25" outlineLevel="1">
      <c r="B327" s="562" t="s">
        <v>239</v>
      </c>
      <c r="C327" s="562" t="s">
        <v>424</v>
      </c>
      <c r="D327" s="572" t="s">
        <v>2025</v>
      </c>
      <c r="E327" s="664">
        <v>2251504.65</v>
      </c>
      <c r="F327" s="664">
        <v>1669749.5</v>
      </c>
      <c r="G327" s="665">
        <v>2624880</v>
      </c>
      <c r="H327" s="665">
        <v>2497000</v>
      </c>
      <c r="I327" s="665">
        <v>2420000</v>
      </c>
      <c r="J327" s="665">
        <v>2475000</v>
      </c>
      <c r="K327" s="588"/>
      <c r="L327" s="588"/>
      <c r="M327" s="588"/>
      <c r="N327" s="588"/>
      <c r="O327" s="588"/>
      <c r="Q327" s="594">
        <f t="shared" si="263"/>
        <v>-0.25838505374616927</v>
      </c>
      <c r="R327" s="594">
        <f t="shared" si="264"/>
        <v>0.57202023417285042</v>
      </c>
      <c r="S327" s="594">
        <f t="shared" si="265"/>
        <v>-4.8718417603852315E-2</v>
      </c>
      <c r="T327" s="594">
        <f t="shared" si="266"/>
        <v>-3.0837004405286361E-2</v>
      </c>
      <c r="U327" s="594">
        <f t="shared" si="267"/>
        <v>-1</v>
      </c>
      <c r="V327" s="594">
        <f t="shared" si="268"/>
        <v>0</v>
      </c>
      <c r="W327" s="594">
        <f t="shared" si="269"/>
        <v>0</v>
      </c>
      <c r="X327" s="594">
        <f t="shared" si="270"/>
        <v>0</v>
      </c>
      <c r="Y327" s="594">
        <f t="shared" si="271"/>
        <v>0</v>
      </c>
    </row>
    <row r="328" spans="1:25" outlineLevel="1">
      <c r="B328" s="562" t="s">
        <v>239</v>
      </c>
      <c r="C328" s="562" t="s">
        <v>424</v>
      </c>
      <c r="D328" s="572" t="s">
        <v>3750</v>
      </c>
      <c r="E328" s="664"/>
      <c r="F328" s="664"/>
      <c r="G328" s="665"/>
      <c r="H328" s="665"/>
      <c r="I328" s="665">
        <v>1582452.61</v>
      </c>
      <c r="J328" s="665">
        <v>3757280</v>
      </c>
      <c r="K328" s="588"/>
      <c r="L328" s="588"/>
      <c r="M328" s="588"/>
      <c r="N328" s="588"/>
      <c r="O328" s="588"/>
      <c r="Q328" s="594"/>
      <c r="R328" s="594"/>
      <c r="S328" s="594"/>
      <c r="T328" s="594"/>
      <c r="U328" s="594"/>
      <c r="V328" s="594"/>
      <c r="W328" s="594"/>
      <c r="X328" s="594"/>
      <c r="Y328" s="594"/>
    </row>
    <row r="329" spans="1:25" outlineLevel="1">
      <c r="B329" s="562" t="s">
        <v>239</v>
      </c>
      <c r="C329" s="562" t="s">
        <v>424</v>
      </c>
      <c r="D329" s="572" t="s">
        <v>3751</v>
      </c>
      <c r="E329" s="664"/>
      <c r="F329" s="664"/>
      <c r="G329" s="665"/>
      <c r="H329" s="665"/>
      <c r="I329" s="665">
        <v>10328.549999999999</v>
      </c>
      <c r="J329" s="665">
        <v>69529.649999999994</v>
      </c>
      <c r="K329" s="588"/>
      <c r="L329" s="588"/>
      <c r="M329" s="588"/>
      <c r="N329" s="588"/>
      <c r="O329" s="588"/>
      <c r="Q329" s="594"/>
      <c r="R329" s="594"/>
      <c r="S329" s="594"/>
      <c r="T329" s="594"/>
      <c r="U329" s="594"/>
      <c r="V329" s="594"/>
      <c r="W329" s="594"/>
      <c r="X329" s="594"/>
      <c r="Y329" s="594"/>
    </row>
    <row r="330" spans="1:25" outlineLevel="1">
      <c r="A330" s="1047"/>
      <c r="D330" s="570" t="s">
        <v>1898</v>
      </c>
      <c r="E330" s="676"/>
      <c r="F330" s="676"/>
      <c r="G330" s="667"/>
      <c r="H330" s="667">
        <f>+SUM(H305:H329)</f>
        <v>4141282.56</v>
      </c>
      <c r="I330" s="667">
        <v>5705148.4299999997</v>
      </c>
      <c r="J330" s="667">
        <v>3698218.4699999997</v>
      </c>
      <c r="K330" s="549"/>
      <c r="L330" s="549"/>
      <c r="M330" s="549"/>
      <c r="N330" s="549"/>
      <c r="O330" s="549"/>
    </row>
    <row r="331" spans="1:25" outlineLevel="1">
      <c r="B331" s="562" t="s">
        <v>239</v>
      </c>
      <c r="C331" s="562" t="s">
        <v>425</v>
      </c>
      <c r="D331" s="572" t="s">
        <v>2026</v>
      </c>
      <c r="E331" s="664">
        <v>0</v>
      </c>
      <c r="F331" s="664"/>
      <c r="G331" s="665">
        <v>0</v>
      </c>
      <c r="H331" s="665">
        <v>800000</v>
      </c>
      <c r="I331" s="665">
        <v>685714.29</v>
      </c>
      <c r="J331" s="665">
        <v>571428.57999999996</v>
      </c>
      <c r="K331" s="588"/>
      <c r="L331" s="588"/>
      <c r="M331" s="588"/>
      <c r="N331" s="588"/>
      <c r="O331" s="588"/>
      <c r="Q331" s="594">
        <f t="shared" ref="Q331:Q353" si="272">+IFERROR(F331/E331-1,0)</f>
        <v>0</v>
      </c>
      <c r="R331" s="594">
        <f t="shared" ref="R331:R353" si="273">+IFERROR(G331/F331-1,0)</f>
        <v>0</v>
      </c>
      <c r="S331" s="594">
        <f t="shared" ref="S331:S353" si="274">+IFERROR(H331/G331-1,0)</f>
        <v>0</v>
      </c>
      <c r="T331" s="594">
        <f t="shared" ref="T331:T353" si="275">+IFERROR(I331/H331-1,0)</f>
        <v>-0.14285713749999995</v>
      </c>
      <c r="U331" s="594">
        <f t="shared" ref="U331:U353" si="276">+IFERROR(K331/I331-1,0)</f>
        <v>-1</v>
      </c>
      <c r="V331" s="594">
        <f t="shared" ref="V331:V353" si="277">+IFERROR(L331/K331-1,0)</f>
        <v>0</v>
      </c>
      <c r="W331" s="594">
        <f t="shared" ref="W331:W353" si="278">+IFERROR(M331/L331-1,0)</f>
        <v>0</v>
      </c>
      <c r="X331" s="594">
        <f t="shared" ref="X331:X353" si="279">+IFERROR(N331/M331-1,0)</f>
        <v>0</v>
      </c>
      <c r="Y331" s="594">
        <f t="shared" ref="Y331:Y353" si="280">+IFERROR(O331/N331-1,0)</f>
        <v>0</v>
      </c>
    </row>
    <row r="332" spans="1:25" outlineLevel="1">
      <c r="B332" s="562" t="s">
        <v>239</v>
      </c>
      <c r="C332" s="562" t="s">
        <v>425</v>
      </c>
      <c r="D332" s="572" t="s">
        <v>2027</v>
      </c>
      <c r="E332" s="664">
        <v>783041.73</v>
      </c>
      <c r="F332" s="664">
        <v>605872.44999999995</v>
      </c>
      <c r="G332" s="665">
        <v>576140.73</v>
      </c>
      <c r="H332" s="665">
        <v>486594.37</v>
      </c>
      <c r="I332" s="665">
        <v>123085.86</v>
      </c>
      <c r="J332" s="665">
        <v>30862.19</v>
      </c>
      <c r="K332" s="588"/>
      <c r="L332" s="588"/>
      <c r="M332" s="588"/>
      <c r="N332" s="588"/>
      <c r="O332" s="588"/>
      <c r="Q332" s="594">
        <f t="shared" si="272"/>
        <v>-0.22625777555942006</v>
      </c>
      <c r="R332" s="594">
        <f t="shared" si="273"/>
        <v>-4.9072572948316018E-2</v>
      </c>
      <c r="S332" s="594">
        <f t="shared" si="274"/>
        <v>-0.15542445679894912</v>
      </c>
      <c r="T332" s="594">
        <f t="shared" si="275"/>
        <v>-0.7470462718259564</v>
      </c>
      <c r="U332" s="594">
        <f t="shared" si="276"/>
        <v>-1</v>
      </c>
      <c r="V332" s="594">
        <f t="shared" si="277"/>
        <v>0</v>
      </c>
      <c r="W332" s="594">
        <f t="shared" si="278"/>
        <v>0</v>
      </c>
      <c r="X332" s="594">
        <f t="shared" si="279"/>
        <v>0</v>
      </c>
      <c r="Y332" s="594">
        <f t="shared" si="280"/>
        <v>0</v>
      </c>
    </row>
    <row r="333" spans="1:25" outlineLevel="1">
      <c r="B333" s="562" t="s">
        <v>239</v>
      </c>
      <c r="C333" s="562" t="s">
        <v>425</v>
      </c>
      <c r="D333" s="572" t="s">
        <v>2028</v>
      </c>
      <c r="E333" s="664">
        <v>0</v>
      </c>
      <c r="F333" s="664">
        <v>900000</v>
      </c>
      <c r="G333" s="665">
        <v>900000</v>
      </c>
      <c r="H333" s="665">
        <v>700000</v>
      </c>
      <c r="I333" s="665">
        <v>300000</v>
      </c>
      <c r="J333" s="665">
        <v>200000</v>
      </c>
      <c r="K333" s="588"/>
      <c r="L333" s="588"/>
      <c r="M333" s="588"/>
      <c r="N333" s="588"/>
      <c r="O333" s="588"/>
      <c r="Q333" s="594">
        <f t="shared" si="272"/>
        <v>0</v>
      </c>
      <c r="R333" s="594">
        <f t="shared" si="273"/>
        <v>0</v>
      </c>
      <c r="S333" s="594">
        <f t="shared" si="274"/>
        <v>-0.22222222222222221</v>
      </c>
      <c r="T333" s="594">
        <f t="shared" si="275"/>
        <v>-0.5714285714285714</v>
      </c>
      <c r="U333" s="594">
        <f t="shared" si="276"/>
        <v>-1</v>
      </c>
      <c r="V333" s="594">
        <f t="shared" si="277"/>
        <v>0</v>
      </c>
      <c r="W333" s="594">
        <f t="shared" si="278"/>
        <v>0</v>
      </c>
      <c r="X333" s="594">
        <f t="shared" si="279"/>
        <v>0</v>
      </c>
      <c r="Y333" s="594">
        <f t="shared" si="280"/>
        <v>0</v>
      </c>
    </row>
    <row r="334" spans="1:25" outlineLevel="1">
      <c r="B334" s="562" t="s">
        <v>239</v>
      </c>
      <c r="C334" s="562" t="s">
        <v>425</v>
      </c>
      <c r="D334" s="572" t="s">
        <v>2386</v>
      </c>
      <c r="E334" s="664">
        <v>2516.9899999999998</v>
      </c>
      <c r="F334" s="664"/>
      <c r="G334" s="665"/>
      <c r="H334" s="665"/>
      <c r="I334" s="665">
        <v>0</v>
      </c>
      <c r="J334" s="665">
        <v>0</v>
      </c>
      <c r="K334" s="588"/>
      <c r="L334" s="588"/>
      <c r="M334" s="588"/>
      <c r="N334" s="588"/>
      <c r="O334" s="588"/>
      <c r="Q334" s="594">
        <f t="shared" si="272"/>
        <v>-1</v>
      </c>
      <c r="R334" s="594">
        <f t="shared" si="273"/>
        <v>0</v>
      </c>
      <c r="S334" s="594">
        <f t="shared" si="274"/>
        <v>0</v>
      </c>
      <c r="T334" s="594">
        <f t="shared" si="275"/>
        <v>0</v>
      </c>
      <c r="U334" s="594">
        <f t="shared" si="276"/>
        <v>0</v>
      </c>
      <c r="V334" s="594">
        <f t="shared" si="277"/>
        <v>0</v>
      </c>
      <c r="W334" s="594">
        <f t="shared" si="278"/>
        <v>0</v>
      </c>
      <c r="X334" s="594">
        <f t="shared" si="279"/>
        <v>0</v>
      </c>
      <c r="Y334" s="594">
        <f t="shared" si="280"/>
        <v>0</v>
      </c>
    </row>
    <row r="335" spans="1:25" outlineLevel="1">
      <c r="B335" s="562" t="s">
        <v>239</v>
      </c>
      <c r="C335" s="562" t="s">
        <v>425</v>
      </c>
      <c r="D335" s="572" t="s">
        <v>2387</v>
      </c>
      <c r="E335" s="664">
        <v>100000</v>
      </c>
      <c r="F335" s="664"/>
      <c r="G335" s="665"/>
      <c r="H335" s="665"/>
      <c r="I335" s="665">
        <v>0</v>
      </c>
      <c r="J335" s="665">
        <v>0</v>
      </c>
      <c r="K335" s="588"/>
      <c r="L335" s="588"/>
      <c r="M335" s="588"/>
      <c r="N335" s="588"/>
      <c r="O335" s="588"/>
      <c r="Q335" s="594">
        <f t="shared" si="272"/>
        <v>-1</v>
      </c>
      <c r="R335" s="594">
        <f t="shared" si="273"/>
        <v>0</v>
      </c>
      <c r="S335" s="594">
        <f t="shared" si="274"/>
        <v>0</v>
      </c>
      <c r="T335" s="594">
        <f t="shared" si="275"/>
        <v>0</v>
      </c>
      <c r="U335" s="594">
        <f t="shared" si="276"/>
        <v>0</v>
      </c>
      <c r="V335" s="594">
        <f t="shared" si="277"/>
        <v>0</v>
      </c>
      <c r="W335" s="594">
        <f t="shared" si="278"/>
        <v>0</v>
      </c>
      <c r="X335" s="594">
        <f t="shared" si="279"/>
        <v>0</v>
      </c>
      <c r="Y335" s="594">
        <f t="shared" si="280"/>
        <v>0</v>
      </c>
    </row>
    <row r="336" spans="1:25" outlineLevel="1">
      <c r="B336" s="562" t="s">
        <v>239</v>
      </c>
      <c r="C336" s="562" t="s">
        <v>425</v>
      </c>
      <c r="D336" s="572" t="s">
        <v>2388</v>
      </c>
      <c r="E336" s="664">
        <v>631578.84</v>
      </c>
      <c r="F336" s="664"/>
      <c r="G336" s="665"/>
      <c r="H336" s="665"/>
      <c r="I336" s="665">
        <v>0</v>
      </c>
      <c r="J336" s="665">
        <v>0</v>
      </c>
      <c r="K336" s="588"/>
      <c r="L336" s="588"/>
      <c r="M336" s="588"/>
      <c r="N336" s="588"/>
      <c r="O336" s="588"/>
      <c r="Q336" s="594">
        <f t="shared" si="272"/>
        <v>-1</v>
      </c>
      <c r="R336" s="594">
        <f t="shared" si="273"/>
        <v>0</v>
      </c>
      <c r="S336" s="594">
        <f t="shared" si="274"/>
        <v>0</v>
      </c>
      <c r="T336" s="594">
        <f t="shared" si="275"/>
        <v>0</v>
      </c>
      <c r="U336" s="594">
        <f t="shared" si="276"/>
        <v>0</v>
      </c>
      <c r="V336" s="594">
        <f t="shared" si="277"/>
        <v>0</v>
      </c>
      <c r="W336" s="594">
        <f t="shared" si="278"/>
        <v>0</v>
      </c>
      <c r="X336" s="594">
        <f t="shared" si="279"/>
        <v>0</v>
      </c>
      <c r="Y336" s="594">
        <f t="shared" si="280"/>
        <v>0</v>
      </c>
    </row>
    <row r="337" spans="2:25" outlineLevel="1">
      <c r="B337" s="562" t="s">
        <v>239</v>
      </c>
      <c r="C337" s="562" t="s">
        <v>425</v>
      </c>
      <c r="D337" s="572" t="s">
        <v>2029</v>
      </c>
      <c r="E337" s="664">
        <v>335988.56</v>
      </c>
      <c r="F337" s="664">
        <v>202950.04</v>
      </c>
      <c r="G337" s="665">
        <v>202950.04</v>
      </c>
      <c r="H337" s="665">
        <v>135755.38</v>
      </c>
      <c r="I337" s="665">
        <v>0</v>
      </c>
      <c r="J337" s="665">
        <v>0</v>
      </c>
      <c r="K337" s="588"/>
      <c r="L337" s="588"/>
      <c r="M337" s="588"/>
      <c r="N337" s="588"/>
      <c r="O337" s="588"/>
      <c r="Q337" s="594">
        <f t="shared" si="272"/>
        <v>-0.39596145773534663</v>
      </c>
      <c r="R337" s="594">
        <f t="shared" si="273"/>
        <v>0</v>
      </c>
      <c r="S337" s="594">
        <f t="shared" si="274"/>
        <v>-0.33108966127821404</v>
      </c>
      <c r="T337" s="594">
        <f t="shared" si="275"/>
        <v>-1</v>
      </c>
      <c r="U337" s="594">
        <f t="shared" si="276"/>
        <v>0</v>
      </c>
      <c r="V337" s="594">
        <f t="shared" si="277"/>
        <v>0</v>
      </c>
      <c r="W337" s="594">
        <f t="shared" si="278"/>
        <v>0</v>
      </c>
      <c r="X337" s="594">
        <f t="shared" si="279"/>
        <v>0</v>
      </c>
      <c r="Y337" s="594">
        <f t="shared" si="280"/>
        <v>0</v>
      </c>
    </row>
    <row r="338" spans="2:25" outlineLevel="1">
      <c r="B338" s="562" t="s">
        <v>239</v>
      </c>
      <c r="C338" s="562" t="s">
        <v>425</v>
      </c>
      <c r="D338" s="572" t="s">
        <v>2390</v>
      </c>
      <c r="E338" s="664">
        <v>34776.17</v>
      </c>
      <c r="F338" s="664"/>
      <c r="G338" s="665"/>
      <c r="H338" s="665"/>
      <c r="I338" s="665">
        <v>0</v>
      </c>
      <c r="J338" s="665">
        <v>0</v>
      </c>
      <c r="K338" s="588"/>
      <c r="L338" s="588"/>
      <c r="M338" s="588"/>
      <c r="N338" s="588"/>
      <c r="O338" s="588"/>
      <c r="Q338" s="594">
        <f t="shared" si="272"/>
        <v>-1</v>
      </c>
      <c r="R338" s="594">
        <f t="shared" si="273"/>
        <v>0</v>
      </c>
      <c r="S338" s="594">
        <f t="shared" si="274"/>
        <v>0</v>
      </c>
      <c r="T338" s="594">
        <f t="shared" si="275"/>
        <v>0</v>
      </c>
      <c r="U338" s="594">
        <f t="shared" si="276"/>
        <v>0</v>
      </c>
      <c r="V338" s="594">
        <f t="shared" si="277"/>
        <v>0</v>
      </c>
      <c r="W338" s="594">
        <f t="shared" si="278"/>
        <v>0</v>
      </c>
      <c r="X338" s="594">
        <f t="shared" si="279"/>
        <v>0</v>
      </c>
      <c r="Y338" s="594">
        <f t="shared" si="280"/>
        <v>0</v>
      </c>
    </row>
    <row r="339" spans="2:25" outlineLevel="1">
      <c r="B339" s="562" t="s">
        <v>239</v>
      </c>
      <c r="C339" s="562" t="s">
        <v>425</v>
      </c>
      <c r="D339" s="572" t="s">
        <v>2391</v>
      </c>
      <c r="E339" s="664">
        <v>166666.70000000001</v>
      </c>
      <c r="F339" s="664"/>
      <c r="G339" s="665"/>
      <c r="H339" s="665"/>
      <c r="I339" s="665">
        <v>0</v>
      </c>
      <c r="J339" s="665">
        <v>0</v>
      </c>
      <c r="K339" s="588"/>
      <c r="L339" s="588"/>
      <c r="M339" s="588"/>
      <c r="N339" s="588"/>
      <c r="O339" s="588"/>
      <c r="Q339" s="594">
        <f t="shared" si="272"/>
        <v>-1</v>
      </c>
      <c r="R339" s="594">
        <f t="shared" si="273"/>
        <v>0</v>
      </c>
      <c r="S339" s="594">
        <f t="shared" si="274"/>
        <v>0</v>
      </c>
      <c r="T339" s="594">
        <f t="shared" si="275"/>
        <v>0</v>
      </c>
      <c r="U339" s="594">
        <f t="shared" si="276"/>
        <v>0</v>
      </c>
      <c r="V339" s="594">
        <f t="shared" si="277"/>
        <v>0</v>
      </c>
      <c r="W339" s="594">
        <f t="shared" si="278"/>
        <v>0</v>
      </c>
      <c r="X339" s="594">
        <f t="shared" si="279"/>
        <v>0</v>
      </c>
      <c r="Y339" s="594">
        <f t="shared" si="280"/>
        <v>0</v>
      </c>
    </row>
    <row r="340" spans="2:25" outlineLevel="1">
      <c r="B340" s="562" t="s">
        <v>239</v>
      </c>
      <c r="C340" s="562" t="s">
        <v>425</v>
      </c>
      <c r="D340" s="572" t="s">
        <v>2030</v>
      </c>
      <c r="E340" s="664">
        <v>504573.33</v>
      </c>
      <c r="F340" s="664">
        <v>502368.52</v>
      </c>
      <c r="G340" s="665">
        <v>502804.18</v>
      </c>
      <c r="H340" s="665">
        <v>300000</v>
      </c>
      <c r="I340" s="665">
        <v>0</v>
      </c>
      <c r="J340" s="665">
        <v>0</v>
      </c>
      <c r="K340" s="588"/>
      <c r="L340" s="588"/>
      <c r="M340" s="588"/>
      <c r="N340" s="588"/>
      <c r="O340" s="588"/>
      <c r="Q340" s="594">
        <f t="shared" si="272"/>
        <v>-4.3696522763103651E-3</v>
      </c>
      <c r="R340" s="594">
        <f t="shared" si="273"/>
        <v>8.6721198215200523E-4</v>
      </c>
      <c r="S340" s="594">
        <f t="shared" si="274"/>
        <v>-0.40334624903078564</v>
      </c>
      <c r="T340" s="594">
        <f t="shared" si="275"/>
        <v>-1</v>
      </c>
      <c r="U340" s="594">
        <f t="shared" si="276"/>
        <v>0</v>
      </c>
      <c r="V340" s="594">
        <f t="shared" si="277"/>
        <v>0</v>
      </c>
      <c r="W340" s="594">
        <f t="shared" si="278"/>
        <v>0</v>
      </c>
      <c r="X340" s="594">
        <f t="shared" si="279"/>
        <v>0</v>
      </c>
      <c r="Y340" s="594">
        <f t="shared" si="280"/>
        <v>0</v>
      </c>
    </row>
    <row r="341" spans="2:25" outlineLevel="1">
      <c r="B341" s="562" t="s">
        <v>239</v>
      </c>
      <c r="C341" s="562" t="s">
        <v>425</v>
      </c>
      <c r="D341" s="572" t="s">
        <v>2031</v>
      </c>
      <c r="E341" s="664">
        <v>0</v>
      </c>
      <c r="F341" s="664"/>
      <c r="G341" s="665">
        <v>500000</v>
      </c>
      <c r="H341" s="665">
        <v>500000</v>
      </c>
      <c r="I341" s="665">
        <v>304479.88</v>
      </c>
      <c r="J341" s="665">
        <v>254678.2</v>
      </c>
      <c r="K341" s="588"/>
      <c r="L341" s="588"/>
      <c r="M341" s="588"/>
      <c r="N341" s="588"/>
      <c r="O341" s="588"/>
      <c r="Q341" s="594">
        <f t="shared" si="272"/>
        <v>0</v>
      </c>
      <c r="R341" s="594">
        <f t="shared" si="273"/>
        <v>0</v>
      </c>
      <c r="S341" s="594">
        <f t="shared" si="274"/>
        <v>0</v>
      </c>
      <c r="T341" s="594">
        <f t="shared" si="275"/>
        <v>-0.39104024000000004</v>
      </c>
      <c r="U341" s="594">
        <f t="shared" si="276"/>
        <v>-1</v>
      </c>
      <c r="V341" s="594">
        <f t="shared" si="277"/>
        <v>0</v>
      </c>
      <c r="W341" s="594">
        <f t="shared" si="278"/>
        <v>0</v>
      </c>
      <c r="X341" s="594">
        <f t="shared" si="279"/>
        <v>0</v>
      </c>
      <c r="Y341" s="594">
        <f t="shared" si="280"/>
        <v>0</v>
      </c>
    </row>
    <row r="342" spans="2:25" outlineLevel="1">
      <c r="B342" s="562" t="s">
        <v>239</v>
      </c>
      <c r="C342" s="562" t="s">
        <v>425</v>
      </c>
      <c r="D342" s="572" t="s">
        <v>2032</v>
      </c>
      <c r="E342" s="664">
        <v>0</v>
      </c>
      <c r="F342" s="664"/>
      <c r="G342" s="665">
        <v>0</v>
      </c>
      <c r="H342" s="665">
        <v>1300000</v>
      </c>
      <c r="I342" s="665">
        <v>1006375.1</v>
      </c>
      <c r="J342" s="665">
        <v>845149.15</v>
      </c>
      <c r="K342" s="588"/>
      <c r="L342" s="588"/>
      <c r="M342" s="588"/>
      <c r="N342" s="588"/>
      <c r="O342" s="588"/>
      <c r="Q342" s="594">
        <f t="shared" si="272"/>
        <v>0</v>
      </c>
      <c r="R342" s="594">
        <f t="shared" si="273"/>
        <v>0</v>
      </c>
      <c r="S342" s="594">
        <f t="shared" si="274"/>
        <v>0</v>
      </c>
      <c r="T342" s="594">
        <f t="shared" si="275"/>
        <v>-0.22586530769230773</v>
      </c>
      <c r="U342" s="594">
        <f t="shared" si="276"/>
        <v>-1</v>
      </c>
      <c r="V342" s="594">
        <f t="shared" si="277"/>
        <v>0</v>
      </c>
      <c r="W342" s="594">
        <f t="shared" si="278"/>
        <v>0</v>
      </c>
      <c r="X342" s="594">
        <f t="shared" si="279"/>
        <v>0</v>
      </c>
      <c r="Y342" s="594">
        <f t="shared" si="280"/>
        <v>0</v>
      </c>
    </row>
    <row r="343" spans="2:25" outlineLevel="1">
      <c r="B343" s="562" t="s">
        <v>239</v>
      </c>
      <c r="C343" s="562" t="s">
        <v>425</v>
      </c>
      <c r="D343" s="579" t="s">
        <v>2418</v>
      </c>
      <c r="E343" s="664">
        <v>0</v>
      </c>
      <c r="F343" s="664"/>
      <c r="G343" s="665">
        <v>0</v>
      </c>
      <c r="H343" s="665">
        <v>450000</v>
      </c>
      <c r="I343" s="665">
        <v>253378.6</v>
      </c>
      <c r="J343" s="665">
        <v>199378.23</v>
      </c>
      <c r="K343" s="588"/>
      <c r="L343" s="588"/>
      <c r="M343" s="588"/>
      <c r="N343" s="588"/>
      <c r="O343" s="588"/>
      <c r="Q343" s="594">
        <f t="shared" si="272"/>
        <v>0</v>
      </c>
      <c r="R343" s="594">
        <f t="shared" si="273"/>
        <v>0</v>
      </c>
      <c r="S343" s="594">
        <f t="shared" si="274"/>
        <v>0</v>
      </c>
      <c r="T343" s="594">
        <f t="shared" si="275"/>
        <v>-0.43693644444444446</v>
      </c>
      <c r="U343" s="594">
        <f t="shared" si="276"/>
        <v>-1</v>
      </c>
      <c r="V343" s="594">
        <f t="shared" si="277"/>
        <v>0</v>
      </c>
      <c r="W343" s="594">
        <f t="shared" si="278"/>
        <v>0</v>
      </c>
      <c r="X343" s="594">
        <f t="shared" si="279"/>
        <v>0</v>
      </c>
      <c r="Y343" s="594">
        <f t="shared" si="280"/>
        <v>0</v>
      </c>
    </row>
    <row r="344" spans="2:25" outlineLevel="1">
      <c r="B344" s="562" t="s">
        <v>239</v>
      </c>
      <c r="C344" s="562" t="s">
        <v>425</v>
      </c>
      <c r="D344" s="572" t="s">
        <v>2033</v>
      </c>
      <c r="E344" s="664">
        <v>0</v>
      </c>
      <c r="F344" s="664"/>
      <c r="G344" s="665">
        <v>0</v>
      </c>
      <c r="H344" s="665">
        <v>650000</v>
      </c>
      <c r="I344" s="665">
        <v>433333.4</v>
      </c>
      <c r="J344" s="665">
        <v>368333.42</v>
      </c>
      <c r="K344" s="588"/>
      <c r="L344" s="588"/>
      <c r="M344" s="588"/>
      <c r="N344" s="588"/>
      <c r="O344" s="588"/>
      <c r="Q344" s="594">
        <f t="shared" si="272"/>
        <v>0</v>
      </c>
      <c r="R344" s="594">
        <f t="shared" si="273"/>
        <v>0</v>
      </c>
      <c r="S344" s="594">
        <f t="shared" si="274"/>
        <v>0</v>
      </c>
      <c r="T344" s="594">
        <f t="shared" si="275"/>
        <v>-0.33333323076923072</v>
      </c>
      <c r="U344" s="594">
        <f t="shared" si="276"/>
        <v>-1</v>
      </c>
      <c r="V344" s="594">
        <f t="shared" si="277"/>
        <v>0</v>
      </c>
      <c r="W344" s="594">
        <f t="shared" si="278"/>
        <v>0</v>
      </c>
      <c r="X344" s="594">
        <f t="shared" si="279"/>
        <v>0</v>
      </c>
      <c r="Y344" s="594">
        <f t="shared" si="280"/>
        <v>0</v>
      </c>
    </row>
    <row r="345" spans="2:25" outlineLevel="1">
      <c r="B345" s="562" t="s">
        <v>239</v>
      </c>
      <c r="C345" s="562" t="s">
        <v>425</v>
      </c>
      <c r="D345" s="572" t="s">
        <v>2034</v>
      </c>
      <c r="E345" s="664">
        <v>0</v>
      </c>
      <c r="F345" s="664"/>
      <c r="G345" s="665">
        <v>0</v>
      </c>
      <c r="H345" s="665">
        <v>102000</v>
      </c>
      <c r="I345" s="665">
        <v>384200</v>
      </c>
      <c r="J345" s="665">
        <v>336175</v>
      </c>
      <c r="K345" s="588"/>
      <c r="L345" s="588"/>
      <c r="M345" s="588"/>
      <c r="N345" s="588"/>
      <c r="O345" s="588"/>
      <c r="Q345" s="594">
        <f t="shared" si="272"/>
        <v>0</v>
      </c>
      <c r="R345" s="594">
        <f t="shared" si="273"/>
        <v>0</v>
      </c>
      <c r="S345" s="594">
        <f t="shared" si="274"/>
        <v>0</v>
      </c>
      <c r="T345" s="594">
        <f t="shared" si="275"/>
        <v>2.7666666666666666</v>
      </c>
      <c r="U345" s="594">
        <f t="shared" si="276"/>
        <v>-1</v>
      </c>
      <c r="V345" s="594">
        <f t="shared" si="277"/>
        <v>0</v>
      </c>
      <c r="W345" s="594">
        <f t="shared" si="278"/>
        <v>0</v>
      </c>
      <c r="X345" s="594">
        <f t="shared" si="279"/>
        <v>0</v>
      </c>
      <c r="Y345" s="594">
        <f t="shared" si="280"/>
        <v>0</v>
      </c>
    </row>
    <row r="346" spans="2:25" outlineLevel="1">
      <c r="B346" s="562" t="s">
        <v>239</v>
      </c>
      <c r="C346" s="562" t="s">
        <v>425</v>
      </c>
      <c r="D346" s="572" t="s">
        <v>2035</v>
      </c>
      <c r="E346" s="664">
        <v>0</v>
      </c>
      <c r="F346" s="664"/>
      <c r="G346" s="665">
        <v>0</v>
      </c>
      <c r="H346" s="670"/>
      <c r="I346" s="665">
        <v>0</v>
      </c>
      <c r="J346" s="665">
        <v>0</v>
      </c>
      <c r="K346" s="588"/>
      <c r="L346" s="588"/>
      <c r="M346" s="588"/>
      <c r="N346" s="588"/>
      <c r="O346" s="588"/>
      <c r="Q346" s="594">
        <f t="shared" si="272"/>
        <v>0</v>
      </c>
      <c r="R346" s="594">
        <f t="shared" si="273"/>
        <v>0</v>
      </c>
      <c r="S346" s="594">
        <f t="shared" si="274"/>
        <v>0</v>
      </c>
      <c r="T346" s="594">
        <f t="shared" si="275"/>
        <v>0</v>
      </c>
      <c r="U346" s="594">
        <f t="shared" si="276"/>
        <v>0</v>
      </c>
      <c r="V346" s="594">
        <f t="shared" si="277"/>
        <v>0</v>
      </c>
      <c r="W346" s="594">
        <f t="shared" si="278"/>
        <v>0</v>
      </c>
      <c r="X346" s="594">
        <f t="shared" si="279"/>
        <v>0</v>
      </c>
      <c r="Y346" s="594">
        <f t="shared" si="280"/>
        <v>0</v>
      </c>
    </row>
    <row r="347" spans="2:25" outlineLevel="1">
      <c r="B347" s="562" t="s">
        <v>239</v>
      </c>
      <c r="C347" s="562" t="s">
        <v>425</v>
      </c>
      <c r="D347" s="572" t="s">
        <v>2389</v>
      </c>
      <c r="E347" s="664">
        <v>158960.63</v>
      </c>
      <c r="F347" s="664">
        <v>58727.75</v>
      </c>
      <c r="G347" s="665">
        <v>25191.89</v>
      </c>
      <c r="H347" s="670"/>
      <c r="I347" s="665">
        <v>0</v>
      </c>
      <c r="J347" s="665">
        <v>0</v>
      </c>
      <c r="K347" s="588"/>
      <c r="L347" s="588"/>
      <c r="M347" s="588"/>
      <c r="N347" s="588"/>
      <c r="O347" s="588"/>
      <c r="Q347" s="594">
        <f t="shared" si="272"/>
        <v>-0.63055160262009524</v>
      </c>
      <c r="R347" s="594">
        <f t="shared" si="273"/>
        <v>-0.57103941492735544</v>
      </c>
      <c r="S347" s="594">
        <f t="shared" si="274"/>
        <v>-1</v>
      </c>
      <c r="T347" s="594">
        <f t="shared" si="275"/>
        <v>0</v>
      </c>
      <c r="U347" s="594">
        <f t="shared" si="276"/>
        <v>0</v>
      </c>
      <c r="V347" s="594">
        <f t="shared" si="277"/>
        <v>0</v>
      </c>
      <c r="W347" s="594">
        <f t="shared" si="278"/>
        <v>0</v>
      </c>
      <c r="X347" s="594">
        <f t="shared" si="279"/>
        <v>0</v>
      </c>
      <c r="Y347" s="594">
        <f t="shared" si="280"/>
        <v>0</v>
      </c>
    </row>
    <row r="348" spans="2:25" outlineLevel="1">
      <c r="B348" s="562" t="s">
        <v>239</v>
      </c>
      <c r="C348" s="562" t="s">
        <v>425</v>
      </c>
      <c r="D348" s="572" t="s">
        <v>2392</v>
      </c>
      <c r="E348" s="664">
        <v>0</v>
      </c>
      <c r="F348" s="664">
        <v>50102.39</v>
      </c>
      <c r="G348" s="665">
        <v>27858.33</v>
      </c>
      <c r="H348" s="670"/>
      <c r="I348" s="665">
        <v>0</v>
      </c>
      <c r="J348" s="665">
        <v>0</v>
      </c>
      <c r="K348" s="588"/>
      <c r="L348" s="588"/>
      <c r="M348" s="588"/>
      <c r="N348" s="588"/>
      <c r="O348" s="588"/>
      <c r="Q348" s="594">
        <f t="shared" si="272"/>
        <v>0</v>
      </c>
      <c r="R348" s="594">
        <f t="shared" si="273"/>
        <v>-0.44397203406863417</v>
      </c>
      <c r="S348" s="594">
        <f t="shared" si="274"/>
        <v>-1</v>
      </c>
      <c r="T348" s="594">
        <f t="shared" si="275"/>
        <v>0</v>
      </c>
      <c r="U348" s="594">
        <f t="shared" si="276"/>
        <v>0</v>
      </c>
      <c r="V348" s="594">
        <f t="shared" si="277"/>
        <v>0</v>
      </c>
      <c r="W348" s="594">
        <f t="shared" si="278"/>
        <v>0</v>
      </c>
      <c r="X348" s="594">
        <f t="shared" si="279"/>
        <v>0</v>
      </c>
      <c r="Y348" s="594">
        <f t="shared" si="280"/>
        <v>0</v>
      </c>
    </row>
    <row r="349" spans="2:25" outlineLevel="1">
      <c r="B349" s="562" t="s">
        <v>239</v>
      </c>
      <c r="C349" s="562" t="s">
        <v>425</v>
      </c>
      <c r="D349" s="572" t="s">
        <v>2393</v>
      </c>
      <c r="E349" s="664">
        <v>0</v>
      </c>
      <c r="F349" s="664">
        <v>988804.8</v>
      </c>
      <c r="G349" s="665">
        <v>966365.12</v>
      </c>
      <c r="H349" s="670"/>
      <c r="I349" s="665">
        <v>0</v>
      </c>
      <c r="J349" s="665">
        <v>0</v>
      </c>
      <c r="K349" s="588"/>
      <c r="L349" s="588"/>
      <c r="M349" s="588"/>
      <c r="N349" s="588"/>
      <c r="O349" s="588"/>
      <c r="Q349" s="594">
        <f t="shared" si="272"/>
        <v>0</v>
      </c>
      <c r="R349" s="594">
        <f t="shared" si="273"/>
        <v>-2.2693740968894982E-2</v>
      </c>
      <c r="S349" s="594">
        <f t="shared" si="274"/>
        <v>-1</v>
      </c>
      <c r="T349" s="594">
        <f t="shared" si="275"/>
        <v>0</v>
      </c>
      <c r="U349" s="594">
        <f t="shared" si="276"/>
        <v>0</v>
      </c>
      <c r="V349" s="594">
        <f t="shared" si="277"/>
        <v>0</v>
      </c>
      <c r="W349" s="594">
        <f t="shared" si="278"/>
        <v>0</v>
      </c>
      <c r="X349" s="594">
        <f t="shared" si="279"/>
        <v>0</v>
      </c>
      <c r="Y349" s="594">
        <f t="shared" si="280"/>
        <v>0</v>
      </c>
    </row>
    <row r="350" spans="2:25" outlineLevel="1">
      <c r="B350" s="562" t="s">
        <v>239</v>
      </c>
      <c r="C350" s="562" t="s">
        <v>425</v>
      </c>
      <c r="D350" s="572" t="s">
        <v>2394</v>
      </c>
      <c r="E350" s="664">
        <v>103728.61</v>
      </c>
      <c r="F350" s="664"/>
      <c r="G350" s="665"/>
      <c r="H350" s="670"/>
      <c r="I350" s="665">
        <v>0</v>
      </c>
      <c r="J350" s="665">
        <v>0</v>
      </c>
      <c r="K350" s="588"/>
      <c r="L350" s="588"/>
      <c r="M350" s="588"/>
      <c r="N350" s="588"/>
      <c r="O350" s="588"/>
      <c r="Q350" s="594">
        <f t="shared" si="272"/>
        <v>-1</v>
      </c>
      <c r="R350" s="594">
        <f t="shared" si="273"/>
        <v>0</v>
      </c>
      <c r="S350" s="594">
        <f t="shared" si="274"/>
        <v>0</v>
      </c>
      <c r="T350" s="594">
        <f t="shared" si="275"/>
        <v>0</v>
      </c>
      <c r="U350" s="594">
        <f t="shared" si="276"/>
        <v>0</v>
      </c>
      <c r="V350" s="594">
        <f t="shared" si="277"/>
        <v>0</v>
      </c>
      <c r="W350" s="594">
        <f t="shared" si="278"/>
        <v>0</v>
      </c>
      <c r="X350" s="594">
        <f t="shared" si="279"/>
        <v>0</v>
      </c>
      <c r="Y350" s="594">
        <f t="shared" si="280"/>
        <v>0</v>
      </c>
    </row>
    <row r="351" spans="2:25" outlineLevel="1">
      <c r="B351" s="562" t="s">
        <v>239</v>
      </c>
      <c r="C351" s="562" t="s">
        <v>425</v>
      </c>
      <c r="D351" s="572" t="s">
        <v>2395</v>
      </c>
      <c r="E351" s="664">
        <v>214554.39</v>
      </c>
      <c r="F351" s="664"/>
      <c r="G351" s="665"/>
      <c r="H351" s="670"/>
      <c r="I351" s="665">
        <v>0</v>
      </c>
      <c r="J351" s="665">
        <v>0</v>
      </c>
      <c r="K351" s="588"/>
      <c r="L351" s="588"/>
      <c r="M351" s="588"/>
      <c r="N351" s="588"/>
      <c r="O351" s="588"/>
      <c r="Q351" s="594">
        <f t="shared" si="272"/>
        <v>-1</v>
      </c>
      <c r="R351" s="594">
        <f t="shared" si="273"/>
        <v>0</v>
      </c>
      <c r="S351" s="594">
        <f t="shared" si="274"/>
        <v>0</v>
      </c>
      <c r="T351" s="594">
        <f t="shared" si="275"/>
        <v>0</v>
      </c>
      <c r="U351" s="594">
        <f t="shared" si="276"/>
        <v>0</v>
      </c>
      <c r="V351" s="594">
        <f t="shared" si="277"/>
        <v>0</v>
      </c>
      <c r="W351" s="594">
        <f t="shared" si="278"/>
        <v>0</v>
      </c>
      <c r="X351" s="594">
        <f t="shared" si="279"/>
        <v>0</v>
      </c>
      <c r="Y351" s="594">
        <f t="shared" si="280"/>
        <v>0</v>
      </c>
    </row>
    <row r="352" spans="2:25" outlineLevel="1">
      <c r="B352" s="562" t="s">
        <v>239</v>
      </c>
      <c r="C352" s="562" t="s">
        <v>425</v>
      </c>
      <c r="D352" s="572" t="s">
        <v>4142</v>
      </c>
      <c r="E352" s="664"/>
      <c r="F352" s="664"/>
      <c r="G352" s="665"/>
      <c r="H352" s="670"/>
      <c r="I352" s="665"/>
      <c r="J352" s="665">
        <v>625000</v>
      </c>
      <c r="K352" s="588"/>
      <c r="L352" s="588"/>
      <c r="M352" s="588"/>
      <c r="N352" s="588"/>
      <c r="O352" s="588"/>
      <c r="Q352" s="594"/>
      <c r="R352" s="594"/>
      <c r="S352" s="594"/>
      <c r="T352" s="594"/>
      <c r="U352" s="594"/>
      <c r="V352" s="594"/>
      <c r="W352" s="594"/>
      <c r="X352" s="594"/>
      <c r="Y352" s="594"/>
    </row>
    <row r="353" spans="2:25" outlineLevel="1">
      <c r="B353" s="562" t="s">
        <v>239</v>
      </c>
      <c r="C353" s="562" t="s">
        <v>425</v>
      </c>
      <c r="D353" s="572" t="s">
        <v>2036</v>
      </c>
      <c r="E353" s="664">
        <v>0</v>
      </c>
      <c r="F353" s="664"/>
      <c r="G353" s="665">
        <v>0</v>
      </c>
      <c r="H353" s="670"/>
      <c r="I353" s="665">
        <v>807007.75</v>
      </c>
      <c r="J353" s="665">
        <v>680531.83</v>
      </c>
      <c r="K353" s="588"/>
      <c r="L353" s="588"/>
      <c r="M353" s="588"/>
      <c r="N353" s="588"/>
      <c r="O353" s="588"/>
      <c r="Q353" s="594">
        <f t="shared" si="272"/>
        <v>0</v>
      </c>
      <c r="R353" s="594">
        <f t="shared" si="273"/>
        <v>0</v>
      </c>
      <c r="S353" s="594">
        <f t="shared" si="274"/>
        <v>0</v>
      </c>
      <c r="T353" s="594">
        <f t="shared" si="275"/>
        <v>0</v>
      </c>
      <c r="U353" s="594">
        <f t="shared" si="276"/>
        <v>-1</v>
      </c>
      <c r="V353" s="594">
        <f t="shared" si="277"/>
        <v>0</v>
      </c>
      <c r="W353" s="594">
        <f t="shared" si="278"/>
        <v>0</v>
      </c>
      <c r="X353" s="594">
        <f t="shared" si="279"/>
        <v>0</v>
      </c>
      <c r="Y353" s="594">
        <f t="shared" si="280"/>
        <v>0</v>
      </c>
    </row>
    <row r="354" spans="2:25" outlineLevel="1">
      <c r="D354" s="574" t="s">
        <v>1944</v>
      </c>
      <c r="E354" s="671"/>
      <c r="F354" s="671"/>
      <c r="G354" s="666"/>
      <c r="H354" s="666">
        <v>5424349.75</v>
      </c>
      <c r="I354" s="666">
        <v>4297574.88</v>
      </c>
      <c r="J354" s="666">
        <v>4111536.6</v>
      </c>
      <c r="K354" s="548"/>
      <c r="L354" s="548"/>
      <c r="M354" s="548"/>
      <c r="N354" s="548"/>
      <c r="O354" s="548"/>
    </row>
    <row r="355" spans="2:25" outlineLevel="1">
      <c r="D355" s="573" t="s">
        <v>2037</v>
      </c>
      <c r="E355" s="668"/>
      <c r="F355" s="668"/>
      <c r="G355" s="669"/>
      <c r="H355" s="669">
        <v>9565632.3100000005</v>
      </c>
      <c r="I355" s="669">
        <v>10002723.309999999</v>
      </c>
      <c r="J355" s="669">
        <v>7809755.0700000003</v>
      </c>
      <c r="K355" s="556"/>
      <c r="L355" s="556"/>
      <c r="M355" s="556"/>
      <c r="N355" s="556"/>
      <c r="O355" s="556"/>
    </row>
    <row r="356" spans="2:25" outlineLevel="1">
      <c r="D356" s="568" t="s">
        <v>2038</v>
      </c>
      <c r="E356" s="660"/>
      <c r="F356" s="660"/>
      <c r="G356" s="657"/>
      <c r="H356" s="657"/>
      <c r="I356" s="657"/>
      <c r="J356" s="657"/>
      <c r="K356" s="547"/>
      <c r="L356" s="547"/>
      <c r="M356" s="547"/>
      <c r="N356" s="547"/>
      <c r="O356" s="547"/>
    </row>
    <row r="357" spans="2:25" outlineLevel="1">
      <c r="B357" s="562" t="s">
        <v>239</v>
      </c>
      <c r="C357" s="562" t="s">
        <v>427</v>
      </c>
      <c r="D357" s="572" t="s">
        <v>2039</v>
      </c>
      <c r="E357" s="664">
        <v>0</v>
      </c>
      <c r="F357" s="664"/>
      <c r="G357" s="665">
        <v>0</v>
      </c>
      <c r="H357" s="665">
        <v>-4544.97</v>
      </c>
      <c r="I357" s="665">
        <v>-12419.14</v>
      </c>
      <c r="J357" s="665">
        <v>0</v>
      </c>
      <c r="K357" s="588"/>
      <c r="L357" s="588"/>
      <c r="M357" s="588"/>
      <c r="N357" s="588"/>
      <c r="O357" s="588"/>
      <c r="Q357" s="594">
        <f t="shared" ref="Q357:Q364" si="281">+IFERROR(F357/E357-1,0)</f>
        <v>0</v>
      </c>
      <c r="R357" s="594">
        <f t="shared" ref="R357:R364" si="282">+IFERROR(G357/F357-1,0)</f>
        <v>0</v>
      </c>
      <c r="S357" s="594">
        <f t="shared" ref="S357:S364" si="283">+IFERROR(H357/G357-1,0)</f>
        <v>0</v>
      </c>
      <c r="T357" s="594">
        <f t="shared" ref="T357:T364" si="284">+IFERROR(I357/H357-1,0)</f>
        <v>1.7325020847222312</v>
      </c>
      <c r="U357" s="594">
        <f t="shared" ref="U357:U364" si="285">+IFERROR(K357/I357-1,0)</f>
        <v>-1</v>
      </c>
      <c r="V357" s="594">
        <f t="shared" ref="V357:V364" si="286">+IFERROR(L357/K357-1,0)</f>
        <v>0</v>
      </c>
      <c r="W357" s="594">
        <f t="shared" ref="W357:W364" si="287">+IFERROR(M357/L357-1,0)</f>
        <v>0</v>
      </c>
      <c r="X357" s="594">
        <f t="shared" ref="X357:X364" si="288">+IFERROR(N357/M357-1,0)</f>
        <v>0</v>
      </c>
      <c r="Y357" s="594">
        <f t="shared" ref="Y357:Y364" si="289">+IFERROR(O357/N357-1,0)</f>
        <v>0</v>
      </c>
    </row>
    <row r="358" spans="2:25" outlineLevel="1">
      <c r="B358" s="562" t="s">
        <v>239</v>
      </c>
      <c r="C358" s="562" t="s">
        <v>427</v>
      </c>
      <c r="D358" s="572" t="s">
        <v>2039</v>
      </c>
      <c r="E358" s="664">
        <v>0</v>
      </c>
      <c r="F358" s="664"/>
      <c r="G358" s="665">
        <v>0</v>
      </c>
      <c r="H358" s="665">
        <v>44776.53</v>
      </c>
      <c r="I358" s="665">
        <v>47676.53</v>
      </c>
      <c r="J358" s="665">
        <v>42871.71</v>
      </c>
      <c r="K358" s="588"/>
      <c r="L358" s="588"/>
      <c r="M358" s="588"/>
      <c r="N358" s="588"/>
      <c r="O358" s="588"/>
      <c r="Q358" s="594">
        <f t="shared" si="281"/>
        <v>0</v>
      </c>
      <c r="R358" s="594">
        <f t="shared" si="282"/>
        <v>0</v>
      </c>
      <c r="S358" s="594">
        <f t="shared" si="283"/>
        <v>0</v>
      </c>
      <c r="T358" s="594">
        <f t="shared" si="284"/>
        <v>6.476607276177937E-2</v>
      </c>
      <c r="U358" s="594">
        <f t="shared" si="285"/>
        <v>-1</v>
      </c>
      <c r="V358" s="594">
        <f t="shared" si="286"/>
        <v>0</v>
      </c>
      <c r="W358" s="594">
        <f t="shared" si="287"/>
        <v>0</v>
      </c>
      <c r="X358" s="594">
        <f t="shared" si="288"/>
        <v>0</v>
      </c>
      <c r="Y358" s="594">
        <f t="shared" si="289"/>
        <v>0</v>
      </c>
    </row>
    <row r="359" spans="2:25" outlineLevel="1">
      <c r="B359" s="562" t="s">
        <v>239</v>
      </c>
      <c r="C359" s="562" t="s">
        <v>427</v>
      </c>
      <c r="D359" s="572" t="s">
        <v>2040</v>
      </c>
      <c r="E359" s="664">
        <v>0</v>
      </c>
      <c r="F359" s="664"/>
      <c r="G359" s="665">
        <v>0</v>
      </c>
      <c r="H359" s="670"/>
      <c r="I359" s="670">
        <v>-2562.0100000000002</v>
      </c>
      <c r="J359" s="665">
        <v>0</v>
      </c>
      <c r="K359" s="588"/>
      <c r="L359" s="588"/>
      <c r="M359" s="588"/>
      <c r="N359" s="588"/>
      <c r="O359" s="588"/>
      <c r="Q359" s="594">
        <f t="shared" si="281"/>
        <v>0</v>
      </c>
      <c r="R359" s="594">
        <f t="shared" si="282"/>
        <v>0</v>
      </c>
      <c r="S359" s="594">
        <f t="shared" si="283"/>
        <v>0</v>
      </c>
      <c r="T359" s="594">
        <f t="shared" si="284"/>
        <v>0</v>
      </c>
      <c r="U359" s="594">
        <f t="shared" si="285"/>
        <v>-1</v>
      </c>
      <c r="V359" s="594">
        <f t="shared" si="286"/>
        <v>0</v>
      </c>
      <c r="W359" s="594">
        <f t="shared" si="287"/>
        <v>0</v>
      </c>
      <c r="X359" s="594">
        <f t="shared" si="288"/>
        <v>0</v>
      </c>
      <c r="Y359" s="594">
        <f t="shared" si="289"/>
        <v>0</v>
      </c>
    </row>
    <row r="360" spans="2:25" outlineLevel="1">
      <c r="B360" s="562" t="s">
        <v>239</v>
      </c>
      <c r="C360" s="562" t="s">
        <v>427</v>
      </c>
      <c r="D360" s="572" t="s">
        <v>2040</v>
      </c>
      <c r="E360" s="664">
        <v>0</v>
      </c>
      <c r="F360" s="664"/>
      <c r="G360" s="665">
        <v>0</v>
      </c>
      <c r="H360" s="670"/>
      <c r="I360" s="670">
        <v>2562.0100000000002</v>
      </c>
      <c r="J360" s="665">
        <v>0</v>
      </c>
      <c r="K360" s="588"/>
      <c r="L360" s="588"/>
      <c r="M360" s="588"/>
      <c r="N360" s="588"/>
      <c r="O360" s="588"/>
      <c r="Q360" s="594">
        <f t="shared" si="281"/>
        <v>0</v>
      </c>
      <c r="R360" s="594">
        <f t="shared" si="282"/>
        <v>0</v>
      </c>
      <c r="S360" s="594">
        <f t="shared" si="283"/>
        <v>0</v>
      </c>
      <c r="T360" s="594">
        <f t="shared" si="284"/>
        <v>0</v>
      </c>
      <c r="U360" s="594">
        <f t="shared" si="285"/>
        <v>-1</v>
      </c>
      <c r="V360" s="594">
        <f t="shared" si="286"/>
        <v>0</v>
      </c>
      <c r="W360" s="594">
        <f t="shared" si="287"/>
        <v>0</v>
      </c>
      <c r="X360" s="594">
        <f t="shared" si="288"/>
        <v>0</v>
      </c>
      <c r="Y360" s="594">
        <f t="shared" si="289"/>
        <v>0</v>
      </c>
    </row>
    <row r="361" spans="2:25" outlineLevel="1">
      <c r="B361" s="562" t="s">
        <v>239</v>
      </c>
      <c r="C361" s="562" t="s">
        <v>427</v>
      </c>
      <c r="D361" s="572" t="s">
        <v>2041</v>
      </c>
      <c r="E361" s="664">
        <v>0</v>
      </c>
      <c r="F361" s="664"/>
      <c r="G361" s="665">
        <v>0</v>
      </c>
      <c r="H361" s="665">
        <v>-112.88</v>
      </c>
      <c r="I361" s="665">
        <v>-471.51</v>
      </c>
      <c r="J361" s="665">
        <v>0</v>
      </c>
      <c r="K361" s="588"/>
      <c r="L361" s="588"/>
      <c r="M361" s="588"/>
      <c r="N361" s="588"/>
      <c r="O361" s="588"/>
      <c r="Q361" s="594">
        <f t="shared" si="281"/>
        <v>0</v>
      </c>
      <c r="R361" s="594">
        <f t="shared" si="282"/>
        <v>0</v>
      </c>
      <c r="S361" s="594">
        <f t="shared" si="283"/>
        <v>0</v>
      </c>
      <c r="T361" s="594">
        <f t="shared" si="284"/>
        <v>3.1770907158043942</v>
      </c>
      <c r="U361" s="594">
        <f t="shared" si="285"/>
        <v>-1</v>
      </c>
      <c r="V361" s="594">
        <f t="shared" si="286"/>
        <v>0</v>
      </c>
      <c r="W361" s="594">
        <f t="shared" si="287"/>
        <v>0</v>
      </c>
      <c r="X361" s="594">
        <f t="shared" si="288"/>
        <v>0</v>
      </c>
      <c r="Y361" s="594">
        <f t="shared" si="289"/>
        <v>0</v>
      </c>
    </row>
    <row r="362" spans="2:25" outlineLevel="1">
      <c r="B362" s="562" t="s">
        <v>239</v>
      </c>
      <c r="C362" s="562" t="s">
        <v>427</v>
      </c>
      <c r="D362" s="572" t="s">
        <v>2041</v>
      </c>
      <c r="E362" s="664">
        <v>0</v>
      </c>
      <c r="F362" s="664"/>
      <c r="G362" s="665">
        <v>0</v>
      </c>
      <c r="H362" s="665">
        <v>916.5</v>
      </c>
      <c r="I362" s="665">
        <v>916.5</v>
      </c>
      <c r="J362" s="665">
        <v>352.97</v>
      </c>
      <c r="K362" s="588"/>
      <c r="L362" s="588"/>
      <c r="M362" s="588"/>
      <c r="N362" s="588"/>
      <c r="O362" s="588"/>
      <c r="Q362" s="594">
        <f t="shared" si="281"/>
        <v>0</v>
      </c>
      <c r="R362" s="594">
        <f t="shared" si="282"/>
        <v>0</v>
      </c>
      <c r="S362" s="594">
        <f t="shared" si="283"/>
        <v>0</v>
      </c>
      <c r="T362" s="594">
        <f t="shared" si="284"/>
        <v>0</v>
      </c>
      <c r="U362" s="594">
        <f t="shared" si="285"/>
        <v>-1</v>
      </c>
      <c r="V362" s="594">
        <f t="shared" si="286"/>
        <v>0</v>
      </c>
      <c r="W362" s="594">
        <f t="shared" si="287"/>
        <v>0</v>
      </c>
      <c r="X362" s="594">
        <f t="shared" si="288"/>
        <v>0</v>
      </c>
      <c r="Y362" s="594">
        <f t="shared" si="289"/>
        <v>0</v>
      </c>
    </row>
    <row r="363" spans="2:25" outlineLevel="1">
      <c r="B363" s="562" t="s">
        <v>239</v>
      </c>
      <c r="C363" s="562" t="s">
        <v>427</v>
      </c>
      <c r="D363" s="572" t="s">
        <v>2042</v>
      </c>
      <c r="E363" s="664">
        <v>0</v>
      </c>
      <c r="F363" s="664"/>
      <c r="G363" s="665">
        <v>0</v>
      </c>
      <c r="H363" s="670"/>
      <c r="I363" s="670">
        <v>-14582.46</v>
      </c>
      <c r="J363" s="665">
        <v>64049.48</v>
      </c>
      <c r="K363" s="588"/>
      <c r="L363" s="588"/>
      <c r="M363" s="588"/>
      <c r="N363" s="588"/>
      <c r="O363" s="588"/>
      <c r="Q363" s="594">
        <f t="shared" si="281"/>
        <v>0</v>
      </c>
      <c r="R363" s="594">
        <f t="shared" si="282"/>
        <v>0</v>
      </c>
      <c r="S363" s="594">
        <f t="shared" si="283"/>
        <v>0</v>
      </c>
      <c r="T363" s="594">
        <f t="shared" si="284"/>
        <v>0</v>
      </c>
      <c r="U363" s="594">
        <f t="shared" si="285"/>
        <v>-1</v>
      </c>
      <c r="V363" s="594">
        <f t="shared" si="286"/>
        <v>0</v>
      </c>
      <c r="W363" s="594">
        <f t="shared" si="287"/>
        <v>0</v>
      </c>
      <c r="X363" s="594">
        <f t="shared" si="288"/>
        <v>0</v>
      </c>
      <c r="Y363" s="594">
        <f t="shared" si="289"/>
        <v>0</v>
      </c>
    </row>
    <row r="364" spans="2:25" outlineLevel="1">
      <c r="B364" s="562" t="s">
        <v>239</v>
      </c>
      <c r="C364" s="562" t="s">
        <v>427</v>
      </c>
      <c r="D364" s="572" t="s">
        <v>2042</v>
      </c>
      <c r="E364" s="664">
        <v>0</v>
      </c>
      <c r="F364" s="664"/>
      <c r="G364" s="665">
        <v>0</v>
      </c>
      <c r="H364" s="670"/>
      <c r="I364" s="670">
        <v>87373.94</v>
      </c>
      <c r="J364" s="665"/>
      <c r="K364" s="588"/>
      <c r="L364" s="588"/>
      <c r="M364" s="588"/>
      <c r="N364" s="588"/>
      <c r="O364" s="588"/>
      <c r="Q364" s="594">
        <f t="shared" si="281"/>
        <v>0</v>
      </c>
      <c r="R364" s="594">
        <f t="shared" si="282"/>
        <v>0</v>
      </c>
      <c r="S364" s="594">
        <f t="shared" si="283"/>
        <v>0</v>
      </c>
      <c r="T364" s="594">
        <f t="shared" si="284"/>
        <v>0</v>
      </c>
      <c r="U364" s="594">
        <f t="shared" si="285"/>
        <v>-1</v>
      </c>
      <c r="V364" s="594">
        <f t="shared" si="286"/>
        <v>0</v>
      </c>
      <c r="W364" s="594">
        <f t="shared" si="287"/>
        <v>0</v>
      </c>
      <c r="X364" s="594">
        <f t="shared" si="288"/>
        <v>0</v>
      </c>
      <c r="Y364" s="594">
        <f t="shared" si="289"/>
        <v>0</v>
      </c>
    </row>
    <row r="365" spans="2:25" outlineLevel="1">
      <c r="D365" s="570" t="s">
        <v>1944</v>
      </c>
      <c r="E365" s="676"/>
      <c r="F365" s="676"/>
      <c r="G365" s="667"/>
      <c r="H365" s="667">
        <v>41035.18</v>
      </c>
      <c r="I365" s="667">
        <v>108493.86</v>
      </c>
      <c r="J365" s="667">
        <v>107274.16</v>
      </c>
      <c r="K365" s="549"/>
      <c r="L365" s="549"/>
      <c r="M365" s="549"/>
      <c r="N365" s="549"/>
      <c r="O365" s="549"/>
    </row>
    <row r="366" spans="2:25" outlineLevel="1">
      <c r="D366" s="573" t="s">
        <v>2043</v>
      </c>
      <c r="E366" s="668"/>
      <c r="F366" s="668"/>
      <c r="G366" s="669"/>
      <c r="H366" s="669">
        <v>41035.18</v>
      </c>
      <c r="I366" s="669">
        <v>108493.86</v>
      </c>
      <c r="J366" s="669">
        <v>107274.16</v>
      </c>
      <c r="K366" s="556"/>
      <c r="L366" s="556"/>
      <c r="M366" s="556"/>
      <c r="N366" s="556"/>
      <c r="O366" s="556"/>
    </row>
    <row r="367" spans="2:25" outlineLevel="1">
      <c r="D367" s="569" t="s">
        <v>2044</v>
      </c>
      <c r="E367" s="662"/>
      <c r="F367" s="662"/>
      <c r="G367" s="654"/>
      <c r="H367" s="654"/>
      <c r="I367" s="654"/>
      <c r="J367" s="654"/>
      <c r="K367" s="546"/>
      <c r="L367" s="546"/>
      <c r="M367" s="546"/>
      <c r="N367" s="546"/>
      <c r="O367" s="546"/>
    </row>
    <row r="368" spans="2:25" outlineLevel="1">
      <c r="B368" s="562" t="s">
        <v>239</v>
      </c>
      <c r="C368" s="562" t="s">
        <v>2345</v>
      </c>
      <c r="D368" s="572" t="s">
        <v>2045</v>
      </c>
      <c r="E368" s="664">
        <v>0</v>
      </c>
      <c r="F368" s="664"/>
      <c r="G368" s="665">
        <v>-40000</v>
      </c>
      <c r="H368" s="665">
        <v>-10000</v>
      </c>
      <c r="I368" s="665">
        <v>0</v>
      </c>
      <c r="J368" s="665">
        <v>0</v>
      </c>
      <c r="K368" s="588"/>
      <c r="L368" s="588"/>
      <c r="M368" s="588"/>
      <c r="N368" s="588"/>
      <c r="O368" s="588"/>
      <c r="Q368" s="594">
        <f t="shared" ref="Q368:Q371" si="290">+IFERROR(F368/E368-1,0)</f>
        <v>0</v>
      </c>
      <c r="R368" s="594">
        <f t="shared" ref="R368:R371" si="291">+IFERROR(G368/F368-1,0)</f>
        <v>0</v>
      </c>
      <c r="S368" s="594">
        <f t="shared" ref="S368:S371" si="292">+IFERROR(H368/G368-1,0)</f>
        <v>-0.75</v>
      </c>
      <c r="T368" s="594">
        <f t="shared" ref="T368:T371" si="293">+IFERROR(I368/H368-1,0)</f>
        <v>-1</v>
      </c>
      <c r="U368" s="594">
        <f t="shared" ref="U368:U371" si="294">+IFERROR(K368/I368-1,0)</f>
        <v>0</v>
      </c>
      <c r="V368" s="594">
        <f t="shared" ref="V368:V371" si="295">+IFERROR(L368/K368-1,0)</f>
        <v>0</v>
      </c>
      <c r="W368" s="594">
        <f t="shared" ref="W368:W371" si="296">+IFERROR(M368/L368-1,0)</f>
        <v>0</v>
      </c>
      <c r="X368" s="594">
        <f t="shared" ref="X368:X371" si="297">+IFERROR(N368/M368-1,0)</f>
        <v>0</v>
      </c>
      <c r="Y368" s="594">
        <f t="shared" ref="Y368:Y371" si="298">+IFERROR(O368/N368-1,0)</f>
        <v>0</v>
      </c>
    </row>
    <row r="369" spans="2:25" outlineLevel="1">
      <c r="B369" s="562" t="s">
        <v>239</v>
      </c>
      <c r="C369" s="562" t="s">
        <v>2345</v>
      </c>
      <c r="D369" s="572" t="s">
        <v>2045</v>
      </c>
      <c r="E369" s="664">
        <v>0</v>
      </c>
      <c r="F369" s="664"/>
      <c r="G369" s="665">
        <v>40000</v>
      </c>
      <c r="H369" s="670">
        <v>0</v>
      </c>
      <c r="I369" s="670">
        <v>0</v>
      </c>
      <c r="J369" s="665">
        <v>0</v>
      </c>
      <c r="K369" s="588"/>
      <c r="L369" s="588"/>
      <c r="M369" s="588"/>
      <c r="N369" s="588"/>
      <c r="O369" s="588"/>
      <c r="Q369" s="594">
        <f t="shared" si="290"/>
        <v>0</v>
      </c>
      <c r="R369" s="594">
        <f t="shared" si="291"/>
        <v>0</v>
      </c>
      <c r="S369" s="594">
        <f t="shared" si="292"/>
        <v>-1</v>
      </c>
      <c r="T369" s="594">
        <f t="shared" si="293"/>
        <v>0</v>
      </c>
      <c r="U369" s="594">
        <f t="shared" si="294"/>
        <v>0</v>
      </c>
      <c r="V369" s="594">
        <f t="shared" si="295"/>
        <v>0</v>
      </c>
      <c r="W369" s="594">
        <f t="shared" si="296"/>
        <v>0</v>
      </c>
      <c r="X369" s="594">
        <f t="shared" si="297"/>
        <v>0</v>
      </c>
      <c r="Y369" s="594">
        <f t="shared" si="298"/>
        <v>0</v>
      </c>
    </row>
    <row r="370" spans="2:25" outlineLevel="1">
      <c r="B370" s="562" t="s">
        <v>239</v>
      </c>
      <c r="C370" s="562" t="s">
        <v>2345</v>
      </c>
      <c r="D370" s="572" t="s">
        <v>2046</v>
      </c>
      <c r="E370" s="664">
        <v>-160000</v>
      </c>
      <c r="F370" s="664">
        <v>-160000</v>
      </c>
      <c r="G370" s="665">
        <v>-160000</v>
      </c>
      <c r="H370" s="665">
        <v>-160000</v>
      </c>
      <c r="I370" s="665">
        <v>-160000</v>
      </c>
      <c r="J370" s="904">
        <v>-1194028.73</v>
      </c>
      <c r="K370" s="588"/>
      <c r="L370" s="588"/>
      <c r="M370" s="588"/>
      <c r="N370" s="588"/>
      <c r="O370" s="588"/>
      <c r="Q370" s="594">
        <f t="shared" si="290"/>
        <v>0</v>
      </c>
      <c r="R370" s="594">
        <f t="shared" si="291"/>
        <v>0</v>
      </c>
      <c r="S370" s="594">
        <f t="shared" si="292"/>
        <v>0</v>
      </c>
      <c r="T370" s="594">
        <f t="shared" si="293"/>
        <v>0</v>
      </c>
      <c r="U370" s="594">
        <f t="shared" si="294"/>
        <v>-1</v>
      </c>
      <c r="V370" s="594">
        <f t="shared" si="295"/>
        <v>0</v>
      </c>
      <c r="W370" s="594">
        <f t="shared" si="296"/>
        <v>0</v>
      </c>
      <c r="X370" s="594">
        <f t="shared" si="297"/>
        <v>0</v>
      </c>
      <c r="Y370" s="594">
        <f t="shared" si="298"/>
        <v>0</v>
      </c>
    </row>
    <row r="371" spans="2:25" outlineLevel="1">
      <c r="B371" s="562" t="s">
        <v>239</v>
      </c>
      <c r="C371" s="562" t="s">
        <v>2345</v>
      </c>
      <c r="D371" s="572" t="s">
        <v>2047</v>
      </c>
      <c r="E371" s="664">
        <v>-10000</v>
      </c>
      <c r="F371" s="664">
        <v>-40089.230000000003</v>
      </c>
      <c r="G371" s="665">
        <v>-1860.67</v>
      </c>
      <c r="H371" s="665">
        <v>-104955.19</v>
      </c>
      <c r="I371" s="665">
        <v>0</v>
      </c>
      <c r="J371" s="665">
        <v>0</v>
      </c>
      <c r="K371" s="588"/>
      <c r="L371" s="588"/>
      <c r="M371" s="588"/>
      <c r="N371" s="588"/>
      <c r="O371" s="588"/>
      <c r="Q371" s="594">
        <f t="shared" si="290"/>
        <v>3.0089230000000002</v>
      </c>
      <c r="R371" s="594">
        <f t="shared" si="291"/>
        <v>-0.95358678627651372</v>
      </c>
      <c r="S371" s="594">
        <f t="shared" si="292"/>
        <v>55.407202781793657</v>
      </c>
      <c r="T371" s="594">
        <f t="shared" si="293"/>
        <v>-1</v>
      </c>
      <c r="U371" s="594">
        <f t="shared" si="294"/>
        <v>0</v>
      </c>
      <c r="V371" s="594">
        <f t="shared" si="295"/>
        <v>0</v>
      </c>
      <c r="W371" s="594">
        <f t="shared" si="296"/>
        <v>0</v>
      </c>
      <c r="X371" s="594">
        <f t="shared" si="297"/>
        <v>0</v>
      </c>
      <c r="Y371" s="594">
        <f t="shared" si="298"/>
        <v>0</v>
      </c>
    </row>
    <row r="372" spans="2:25" outlineLevel="1">
      <c r="D372" s="574" t="s">
        <v>1898</v>
      </c>
      <c r="E372" s="671"/>
      <c r="F372" s="671"/>
      <c r="G372" s="666"/>
      <c r="H372" s="666">
        <v>274955.19</v>
      </c>
      <c r="I372" s="666">
        <v>-160000</v>
      </c>
      <c r="J372" s="666">
        <v>-1194028.73</v>
      </c>
      <c r="K372" s="548"/>
      <c r="L372" s="548"/>
      <c r="M372" s="548"/>
      <c r="N372" s="548"/>
      <c r="O372" s="548"/>
    </row>
    <row r="373" spans="2:25" outlineLevel="1">
      <c r="B373" s="562" t="s">
        <v>239</v>
      </c>
      <c r="C373" s="562" t="s">
        <v>2345</v>
      </c>
      <c r="D373" s="572" t="s">
        <v>2048</v>
      </c>
      <c r="E373" s="664">
        <v>170000</v>
      </c>
      <c r="F373" s="664">
        <v>-5440</v>
      </c>
      <c r="G373" s="665">
        <v>0</v>
      </c>
      <c r="H373" s="665">
        <v>-20398.37</v>
      </c>
      <c r="I373" s="665">
        <v>-2317294.77</v>
      </c>
      <c r="J373" s="665">
        <v>0</v>
      </c>
      <c r="K373" s="588"/>
      <c r="L373" s="588"/>
      <c r="M373" s="588"/>
      <c r="N373" s="588"/>
      <c r="O373" s="588"/>
      <c r="Q373" s="594">
        <f t="shared" ref="Q373" si="299">+IFERROR(F373/E373-1,0)</f>
        <v>-1.032</v>
      </c>
      <c r="R373" s="594">
        <f t="shared" ref="R373" si="300">+IFERROR(G373/F373-1,0)</f>
        <v>-1</v>
      </c>
      <c r="S373" s="594">
        <f t="shared" ref="S373" si="301">+IFERROR(H373/G373-1,0)</f>
        <v>0</v>
      </c>
      <c r="T373" s="594">
        <f t="shared" ref="T373" si="302">+IFERROR(I373/H373-1,0)</f>
        <v>112.60195790153821</v>
      </c>
      <c r="U373" s="594">
        <f t="shared" ref="U373" si="303">+IFERROR(K373/I373-1,0)</f>
        <v>-1</v>
      </c>
      <c r="V373" s="594">
        <f t="shared" ref="V373" si="304">+IFERROR(L373/K373-1,0)</f>
        <v>0</v>
      </c>
      <c r="W373" s="594">
        <f t="shared" ref="W373" si="305">+IFERROR(M373/L373-1,0)</f>
        <v>0</v>
      </c>
      <c r="X373" s="594">
        <f t="shared" ref="X373" si="306">+IFERROR(N373/M373-1,0)</f>
        <v>0</v>
      </c>
      <c r="Y373" s="594">
        <f t="shared" ref="Y373" si="307">+IFERROR(O373/N373-1,0)</f>
        <v>0</v>
      </c>
    </row>
    <row r="374" spans="2:25" outlineLevel="1">
      <c r="D374" s="574" t="s">
        <v>1944</v>
      </c>
      <c r="E374" s="671"/>
      <c r="F374" s="671"/>
      <c r="G374" s="666"/>
      <c r="H374" s="666">
        <v>20398.37</v>
      </c>
      <c r="I374" s="666">
        <v>-2317294.77</v>
      </c>
      <c r="J374" s="666">
        <v>0</v>
      </c>
      <c r="K374" s="548"/>
      <c r="L374" s="548"/>
      <c r="M374" s="548"/>
      <c r="N374" s="548"/>
      <c r="O374" s="548"/>
    </row>
    <row r="375" spans="2:25" outlineLevel="1">
      <c r="D375" s="573" t="s">
        <v>2049</v>
      </c>
      <c r="E375" s="668"/>
      <c r="F375" s="668"/>
      <c r="G375" s="669"/>
      <c r="H375" s="669">
        <v>295353.56</v>
      </c>
      <c r="I375" s="669">
        <v>-2477294.77</v>
      </c>
      <c r="J375" s="669">
        <v>-1194028.73</v>
      </c>
      <c r="K375" s="556"/>
      <c r="L375" s="556"/>
      <c r="M375" s="556"/>
      <c r="N375" s="556"/>
      <c r="O375" s="556"/>
    </row>
    <row r="376" spans="2:25" outlineLevel="1">
      <c r="D376" s="568" t="s">
        <v>2050</v>
      </c>
      <c r="E376" s="660"/>
      <c r="F376" s="660"/>
      <c r="G376" s="657"/>
      <c r="H376" s="657"/>
      <c r="I376" s="657"/>
      <c r="J376" s="657"/>
      <c r="K376" s="547"/>
      <c r="L376" s="547"/>
      <c r="M376" s="547"/>
      <c r="N376" s="547"/>
      <c r="O376" s="547"/>
    </row>
    <row r="377" spans="2:25" outlineLevel="1">
      <c r="B377" s="562" t="s">
        <v>239</v>
      </c>
      <c r="C377" s="562" t="s">
        <v>2346</v>
      </c>
      <c r="D377" s="572" t="s">
        <v>2051</v>
      </c>
      <c r="E377" s="664">
        <v>6218273.2300000004</v>
      </c>
      <c r="F377" s="664">
        <v>5430311.4699999997</v>
      </c>
      <c r="G377" s="665">
        <v>5619652.0099999998</v>
      </c>
      <c r="H377" s="665">
        <v>6660084.0300000003</v>
      </c>
      <c r="I377" s="665">
        <v>15084369.42</v>
      </c>
      <c r="J377" s="665">
        <v>11211647.960000001</v>
      </c>
      <c r="K377" s="588"/>
      <c r="L377" s="588"/>
      <c r="M377" s="588"/>
      <c r="N377" s="588"/>
      <c r="O377" s="588"/>
      <c r="Q377" s="594">
        <f t="shared" ref="Q377:Q378" si="308">+IFERROR(F377/E377-1,0)</f>
        <v>-0.12671713365673398</v>
      </c>
      <c r="R377" s="594">
        <f t="shared" ref="R377:R378" si="309">+IFERROR(G377/F377-1,0)</f>
        <v>3.4867344358794128E-2</v>
      </c>
      <c r="S377" s="594">
        <f t="shared" ref="S377:S378" si="310">+IFERROR(H377/G377-1,0)</f>
        <v>0.18514171663095569</v>
      </c>
      <c r="T377" s="594">
        <f t="shared" ref="T377:T378" si="311">+IFERROR(I377/H377-1,0)</f>
        <v>1.2648917569287783</v>
      </c>
      <c r="U377" s="594">
        <f t="shared" ref="U377:U378" si="312">+IFERROR(K377/I377-1,0)</f>
        <v>-1</v>
      </c>
      <c r="V377" s="594">
        <f t="shared" ref="V377:V378" si="313">+IFERROR(L377/K377-1,0)</f>
        <v>0</v>
      </c>
      <c r="W377" s="594">
        <f t="shared" ref="W377:W378" si="314">+IFERROR(M377/L377-1,0)</f>
        <v>0</v>
      </c>
      <c r="X377" s="594">
        <f t="shared" ref="X377:X378" si="315">+IFERROR(N377/M377-1,0)</f>
        <v>0</v>
      </c>
      <c r="Y377" s="594">
        <f t="shared" ref="Y377:Y378" si="316">+IFERROR(O377/N377-1,0)</f>
        <v>0</v>
      </c>
    </row>
    <row r="378" spans="2:25" outlineLevel="1">
      <c r="B378" s="562" t="s">
        <v>239</v>
      </c>
      <c r="C378" s="562" t="s">
        <v>2346</v>
      </c>
      <c r="D378" s="572" t="s">
        <v>2052</v>
      </c>
      <c r="E378" s="664">
        <v>1247848.23</v>
      </c>
      <c r="F378" s="664">
        <v>1964691.37</v>
      </c>
      <c r="G378" s="665">
        <v>2452164.23</v>
      </c>
      <c r="H378" s="665">
        <v>2557667.23</v>
      </c>
      <c r="I378" s="665">
        <v>3430534.2399999998</v>
      </c>
      <c r="J378" s="665">
        <v>2836890.45</v>
      </c>
      <c r="K378" s="588"/>
      <c r="L378" s="588"/>
      <c r="M378" s="588"/>
      <c r="N378" s="588"/>
      <c r="O378" s="588"/>
      <c r="Q378" s="594">
        <f t="shared" si="308"/>
        <v>0.57446340249246508</v>
      </c>
      <c r="R378" s="594">
        <f t="shared" si="309"/>
        <v>0.24811676146365924</v>
      </c>
      <c r="S378" s="594">
        <f t="shared" si="310"/>
        <v>4.3024442942795948E-2</v>
      </c>
      <c r="T378" s="594">
        <f t="shared" si="311"/>
        <v>0.34127465831432646</v>
      </c>
      <c r="U378" s="594">
        <f t="shared" si="312"/>
        <v>-1</v>
      </c>
      <c r="V378" s="594">
        <f t="shared" si="313"/>
        <v>0</v>
      </c>
      <c r="W378" s="594">
        <f t="shared" si="314"/>
        <v>0</v>
      </c>
      <c r="X378" s="594">
        <f t="shared" si="315"/>
        <v>0</v>
      </c>
      <c r="Y378" s="594">
        <f t="shared" si="316"/>
        <v>0</v>
      </c>
    </row>
    <row r="379" spans="2:25" outlineLevel="1">
      <c r="B379" s="562" t="s">
        <v>239</v>
      </c>
      <c r="C379" s="562" t="s">
        <v>2346</v>
      </c>
      <c r="D379" s="572" t="s">
        <v>4144</v>
      </c>
      <c r="E379" s="664"/>
      <c r="F379" s="664"/>
      <c r="G379" s="665"/>
      <c r="H379" s="665"/>
      <c r="I379" s="665"/>
      <c r="J379" s="665">
        <v>24502.43</v>
      </c>
      <c r="K379" s="588"/>
      <c r="L379" s="588"/>
      <c r="M379" s="588"/>
      <c r="N379" s="588"/>
      <c r="O379" s="588"/>
      <c r="Q379" s="1034"/>
      <c r="R379" s="1034"/>
      <c r="S379" s="1034"/>
      <c r="T379" s="1034"/>
      <c r="U379" s="1034"/>
      <c r="V379" s="1034"/>
      <c r="W379" s="1034"/>
      <c r="X379" s="1034"/>
      <c r="Y379" s="1034"/>
    </row>
    <row r="380" spans="2:25" outlineLevel="1">
      <c r="D380" s="570" t="s">
        <v>1898</v>
      </c>
      <c r="E380" s="676"/>
      <c r="F380" s="676"/>
      <c r="G380" s="667"/>
      <c r="H380" s="667">
        <v>9217751.2599999998</v>
      </c>
      <c r="I380" s="667">
        <v>18514903.66</v>
      </c>
      <c r="J380" s="667">
        <v>14073040.84</v>
      </c>
      <c r="K380" s="549"/>
      <c r="L380" s="549"/>
      <c r="M380" s="549"/>
      <c r="N380" s="549"/>
      <c r="O380" s="549"/>
    </row>
    <row r="381" spans="2:25" outlineLevel="1">
      <c r="B381" s="562" t="s">
        <v>239</v>
      </c>
      <c r="C381" s="562" t="s">
        <v>2346</v>
      </c>
      <c r="D381" s="572" t="s">
        <v>2053</v>
      </c>
      <c r="E381" s="664">
        <v>0</v>
      </c>
      <c r="F381" s="664">
        <v>2463.3000000000002</v>
      </c>
      <c r="G381" s="665">
        <v>13073.25</v>
      </c>
      <c r="H381" s="665">
        <v>13398.25</v>
      </c>
      <c r="I381" s="665">
        <v>24898.25</v>
      </c>
      <c r="J381" s="665">
        <v>24898.25</v>
      </c>
      <c r="K381" s="588"/>
      <c r="L381" s="588"/>
      <c r="M381" s="588"/>
      <c r="N381" s="588"/>
      <c r="O381" s="588"/>
      <c r="Q381" s="594">
        <f t="shared" ref="Q381" si="317">+IFERROR(F381/E381-1,0)</f>
        <v>0</v>
      </c>
      <c r="R381" s="594">
        <f t="shared" ref="R381" si="318">+IFERROR(G381/F381-1,0)</f>
        <v>4.3072098404579222</v>
      </c>
      <c r="S381" s="594">
        <f t="shared" ref="S381" si="319">+IFERROR(H381/G381-1,0)</f>
        <v>2.4859923890386826E-2</v>
      </c>
      <c r="T381" s="594">
        <f t="shared" ref="T381" si="320">+IFERROR(I381/H381-1,0)</f>
        <v>0.85832104939077869</v>
      </c>
      <c r="U381" s="594">
        <f t="shared" ref="U381" si="321">+IFERROR(K381/I381-1,0)</f>
        <v>-1</v>
      </c>
      <c r="V381" s="594">
        <f t="shared" ref="V381" si="322">+IFERROR(L381/K381-1,0)</f>
        <v>0</v>
      </c>
      <c r="W381" s="594">
        <f t="shared" ref="W381" si="323">+IFERROR(M381/L381-1,0)</f>
        <v>0</v>
      </c>
      <c r="X381" s="594">
        <f t="shared" ref="X381" si="324">+IFERROR(N381/M381-1,0)</f>
        <v>0</v>
      </c>
      <c r="Y381" s="594">
        <f t="shared" ref="Y381" si="325">+IFERROR(O381/N381-1,0)</f>
        <v>0</v>
      </c>
    </row>
    <row r="382" spans="2:25" outlineLevel="1">
      <c r="D382" s="570" t="s">
        <v>1944</v>
      </c>
      <c r="E382" s="676"/>
      <c r="F382" s="676"/>
      <c r="G382" s="667"/>
      <c r="H382" s="667">
        <v>13398.25</v>
      </c>
      <c r="I382" s="667">
        <v>24898.25</v>
      </c>
      <c r="J382" s="667">
        <v>24898.25</v>
      </c>
      <c r="K382" s="549"/>
      <c r="L382" s="549"/>
      <c r="M382" s="549"/>
      <c r="N382" s="549"/>
      <c r="O382" s="549"/>
    </row>
    <row r="383" spans="2:25" outlineLevel="1">
      <c r="D383" s="573" t="s">
        <v>2054</v>
      </c>
      <c r="E383" s="668"/>
      <c r="F383" s="668"/>
      <c r="G383" s="669"/>
      <c r="H383" s="669">
        <v>9231149.5099999998</v>
      </c>
      <c r="I383" s="669">
        <v>18539801.91</v>
      </c>
      <c r="J383" s="669">
        <v>14097939.09</v>
      </c>
      <c r="K383" s="556"/>
      <c r="L383" s="556"/>
      <c r="M383" s="556"/>
      <c r="N383" s="556"/>
      <c r="O383" s="556"/>
    </row>
    <row r="384" spans="2:25" outlineLevel="1">
      <c r="D384" s="569" t="s">
        <v>2055</v>
      </c>
      <c r="E384" s="662"/>
      <c r="F384" s="662"/>
      <c r="G384" s="654"/>
      <c r="H384" s="654"/>
      <c r="I384" s="654"/>
      <c r="J384" s="654"/>
      <c r="K384" s="546"/>
      <c r="L384" s="546"/>
      <c r="M384" s="546"/>
      <c r="N384" s="546"/>
      <c r="O384" s="546"/>
    </row>
    <row r="385" spans="2:25" outlineLevel="1">
      <c r="B385" s="562" t="s">
        <v>239</v>
      </c>
      <c r="C385" s="562" t="s">
        <v>2348</v>
      </c>
      <c r="D385" s="572" t="s">
        <v>2056</v>
      </c>
      <c r="E385" s="664">
        <v>145</v>
      </c>
      <c r="F385" s="664">
        <v>4296.6000000000004</v>
      </c>
      <c r="G385" s="665">
        <v>4538.3999999999996</v>
      </c>
      <c r="H385" s="665">
        <v>1750</v>
      </c>
      <c r="I385" s="665">
        <v>6355.33</v>
      </c>
      <c r="J385" s="665">
        <v>4390.8</v>
      </c>
      <c r="K385" s="588"/>
      <c r="L385" s="588"/>
      <c r="M385" s="588"/>
      <c r="N385" s="588"/>
      <c r="O385" s="588"/>
      <c r="Q385" s="594">
        <f t="shared" ref="Q385:Q397" si="326">+IFERROR(F385/E385-1,0)</f>
        <v>28.631724137931037</v>
      </c>
      <c r="R385" s="594">
        <f t="shared" ref="R385:R397" si="327">+IFERROR(G385/F385-1,0)</f>
        <v>5.6277056277056037E-2</v>
      </c>
      <c r="S385" s="594">
        <f t="shared" ref="S385:S397" si="328">+IFERROR(H385/G385-1,0)</f>
        <v>-0.61440155120747397</v>
      </c>
      <c r="T385" s="594">
        <f t="shared" ref="T385:T397" si="329">+IFERROR(I385/H385-1,0)</f>
        <v>2.6316171428571429</v>
      </c>
      <c r="U385" s="594">
        <f t="shared" ref="U385:U397" si="330">+IFERROR(K385/I385-1,0)</f>
        <v>-1</v>
      </c>
      <c r="V385" s="594">
        <f t="shared" ref="V385:V397" si="331">+IFERROR(L385/K385-1,0)</f>
        <v>0</v>
      </c>
      <c r="W385" s="594">
        <f t="shared" ref="W385:W397" si="332">+IFERROR(M385/L385-1,0)</f>
        <v>0</v>
      </c>
      <c r="X385" s="594">
        <f t="shared" ref="X385:X397" si="333">+IFERROR(N385/M385-1,0)</f>
        <v>0</v>
      </c>
      <c r="Y385" s="594">
        <f t="shared" ref="Y385:Y397" si="334">+IFERROR(O385/N385-1,0)</f>
        <v>0</v>
      </c>
    </row>
    <row r="386" spans="2:25" outlineLevel="1">
      <c r="B386" s="562" t="s">
        <v>239</v>
      </c>
      <c r="C386" s="562" t="s">
        <v>2348</v>
      </c>
      <c r="D386" s="572" t="s">
        <v>2057</v>
      </c>
      <c r="E386" s="664">
        <v>2111.27</v>
      </c>
      <c r="F386" s="664">
        <v>2111.27</v>
      </c>
      <c r="G386" s="665">
        <v>2111.27</v>
      </c>
      <c r="H386" s="665">
        <v>2111.27</v>
      </c>
      <c r="I386" s="665">
        <v>1945.87</v>
      </c>
      <c r="J386" s="665">
        <v>1945.87</v>
      </c>
      <c r="K386" s="588"/>
      <c r="L386" s="588"/>
      <c r="M386" s="588"/>
      <c r="N386" s="588"/>
      <c r="O386" s="588"/>
      <c r="Q386" s="594">
        <f t="shared" si="326"/>
        <v>0</v>
      </c>
      <c r="R386" s="594">
        <f t="shared" si="327"/>
        <v>0</v>
      </c>
      <c r="S386" s="594">
        <f t="shared" si="328"/>
        <v>0</v>
      </c>
      <c r="T386" s="594">
        <f t="shared" si="329"/>
        <v>-7.8341472194461192E-2</v>
      </c>
      <c r="U386" s="594">
        <f t="shared" si="330"/>
        <v>-1</v>
      </c>
      <c r="V386" s="594">
        <f t="shared" si="331"/>
        <v>0</v>
      </c>
      <c r="W386" s="594">
        <f t="shared" si="332"/>
        <v>0</v>
      </c>
      <c r="X386" s="594">
        <f t="shared" si="333"/>
        <v>0</v>
      </c>
      <c r="Y386" s="594">
        <f t="shared" si="334"/>
        <v>0</v>
      </c>
    </row>
    <row r="387" spans="2:25" outlineLevel="1">
      <c r="B387" s="562" t="s">
        <v>239</v>
      </c>
      <c r="C387" s="562" t="s">
        <v>2348</v>
      </c>
      <c r="D387" s="572" t="s">
        <v>2058</v>
      </c>
      <c r="E387" s="664">
        <v>134057</v>
      </c>
      <c r="F387" s="664">
        <v>129133</v>
      </c>
      <c r="G387" s="665">
        <v>184721</v>
      </c>
      <c r="H387" s="665">
        <v>615220</v>
      </c>
      <c r="I387" s="665">
        <v>1173013.78</v>
      </c>
      <c r="J387" s="665">
        <v>1632939.67</v>
      </c>
      <c r="K387" s="588"/>
      <c r="L387" s="588"/>
      <c r="M387" s="588"/>
      <c r="N387" s="588"/>
      <c r="O387" s="588"/>
      <c r="Q387" s="594">
        <f t="shared" si="326"/>
        <v>-3.6730644427370396E-2</v>
      </c>
      <c r="R387" s="594">
        <f t="shared" si="327"/>
        <v>0.43047090983714464</v>
      </c>
      <c r="S387" s="594">
        <f t="shared" si="328"/>
        <v>2.3305363223455915</v>
      </c>
      <c r="T387" s="594">
        <f t="shared" si="329"/>
        <v>0.90665742336074895</v>
      </c>
      <c r="U387" s="594">
        <f t="shared" si="330"/>
        <v>-1</v>
      </c>
      <c r="V387" s="594">
        <f t="shared" si="331"/>
        <v>0</v>
      </c>
      <c r="W387" s="594">
        <f t="shared" si="332"/>
        <v>0</v>
      </c>
      <c r="X387" s="594">
        <f t="shared" si="333"/>
        <v>0</v>
      </c>
      <c r="Y387" s="594">
        <f t="shared" si="334"/>
        <v>0</v>
      </c>
    </row>
    <row r="388" spans="2:25" outlineLevel="1">
      <c r="B388" s="562" t="s">
        <v>239</v>
      </c>
      <c r="C388" s="562" t="s">
        <v>2348</v>
      </c>
      <c r="D388" s="572" t="s">
        <v>2059</v>
      </c>
      <c r="E388" s="664">
        <v>152777.93</v>
      </c>
      <c r="F388" s="664">
        <v>170468.06</v>
      </c>
      <c r="G388" s="665">
        <v>188623.82</v>
      </c>
      <c r="H388" s="665">
        <v>255401.42</v>
      </c>
      <c r="I388" s="665">
        <v>292383.7</v>
      </c>
      <c r="J388" s="665">
        <v>322208.55</v>
      </c>
      <c r="K388" s="588"/>
      <c r="L388" s="588"/>
      <c r="M388" s="588"/>
      <c r="N388" s="588"/>
      <c r="O388" s="588"/>
      <c r="Q388" s="594">
        <f t="shared" si="326"/>
        <v>0.11578982644940927</v>
      </c>
      <c r="R388" s="594">
        <f t="shared" si="327"/>
        <v>0.1065053476880069</v>
      </c>
      <c r="S388" s="594">
        <f t="shared" si="328"/>
        <v>0.35402527634102632</v>
      </c>
      <c r="T388" s="594">
        <f t="shared" si="329"/>
        <v>0.14480060447588738</v>
      </c>
      <c r="U388" s="594">
        <f t="shared" si="330"/>
        <v>-1</v>
      </c>
      <c r="V388" s="594">
        <f t="shared" si="331"/>
        <v>0</v>
      </c>
      <c r="W388" s="594">
        <f t="shared" si="332"/>
        <v>0</v>
      </c>
      <c r="X388" s="594">
        <f t="shared" si="333"/>
        <v>0</v>
      </c>
      <c r="Y388" s="594">
        <f t="shared" si="334"/>
        <v>0</v>
      </c>
    </row>
    <row r="389" spans="2:25" outlineLevel="1">
      <c r="B389" s="562" t="s">
        <v>239</v>
      </c>
      <c r="C389" s="562" t="s">
        <v>2348</v>
      </c>
      <c r="D389" s="572" t="s">
        <v>2060</v>
      </c>
      <c r="E389" s="664">
        <v>0</v>
      </c>
      <c r="F389" s="664">
        <v>505.79</v>
      </c>
      <c r="G389" s="665">
        <v>273.55</v>
      </c>
      <c r="H389" s="665">
        <v>2608.6</v>
      </c>
      <c r="I389" s="665">
        <v>3531.63</v>
      </c>
      <c r="J389" s="665">
        <v>2694.54</v>
      </c>
      <c r="K389" s="588"/>
      <c r="L389" s="588"/>
      <c r="M389" s="588"/>
      <c r="N389" s="588"/>
      <c r="O389" s="588"/>
      <c r="Q389" s="594">
        <f t="shared" si="326"/>
        <v>0</v>
      </c>
      <c r="R389" s="594">
        <f t="shared" si="327"/>
        <v>-0.45916289369105756</v>
      </c>
      <c r="S389" s="594">
        <f t="shared" si="328"/>
        <v>8.5360994333759823</v>
      </c>
      <c r="T389" s="594">
        <f t="shared" si="329"/>
        <v>0.35384114084183094</v>
      </c>
      <c r="U389" s="594">
        <f t="shared" si="330"/>
        <v>-1</v>
      </c>
      <c r="V389" s="594">
        <f t="shared" si="331"/>
        <v>0</v>
      </c>
      <c r="W389" s="594">
        <f t="shared" si="332"/>
        <v>0</v>
      </c>
      <c r="X389" s="594">
        <f t="shared" si="333"/>
        <v>0</v>
      </c>
      <c r="Y389" s="594">
        <f t="shared" si="334"/>
        <v>0</v>
      </c>
    </row>
    <row r="390" spans="2:25" outlineLevel="1">
      <c r="B390" s="562" t="s">
        <v>239</v>
      </c>
      <c r="C390" s="562" t="s">
        <v>2348</v>
      </c>
      <c r="D390" s="572" t="s">
        <v>2061</v>
      </c>
      <c r="E390" s="664">
        <v>0</v>
      </c>
      <c r="F390" s="664"/>
      <c r="G390" s="665">
        <v>2</v>
      </c>
      <c r="H390" s="665">
        <v>10</v>
      </c>
      <c r="I390" s="665">
        <v>0</v>
      </c>
      <c r="J390" s="665">
        <v>0</v>
      </c>
      <c r="K390" s="588"/>
      <c r="L390" s="588"/>
      <c r="M390" s="588"/>
      <c r="N390" s="588"/>
      <c r="O390" s="588"/>
      <c r="Q390" s="594">
        <f t="shared" si="326"/>
        <v>0</v>
      </c>
      <c r="R390" s="594">
        <f t="shared" si="327"/>
        <v>0</v>
      </c>
      <c r="S390" s="594">
        <f t="shared" si="328"/>
        <v>4</v>
      </c>
      <c r="T390" s="594">
        <f t="shared" si="329"/>
        <v>-1</v>
      </c>
      <c r="U390" s="594">
        <f t="shared" si="330"/>
        <v>0</v>
      </c>
      <c r="V390" s="594">
        <f t="shared" si="331"/>
        <v>0</v>
      </c>
      <c r="W390" s="594">
        <f t="shared" si="332"/>
        <v>0</v>
      </c>
      <c r="X390" s="594">
        <f t="shared" si="333"/>
        <v>0</v>
      </c>
      <c r="Y390" s="594">
        <f t="shared" si="334"/>
        <v>0</v>
      </c>
    </row>
    <row r="391" spans="2:25" outlineLevel="1">
      <c r="B391" s="562" t="s">
        <v>239</v>
      </c>
      <c r="C391" s="562" t="s">
        <v>2348</v>
      </c>
      <c r="D391" s="572" t="s">
        <v>2062</v>
      </c>
      <c r="E391" s="664">
        <v>0</v>
      </c>
      <c r="F391" s="664"/>
      <c r="G391" s="665">
        <v>-109.21</v>
      </c>
      <c r="H391" s="665">
        <v>-58.68</v>
      </c>
      <c r="I391" s="665">
        <v>-86.16</v>
      </c>
      <c r="J391" s="665">
        <v>-557.92999999999995</v>
      </c>
      <c r="K391" s="588"/>
      <c r="L391" s="588"/>
      <c r="M391" s="588"/>
      <c r="N391" s="588"/>
      <c r="O391" s="588"/>
      <c r="Q391" s="594">
        <f t="shared" si="326"/>
        <v>0</v>
      </c>
      <c r="R391" s="594">
        <f t="shared" si="327"/>
        <v>0</v>
      </c>
      <c r="S391" s="594">
        <f t="shared" si="328"/>
        <v>-0.46268656716417911</v>
      </c>
      <c r="T391" s="594">
        <f t="shared" si="329"/>
        <v>0.4683026584867076</v>
      </c>
      <c r="U391" s="594">
        <f t="shared" si="330"/>
        <v>-1</v>
      </c>
      <c r="V391" s="594">
        <f t="shared" si="331"/>
        <v>0</v>
      </c>
      <c r="W391" s="594">
        <f t="shared" si="332"/>
        <v>0</v>
      </c>
      <c r="X391" s="594">
        <f t="shared" si="333"/>
        <v>0</v>
      </c>
      <c r="Y391" s="594">
        <f t="shared" si="334"/>
        <v>0</v>
      </c>
    </row>
    <row r="392" spans="2:25" outlineLevel="1">
      <c r="B392" s="562" t="s">
        <v>239</v>
      </c>
      <c r="C392" s="562" t="s">
        <v>2348</v>
      </c>
      <c r="D392" s="572" t="s">
        <v>4145</v>
      </c>
      <c r="E392" s="664"/>
      <c r="F392" s="664"/>
      <c r="G392" s="665"/>
      <c r="H392" s="665"/>
      <c r="I392" s="665"/>
      <c r="J392" s="665">
        <v>-13.16</v>
      </c>
      <c r="K392" s="588"/>
      <c r="L392" s="588"/>
      <c r="M392" s="588"/>
      <c r="N392" s="588"/>
      <c r="O392" s="588"/>
      <c r="Q392" s="594"/>
      <c r="R392" s="594"/>
      <c r="S392" s="594"/>
      <c r="T392" s="594"/>
      <c r="U392" s="594"/>
      <c r="V392" s="594"/>
      <c r="W392" s="594"/>
      <c r="X392" s="594"/>
      <c r="Y392" s="594"/>
    </row>
    <row r="393" spans="2:25" outlineLevel="1">
      <c r="B393" s="562" t="s">
        <v>239</v>
      </c>
      <c r="C393" s="562" t="s">
        <v>2348</v>
      </c>
      <c r="D393" s="572" t="s">
        <v>4146</v>
      </c>
      <c r="E393" s="664"/>
      <c r="F393" s="664"/>
      <c r="G393" s="665"/>
      <c r="H393" s="665"/>
      <c r="I393" s="665"/>
      <c r="J393" s="665">
        <v>0</v>
      </c>
      <c r="K393" s="588"/>
      <c r="L393" s="588"/>
      <c r="M393" s="588"/>
      <c r="N393" s="588"/>
      <c r="O393" s="588"/>
      <c r="Q393" s="594"/>
      <c r="R393" s="594"/>
      <c r="S393" s="594"/>
      <c r="T393" s="594"/>
      <c r="U393" s="594"/>
      <c r="V393" s="594"/>
      <c r="W393" s="594"/>
      <c r="X393" s="594"/>
      <c r="Y393" s="594"/>
    </row>
    <row r="394" spans="2:25" outlineLevel="1">
      <c r="B394" s="562" t="s">
        <v>239</v>
      </c>
      <c r="C394" s="562" t="s">
        <v>2348</v>
      </c>
      <c r="D394" s="572" t="s">
        <v>4147</v>
      </c>
      <c r="E394" s="664"/>
      <c r="F394" s="664"/>
      <c r="G394" s="665"/>
      <c r="H394" s="665"/>
      <c r="I394" s="665"/>
      <c r="J394" s="665">
        <v>358270.84</v>
      </c>
      <c r="K394" s="588"/>
      <c r="L394" s="588"/>
      <c r="M394" s="588"/>
      <c r="N394" s="588"/>
      <c r="O394" s="588"/>
      <c r="Q394" s="594"/>
      <c r="R394" s="594"/>
      <c r="S394" s="594"/>
      <c r="T394" s="594"/>
      <c r="U394" s="594"/>
      <c r="V394" s="594"/>
      <c r="W394" s="594"/>
      <c r="X394" s="594"/>
      <c r="Y394" s="594"/>
    </row>
    <row r="395" spans="2:25" outlineLevel="1">
      <c r="B395" s="562" t="s">
        <v>239</v>
      </c>
      <c r="C395" s="562" t="s">
        <v>2348</v>
      </c>
      <c r="D395" s="572" t="s">
        <v>4148</v>
      </c>
      <c r="E395" s="664"/>
      <c r="F395" s="664"/>
      <c r="G395" s="665"/>
      <c r="H395" s="665"/>
      <c r="I395" s="665"/>
      <c r="J395" s="665">
        <v>21241.73</v>
      </c>
      <c r="K395" s="588"/>
      <c r="L395" s="588"/>
      <c r="M395" s="588"/>
      <c r="N395" s="588"/>
      <c r="O395" s="588"/>
      <c r="Q395" s="594"/>
      <c r="R395" s="594"/>
      <c r="S395" s="594"/>
      <c r="T395" s="594"/>
      <c r="U395" s="594"/>
      <c r="V395" s="594"/>
      <c r="W395" s="594"/>
      <c r="X395" s="594"/>
      <c r="Y395" s="594"/>
    </row>
    <row r="396" spans="2:25" outlineLevel="1">
      <c r="B396" s="562" t="s">
        <v>239</v>
      </c>
      <c r="C396" s="562" t="s">
        <v>2348</v>
      </c>
      <c r="D396" s="572" t="s">
        <v>4149</v>
      </c>
      <c r="E396" s="664"/>
      <c r="F396" s="664"/>
      <c r="G396" s="665"/>
      <c r="H396" s="665"/>
      <c r="I396" s="665"/>
      <c r="J396" s="665">
        <v>8388.4599999999991</v>
      </c>
      <c r="K396" s="588"/>
      <c r="L396" s="588"/>
      <c r="M396" s="588"/>
      <c r="N396" s="588"/>
      <c r="O396" s="588"/>
      <c r="Q396" s="594"/>
      <c r="R396" s="594"/>
      <c r="S396" s="594"/>
      <c r="T396" s="594"/>
      <c r="U396" s="594"/>
      <c r="V396" s="594"/>
      <c r="W396" s="594"/>
      <c r="X396" s="594"/>
      <c r="Y396" s="594"/>
    </row>
    <row r="397" spans="2:25" outlineLevel="1">
      <c r="B397" s="562" t="s">
        <v>239</v>
      </c>
      <c r="C397" s="562" t="s">
        <v>2348</v>
      </c>
      <c r="D397" s="572" t="s">
        <v>2063</v>
      </c>
      <c r="E397" s="664">
        <v>0</v>
      </c>
      <c r="F397" s="664"/>
      <c r="G397" s="665">
        <v>169027.12</v>
      </c>
      <c r="H397" s="665">
        <v>62102.82</v>
      </c>
      <c r="I397" s="665">
        <v>0</v>
      </c>
      <c r="J397" s="665">
        <v>0</v>
      </c>
      <c r="K397" s="588"/>
      <c r="L397" s="588"/>
      <c r="M397" s="588"/>
      <c r="N397" s="588"/>
      <c r="O397" s="588"/>
      <c r="Q397" s="594">
        <f t="shared" si="326"/>
        <v>0</v>
      </c>
      <c r="R397" s="594">
        <f t="shared" si="327"/>
        <v>0</v>
      </c>
      <c r="S397" s="594">
        <f t="shared" si="328"/>
        <v>-0.63258665236679179</v>
      </c>
      <c r="T397" s="594">
        <f t="shared" si="329"/>
        <v>-1</v>
      </c>
      <c r="U397" s="594">
        <f t="shared" si="330"/>
        <v>0</v>
      </c>
      <c r="V397" s="594">
        <f t="shared" si="331"/>
        <v>0</v>
      </c>
      <c r="W397" s="594">
        <f t="shared" si="332"/>
        <v>0</v>
      </c>
      <c r="X397" s="594">
        <f t="shared" si="333"/>
        <v>0</v>
      </c>
      <c r="Y397" s="594">
        <f t="shared" si="334"/>
        <v>0</v>
      </c>
    </row>
    <row r="398" spans="2:25" outlineLevel="1">
      <c r="D398" s="574" t="s">
        <v>1898</v>
      </c>
      <c r="E398" s="671"/>
      <c r="F398" s="671"/>
      <c r="G398" s="666"/>
      <c r="H398" s="666">
        <v>939145.43</v>
      </c>
      <c r="I398" s="666">
        <v>1477144.15</v>
      </c>
      <c r="J398" s="666">
        <v>2351509.37</v>
      </c>
      <c r="K398" s="548"/>
      <c r="L398" s="548"/>
      <c r="M398" s="548"/>
      <c r="N398" s="548"/>
      <c r="O398" s="548"/>
    </row>
    <row r="399" spans="2:25" outlineLevel="1">
      <c r="B399" s="562" t="s">
        <v>239</v>
      </c>
      <c r="C399" s="562" t="s">
        <v>2348</v>
      </c>
      <c r="D399" s="572" t="s">
        <v>2064</v>
      </c>
      <c r="E399" s="664">
        <v>0</v>
      </c>
      <c r="F399" s="664">
        <v>173170.41</v>
      </c>
      <c r="G399" s="665">
        <v>123693.25</v>
      </c>
      <c r="H399" s="665">
        <v>74216.09</v>
      </c>
      <c r="I399" s="665">
        <v>24738.93</v>
      </c>
      <c r="J399" s="665">
        <v>0</v>
      </c>
      <c r="K399" s="588"/>
      <c r="L399" s="588"/>
      <c r="M399" s="588"/>
      <c r="N399" s="588"/>
      <c r="O399" s="588"/>
      <c r="Q399" s="594">
        <f t="shared" ref="Q399" si="335">+IFERROR(F399/E399-1,0)</f>
        <v>0</v>
      </c>
      <c r="R399" s="594">
        <f t="shared" ref="R399" si="336">+IFERROR(G399/F399-1,0)</f>
        <v>-0.28571370824842424</v>
      </c>
      <c r="S399" s="594">
        <f t="shared" ref="S399" si="337">+IFERROR(H399/G399-1,0)</f>
        <v>-0.39999886816782648</v>
      </c>
      <c r="T399" s="594">
        <f t="shared" ref="T399" si="338">+IFERROR(I399/H399-1,0)</f>
        <v>-0.6666635226943376</v>
      </c>
      <c r="U399" s="594">
        <f t="shared" ref="U399" si="339">+IFERROR(K399/I399-1,0)</f>
        <v>-1</v>
      </c>
      <c r="V399" s="594">
        <f t="shared" ref="V399" si="340">+IFERROR(L399/K399-1,0)</f>
        <v>0</v>
      </c>
      <c r="W399" s="594">
        <f t="shared" ref="W399" si="341">+IFERROR(M399/L399-1,0)</f>
        <v>0</v>
      </c>
      <c r="X399" s="594">
        <f t="shared" ref="X399" si="342">+IFERROR(N399/M399-1,0)</f>
        <v>0</v>
      </c>
      <c r="Y399" s="594">
        <f t="shared" ref="Y399" si="343">+IFERROR(O399/N399-1,0)</f>
        <v>0</v>
      </c>
    </row>
    <row r="400" spans="2:25" outlineLevel="1">
      <c r="D400" s="574" t="s">
        <v>1944</v>
      </c>
      <c r="E400" s="671"/>
      <c r="F400" s="671"/>
      <c r="G400" s="666"/>
      <c r="H400" s="666">
        <v>74216.09</v>
      </c>
      <c r="I400" s="666">
        <v>24738.93</v>
      </c>
      <c r="J400" s="666">
        <v>0</v>
      </c>
      <c r="K400" s="548"/>
      <c r="L400" s="548"/>
      <c r="M400" s="548"/>
      <c r="N400" s="548"/>
      <c r="O400" s="548"/>
    </row>
    <row r="401" spans="2:25" outlineLevel="1">
      <c r="D401" s="573" t="s">
        <v>2065</v>
      </c>
      <c r="E401" s="668"/>
      <c r="F401" s="668"/>
      <c r="G401" s="669"/>
      <c r="H401" s="669">
        <v>1013361.52</v>
      </c>
      <c r="I401" s="669">
        <v>1501883.0799999998</v>
      </c>
      <c r="J401" s="669">
        <v>2351509.37</v>
      </c>
      <c r="K401" s="556"/>
      <c r="L401" s="556"/>
      <c r="M401" s="556"/>
      <c r="N401" s="556"/>
      <c r="O401" s="556"/>
    </row>
    <row r="402" spans="2:25" outlineLevel="1">
      <c r="D402" s="568" t="s">
        <v>2066</v>
      </c>
      <c r="E402" s="660"/>
      <c r="F402" s="660"/>
      <c r="G402" s="657"/>
      <c r="H402" s="657"/>
      <c r="I402" s="657"/>
      <c r="J402" s="657"/>
      <c r="K402" s="547"/>
      <c r="L402" s="547"/>
      <c r="M402" s="547"/>
      <c r="N402" s="547"/>
      <c r="O402" s="547"/>
    </row>
    <row r="403" spans="2:25" outlineLevel="1">
      <c r="B403" s="562" t="s">
        <v>239</v>
      </c>
      <c r="C403" s="562" t="s">
        <v>2348</v>
      </c>
      <c r="D403" s="572" t="s">
        <v>2067</v>
      </c>
      <c r="E403" s="664">
        <v>155472.35999999999</v>
      </c>
      <c r="F403" s="664">
        <v>145204.26999999999</v>
      </c>
      <c r="G403" s="665">
        <v>183738.05</v>
      </c>
      <c r="H403" s="665">
        <v>227896.55</v>
      </c>
      <c r="I403" s="665">
        <v>327242.03999999998</v>
      </c>
      <c r="J403" s="665">
        <v>336667.14</v>
      </c>
      <c r="K403" s="588"/>
      <c r="L403" s="588"/>
      <c r="M403" s="588"/>
      <c r="N403" s="588"/>
      <c r="O403" s="588"/>
      <c r="Q403" s="594">
        <f t="shared" ref="Q403:Q408" si="344">+IFERROR(F403/E403-1,0)</f>
        <v>-6.6044472470862314E-2</v>
      </c>
      <c r="R403" s="594">
        <f t="shared" ref="R403:R408" si="345">+IFERROR(G403/F403-1,0)</f>
        <v>0.26537635566777751</v>
      </c>
      <c r="S403" s="594">
        <f t="shared" ref="S403:S408" si="346">+IFERROR(H403/G403-1,0)</f>
        <v>0.24033399723138449</v>
      </c>
      <c r="T403" s="594">
        <f t="shared" ref="T403:T408" si="347">+IFERROR(I403/H403-1,0)</f>
        <v>0.43592362411804819</v>
      </c>
      <c r="U403" s="594">
        <f t="shared" ref="U403:U408" si="348">+IFERROR(K403/I403-1,0)</f>
        <v>-1</v>
      </c>
      <c r="V403" s="594">
        <f t="shared" ref="V403:V408" si="349">+IFERROR(L403/K403-1,0)</f>
        <v>0</v>
      </c>
      <c r="W403" s="594">
        <f t="shared" ref="W403:W408" si="350">+IFERROR(M403/L403-1,0)</f>
        <v>0</v>
      </c>
      <c r="X403" s="594">
        <f t="shared" ref="X403:X408" si="351">+IFERROR(N403/M403-1,0)</f>
        <v>0</v>
      </c>
      <c r="Y403" s="594">
        <f t="shared" ref="Y403:Y408" si="352">+IFERROR(O403/N403-1,0)</f>
        <v>0</v>
      </c>
    </row>
    <row r="404" spans="2:25" outlineLevel="1">
      <c r="B404" s="562" t="s">
        <v>239</v>
      </c>
      <c r="C404" s="562" t="s">
        <v>2348</v>
      </c>
      <c r="D404" s="572" t="s">
        <v>3752</v>
      </c>
      <c r="E404" s="664"/>
      <c r="F404" s="664"/>
      <c r="G404" s="665"/>
      <c r="H404" s="665"/>
      <c r="I404" s="665"/>
      <c r="J404" s="665">
        <v>397863.17</v>
      </c>
      <c r="K404" s="588"/>
      <c r="L404" s="588"/>
      <c r="M404" s="588"/>
      <c r="N404" s="588"/>
      <c r="O404" s="588"/>
      <c r="Q404" s="594"/>
      <c r="R404" s="594"/>
      <c r="S404" s="594"/>
      <c r="T404" s="594"/>
      <c r="U404" s="594"/>
      <c r="V404" s="594"/>
      <c r="W404" s="594"/>
      <c r="X404" s="594"/>
      <c r="Y404" s="594"/>
    </row>
    <row r="405" spans="2:25" outlineLevel="1">
      <c r="B405" s="562" t="s">
        <v>239</v>
      </c>
      <c r="C405" s="562" t="s">
        <v>2348</v>
      </c>
      <c r="D405" s="572" t="s">
        <v>3753</v>
      </c>
      <c r="E405" s="664"/>
      <c r="F405" s="664"/>
      <c r="G405" s="665"/>
      <c r="H405" s="665"/>
      <c r="I405" s="665">
        <v>105933.03</v>
      </c>
      <c r="J405" s="665">
        <v>120247.74</v>
      </c>
      <c r="K405" s="588"/>
      <c r="L405" s="588"/>
      <c r="M405" s="588"/>
      <c r="N405" s="588"/>
      <c r="O405" s="588"/>
      <c r="Q405" s="594"/>
      <c r="R405" s="594"/>
      <c r="S405" s="594"/>
      <c r="T405" s="594"/>
      <c r="U405" s="594"/>
      <c r="V405" s="594"/>
      <c r="W405" s="594"/>
      <c r="X405" s="594"/>
      <c r="Y405" s="594"/>
    </row>
    <row r="406" spans="2:25" outlineLevel="1">
      <c r="B406" s="562" t="s">
        <v>239</v>
      </c>
      <c r="C406" s="562" t="s">
        <v>2348</v>
      </c>
      <c r="D406" s="572" t="s">
        <v>2068</v>
      </c>
      <c r="E406" s="664">
        <v>2053.8000000000002</v>
      </c>
      <c r="F406" s="664">
        <v>2053.8000000000002</v>
      </c>
      <c r="G406" s="665">
        <v>2054.0300000000002</v>
      </c>
      <c r="H406" s="665">
        <v>2053.8000000000002</v>
      </c>
      <c r="I406" s="665">
        <v>2101.8000000000002</v>
      </c>
      <c r="J406" s="665">
        <v>0</v>
      </c>
      <c r="K406" s="588"/>
      <c r="L406" s="588"/>
      <c r="M406" s="588"/>
      <c r="N406" s="588"/>
      <c r="O406" s="588"/>
      <c r="Q406" s="594">
        <f t="shared" si="344"/>
        <v>0</v>
      </c>
      <c r="R406" s="594">
        <f t="shared" si="345"/>
        <v>1.1198753530039518E-4</v>
      </c>
      <c r="S406" s="594">
        <f t="shared" si="346"/>
        <v>-1.1197499549664425E-4</v>
      </c>
      <c r="T406" s="594">
        <f t="shared" si="347"/>
        <v>2.3371311714869947E-2</v>
      </c>
      <c r="U406" s="594">
        <f t="shared" si="348"/>
        <v>-1</v>
      </c>
      <c r="V406" s="594">
        <f t="shared" si="349"/>
        <v>0</v>
      </c>
      <c r="W406" s="594">
        <f t="shared" si="350"/>
        <v>0</v>
      </c>
      <c r="X406" s="594">
        <f t="shared" si="351"/>
        <v>0</v>
      </c>
      <c r="Y406" s="594">
        <f t="shared" si="352"/>
        <v>0</v>
      </c>
    </row>
    <row r="407" spans="2:25" outlineLevel="1">
      <c r="B407" s="562" t="s">
        <v>239</v>
      </c>
      <c r="C407" s="562" t="s">
        <v>2348</v>
      </c>
      <c r="D407" s="572" t="s">
        <v>2069</v>
      </c>
      <c r="E407" s="664">
        <v>47970.83</v>
      </c>
      <c r="F407" s="664">
        <v>65087.16</v>
      </c>
      <c r="G407" s="665">
        <v>73034.850000000006</v>
      </c>
      <c r="H407" s="665">
        <v>89561.24</v>
      </c>
      <c r="I407" s="665">
        <v>90102.99</v>
      </c>
      <c r="J407" s="665">
        <v>113902.39</v>
      </c>
      <c r="K407" s="588"/>
      <c r="L407" s="588"/>
      <c r="M407" s="588"/>
      <c r="N407" s="588"/>
      <c r="O407" s="588"/>
      <c r="Q407" s="594">
        <f t="shared" si="344"/>
        <v>0.35680704294672405</v>
      </c>
      <c r="R407" s="594">
        <f t="shared" si="345"/>
        <v>0.12210841585344956</v>
      </c>
      <c r="S407" s="594">
        <f t="shared" si="346"/>
        <v>0.2262808782382657</v>
      </c>
      <c r="T407" s="594">
        <f t="shared" si="347"/>
        <v>6.0489336681806005E-3</v>
      </c>
      <c r="U407" s="594">
        <f t="shared" si="348"/>
        <v>-1</v>
      </c>
      <c r="V407" s="594">
        <f t="shared" si="349"/>
        <v>0</v>
      </c>
      <c r="W407" s="594">
        <f t="shared" si="350"/>
        <v>0</v>
      </c>
      <c r="X407" s="594">
        <f t="shared" si="351"/>
        <v>0</v>
      </c>
      <c r="Y407" s="594">
        <f t="shared" si="352"/>
        <v>0</v>
      </c>
    </row>
    <row r="408" spans="2:25" outlineLevel="1">
      <c r="B408" s="562" t="s">
        <v>239</v>
      </c>
      <c r="C408" s="562" t="s">
        <v>2348</v>
      </c>
      <c r="D408" s="572" t="s">
        <v>2070</v>
      </c>
      <c r="E408" s="664">
        <v>623.57000000000005</v>
      </c>
      <c r="F408" s="664">
        <v>3830.73</v>
      </c>
      <c r="G408" s="665">
        <v>5303.36</v>
      </c>
      <c r="H408" s="665">
        <v>5459.75</v>
      </c>
      <c r="I408" s="665">
        <v>5876.6</v>
      </c>
      <c r="J408" s="665">
        <v>7908.78</v>
      </c>
      <c r="K408" s="588"/>
      <c r="L408" s="588"/>
      <c r="M408" s="588"/>
      <c r="N408" s="588"/>
      <c r="O408" s="588"/>
      <c r="Q408" s="594">
        <f t="shared" si="344"/>
        <v>5.1432236958160269</v>
      </c>
      <c r="R408" s="594">
        <f t="shared" si="345"/>
        <v>0.38442542283063541</v>
      </c>
      <c r="S408" s="594">
        <f t="shared" si="346"/>
        <v>2.948885235020815E-2</v>
      </c>
      <c r="T408" s="594">
        <f t="shared" si="347"/>
        <v>7.6349649709235745E-2</v>
      </c>
      <c r="U408" s="594">
        <f t="shared" si="348"/>
        <v>-1</v>
      </c>
      <c r="V408" s="594">
        <f t="shared" si="349"/>
        <v>0</v>
      </c>
      <c r="W408" s="594">
        <f t="shared" si="350"/>
        <v>0</v>
      </c>
      <c r="X408" s="594">
        <f t="shared" si="351"/>
        <v>0</v>
      </c>
      <c r="Y408" s="594">
        <f t="shared" si="352"/>
        <v>0</v>
      </c>
    </row>
    <row r="409" spans="2:25" outlineLevel="1">
      <c r="D409" s="570" t="s">
        <v>1898</v>
      </c>
      <c r="E409" s="676"/>
      <c r="F409" s="676"/>
      <c r="G409" s="667"/>
      <c r="H409" s="667">
        <v>324971.34000000003</v>
      </c>
      <c r="I409" s="667">
        <v>531256.46</v>
      </c>
      <c r="J409" s="667">
        <v>976589.22000000009</v>
      </c>
      <c r="K409" s="549"/>
      <c r="L409" s="549"/>
      <c r="M409" s="549"/>
      <c r="N409" s="549"/>
      <c r="O409" s="549"/>
    </row>
    <row r="410" spans="2:25" outlineLevel="1">
      <c r="D410" s="573" t="s">
        <v>2071</v>
      </c>
      <c r="E410" s="668"/>
      <c r="F410" s="668"/>
      <c r="G410" s="669"/>
      <c r="H410" s="669">
        <v>324971.34000000003</v>
      </c>
      <c r="I410" s="669">
        <v>531256.46</v>
      </c>
      <c r="J410" s="669">
        <v>976589.22000000009</v>
      </c>
      <c r="K410" s="556"/>
      <c r="L410" s="556"/>
      <c r="M410" s="556"/>
      <c r="N410" s="556"/>
      <c r="O410" s="556"/>
    </row>
    <row r="411" spans="2:25" outlineLevel="1">
      <c r="D411" s="569" t="s">
        <v>2072</v>
      </c>
      <c r="E411" s="662"/>
      <c r="F411" s="662"/>
      <c r="G411" s="654"/>
      <c r="H411" s="654"/>
      <c r="I411" s="654"/>
      <c r="J411" s="654"/>
      <c r="K411" s="546"/>
      <c r="L411" s="546"/>
      <c r="M411" s="546"/>
      <c r="N411" s="546"/>
      <c r="O411" s="546"/>
    </row>
    <row r="412" spans="2:25" outlineLevel="1">
      <c r="B412" s="562" t="s">
        <v>239</v>
      </c>
      <c r="C412" s="562" t="s">
        <v>2348</v>
      </c>
      <c r="D412" s="572" t="s">
        <v>2073</v>
      </c>
      <c r="E412" s="664">
        <v>278665.05</v>
      </c>
      <c r="F412" s="664">
        <v>302092.94</v>
      </c>
      <c r="G412" s="665">
        <v>385724.96</v>
      </c>
      <c r="H412" s="665">
        <v>449903.51</v>
      </c>
      <c r="I412" s="665">
        <v>471690.75</v>
      </c>
      <c r="J412" s="665">
        <v>718334.99</v>
      </c>
      <c r="K412" s="588"/>
      <c r="L412" s="588"/>
      <c r="M412" s="588"/>
      <c r="N412" s="588"/>
      <c r="O412" s="588"/>
      <c r="Q412" s="594">
        <f t="shared" ref="Q412:Q429" si="353">+IFERROR(F412/E412-1,0)</f>
        <v>8.4071863335570818E-2</v>
      </c>
      <c r="R412" s="594">
        <f t="shared" ref="R412:R429" si="354">+IFERROR(G412/F412-1,0)</f>
        <v>0.27684202086947152</v>
      </c>
      <c r="S412" s="594">
        <f t="shared" ref="S412:S429" si="355">+IFERROR(H412/G412-1,0)</f>
        <v>0.16638422880386061</v>
      </c>
      <c r="T412" s="594">
        <f t="shared" ref="T412:T429" si="356">+IFERROR(I412/H412-1,0)</f>
        <v>4.8426472600758386E-2</v>
      </c>
      <c r="U412" s="594">
        <f t="shared" ref="U412:U429" si="357">+IFERROR(K412/I412-1,0)</f>
        <v>-1</v>
      </c>
      <c r="V412" s="594">
        <f t="shared" ref="V412:V429" si="358">+IFERROR(L412/K412-1,0)</f>
        <v>0</v>
      </c>
      <c r="W412" s="594">
        <f t="shared" ref="W412:W429" si="359">+IFERROR(M412/L412-1,0)</f>
        <v>0</v>
      </c>
      <c r="X412" s="594">
        <f t="shared" ref="X412:X429" si="360">+IFERROR(N412/M412-1,0)</f>
        <v>0</v>
      </c>
      <c r="Y412" s="594">
        <f t="shared" ref="Y412:Y429" si="361">+IFERROR(O412/N412-1,0)</f>
        <v>0</v>
      </c>
    </row>
    <row r="413" spans="2:25" outlineLevel="1">
      <c r="B413" s="562" t="s">
        <v>239</v>
      </c>
      <c r="C413" s="562" t="s">
        <v>2348</v>
      </c>
      <c r="D413" s="572" t="s">
        <v>2074</v>
      </c>
      <c r="E413" s="664">
        <v>0</v>
      </c>
      <c r="F413" s="664"/>
      <c r="G413" s="665">
        <v>0</v>
      </c>
      <c r="H413" s="670"/>
      <c r="I413" s="665">
        <v>0</v>
      </c>
      <c r="J413" s="665">
        <v>0</v>
      </c>
      <c r="K413" s="588"/>
      <c r="L413" s="588"/>
      <c r="M413" s="588"/>
      <c r="N413" s="588"/>
      <c r="O413" s="588"/>
      <c r="Q413" s="594">
        <f t="shared" si="353"/>
        <v>0</v>
      </c>
      <c r="R413" s="594">
        <f t="shared" si="354"/>
        <v>0</v>
      </c>
      <c r="S413" s="594">
        <f t="shared" si="355"/>
        <v>0</v>
      </c>
      <c r="T413" s="594">
        <f t="shared" si="356"/>
        <v>0</v>
      </c>
      <c r="U413" s="594">
        <f t="shared" si="357"/>
        <v>0</v>
      </c>
      <c r="V413" s="594">
        <f t="shared" si="358"/>
        <v>0</v>
      </c>
      <c r="W413" s="594">
        <f t="shared" si="359"/>
        <v>0</v>
      </c>
      <c r="X413" s="594">
        <f t="shared" si="360"/>
        <v>0</v>
      </c>
      <c r="Y413" s="594">
        <f t="shared" si="361"/>
        <v>0</v>
      </c>
    </row>
    <row r="414" spans="2:25" outlineLevel="1">
      <c r="B414" s="562" t="s">
        <v>239</v>
      </c>
      <c r="C414" s="562" t="s">
        <v>2348</v>
      </c>
      <c r="D414" s="572" t="s">
        <v>2075</v>
      </c>
      <c r="E414" s="664">
        <v>0</v>
      </c>
      <c r="F414" s="664">
        <v>0</v>
      </c>
      <c r="G414" s="665">
        <v>0</v>
      </c>
      <c r="H414" s="665">
        <v>2046</v>
      </c>
      <c r="I414" s="665">
        <v>0</v>
      </c>
      <c r="J414" s="665">
        <v>0</v>
      </c>
      <c r="K414" s="588"/>
      <c r="L414" s="588"/>
      <c r="M414" s="588"/>
      <c r="N414" s="588"/>
      <c r="O414" s="588"/>
      <c r="Q414" s="594">
        <f t="shared" si="353"/>
        <v>0</v>
      </c>
      <c r="R414" s="594">
        <f t="shared" si="354"/>
        <v>0</v>
      </c>
      <c r="S414" s="594">
        <f t="shared" si="355"/>
        <v>0</v>
      </c>
      <c r="T414" s="594">
        <f t="shared" si="356"/>
        <v>-1</v>
      </c>
      <c r="U414" s="594">
        <f t="shared" si="357"/>
        <v>0</v>
      </c>
      <c r="V414" s="594">
        <f t="shared" si="358"/>
        <v>0</v>
      </c>
      <c r="W414" s="594">
        <f t="shared" si="359"/>
        <v>0</v>
      </c>
      <c r="X414" s="594">
        <f t="shared" si="360"/>
        <v>0</v>
      </c>
      <c r="Y414" s="594">
        <f t="shared" si="361"/>
        <v>0</v>
      </c>
    </row>
    <row r="415" spans="2:25" outlineLevel="1">
      <c r="B415" s="562" t="s">
        <v>239</v>
      </c>
      <c r="C415" s="562" t="s">
        <v>2348</v>
      </c>
      <c r="D415" s="572" t="s">
        <v>3754</v>
      </c>
      <c r="E415" s="664"/>
      <c r="F415" s="664"/>
      <c r="G415" s="665"/>
      <c r="H415" s="665"/>
      <c r="I415" s="665">
        <v>188127.86</v>
      </c>
      <c r="J415" s="665">
        <v>223169.91</v>
      </c>
      <c r="K415" s="588"/>
      <c r="L415" s="588"/>
      <c r="M415" s="588"/>
      <c r="N415" s="588"/>
      <c r="O415" s="588"/>
      <c r="Q415" s="594"/>
      <c r="R415" s="594"/>
      <c r="S415" s="594"/>
      <c r="T415" s="594"/>
      <c r="U415" s="594"/>
      <c r="V415" s="594"/>
      <c r="W415" s="594"/>
      <c r="X415" s="594"/>
      <c r="Y415" s="594"/>
    </row>
    <row r="416" spans="2:25" outlineLevel="1">
      <c r="B416" s="562" t="s">
        <v>239</v>
      </c>
      <c r="C416" s="562" t="s">
        <v>2348</v>
      </c>
      <c r="D416" s="572" t="s">
        <v>3755</v>
      </c>
      <c r="E416" s="664"/>
      <c r="F416" s="664"/>
      <c r="G416" s="665"/>
      <c r="H416" s="665"/>
      <c r="I416" s="665">
        <v>101789.6</v>
      </c>
      <c r="J416" s="665">
        <v>109074.16</v>
      </c>
      <c r="K416" s="588"/>
      <c r="L416" s="588"/>
      <c r="M416" s="588"/>
      <c r="N416" s="588"/>
      <c r="O416" s="588"/>
      <c r="Q416" s="594"/>
      <c r="R416" s="594"/>
      <c r="S416" s="594"/>
      <c r="T416" s="594"/>
      <c r="U416" s="594"/>
      <c r="V416" s="594"/>
      <c r="W416" s="594"/>
      <c r="X416" s="594"/>
      <c r="Y416" s="594"/>
    </row>
    <row r="417" spans="2:25" outlineLevel="1">
      <c r="B417" s="562" t="s">
        <v>239</v>
      </c>
      <c r="C417" s="562" t="s">
        <v>2348</v>
      </c>
      <c r="D417" s="572" t="s">
        <v>3756</v>
      </c>
      <c r="E417" s="664"/>
      <c r="F417" s="664"/>
      <c r="G417" s="665"/>
      <c r="H417" s="665"/>
      <c r="I417" s="665">
        <v>349733</v>
      </c>
      <c r="J417" s="665">
        <v>298953.84000000003</v>
      </c>
      <c r="K417" s="588"/>
      <c r="L417" s="588"/>
      <c r="M417" s="588"/>
      <c r="N417" s="588"/>
      <c r="O417" s="588"/>
      <c r="Q417" s="594"/>
      <c r="R417" s="594"/>
      <c r="S417" s="594"/>
      <c r="T417" s="594"/>
      <c r="U417" s="594"/>
      <c r="V417" s="594"/>
      <c r="W417" s="594"/>
      <c r="X417" s="594"/>
      <c r="Y417" s="594"/>
    </row>
    <row r="418" spans="2:25" outlineLevel="1">
      <c r="B418" s="562" t="s">
        <v>239</v>
      </c>
      <c r="C418" s="562" t="s">
        <v>2348</v>
      </c>
      <c r="D418" s="572" t="s">
        <v>2076</v>
      </c>
      <c r="E418" s="664">
        <v>0</v>
      </c>
      <c r="F418" s="664">
        <v>0</v>
      </c>
      <c r="G418" s="665">
        <v>0</v>
      </c>
      <c r="H418" s="665">
        <v>156.03</v>
      </c>
      <c r="I418" s="665">
        <v>-2667.75</v>
      </c>
      <c r="J418" s="665">
        <v>-3513.8999999999996</v>
      </c>
      <c r="K418" s="588"/>
      <c r="L418" s="588"/>
      <c r="M418" s="588"/>
      <c r="N418" s="588"/>
      <c r="O418" s="588"/>
      <c r="Q418" s="594">
        <f t="shared" si="353"/>
        <v>0</v>
      </c>
      <c r="R418" s="594">
        <f t="shared" si="354"/>
        <v>0</v>
      </c>
      <c r="S418" s="594">
        <f t="shared" si="355"/>
        <v>0</v>
      </c>
      <c r="T418" s="594">
        <f t="shared" si="356"/>
        <v>-18.097673524322246</v>
      </c>
      <c r="U418" s="594">
        <f t="shared" si="357"/>
        <v>-1</v>
      </c>
      <c r="V418" s="594">
        <f t="shared" si="358"/>
        <v>0</v>
      </c>
      <c r="W418" s="594">
        <f t="shared" si="359"/>
        <v>0</v>
      </c>
      <c r="X418" s="594">
        <f t="shared" si="360"/>
        <v>0</v>
      </c>
      <c r="Y418" s="594">
        <f t="shared" si="361"/>
        <v>0</v>
      </c>
    </row>
    <row r="419" spans="2:25" outlineLevel="1">
      <c r="B419" s="562" t="s">
        <v>239</v>
      </c>
      <c r="C419" s="562" t="s">
        <v>2348</v>
      </c>
      <c r="D419" s="572" t="s">
        <v>2077</v>
      </c>
      <c r="E419" s="664">
        <v>0</v>
      </c>
      <c r="F419" s="664"/>
      <c r="G419" s="665">
        <v>0</v>
      </c>
      <c r="H419" s="665">
        <v>193.01</v>
      </c>
      <c r="I419" s="665">
        <v>-1667.66</v>
      </c>
      <c r="J419" s="665">
        <v>-1804.21</v>
      </c>
      <c r="K419" s="588"/>
      <c r="L419" s="588"/>
      <c r="M419" s="588"/>
      <c r="N419" s="588"/>
      <c r="O419" s="588"/>
      <c r="Q419" s="594">
        <f t="shared" si="353"/>
        <v>0</v>
      </c>
      <c r="R419" s="594">
        <f t="shared" si="354"/>
        <v>0</v>
      </c>
      <c r="S419" s="594">
        <f t="shared" si="355"/>
        <v>0</v>
      </c>
      <c r="T419" s="594">
        <f t="shared" si="356"/>
        <v>-9.6402777058183524</v>
      </c>
      <c r="U419" s="594">
        <f t="shared" si="357"/>
        <v>-1</v>
      </c>
      <c r="V419" s="594">
        <f t="shared" si="358"/>
        <v>0</v>
      </c>
      <c r="W419" s="594">
        <f t="shared" si="359"/>
        <v>0</v>
      </c>
      <c r="X419" s="594">
        <f t="shared" si="360"/>
        <v>0</v>
      </c>
      <c r="Y419" s="594">
        <f t="shared" si="361"/>
        <v>0</v>
      </c>
    </row>
    <row r="420" spans="2:25" outlineLevel="1">
      <c r="B420" s="562" t="s">
        <v>239</v>
      </c>
      <c r="C420" s="562" t="s">
        <v>2348</v>
      </c>
      <c r="D420" s="572" t="s">
        <v>2078</v>
      </c>
      <c r="E420" s="664">
        <v>5232.7</v>
      </c>
      <c r="F420" s="664">
        <v>2880.23</v>
      </c>
      <c r="G420" s="665">
        <v>2280.6799999999998</v>
      </c>
      <c r="H420" s="665">
        <v>6595.52</v>
      </c>
      <c r="I420" s="665">
        <v>8484.84</v>
      </c>
      <c r="J420" s="665">
        <v>0</v>
      </c>
      <c r="K420" s="588"/>
      <c r="L420" s="588"/>
      <c r="M420" s="588"/>
      <c r="N420" s="588"/>
      <c r="O420" s="588"/>
      <c r="Q420" s="594">
        <f t="shared" si="353"/>
        <v>-0.44957096718711176</v>
      </c>
      <c r="R420" s="594">
        <f t="shared" si="354"/>
        <v>-0.20816045940775574</v>
      </c>
      <c r="S420" s="594">
        <f t="shared" si="355"/>
        <v>1.8919094305207222</v>
      </c>
      <c r="T420" s="594">
        <f t="shared" si="356"/>
        <v>0.28645504827519286</v>
      </c>
      <c r="U420" s="594">
        <f t="shared" si="357"/>
        <v>-1</v>
      </c>
      <c r="V420" s="594">
        <f t="shared" si="358"/>
        <v>0</v>
      </c>
      <c r="W420" s="594">
        <f t="shared" si="359"/>
        <v>0</v>
      </c>
      <c r="X420" s="594">
        <f t="shared" si="360"/>
        <v>0</v>
      </c>
      <c r="Y420" s="594">
        <f t="shared" si="361"/>
        <v>0</v>
      </c>
    </row>
    <row r="421" spans="2:25" outlineLevel="1">
      <c r="B421" s="562" t="s">
        <v>239</v>
      </c>
      <c r="C421" s="562" t="s">
        <v>2348</v>
      </c>
      <c r="D421" s="572" t="s">
        <v>2079</v>
      </c>
      <c r="E421" s="664">
        <v>16953.439999999999</v>
      </c>
      <c r="F421" s="664">
        <v>16953.439999999999</v>
      </c>
      <c r="G421" s="665">
        <v>16953.439999999999</v>
      </c>
      <c r="H421" s="665">
        <v>16953.439999999999</v>
      </c>
      <c r="I421" s="665">
        <v>77404.3</v>
      </c>
      <c r="J421" s="665">
        <v>0</v>
      </c>
      <c r="K421" s="588"/>
      <c r="L421" s="588"/>
      <c r="M421" s="588"/>
      <c r="N421" s="588"/>
      <c r="O421" s="588"/>
      <c r="Q421" s="594">
        <f t="shared" si="353"/>
        <v>0</v>
      </c>
      <c r="R421" s="594">
        <f t="shared" si="354"/>
        <v>0</v>
      </c>
      <c r="S421" s="594">
        <f t="shared" si="355"/>
        <v>0</v>
      </c>
      <c r="T421" s="594">
        <f t="shared" si="356"/>
        <v>3.5656987608414576</v>
      </c>
      <c r="U421" s="594">
        <f t="shared" si="357"/>
        <v>-1</v>
      </c>
      <c r="V421" s="594">
        <f t="shared" si="358"/>
        <v>0</v>
      </c>
      <c r="W421" s="594">
        <f t="shared" si="359"/>
        <v>0</v>
      </c>
      <c r="X421" s="594">
        <f t="shared" si="360"/>
        <v>0</v>
      </c>
      <c r="Y421" s="594">
        <f t="shared" si="361"/>
        <v>0</v>
      </c>
    </row>
    <row r="422" spans="2:25" outlineLevel="1">
      <c r="B422" s="562" t="s">
        <v>239</v>
      </c>
      <c r="C422" s="562" t="s">
        <v>2348</v>
      </c>
      <c r="D422" s="572" t="s">
        <v>2396</v>
      </c>
      <c r="E422" s="664">
        <v>0</v>
      </c>
      <c r="F422" s="664">
        <v>25000</v>
      </c>
      <c r="G422" s="665">
        <v>0</v>
      </c>
      <c r="H422" s="665"/>
      <c r="I422" s="665">
        <v>0</v>
      </c>
      <c r="J422" s="665">
        <v>0</v>
      </c>
      <c r="K422" s="588"/>
      <c r="L422" s="588"/>
      <c r="M422" s="588"/>
      <c r="N422" s="588"/>
      <c r="O422" s="588"/>
      <c r="Q422" s="594">
        <f t="shared" si="353"/>
        <v>0</v>
      </c>
      <c r="R422" s="594">
        <f t="shared" si="354"/>
        <v>-1</v>
      </c>
      <c r="S422" s="594">
        <f t="shared" si="355"/>
        <v>0</v>
      </c>
      <c r="T422" s="594">
        <f t="shared" si="356"/>
        <v>0</v>
      </c>
      <c r="U422" s="594">
        <f t="shared" si="357"/>
        <v>0</v>
      </c>
      <c r="V422" s="594">
        <f t="shared" si="358"/>
        <v>0</v>
      </c>
      <c r="W422" s="594">
        <f t="shared" si="359"/>
        <v>0</v>
      </c>
      <c r="X422" s="594">
        <f t="shared" si="360"/>
        <v>0</v>
      </c>
      <c r="Y422" s="594">
        <f t="shared" si="361"/>
        <v>0</v>
      </c>
    </row>
    <row r="423" spans="2:25" outlineLevel="1">
      <c r="B423" s="562" t="s">
        <v>239</v>
      </c>
      <c r="C423" s="562" t="s">
        <v>2348</v>
      </c>
      <c r="D423" s="572" t="s">
        <v>4150</v>
      </c>
      <c r="E423" s="664"/>
      <c r="F423" s="664"/>
      <c r="G423" s="665"/>
      <c r="H423" s="665"/>
      <c r="I423" s="665"/>
      <c r="J423" s="665">
        <v>20002</v>
      </c>
      <c r="K423" s="588"/>
      <c r="L423" s="588"/>
      <c r="M423" s="588"/>
      <c r="N423" s="588"/>
      <c r="O423" s="588"/>
      <c r="Q423" s="594"/>
      <c r="R423" s="594"/>
      <c r="S423" s="594"/>
      <c r="T423" s="594"/>
      <c r="U423" s="594"/>
      <c r="V423" s="594"/>
      <c r="W423" s="594"/>
      <c r="X423" s="594"/>
      <c r="Y423" s="594"/>
    </row>
    <row r="424" spans="2:25" outlineLevel="1">
      <c r="B424" s="562" t="s">
        <v>239</v>
      </c>
      <c r="C424" s="562" t="s">
        <v>2348</v>
      </c>
      <c r="D424" s="572" t="s">
        <v>4151</v>
      </c>
      <c r="E424" s="664"/>
      <c r="F424" s="664"/>
      <c r="G424" s="665"/>
      <c r="H424" s="665"/>
      <c r="I424" s="665"/>
      <c r="J424" s="665">
        <v>0</v>
      </c>
      <c r="K424" s="588"/>
      <c r="L424" s="588"/>
      <c r="M424" s="588"/>
      <c r="N424" s="588"/>
      <c r="O424" s="588"/>
      <c r="Q424" s="594"/>
      <c r="R424" s="594"/>
      <c r="S424" s="594"/>
      <c r="T424" s="594"/>
      <c r="U424" s="594"/>
      <c r="V424" s="594"/>
      <c r="W424" s="594"/>
      <c r="X424" s="594"/>
      <c r="Y424" s="594"/>
    </row>
    <row r="425" spans="2:25" outlineLevel="1">
      <c r="B425" s="562" t="s">
        <v>239</v>
      </c>
      <c r="C425" s="562" t="s">
        <v>2348</v>
      </c>
      <c r="D425" s="572" t="s">
        <v>4154</v>
      </c>
      <c r="E425" s="664"/>
      <c r="F425" s="664"/>
      <c r="G425" s="665"/>
      <c r="H425" s="665"/>
      <c r="I425" s="665"/>
      <c r="J425" s="665">
        <v>0</v>
      </c>
      <c r="K425" s="588"/>
      <c r="L425" s="588"/>
      <c r="M425" s="588"/>
      <c r="N425" s="588"/>
      <c r="O425" s="588"/>
      <c r="Q425" s="594"/>
      <c r="R425" s="594"/>
      <c r="S425" s="594"/>
      <c r="T425" s="594"/>
      <c r="U425" s="594"/>
      <c r="V425" s="594"/>
      <c r="W425" s="594"/>
      <c r="X425" s="594"/>
      <c r="Y425" s="594"/>
    </row>
    <row r="426" spans="2:25" outlineLevel="1">
      <c r="B426" s="562" t="s">
        <v>239</v>
      </c>
      <c r="C426" s="562" t="s">
        <v>2348</v>
      </c>
      <c r="D426" s="572" t="s">
        <v>4152</v>
      </c>
      <c r="E426" s="664"/>
      <c r="F426" s="664"/>
      <c r="G426" s="665"/>
      <c r="H426" s="665"/>
      <c r="I426" s="665"/>
      <c r="J426" s="665">
        <v>4554.79</v>
      </c>
      <c r="K426" s="588"/>
      <c r="L426" s="588"/>
      <c r="M426" s="588"/>
      <c r="N426" s="588"/>
      <c r="O426" s="588"/>
      <c r="Q426" s="594"/>
      <c r="R426" s="594"/>
      <c r="S426" s="594"/>
      <c r="T426" s="594"/>
      <c r="U426" s="594"/>
      <c r="V426" s="594"/>
      <c r="W426" s="594"/>
      <c r="X426" s="594"/>
      <c r="Y426" s="594"/>
    </row>
    <row r="427" spans="2:25" outlineLevel="1">
      <c r="B427" s="562" t="s">
        <v>239</v>
      </c>
      <c r="C427" s="562" t="s">
        <v>2348</v>
      </c>
      <c r="D427" s="572" t="s">
        <v>4153</v>
      </c>
      <c r="E427" s="664"/>
      <c r="F427" s="664"/>
      <c r="G427" s="665"/>
      <c r="H427" s="665"/>
      <c r="I427" s="665"/>
      <c r="J427" s="665">
        <v>58.33</v>
      </c>
      <c r="K427" s="588"/>
      <c r="L427" s="588"/>
      <c r="M427" s="588"/>
      <c r="N427" s="588"/>
      <c r="O427" s="588"/>
      <c r="Q427" s="594"/>
      <c r="R427" s="594"/>
      <c r="S427" s="594"/>
      <c r="T427" s="594"/>
      <c r="U427" s="594"/>
      <c r="V427" s="594"/>
      <c r="W427" s="594"/>
      <c r="X427" s="594"/>
      <c r="Y427" s="594"/>
    </row>
    <row r="428" spans="2:25" outlineLevel="1">
      <c r="B428" s="562" t="s">
        <v>239</v>
      </c>
      <c r="C428" s="562" t="s">
        <v>2348</v>
      </c>
      <c r="D428" s="572" t="s">
        <v>4155</v>
      </c>
      <c r="E428" s="664"/>
      <c r="F428" s="664"/>
      <c r="G428" s="665"/>
      <c r="H428" s="665"/>
      <c r="I428" s="665"/>
      <c r="J428" s="665">
        <v>10511.7</v>
      </c>
      <c r="K428" s="588"/>
      <c r="L428" s="588"/>
      <c r="M428" s="588"/>
      <c r="N428" s="588"/>
      <c r="O428" s="588"/>
      <c r="Q428" s="594"/>
      <c r="R428" s="594"/>
      <c r="S428" s="594"/>
      <c r="T428" s="594"/>
      <c r="U428" s="594"/>
      <c r="V428" s="594"/>
      <c r="W428" s="594"/>
      <c r="X428" s="594"/>
      <c r="Y428" s="594"/>
    </row>
    <row r="429" spans="2:25" outlineLevel="1">
      <c r="B429" s="562" t="s">
        <v>239</v>
      </c>
      <c r="C429" s="562" t="s">
        <v>2348</v>
      </c>
      <c r="D429" s="572" t="s">
        <v>2080</v>
      </c>
      <c r="E429" s="664">
        <v>3204.13</v>
      </c>
      <c r="F429" s="664">
        <v>3204.13</v>
      </c>
      <c r="G429" s="665">
        <v>3204.66</v>
      </c>
      <c r="H429" s="665">
        <v>3203.6</v>
      </c>
      <c r="I429" s="665">
        <v>3353.33</v>
      </c>
      <c r="J429" s="665">
        <v>0</v>
      </c>
      <c r="K429" s="588"/>
      <c r="L429" s="588"/>
      <c r="M429" s="588"/>
      <c r="N429" s="588"/>
      <c r="O429" s="588"/>
      <c r="Q429" s="594">
        <f t="shared" si="353"/>
        <v>0</v>
      </c>
      <c r="R429" s="594">
        <f t="shared" si="354"/>
        <v>1.6541151576232593E-4</v>
      </c>
      <c r="S429" s="594">
        <f t="shared" si="355"/>
        <v>-3.3076831863598777E-4</v>
      </c>
      <c r="T429" s="594">
        <f t="shared" si="356"/>
        <v>4.6738044699712766E-2</v>
      </c>
      <c r="U429" s="594">
        <f t="shared" si="357"/>
        <v>-1</v>
      </c>
      <c r="V429" s="594">
        <f t="shared" si="358"/>
        <v>0</v>
      </c>
      <c r="W429" s="594">
        <f t="shared" si="359"/>
        <v>0</v>
      </c>
      <c r="X429" s="594">
        <f t="shared" si="360"/>
        <v>0</v>
      </c>
      <c r="Y429" s="594">
        <f t="shared" si="361"/>
        <v>0</v>
      </c>
    </row>
    <row r="430" spans="2:25" outlineLevel="1">
      <c r="D430" s="574" t="s">
        <v>1898</v>
      </c>
      <c r="E430" s="671"/>
      <c r="F430" s="671"/>
      <c r="G430" s="666"/>
      <c r="H430" s="666">
        <v>479051.11</v>
      </c>
      <c r="I430" s="666">
        <v>1196248.2700000003</v>
      </c>
      <c r="J430" s="666">
        <v>1379341.6100000003</v>
      </c>
      <c r="K430" s="548"/>
      <c r="L430" s="548"/>
      <c r="M430" s="548"/>
      <c r="N430" s="548"/>
      <c r="O430" s="548"/>
    </row>
    <row r="431" spans="2:25" outlineLevel="1">
      <c r="B431" s="562" t="s">
        <v>239</v>
      </c>
      <c r="C431" s="562" t="s">
        <v>2348</v>
      </c>
      <c r="D431" s="572" t="s">
        <v>2081</v>
      </c>
      <c r="E431" s="664">
        <v>108522.18</v>
      </c>
      <c r="F431" s="664">
        <v>108522.18</v>
      </c>
      <c r="G431" s="665">
        <v>118818.61</v>
      </c>
      <c r="H431" s="665">
        <v>119780.89</v>
      </c>
      <c r="I431" s="665">
        <v>0</v>
      </c>
      <c r="J431" s="665">
        <v>0</v>
      </c>
      <c r="K431" s="588"/>
      <c r="L431" s="588"/>
      <c r="M431" s="588"/>
      <c r="N431" s="588"/>
      <c r="O431" s="588"/>
      <c r="Q431" s="594">
        <f t="shared" ref="Q431" si="362">+IFERROR(F431/E431-1,0)</f>
        <v>0</v>
      </c>
      <c r="R431" s="594">
        <f t="shared" ref="R431" si="363">+IFERROR(G431/F431-1,0)</f>
        <v>9.4878576895524924E-2</v>
      </c>
      <c r="S431" s="594">
        <f t="shared" ref="S431" si="364">+IFERROR(H431/G431-1,0)</f>
        <v>8.0987313350997514E-3</v>
      </c>
      <c r="T431" s="594">
        <f t="shared" ref="T431" si="365">+IFERROR(I431/H431-1,0)</f>
        <v>-1</v>
      </c>
      <c r="U431" s="594">
        <f t="shared" ref="U431" si="366">+IFERROR(K431/I431-1,0)</f>
        <v>0</v>
      </c>
      <c r="V431" s="594">
        <f t="shared" ref="V431" si="367">+IFERROR(L431/K431-1,0)</f>
        <v>0</v>
      </c>
      <c r="W431" s="594">
        <f t="shared" ref="W431" si="368">+IFERROR(M431/L431-1,0)</f>
        <v>0</v>
      </c>
      <c r="X431" s="594">
        <f t="shared" ref="X431" si="369">+IFERROR(N431/M431-1,0)</f>
        <v>0</v>
      </c>
      <c r="Y431" s="594">
        <f t="shared" ref="Y431" si="370">+IFERROR(O431/N431-1,0)</f>
        <v>0</v>
      </c>
    </row>
    <row r="432" spans="2:25" outlineLevel="1">
      <c r="D432" s="574" t="s">
        <v>1944</v>
      </c>
      <c r="E432" s="671"/>
      <c r="F432" s="671"/>
      <c r="G432" s="666"/>
      <c r="H432" s="666">
        <v>119780.89</v>
      </c>
      <c r="I432" s="666">
        <v>0</v>
      </c>
      <c r="J432" s="666">
        <v>0</v>
      </c>
      <c r="K432" s="548"/>
      <c r="L432" s="548"/>
      <c r="M432" s="548"/>
      <c r="N432" s="548"/>
      <c r="O432" s="548"/>
    </row>
    <row r="433" spans="2:38" outlineLevel="1">
      <c r="D433" s="573" t="s">
        <v>2082</v>
      </c>
      <c r="E433" s="668"/>
      <c r="F433" s="668"/>
      <c r="G433" s="669"/>
      <c r="H433" s="669">
        <v>598832</v>
      </c>
      <c r="I433" s="669">
        <v>1196248.2700000003</v>
      </c>
      <c r="J433" s="669">
        <v>1379341.6100000003</v>
      </c>
      <c r="K433" s="556"/>
      <c r="L433" s="556"/>
      <c r="M433" s="556"/>
      <c r="N433" s="556"/>
      <c r="O433" s="556"/>
    </row>
    <row r="434" spans="2:38" outlineLevel="1">
      <c r="D434" s="582" t="s">
        <v>2083</v>
      </c>
      <c r="E434" s="687"/>
      <c r="F434" s="687"/>
      <c r="G434" s="688"/>
      <c r="H434" s="688">
        <v>21295015.420000002</v>
      </c>
      <c r="I434" s="688">
        <v>29403112.119999997</v>
      </c>
      <c r="J434" s="688">
        <v>25528379.789999999</v>
      </c>
      <c r="K434" s="561"/>
      <c r="L434" s="561"/>
      <c r="M434" s="561"/>
      <c r="N434" s="561"/>
      <c r="O434" s="561"/>
    </row>
    <row r="435" spans="2:38" outlineLevel="1">
      <c r="D435" s="565"/>
      <c r="E435" s="652"/>
      <c r="F435" s="652"/>
      <c r="G435" s="654"/>
      <c r="H435" s="654"/>
      <c r="I435" s="654"/>
      <c r="J435" s="654"/>
      <c r="K435" s="546"/>
      <c r="L435" s="546"/>
      <c r="M435" s="546"/>
      <c r="N435" s="546"/>
      <c r="O435" s="546"/>
    </row>
    <row r="436" spans="2:38" outlineLevel="1">
      <c r="B436" s="562" t="s">
        <v>239</v>
      </c>
      <c r="C436" s="562" t="s">
        <v>2348</v>
      </c>
      <c r="D436" s="572" t="s">
        <v>2084</v>
      </c>
      <c r="E436" s="664">
        <v>446.98</v>
      </c>
      <c r="F436" s="664">
        <v>20607.259999999998</v>
      </c>
      <c r="G436" s="665">
        <v>231778.73</v>
      </c>
      <c r="H436" s="665">
        <v>113804.65</v>
      </c>
      <c r="I436" s="665">
        <v>20347.77</v>
      </c>
      <c r="J436" s="665">
        <v>28102.19</v>
      </c>
      <c r="K436" s="588"/>
      <c r="L436" s="588"/>
      <c r="M436" s="588"/>
      <c r="N436" s="588"/>
      <c r="O436" s="588"/>
      <c r="Q436" s="594">
        <f t="shared" ref="Q436:Q440" si="371">+IFERROR(F436/E436-1,0)</f>
        <v>45.103315584589907</v>
      </c>
      <c r="R436" s="594">
        <f t="shared" ref="R436:R440" si="372">+IFERROR(G436/F436-1,0)</f>
        <v>10.247430759839009</v>
      </c>
      <c r="S436" s="594">
        <f t="shared" ref="S436:S440" si="373">+IFERROR(H436/G436-1,0)</f>
        <v>-0.50899441894430963</v>
      </c>
      <c r="T436" s="594">
        <f t="shared" ref="T436:T440" si="374">+IFERROR(I436/H436-1,0)</f>
        <v>-0.82120440597110922</v>
      </c>
      <c r="U436" s="594">
        <f t="shared" ref="U436:U440" si="375">+IFERROR(K436/I436-1,0)</f>
        <v>-1</v>
      </c>
      <c r="V436" s="594">
        <f t="shared" ref="V436:V440" si="376">+IFERROR(L436/K436-1,0)</f>
        <v>0</v>
      </c>
      <c r="W436" s="594">
        <f t="shared" ref="W436:W440" si="377">+IFERROR(M436/L436-1,0)</f>
        <v>0</v>
      </c>
      <c r="X436" s="594">
        <f t="shared" ref="X436:X440" si="378">+IFERROR(N436/M436-1,0)</f>
        <v>0</v>
      </c>
      <c r="Y436" s="594">
        <f t="shared" ref="Y436:Y440" si="379">+IFERROR(O436/N436-1,0)</f>
        <v>0</v>
      </c>
    </row>
    <row r="437" spans="2:38" outlineLevel="1">
      <c r="B437" s="562" t="s">
        <v>239</v>
      </c>
      <c r="C437" s="562" t="s">
        <v>2348</v>
      </c>
      <c r="D437" s="572" t="s">
        <v>2085</v>
      </c>
      <c r="E437" s="664">
        <v>0</v>
      </c>
      <c r="F437" s="664"/>
      <c r="G437" s="665">
        <v>609007.96</v>
      </c>
      <c r="H437" s="665">
        <v>459801.45</v>
      </c>
      <c r="I437" s="665">
        <v>193355.89</v>
      </c>
      <c r="J437" s="665">
        <v>36253.5</v>
      </c>
      <c r="K437" s="588"/>
      <c r="L437" s="588"/>
      <c r="M437" s="588"/>
      <c r="N437" s="588"/>
      <c r="O437" s="588"/>
      <c r="Q437" s="594">
        <f t="shared" si="371"/>
        <v>0</v>
      </c>
      <c r="R437" s="594">
        <f t="shared" si="372"/>
        <v>0</v>
      </c>
      <c r="S437" s="594">
        <f t="shared" si="373"/>
        <v>-0.24499927718514547</v>
      </c>
      <c r="T437" s="594">
        <f t="shared" si="374"/>
        <v>-0.57947959929225967</v>
      </c>
      <c r="U437" s="594">
        <f t="shared" si="375"/>
        <v>-1</v>
      </c>
      <c r="V437" s="594">
        <f t="shared" si="376"/>
        <v>0</v>
      </c>
      <c r="W437" s="594">
        <f t="shared" si="377"/>
        <v>0</v>
      </c>
      <c r="X437" s="594">
        <f t="shared" si="378"/>
        <v>0</v>
      </c>
      <c r="Y437" s="594">
        <f t="shared" si="379"/>
        <v>0</v>
      </c>
    </row>
    <row r="438" spans="2:38" outlineLevel="1">
      <c r="B438" s="562" t="s">
        <v>239</v>
      </c>
      <c r="C438" s="562" t="s">
        <v>2348</v>
      </c>
      <c r="D438" s="572" t="s">
        <v>2086</v>
      </c>
      <c r="E438" s="664">
        <v>16551.11</v>
      </c>
      <c r="F438" s="664">
        <v>19463.59</v>
      </c>
      <c r="G438" s="665">
        <v>12607.73</v>
      </c>
      <c r="H438" s="665">
        <v>8153.49</v>
      </c>
      <c r="I438" s="665">
        <v>0</v>
      </c>
      <c r="J438" s="665">
        <v>0</v>
      </c>
      <c r="K438" s="588"/>
      <c r="L438" s="588"/>
      <c r="M438" s="588"/>
      <c r="N438" s="588"/>
      <c r="O438" s="588"/>
      <c r="Q438" s="594">
        <f t="shared" si="371"/>
        <v>0.17596886251133603</v>
      </c>
      <c r="R438" s="594">
        <f t="shared" si="372"/>
        <v>-0.35224025989039021</v>
      </c>
      <c r="S438" s="594">
        <f t="shared" si="373"/>
        <v>-0.35329436782037682</v>
      </c>
      <c r="T438" s="594">
        <f t="shared" si="374"/>
        <v>-1</v>
      </c>
      <c r="U438" s="594">
        <f t="shared" si="375"/>
        <v>0</v>
      </c>
      <c r="V438" s="594">
        <f t="shared" si="376"/>
        <v>0</v>
      </c>
      <c r="W438" s="594">
        <f t="shared" si="377"/>
        <v>0</v>
      </c>
      <c r="X438" s="594">
        <f t="shared" si="378"/>
        <v>0</v>
      </c>
      <c r="Y438" s="594">
        <f t="shared" si="379"/>
        <v>0</v>
      </c>
    </row>
    <row r="439" spans="2:38" outlineLevel="1">
      <c r="B439" s="562" t="s">
        <v>239</v>
      </c>
      <c r="C439" s="562" t="s">
        <v>2348</v>
      </c>
      <c r="D439" s="572" t="s">
        <v>2087</v>
      </c>
      <c r="E439" s="664">
        <v>0</v>
      </c>
      <c r="F439" s="664"/>
      <c r="G439" s="665">
        <v>125730.64</v>
      </c>
      <c r="H439" s="665">
        <v>915964.84</v>
      </c>
      <c r="I439" s="665">
        <v>917779.58</v>
      </c>
      <c r="J439" s="1046">
        <v>1842783.99</v>
      </c>
      <c r="K439" s="588"/>
      <c r="L439" s="588"/>
      <c r="M439" s="588"/>
      <c r="N439" s="588"/>
      <c r="O439" s="588"/>
      <c r="Q439" s="594">
        <f t="shared" si="371"/>
        <v>0</v>
      </c>
      <c r="R439" s="594">
        <f t="shared" si="372"/>
        <v>0</v>
      </c>
      <c r="S439" s="594">
        <f t="shared" si="373"/>
        <v>6.2851362245511515</v>
      </c>
      <c r="T439" s="594">
        <f t="shared" si="374"/>
        <v>1.9812332534510091E-3</v>
      </c>
      <c r="U439" s="594">
        <f t="shared" si="375"/>
        <v>-1</v>
      </c>
      <c r="V439" s="594">
        <f t="shared" si="376"/>
        <v>0</v>
      </c>
      <c r="W439" s="594">
        <f t="shared" si="377"/>
        <v>0</v>
      </c>
      <c r="X439" s="594">
        <f t="shared" si="378"/>
        <v>0</v>
      </c>
      <c r="Y439" s="594">
        <f t="shared" si="379"/>
        <v>0</v>
      </c>
    </row>
    <row r="440" spans="2:38" outlineLevel="1">
      <c r="B440" s="562" t="s">
        <v>239</v>
      </c>
      <c r="C440" s="562" t="s">
        <v>2348</v>
      </c>
      <c r="D440" s="572" t="s">
        <v>2088</v>
      </c>
      <c r="E440" s="664">
        <v>0</v>
      </c>
      <c r="F440" s="664"/>
      <c r="G440" s="665">
        <v>111450.18</v>
      </c>
      <c r="H440" s="665">
        <v>138069.93</v>
      </c>
      <c r="I440" s="665">
        <v>112511.48</v>
      </c>
      <c r="J440" s="1046">
        <v>1456984.68</v>
      </c>
      <c r="K440" s="588"/>
      <c r="L440" s="588"/>
      <c r="M440" s="588"/>
      <c r="N440" s="588"/>
      <c r="O440" s="588"/>
      <c r="Q440" s="594">
        <f t="shared" si="371"/>
        <v>0</v>
      </c>
      <c r="R440" s="594">
        <f t="shared" si="372"/>
        <v>0</v>
      </c>
      <c r="S440" s="594">
        <f t="shared" si="373"/>
        <v>0.2388488739991268</v>
      </c>
      <c r="T440" s="594">
        <f t="shared" si="374"/>
        <v>-0.18511235574610629</v>
      </c>
      <c r="U440" s="594">
        <f t="shared" si="375"/>
        <v>-1</v>
      </c>
      <c r="V440" s="594">
        <f t="shared" si="376"/>
        <v>0</v>
      </c>
      <c r="W440" s="594">
        <f t="shared" si="377"/>
        <v>0</v>
      </c>
      <c r="X440" s="594">
        <f t="shared" si="378"/>
        <v>0</v>
      </c>
      <c r="Y440" s="594">
        <f t="shared" si="379"/>
        <v>0</v>
      </c>
    </row>
    <row r="441" spans="2:38" outlineLevel="1">
      <c r="D441" s="584" t="s">
        <v>2434</v>
      </c>
      <c r="E441" s="689"/>
      <c r="F441" s="689"/>
      <c r="G441" s="688"/>
      <c r="H441" s="688">
        <v>1635794.36</v>
      </c>
      <c r="I441" s="688">
        <v>1243994.72</v>
      </c>
      <c r="J441" s="688">
        <v>3364124.36</v>
      </c>
      <c r="K441" s="561"/>
      <c r="L441" s="561"/>
      <c r="M441" s="561"/>
      <c r="N441" s="561"/>
      <c r="O441" s="561"/>
    </row>
    <row r="442" spans="2:38" outlineLevel="1">
      <c r="D442" s="577"/>
      <c r="E442" s="680"/>
      <c r="F442" s="680"/>
      <c r="G442" s="657"/>
      <c r="H442" s="657"/>
      <c r="I442" s="657"/>
      <c r="J442" s="657"/>
      <c r="K442" s="547"/>
      <c r="L442" s="547"/>
      <c r="M442" s="547"/>
      <c r="N442" s="547"/>
      <c r="O442" s="547"/>
    </row>
    <row r="443" spans="2:38" outlineLevel="1">
      <c r="D443" s="575" t="s">
        <v>2089</v>
      </c>
      <c r="E443" s="682"/>
      <c r="F443" s="682"/>
      <c r="G443" s="673"/>
      <c r="H443" s="673">
        <v>40822359.439999998</v>
      </c>
      <c r="I443" s="673">
        <v>66173769.25</v>
      </c>
      <c r="J443" s="673">
        <v>52389600.43999999</v>
      </c>
      <c r="K443" s="552"/>
      <c r="L443" s="552"/>
      <c r="M443" s="552"/>
      <c r="N443" s="552"/>
      <c r="O443" s="552"/>
    </row>
    <row r="444" spans="2:38" outlineLevel="1">
      <c r="D444" s="577"/>
      <c r="E444" s="680"/>
      <c r="F444" s="680"/>
      <c r="G444" s="657"/>
      <c r="H444" s="657"/>
      <c r="I444" s="657"/>
      <c r="J444" s="1048">
        <v>8355365.4800000116</v>
      </c>
      <c r="K444" s="547"/>
      <c r="L444" s="547"/>
      <c r="M444" s="547"/>
      <c r="N444" s="547"/>
      <c r="O444" s="547"/>
    </row>
    <row r="445" spans="2:38" hidden="1">
      <c r="D445" s="575" t="s">
        <v>2090</v>
      </c>
      <c r="E445" s="672"/>
      <c r="F445" s="672"/>
      <c r="G445" s="654"/>
      <c r="H445" s="654"/>
      <c r="I445" s="654"/>
      <c r="J445" s="654"/>
      <c r="K445" s="546"/>
      <c r="L445" s="546"/>
      <c r="M445" s="546"/>
      <c r="N445" s="546"/>
      <c r="O445" s="546"/>
    </row>
    <row r="446" spans="2:38" outlineLevel="1">
      <c r="D446" s="568" t="s">
        <v>2091</v>
      </c>
      <c r="E446" s="660"/>
      <c r="F446" s="660"/>
      <c r="G446" s="657"/>
      <c r="H446" s="657"/>
      <c r="I446" s="657"/>
      <c r="J446" s="657"/>
      <c r="K446" s="547"/>
      <c r="L446" s="547"/>
      <c r="M446" s="547"/>
      <c r="N446" s="547"/>
      <c r="O446" s="547"/>
    </row>
    <row r="447" spans="2:38" outlineLevel="1">
      <c r="B447" s="562" t="s">
        <v>2343</v>
      </c>
      <c r="C447" s="562" t="s">
        <v>2351</v>
      </c>
      <c r="D447" s="579" t="s">
        <v>2397</v>
      </c>
      <c r="E447" s="664">
        <v>24156026.16</v>
      </c>
      <c r="F447" s="664">
        <v>23727212.98</v>
      </c>
      <c r="G447" s="665">
        <v>24957098.82</v>
      </c>
      <c r="H447" s="665">
        <v>28909167.91</v>
      </c>
      <c r="I447" s="665">
        <v>47924038.689999998</v>
      </c>
      <c r="J447" s="665">
        <v>25647986.760000002</v>
      </c>
      <c r="K447" s="616">
        <f>+Ricavi!J5</f>
        <v>61316158.900000006</v>
      </c>
      <c r="L447" s="616">
        <f>+Ricavi!K5</f>
        <v>65168191.340000004</v>
      </c>
      <c r="M447" s="616">
        <f>+Ricavi!L5</f>
        <v>67571377.819999993</v>
      </c>
      <c r="N447" s="616">
        <f>+Ricavi!M5</f>
        <v>70561528.892859146</v>
      </c>
      <c r="O447" s="616">
        <f>+Ricavi!N5</f>
        <v>73683999.354888335</v>
      </c>
      <c r="Q447" s="594">
        <f t="shared" ref="Q447:Q452" si="380">+IFERROR(F447/E447-1,0)</f>
        <v>-1.7751809720676359E-2</v>
      </c>
      <c r="R447" s="594">
        <f t="shared" ref="R447:R452" si="381">+IFERROR(G447/F447-1,0)</f>
        <v>5.1834399642161522E-2</v>
      </c>
      <c r="S447" s="594">
        <f t="shared" ref="S447:S452" si="382">+IFERROR(H447/G447-1,0)</f>
        <v>0.15835450740904666</v>
      </c>
      <c r="T447" s="594">
        <f t="shared" ref="T447:T452" si="383">+IFERROR(I447/H447-1,0)</f>
        <v>0.65774535051292649</v>
      </c>
      <c r="U447" s="594">
        <f t="shared" ref="U447:U452" si="384">+IFERROR(K447/I447-1,0)</f>
        <v>0.27944473329194719</v>
      </c>
      <c r="V447" s="594">
        <f t="shared" ref="V447:V452" si="385">+IFERROR(L447/K447-1,0)</f>
        <v>6.2822468156921607E-2</v>
      </c>
      <c r="W447" s="594">
        <f t="shared" ref="W447:W452" si="386">+IFERROR(M447/L447-1,0)</f>
        <v>3.6876679106558674E-2</v>
      </c>
      <c r="X447" s="594">
        <f t="shared" ref="X447:X452" si="387">+IFERROR(N447/M447-1,0)</f>
        <v>4.4251740445850674E-2</v>
      </c>
      <c r="Y447" s="594">
        <f t="shared" ref="Y447:Y452" si="388">+IFERROR(O447/N447-1,0)</f>
        <v>4.4251740445850674E-2</v>
      </c>
      <c r="AA447" s="594">
        <f t="shared" ref="AA447:AE452" si="389">+IFERROR(E447/E$454,0)</f>
        <v>0.93068593115518194</v>
      </c>
      <c r="AB447" s="594">
        <f t="shared" si="389"/>
        <v>0.94814180605401932</v>
      </c>
      <c r="AC447" s="594">
        <f t="shared" si="389"/>
        <v>0.92958288778658171</v>
      </c>
      <c r="AD447" s="594">
        <f t="shared" si="389"/>
        <v>0.9282879172127223</v>
      </c>
      <c r="AE447" s="594">
        <f t="shared" si="389"/>
        <v>0.93930126100430011</v>
      </c>
      <c r="AF447" s="594">
        <f t="shared" ref="AF447:AJ452" si="390">+IFERROR(K447/K$454,0)</f>
        <v>0.9386863092003932</v>
      </c>
      <c r="AG447" s="594">
        <f t="shared" si="390"/>
        <v>0.93868630920039309</v>
      </c>
      <c r="AH447" s="594">
        <f t="shared" si="390"/>
        <v>0.93868630920039309</v>
      </c>
      <c r="AI447" s="594">
        <f t="shared" si="390"/>
        <v>0.93868630920039331</v>
      </c>
      <c r="AJ447" s="594">
        <f t="shared" si="390"/>
        <v>0.93868630920039287</v>
      </c>
      <c r="AL447" s="594">
        <f>+AVERAGE(AA447:AE447)</f>
        <v>0.93519996064256117</v>
      </c>
    </row>
    <row r="448" spans="2:38" outlineLevel="1">
      <c r="B448" s="562" t="s">
        <v>2343</v>
      </c>
      <c r="C448" s="562" t="s">
        <v>359</v>
      </c>
      <c r="D448" s="572" t="s">
        <v>2092</v>
      </c>
      <c r="E448" s="664">
        <v>-13179.17</v>
      </c>
      <c r="F448" s="664">
        <v>0</v>
      </c>
      <c r="G448" s="665">
        <v>-51669.97</v>
      </c>
      <c r="H448" s="665">
        <v>-5000</v>
      </c>
      <c r="I448" s="665">
        <v>0</v>
      </c>
      <c r="J448" s="665">
        <v>0</v>
      </c>
      <c r="K448" s="616">
        <f>+Ricavi!J6</f>
        <v>0</v>
      </c>
      <c r="L448" s="616">
        <f>+Ricavi!K6</f>
        <v>0</v>
      </c>
      <c r="M448" s="616">
        <f>+Ricavi!L6</f>
        <v>0</v>
      </c>
      <c r="N448" s="616">
        <f>+Ricavi!M6</f>
        <v>0</v>
      </c>
      <c r="O448" s="616">
        <f>+Ricavi!N6</f>
        <v>0</v>
      </c>
      <c r="Q448" s="594">
        <f t="shared" si="380"/>
        <v>-1</v>
      </c>
      <c r="R448" s="594">
        <f t="shared" si="381"/>
        <v>0</v>
      </c>
      <c r="S448" s="594">
        <f t="shared" si="382"/>
        <v>-0.90323199336094062</v>
      </c>
      <c r="T448" s="594">
        <f t="shared" si="383"/>
        <v>-1</v>
      </c>
      <c r="U448" s="594">
        <f t="shared" si="384"/>
        <v>0</v>
      </c>
      <c r="V448" s="594">
        <f t="shared" si="385"/>
        <v>0</v>
      </c>
      <c r="W448" s="594">
        <f t="shared" si="386"/>
        <v>0</v>
      </c>
      <c r="X448" s="594">
        <f t="shared" si="387"/>
        <v>0</v>
      </c>
      <c r="Y448" s="594">
        <f t="shared" si="388"/>
        <v>0</v>
      </c>
      <c r="AA448" s="594">
        <f t="shared" si="389"/>
        <v>-5.0776845587347387E-4</v>
      </c>
      <c r="AB448" s="594">
        <f t="shared" si="389"/>
        <v>0</v>
      </c>
      <c r="AC448" s="594">
        <f t="shared" si="389"/>
        <v>-1.9245634386780076E-3</v>
      </c>
      <c r="AD448" s="594">
        <f t="shared" si="389"/>
        <v>-1.6055251401608437E-4</v>
      </c>
      <c r="AE448" s="594">
        <f t="shared" si="389"/>
        <v>0</v>
      </c>
      <c r="AF448" s="594">
        <f t="shared" si="390"/>
        <v>0</v>
      </c>
      <c r="AG448" s="594">
        <f t="shared" si="390"/>
        <v>0</v>
      </c>
      <c r="AH448" s="594">
        <f t="shared" si="390"/>
        <v>0</v>
      </c>
      <c r="AI448" s="594">
        <f t="shared" si="390"/>
        <v>0</v>
      </c>
      <c r="AJ448" s="594">
        <f t="shared" si="390"/>
        <v>0</v>
      </c>
      <c r="AL448" s="594">
        <f t="shared" ref="AL448:AL452" si="391">+AVERAGE(AA448:AE448)</f>
        <v>-5.1857688171351316E-4</v>
      </c>
    </row>
    <row r="449" spans="2:38" outlineLevel="1">
      <c r="B449" s="562" t="s">
        <v>2343</v>
      </c>
      <c r="C449" s="562" t="s">
        <v>359</v>
      </c>
      <c r="D449" s="572" t="s">
        <v>2093</v>
      </c>
      <c r="E449" s="664">
        <v>440000</v>
      </c>
      <c r="F449" s="664">
        <v>13000</v>
      </c>
      <c r="G449" s="665">
        <v>380000</v>
      </c>
      <c r="H449" s="665">
        <v>195000</v>
      </c>
      <c r="I449" s="665">
        <v>42000</v>
      </c>
      <c r="J449" s="665">
        <v>14859.84</v>
      </c>
      <c r="K449" s="616">
        <f>+Ricavi!J7</f>
        <v>474716.27476323704</v>
      </c>
      <c r="L449" s="616">
        <f>+Ricavi!K7</f>
        <v>504539.12281812297</v>
      </c>
      <c r="M449" s="616">
        <f>+Ricavi!L7</f>
        <v>523144.85014699143</v>
      </c>
      <c r="N449" s="616">
        <f>+Ricavi!M7</f>
        <v>546294.92027127952</v>
      </c>
      <c r="O449" s="616">
        <f>+Ricavi!N7</f>
        <v>570469.42129001091</v>
      </c>
      <c r="Q449" s="594">
        <f t="shared" si="380"/>
        <v>-0.97045454545454546</v>
      </c>
      <c r="R449" s="594">
        <f t="shared" si="381"/>
        <v>28.23076923076923</v>
      </c>
      <c r="S449" s="594">
        <f t="shared" si="382"/>
        <v>-0.48684210526315785</v>
      </c>
      <c r="T449" s="594">
        <f t="shared" si="383"/>
        <v>-0.7846153846153846</v>
      </c>
      <c r="U449" s="594">
        <f t="shared" si="384"/>
        <v>10.302768446743739</v>
      </c>
      <c r="V449" s="594">
        <f t="shared" si="385"/>
        <v>6.2822468156921607E-2</v>
      </c>
      <c r="W449" s="594">
        <f t="shared" si="386"/>
        <v>3.6876679106558674E-2</v>
      </c>
      <c r="X449" s="594">
        <f t="shared" si="387"/>
        <v>4.4251740445850674E-2</v>
      </c>
      <c r="Y449" s="594">
        <f t="shared" si="388"/>
        <v>4.4251740445850674E-2</v>
      </c>
      <c r="AA449" s="594">
        <f t="shared" si="389"/>
        <v>1.6952366543896806E-2</v>
      </c>
      <c r="AB449" s="594">
        <f t="shared" si="389"/>
        <v>5.1948130145297198E-4</v>
      </c>
      <c r="AC449" s="594">
        <f t="shared" si="389"/>
        <v>1.4153948738457616E-2</v>
      </c>
      <c r="AD449" s="594">
        <f t="shared" si="389"/>
        <v>6.2615480466272902E-3</v>
      </c>
      <c r="AE449" s="594">
        <f t="shared" si="389"/>
        <v>8.231913261186086E-4</v>
      </c>
      <c r="AF449" s="594">
        <f t="shared" si="390"/>
        <v>7.2674100248452233E-3</v>
      </c>
      <c r="AG449" s="594">
        <f t="shared" si="390"/>
        <v>7.2674100248452233E-3</v>
      </c>
      <c r="AH449" s="594">
        <f t="shared" si="390"/>
        <v>7.2674100248452233E-3</v>
      </c>
      <c r="AI449" s="594">
        <f t="shared" si="390"/>
        <v>7.2674100248452242E-3</v>
      </c>
      <c r="AJ449" s="594">
        <f t="shared" si="390"/>
        <v>7.2674100248452224E-3</v>
      </c>
      <c r="AL449" s="594">
        <f t="shared" si="391"/>
        <v>7.7421071913106581E-3</v>
      </c>
    </row>
    <row r="450" spans="2:38" outlineLevel="1">
      <c r="B450" s="562" t="s">
        <v>2343</v>
      </c>
      <c r="C450" s="562" t="s">
        <v>359</v>
      </c>
      <c r="D450" s="572" t="s">
        <v>2094</v>
      </c>
      <c r="E450" s="664">
        <v>175637.73</v>
      </c>
      <c r="F450" s="664">
        <v>61606.16</v>
      </c>
      <c r="G450" s="665">
        <v>209197.92</v>
      </c>
      <c r="H450" s="665">
        <v>142138.97</v>
      </c>
      <c r="I450" s="665">
        <v>45665.94</v>
      </c>
      <c r="J450" s="665">
        <v>1610.82</v>
      </c>
      <c r="K450" s="616">
        <f>+Ricavi!J8</f>
        <v>275677.6702701787</v>
      </c>
      <c r="L450" s="616">
        <f>+Ricavi!K8</f>
        <v>292996.42193230137</v>
      </c>
      <c r="M450" s="616">
        <f>+Ricavi!L8</f>
        <v>303801.15696326864</v>
      </c>
      <c r="N450" s="616">
        <f>+Ricavi!M8</f>
        <v>317244.88690835639</v>
      </c>
      <c r="O450" s="616">
        <f>+Ricavi!N8</f>
        <v>331283.52530159819</v>
      </c>
      <c r="Q450" s="594">
        <f t="shared" si="380"/>
        <v>-0.64924301857009881</v>
      </c>
      <c r="R450" s="594">
        <f t="shared" si="381"/>
        <v>2.3957305568144482</v>
      </c>
      <c r="S450" s="594">
        <f t="shared" si="382"/>
        <v>-0.32055266132665183</v>
      </c>
      <c r="T450" s="594">
        <f t="shared" si="383"/>
        <v>-0.67872329453351177</v>
      </c>
      <c r="U450" s="594">
        <f t="shared" si="384"/>
        <v>5.0368333657465207</v>
      </c>
      <c r="V450" s="594">
        <f t="shared" si="385"/>
        <v>6.2822468156921829E-2</v>
      </c>
      <c r="W450" s="594">
        <f t="shared" si="386"/>
        <v>3.6876679106558452E-2</v>
      </c>
      <c r="X450" s="594">
        <f t="shared" si="387"/>
        <v>4.4251740445850896E-2</v>
      </c>
      <c r="Y450" s="594">
        <f t="shared" si="388"/>
        <v>4.4251740445850452E-2</v>
      </c>
      <c r="AA450" s="594">
        <f t="shared" si="389"/>
        <v>6.7669890406772291E-3</v>
      </c>
      <c r="AB450" s="594">
        <f t="shared" si="389"/>
        <v>2.4617883211015407E-3</v>
      </c>
      <c r="AC450" s="594">
        <f t="shared" si="389"/>
        <v>7.7920437786104142E-3</v>
      </c>
      <c r="AD450" s="594">
        <f t="shared" si="389"/>
        <v>4.5641537946313586E-3</v>
      </c>
      <c r="AE450" s="594">
        <f t="shared" si="389"/>
        <v>8.950429930250671E-4</v>
      </c>
      <c r="AF450" s="594">
        <f t="shared" si="390"/>
        <v>4.2203370119271609E-3</v>
      </c>
      <c r="AG450" s="594">
        <f t="shared" si="390"/>
        <v>4.2203370119271609E-3</v>
      </c>
      <c r="AH450" s="594">
        <f t="shared" si="390"/>
        <v>4.22033701192716E-3</v>
      </c>
      <c r="AI450" s="594">
        <f t="shared" si="390"/>
        <v>4.2203370119271609E-3</v>
      </c>
      <c r="AJ450" s="594">
        <f t="shared" si="390"/>
        <v>4.2203370119271591E-3</v>
      </c>
      <c r="AL450" s="594">
        <f t="shared" si="391"/>
        <v>4.4960035856091221E-3</v>
      </c>
    </row>
    <row r="451" spans="2:38" outlineLevel="1">
      <c r="B451" s="562" t="s">
        <v>2343</v>
      </c>
      <c r="C451" s="562" t="s">
        <v>359</v>
      </c>
      <c r="D451" s="572" t="s">
        <v>2095</v>
      </c>
      <c r="E451" s="664">
        <v>1196593.52</v>
      </c>
      <c r="F451" s="664">
        <v>1223143.19</v>
      </c>
      <c r="G451" s="665">
        <v>1353004.73</v>
      </c>
      <c r="H451" s="665">
        <v>1696641.59</v>
      </c>
      <c r="I451" s="665">
        <v>2427386.02</v>
      </c>
      <c r="J451" s="665">
        <v>0</v>
      </c>
      <c r="K451" s="616">
        <f>+Ricavi!J9</f>
        <v>3034308.2202357231</v>
      </c>
      <c r="L451" s="616">
        <f>+Ricavi!K9</f>
        <v>3224930.9517797674</v>
      </c>
      <c r="M451" s="616">
        <f>+Ricavi!L9</f>
        <v>3343855.6956293583</v>
      </c>
      <c r="N451" s="616">
        <f>+Ricavi!M9</f>
        <v>3491827.1299607283</v>
      </c>
      <c r="O451" s="616">
        <f>+Ricavi!N9</f>
        <v>3646346.5577975297</v>
      </c>
      <c r="P451" s="586"/>
      <c r="Q451" s="594">
        <f t="shared" si="380"/>
        <v>2.2187709991944304E-2</v>
      </c>
      <c r="R451" s="594">
        <f t="shared" si="381"/>
        <v>0.10617034952383619</v>
      </c>
      <c r="S451" s="594">
        <f t="shared" si="382"/>
        <v>0.2539805311693184</v>
      </c>
      <c r="T451" s="594">
        <f t="shared" si="383"/>
        <v>0.43070052880172516</v>
      </c>
      <c r="U451" s="594">
        <f t="shared" si="384"/>
        <v>0.2500311838476037</v>
      </c>
      <c r="V451" s="594">
        <f t="shared" si="385"/>
        <v>6.2822468156921607E-2</v>
      </c>
      <c r="W451" s="594">
        <f t="shared" si="386"/>
        <v>3.6876679106558452E-2</v>
      </c>
      <c r="X451" s="594">
        <f t="shared" si="387"/>
        <v>4.4251740445850674E-2</v>
      </c>
      <c r="Y451" s="594">
        <f t="shared" si="388"/>
        <v>4.4251740445850452E-2</v>
      </c>
      <c r="AA451" s="594">
        <f t="shared" si="389"/>
        <v>4.6102481716117534E-2</v>
      </c>
      <c r="AB451" s="594">
        <f t="shared" si="389"/>
        <v>4.8876924323426135E-2</v>
      </c>
      <c r="AC451" s="594">
        <f t="shared" si="389"/>
        <v>5.0395683135028124E-2</v>
      </c>
      <c r="AD451" s="594">
        <f t="shared" si="389"/>
        <v>5.4480014531749332E-2</v>
      </c>
      <c r="AE451" s="594">
        <f t="shared" si="389"/>
        <v>4.7576264685846942E-2</v>
      </c>
      <c r="AF451" s="594">
        <f t="shared" si="390"/>
        <v>4.6452087595289411E-2</v>
      </c>
      <c r="AG451" s="594">
        <f t="shared" si="390"/>
        <v>4.6452087595289404E-2</v>
      </c>
      <c r="AH451" s="594">
        <f t="shared" si="390"/>
        <v>4.6452087595289404E-2</v>
      </c>
      <c r="AI451" s="594">
        <f t="shared" si="390"/>
        <v>4.6452087595289418E-2</v>
      </c>
      <c r="AJ451" s="594">
        <f t="shared" si="390"/>
        <v>4.6452087595289397E-2</v>
      </c>
      <c r="AL451" s="594">
        <f t="shared" si="391"/>
        <v>4.9486273678433612E-2</v>
      </c>
    </row>
    <row r="452" spans="2:38" outlineLevel="1">
      <c r="B452" s="562" t="s">
        <v>2343</v>
      </c>
      <c r="C452" s="562" t="s">
        <v>359</v>
      </c>
      <c r="D452" s="572" t="s">
        <v>2096</v>
      </c>
      <c r="E452" s="664">
        <v>0</v>
      </c>
      <c r="F452" s="664"/>
      <c r="G452" s="665">
        <v>0</v>
      </c>
      <c r="H452" s="665">
        <v>204510</v>
      </c>
      <c r="I452" s="665">
        <v>581855.11</v>
      </c>
      <c r="J452" s="665">
        <v>60577</v>
      </c>
      <c r="K452" s="616">
        <f>+Ricavi!J10</f>
        <v>220384.48717885168</v>
      </c>
      <c r="L452" s="616">
        <f>+Ricavi!K10</f>
        <v>234229.58460692459</v>
      </c>
      <c r="M452" s="616">
        <f>+Ricavi!L10</f>
        <v>242867.19383573666</v>
      </c>
      <c r="N452" s="616">
        <f>+Ricavi!M10</f>
        <v>253614.48986016779</v>
      </c>
      <c r="O452" s="616">
        <f>+Ricavi!N10</f>
        <v>264837.37243876676</v>
      </c>
      <c r="Q452" s="594">
        <f t="shared" si="380"/>
        <v>0</v>
      </c>
      <c r="R452" s="594">
        <f t="shared" si="381"/>
        <v>0</v>
      </c>
      <c r="S452" s="594">
        <f t="shared" si="382"/>
        <v>0</v>
      </c>
      <c r="T452" s="594">
        <f t="shared" si="383"/>
        <v>1.8451181360324678</v>
      </c>
      <c r="U452" s="594">
        <f t="shared" si="384"/>
        <v>-0.62123820279098063</v>
      </c>
      <c r="V452" s="594">
        <f t="shared" si="385"/>
        <v>6.2822468156921607E-2</v>
      </c>
      <c r="W452" s="594">
        <f t="shared" si="386"/>
        <v>3.6876679106558674E-2</v>
      </c>
      <c r="X452" s="594">
        <f t="shared" si="387"/>
        <v>4.4251740445850674E-2</v>
      </c>
      <c r="Y452" s="594">
        <f t="shared" si="388"/>
        <v>4.4251740445850674E-2</v>
      </c>
      <c r="AA452" s="594">
        <f t="shared" si="389"/>
        <v>0</v>
      </c>
      <c r="AB452" s="594">
        <f t="shared" si="389"/>
        <v>0</v>
      </c>
      <c r="AC452" s="594">
        <f t="shared" si="389"/>
        <v>0</v>
      </c>
      <c r="AD452" s="594">
        <f t="shared" si="389"/>
        <v>6.5669189282858828E-3</v>
      </c>
      <c r="AE452" s="594">
        <f t="shared" si="389"/>
        <v>1.1404239990709259E-2</v>
      </c>
      <c r="AF452" s="594">
        <f t="shared" si="390"/>
        <v>3.3738561675450553E-3</v>
      </c>
      <c r="AG452" s="594">
        <f t="shared" si="390"/>
        <v>3.3738561675450548E-3</v>
      </c>
      <c r="AH452" s="594">
        <f t="shared" si="390"/>
        <v>3.3738561675450548E-3</v>
      </c>
      <c r="AI452" s="594">
        <f t="shared" si="390"/>
        <v>3.3738561675450557E-3</v>
      </c>
      <c r="AJ452" s="594">
        <f t="shared" si="390"/>
        <v>3.3738561675450544E-3</v>
      </c>
      <c r="AL452" s="594">
        <f t="shared" si="391"/>
        <v>3.5942317837990281E-3</v>
      </c>
    </row>
    <row r="453" spans="2:38" outlineLevel="1">
      <c r="B453" s="562" t="s">
        <v>2343</v>
      </c>
      <c r="C453" s="562" t="s">
        <v>359</v>
      </c>
      <c r="D453" s="572" t="s">
        <v>4165</v>
      </c>
      <c r="E453" s="664"/>
      <c r="F453" s="664"/>
      <c r="G453" s="665"/>
      <c r="H453" s="665"/>
      <c r="I453" s="665"/>
      <c r="J453" s="665">
        <v>17213.12</v>
      </c>
      <c r="K453" s="616"/>
      <c r="L453" s="616"/>
      <c r="M453" s="616"/>
      <c r="N453" s="616"/>
      <c r="O453" s="616"/>
      <c r="Q453" s="594"/>
      <c r="R453" s="594"/>
      <c r="S453" s="594"/>
      <c r="T453" s="594"/>
      <c r="U453" s="594"/>
      <c r="V453" s="594"/>
      <c r="W453" s="594"/>
      <c r="X453" s="594"/>
      <c r="Y453" s="594"/>
      <c r="AA453" s="594"/>
      <c r="AB453" s="594"/>
      <c r="AC453" s="594"/>
      <c r="AD453" s="594"/>
      <c r="AE453" s="594"/>
      <c r="AF453" s="594"/>
      <c r="AG453" s="594"/>
      <c r="AH453" s="594"/>
      <c r="AI453" s="594"/>
      <c r="AJ453" s="594"/>
      <c r="AL453" s="594"/>
    </row>
    <row r="454" spans="2:38" outlineLevel="1">
      <c r="D454" s="578" t="s">
        <v>2097</v>
      </c>
      <c r="E454" s="690">
        <f>+SUM(E447:E452)</f>
        <v>25955078.239999998</v>
      </c>
      <c r="F454" s="690">
        <f t="shared" ref="F454:O454" si="392">+SUM(F447:F452)</f>
        <v>25024962.330000002</v>
      </c>
      <c r="G454" s="690">
        <f t="shared" si="392"/>
        <v>26847631.500000004</v>
      </c>
      <c r="H454" s="690">
        <f t="shared" ref="H454" si="393">+SUM(H447:H453)</f>
        <v>31142458.469999999</v>
      </c>
      <c r="I454" s="690">
        <v>51020945.759999998</v>
      </c>
      <c r="J454" s="690">
        <v>25742247.540000003</v>
      </c>
      <c r="K454" s="617">
        <f t="shared" si="392"/>
        <v>65321245.552447997</v>
      </c>
      <c r="L454" s="617">
        <f t="shared" si="392"/>
        <v>69424887.421137124</v>
      </c>
      <c r="M454" s="617">
        <f t="shared" si="392"/>
        <v>71985046.716575354</v>
      </c>
      <c r="N454" s="617">
        <f t="shared" si="392"/>
        <v>75170510.319859669</v>
      </c>
      <c r="O454" s="617">
        <f t="shared" si="392"/>
        <v>78496936.23171626</v>
      </c>
    </row>
    <row r="455" spans="2:38" outlineLevel="1">
      <c r="B455" s="562" t="s">
        <v>2343</v>
      </c>
      <c r="C455" s="562" t="s">
        <v>8</v>
      </c>
      <c r="D455" s="572" t="s">
        <v>2098</v>
      </c>
      <c r="E455" s="664">
        <v>0</v>
      </c>
      <c r="F455" s="664"/>
      <c r="G455" s="665">
        <v>-290000</v>
      </c>
      <c r="H455" s="665">
        <v>-437594.14</v>
      </c>
      <c r="I455" s="665">
        <v>-657594.14</v>
      </c>
      <c r="J455" s="665">
        <v>-293016.96999999997</v>
      </c>
      <c r="K455" s="616">
        <f>+Ricavi!J13</f>
        <v>-293016.96999999997</v>
      </c>
      <c r="L455" s="616">
        <f>+Ricavi!K13</f>
        <v>-718836.43412940681</v>
      </c>
      <c r="M455" s="616">
        <f>+Ricavi!L13</f>
        <v>-763995.51312253659</v>
      </c>
      <c r="N455" s="616">
        <f>+Ricavi!M13</f>
        <v>-792169.13049880695</v>
      </c>
      <c r="O455" s="616">
        <f>+Ricavi!N13</f>
        <v>-827223.99325085536</v>
      </c>
    </row>
    <row r="456" spans="2:38" outlineLevel="1">
      <c r="B456" s="562" t="s">
        <v>2343</v>
      </c>
      <c r="C456" s="562" t="s">
        <v>8</v>
      </c>
      <c r="D456" s="572" t="s">
        <v>2099</v>
      </c>
      <c r="E456" s="664">
        <v>-1231260</v>
      </c>
      <c r="F456" s="664">
        <v>-713225</v>
      </c>
      <c r="G456" s="665">
        <v>-697725</v>
      </c>
      <c r="H456" s="665">
        <v>-490276</v>
      </c>
      <c r="I456" s="665">
        <v>-247500</v>
      </c>
      <c r="J456" s="665">
        <v>-210000</v>
      </c>
      <c r="K456" s="616">
        <f>+Ricavi!J14</f>
        <v>-210000</v>
      </c>
      <c r="L456" s="616">
        <f>+Ricavi!K14</f>
        <v>-1122329.1459110857</v>
      </c>
      <c r="M456" s="616">
        <f>+Ricavi!L14</f>
        <v>-1192836.6329416698</v>
      </c>
      <c r="N456" s="616">
        <f>+Ricavi!M14</f>
        <v>-1236824.4866812075</v>
      </c>
      <c r="O456" s="616">
        <f>+Ricavi!N14</f>
        <v>-1291556.122842897</v>
      </c>
    </row>
    <row r="457" spans="2:38" outlineLevel="1">
      <c r="B457" s="562" t="s">
        <v>2343</v>
      </c>
      <c r="C457" s="562" t="s">
        <v>8</v>
      </c>
      <c r="D457" s="572" t="s">
        <v>2100</v>
      </c>
      <c r="E457" s="664">
        <v>0</v>
      </c>
      <c r="F457" s="664">
        <v>290000</v>
      </c>
      <c r="G457" s="665">
        <v>437594.14</v>
      </c>
      <c r="H457" s="665">
        <v>657594.14</v>
      </c>
      <c r="I457" s="665">
        <v>293016.96999999997</v>
      </c>
      <c r="J457" s="665">
        <v>754189.01</v>
      </c>
      <c r="K457" s="616">
        <f>+Ricavi!J15</f>
        <v>718836.43412940681</v>
      </c>
      <c r="L457" s="616">
        <f>+Ricavi!K15</f>
        <v>763995.51312253659</v>
      </c>
      <c r="M457" s="616">
        <f>+Ricavi!L15</f>
        <v>792169.13049880695</v>
      </c>
      <c r="N457" s="616">
        <f>+Ricavi!M15</f>
        <v>827223.99325085536</v>
      </c>
      <c r="O457" s="616">
        <f>+Ricavi!N15</f>
        <v>863830.09469077224</v>
      </c>
    </row>
    <row r="458" spans="2:38" outlineLevel="1">
      <c r="B458" s="562" t="s">
        <v>2343</v>
      </c>
      <c r="C458" s="562" t="s">
        <v>8</v>
      </c>
      <c r="D458" s="572" t="s">
        <v>2101</v>
      </c>
      <c r="E458" s="664">
        <v>713225</v>
      </c>
      <c r="F458" s="664">
        <v>697725</v>
      </c>
      <c r="G458" s="665">
        <v>490276</v>
      </c>
      <c r="H458" s="665">
        <v>247500</v>
      </c>
      <c r="I458" s="665">
        <v>210000</v>
      </c>
      <c r="J458" s="665">
        <v>210000</v>
      </c>
      <c r="K458" s="616">
        <f>+Ricavi!J16</f>
        <v>1122329.1459110857</v>
      </c>
      <c r="L458" s="616">
        <f>+Ricavi!K16</f>
        <v>1192836.6329416698</v>
      </c>
      <c r="M458" s="616">
        <f>+Ricavi!L16</f>
        <v>1236824.4866812075</v>
      </c>
      <c r="N458" s="616">
        <f>+Ricavi!M16</f>
        <v>1291556.122842897</v>
      </c>
      <c r="O458" s="616">
        <f>+Ricavi!N16</f>
        <v>1348709.7291621899</v>
      </c>
    </row>
    <row r="459" spans="2:38" outlineLevel="1">
      <c r="D459" s="578" t="s">
        <v>2102</v>
      </c>
      <c r="E459" s="690">
        <f>+SUM(E455:E458)</f>
        <v>-518035</v>
      </c>
      <c r="F459" s="690">
        <f t="shared" ref="F459:O459" si="394">+SUM(F455:F458)</f>
        <v>274500</v>
      </c>
      <c r="G459" s="690">
        <f t="shared" si="394"/>
        <v>-59854.859999999986</v>
      </c>
      <c r="H459" s="690">
        <f t="shared" si="394"/>
        <v>-22776</v>
      </c>
      <c r="I459" s="690">
        <v>-402077.17000000004</v>
      </c>
      <c r="J459" s="690">
        <v>461172.04000000004</v>
      </c>
      <c r="K459" s="617">
        <f t="shared" si="394"/>
        <v>1338148.6100404924</v>
      </c>
      <c r="L459" s="617">
        <f t="shared" si="394"/>
        <v>115666.56602371391</v>
      </c>
      <c r="M459" s="617">
        <f t="shared" si="394"/>
        <v>72161.471115808003</v>
      </c>
      <c r="N459" s="617">
        <f t="shared" si="394"/>
        <v>89786.498913737712</v>
      </c>
      <c r="O459" s="617">
        <f t="shared" si="394"/>
        <v>93759.707759209676</v>
      </c>
    </row>
    <row r="460" spans="2:38" outlineLevel="1">
      <c r="D460" s="569" t="s">
        <v>2103</v>
      </c>
      <c r="E460" s="662"/>
      <c r="F460" s="662"/>
      <c r="G460" s="654"/>
      <c r="H460" s="654"/>
      <c r="I460" s="654"/>
      <c r="J460" s="654"/>
      <c r="K460" s="618"/>
      <c r="L460" s="618"/>
      <c r="M460" s="618"/>
      <c r="N460" s="618"/>
      <c r="O460" s="618"/>
    </row>
    <row r="461" spans="2:38" outlineLevel="1">
      <c r="B461" s="562" t="s">
        <v>2343</v>
      </c>
      <c r="C461" s="562" t="s">
        <v>360</v>
      </c>
      <c r="D461" s="572" t="s">
        <v>2104</v>
      </c>
      <c r="E461" s="664">
        <v>0</v>
      </c>
      <c r="F461" s="664">
        <v>18410</v>
      </c>
      <c r="G461" s="665">
        <v>9800</v>
      </c>
      <c r="H461" s="665">
        <v>31293.94</v>
      </c>
      <c r="I461" s="665">
        <v>0</v>
      </c>
      <c r="J461" s="665">
        <v>0</v>
      </c>
      <c r="K461" s="616">
        <f>+Ricavi!J19</f>
        <v>0</v>
      </c>
      <c r="L461" s="616">
        <f>+Ricavi!K19</f>
        <v>0</v>
      </c>
      <c r="M461" s="616">
        <f>+Ricavi!L19</f>
        <v>0</v>
      </c>
      <c r="N461" s="616">
        <f>+Ricavi!M19</f>
        <v>0</v>
      </c>
      <c r="O461" s="616">
        <f>+Ricavi!N19</f>
        <v>0</v>
      </c>
      <c r="Q461" s="594">
        <f t="shared" ref="Q461:Q466" si="395">+IFERROR(F461/E461-1,0)</f>
        <v>0</v>
      </c>
      <c r="R461" s="594">
        <f t="shared" ref="R461:R466" si="396">+IFERROR(G461/F461-1,0)</f>
        <v>-0.46768060836501901</v>
      </c>
      <c r="S461" s="594">
        <f t="shared" ref="S461:S466" si="397">+IFERROR(H461/G461-1,0)</f>
        <v>2.1932591836734692</v>
      </c>
      <c r="T461" s="594">
        <f t="shared" ref="T461:T466" si="398">+IFERROR(I461/H461-1,0)</f>
        <v>-1</v>
      </c>
      <c r="U461" s="594">
        <f t="shared" ref="U461:U466" si="399">+IFERROR(K461/I461-1,0)</f>
        <v>0</v>
      </c>
      <c r="V461" s="594">
        <f t="shared" ref="V461:V466" si="400">+IFERROR(L461/K461-1,0)</f>
        <v>0</v>
      </c>
      <c r="W461" s="594">
        <f t="shared" ref="W461:W466" si="401">+IFERROR(M461/L461-1,0)</f>
        <v>0</v>
      </c>
      <c r="X461" s="594">
        <f t="shared" ref="X461:X466" si="402">+IFERROR(N461/M461-1,0)</f>
        <v>0</v>
      </c>
      <c r="Y461" s="594">
        <f t="shared" ref="Y461:Y466" si="403">+IFERROR(O461/N461-1,0)</f>
        <v>0</v>
      </c>
      <c r="AA461" s="594">
        <f t="shared" ref="AA461:AA466" si="404">+IFERROR(E461/E$454,0)</f>
        <v>0</v>
      </c>
      <c r="AB461" s="594">
        <f t="shared" ref="AB461:AB466" si="405">+IFERROR(F461/F$454,0)</f>
        <v>7.3566544305763196E-4</v>
      </c>
      <c r="AC461" s="594">
        <f t="shared" ref="AC461:AC466" si="406">+IFERROR(G461/G$454,0)</f>
        <v>3.6502288851811748E-4</v>
      </c>
      <c r="AD461" s="594">
        <f t="shared" ref="AD461:AD466" si="407">+IFERROR(H461/H$454,0)</f>
        <v>1.0048641480937006E-3</v>
      </c>
      <c r="AE461" s="594">
        <f t="shared" ref="AE461:AE466" si="408">+IFERROR(I461/I$454,0)</f>
        <v>0</v>
      </c>
      <c r="AF461" s="594">
        <f t="shared" ref="AF461:AF466" si="409">+IFERROR(K461/K$454,0)</f>
        <v>0</v>
      </c>
      <c r="AG461" s="594">
        <f t="shared" ref="AG461:AG466" si="410">+IFERROR(L461/L$454,0)</f>
        <v>0</v>
      </c>
      <c r="AH461" s="594">
        <f t="shared" ref="AH461:AH466" si="411">+IFERROR(M461/M$454,0)</f>
        <v>0</v>
      </c>
      <c r="AI461" s="594">
        <f t="shared" ref="AI461:AI466" si="412">+IFERROR(N461/N$454,0)</f>
        <v>0</v>
      </c>
      <c r="AJ461" s="594">
        <f t="shared" ref="AJ461:AJ466" si="413">+IFERROR(O461/O$454,0)</f>
        <v>0</v>
      </c>
      <c r="AL461" s="594">
        <f t="shared" ref="AL461:AL466" si="414">+AVERAGE(AA461:AE461)</f>
        <v>4.2111049593389002E-4</v>
      </c>
    </row>
    <row r="462" spans="2:38" outlineLevel="1">
      <c r="B462" s="562" t="s">
        <v>2343</v>
      </c>
      <c r="C462" s="562" t="s">
        <v>360</v>
      </c>
      <c r="D462" s="572" t="s">
        <v>2422</v>
      </c>
      <c r="E462" s="664">
        <v>0</v>
      </c>
      <c r="F462" s="664"/>
      <c r="G462" s="665">
        <v>1477.08</v>
      </c>
      <c r="H462" s="665"/>
      <c r="I462" s="665">
        <v>0</v>
      </c>
      <c r="J462" s="665">
        <v>0</v>
      </c>
      <c r="K462" s="616">
        <f>+Ricavi!J20</f>
        <v>0</v>
      </c>
      <c r="L462" s="616">
        <f>+Ricavi!K20</f>
        <v>0</v>
      </c>
      <c r="M462" s="616">
        <f>+Ricavi!L20</f>
        <v>0</v>
      </c>
      <c r="N462" s="616">
        <f>+Ricavi!M20</f>
        <v>0</v>
      </c>
      <c r="O462" s="616">
        <f>+Ricavi!N20</f>
        <v>0</v>
      </c>
      <c r="Q462" s="594">
        <f t="shared" si="395"/>
        <v>0</v>
      </c>
      <c r="R462" s="594">
        <f t="shared" si="396"/>
        <v>0</v>
      </c>
      <c r="S462" s="594">
        <f t="shared" si="397"/>
        <v>-1</v>
      </c>
      <c r="T462" s="594">
        <f t="shared" si="398"/>
        <v>0</v>
      </c>
      <c r="U462" s="594">
        <f t="shared" si="399"/>
        <v>0</v>
      </c>
      <c r="V462" s="594">
        <f t="shared" si="400"/>
        <v>0</v>
      </c>
      <c r="W462" s="594">
        <f t="shared" si="401"/>
        <v>0</v>
      </c>
      <c r="X462" s="594">
        <f t="shared" si="402"/>
        <v>0</v>
      </c>
      <c r="Y462" s="594">
        <f t="shared" si="403"/>
        <v>0</v>
      </c>
      <c r="AA462" s="594">
        <f t="shared" si="404"/>
        <v>0</v>
      </c>
      <c r="AB462" s="594">
        <f t="shared" si="405"/>
        <v>0</v>
      </c>
      <c r="AC462" s="594">
        <f t="shared" si="406"/>
        <v>5.5017143691055194E-5</v>
      </c>
      <c r="AD462" s="594">
        <f t="shared" si="407"/>
        <v>0</v>
      </c>
      <c r="AE462" s="594">
        <f t="shared" si="408"/>
        <v>0</v>
      </c>
      <c r="AF462" s="594">
        <f t="shared" si="409"/>
        <v>0</v>
      </c>
      <c r="AG462" s="594">
        <f t="shared" si="410"/>
        <v>0</v>
      </c>
      <c r="AH462" s="594">
        <f t="shared" si="411"/>
        <v>0</v>
      </c>
      <c r="AI462" s="594">
        <f t="shared" si="412"/>
        <v>0</v>
      </c>
      <c r="AJ462" s="594">
        <f t="shared" si="413"/>
        <v>0</v>
      </c>
      <c r="AL462" s="594">
        <f t="shared" si="414"/>
        <v>1.1003428738211039E-5</v>
      </c>
    </row>
    <row r="463" spans="2:38" outlineLevel="1">
      <c r="B463" s="562" t="s">
        <v>2343</v>
      </c>
      <c r="C463" s="562" t="s">
        <v>360</v>
      </c>
      <c r="D463" s="572" t="s">
        <v>2423</v>
      </c>
      <c r="E463" s="664">
        <v>0</v>
      </c>
      <c r="F463" s="664"/>
      <c r="G463" s="665">
        <v>989</v>
      </c>
      <c r="H463" s="665"/>
      <c r="I463" s="665">
        <v>0</v>
      </c>
      <c r="J463" s="665">
        <v>0</v>
      </c>
      <c r="K463" s="616">
        <f>+Ricavi!J21</f>
        <v>0</v>
      </c>
      <c r="L463" s="616">
        <f>+Ricavi!K21</f>
        <v>0</v>
      </c>
      <c r="M463" s="616">
        <f>+Ricavi!L21</f>
        <v>0</v>
      </c>
      <c r="N463" s="616">
        <f>+Ricavi!M21</f>
        <v>0</v>
      </c>
      <c r="O463" s="616">
        <f>+Ricavi!N21</f>
        <v>0</v>
      </c>
      <c r="Q463" s="594">
        <f t="shared" si="395"/>
        <v>0</v>
      </c>
      <c r="R463" s="594">
        <f t="shared" si="396"/>
        <v>0</v>
      </c>
      <c r="S463" s="594">
        <f t="shared" si="397"/>
        <v>-1</v>
      </c>
      <c r="T463" s="594">
        <f t="shared" si="398"/>
        <v>0</v>
      </c>
      <c r="U463" s="594">
        <f t="shared" si="399"/>
        <v>0</v>
      </c>
      <c r="V463" s="594">
        <f t="shared" si="400"/>
        <v>0</v>
      </c>
      <c r="W463" s="594">
        <f t="shared" si="401"/>
        <v>0</v>
      </c>
      <c r="X463" s="594">
        <f t="shared" si="402"/>
        <v>0</v>
      </c>
      <c r="Y463" s="594">
        <f t="shared" si="403"/>
        <v>0</v>
      </c>
      <c r="AA463" s="594">
        <f t="shared" si="404"/>
        <v>0</v>
      </c>
      <c r="AB463" s="594">
        <f t="shared" si="405"/>
        <v>0</v>
      </c>
      <c r="AC463" s="594">
        <f t="shared" si="406"/>
        <v>3.683751395351206E-5</v>
      </c>
      <c r="AD463" s="594">
        <f t="shared" si="407"/>
        <v>0</v>
      </c>
      <c r="AE463" s="594">
        <f t="shared" si="408"/>
        <v>0</v>
      </c>
      <c r="AF463" s="594">
        <f t="shared" si="409"/>
        <v>0</v>
      </c>
      <c r="AG463" s="594">
        <f t="shared" si="410"/>
        <v>0</v>
      </c>
      <c r="AH463" s="594">
        <f t="shared" si="411"/>
        <v>0</v>
      </c>
      <c r="AI463" s="594">
        <f t="shared" si="412"/>
        <v>0</v>
      </c>
      <c r="AJ463" s="594">
        <f t="shared" si="413"/>
        <v>0</v>
      </c>
      <c r="AL463" s="594">
        <f t="shared" si="414"/>
        <v>7.3675027907024117E-6</v>
      </c>
    </row>
    <row r="464" spans="2:38" outlineLevel="1">
      <c r="B464" s="562" t="s">
        <v>2343</v>
      </c>
      <c r="C464" s="562" t="s">
        <v>360</v>
      </c>
      <c r="D464" s="572" t="s">
        <v>2424</v>
      </c>
      <c r="E464" s="664">
        <v>0</v>
      </c>
      <c r="F464" s="664"/>
      <c r="G464" s="665">
        <v>8851.56</v>
      </c>
      <c r="H464" s="665"/>
      <c r="I464" s="665">
        <v>0</v>
      </c>
      <c r="J464" s="665">
        <v>0</v>
      </c>
      <c r="K464" s="616">
        <f>+Ricavi!J22</f>
        <v>0</v>
      </c>
      <c r="L464" s="616">
        <f>+Ricavi!K22</f>
        <v>0</v>
      </c>
      <c r="M464" s="616">
        <f>+Ricavi!L22</f>
        <v>0</v>
      </c>
      <c r="N464" s="616">
        <f>+Ricavi!M22</f>
        <v>0</v>
      </c>
      <c r="O464" s="616">
        <f>+Ricavi!N22</f>
        <v>0</v>
      </c>
      <c r="Q464" s="594">
        <f t="shared" si="395"/>
        <v>0</v>
      </c>
      <c r="R464" s="594">
        <f t="shared" si="396"/>
        <v>0</v>
      </c>
      <c r="S464" s="594">
        <f t="shared" si="397"/>
        <v>-1</v>
      </c>
      <c r="T464" s="594">
        <f t="shared" si="398"/>
        <v>0</v>
      </c>
      <c r="U464" s="594">
        <f t="shared" si="399"/>
        <v>0</v>
      </c>
      <c r="V464" s="594">
        <f t="shared" si="400"/>
        <v>0</v>
      </c>
      <c r="W464" s="594">
        <f t="shared" si="401"/>
        <v>0</v>
      </c>
      <c r="X464" s="594">
        <f t="shared" si="402"/>
        <v>0</v>
      </c>
      <c r="Y464" s="594">
        <f t="shared" si="403"/>
        <v>0</v>
      </c>
      <c r="AA464" s="594">
        <f t="shared" si="404"/>
        <v>0</v>
      </c>
      <c r="AB464" s="594">
        <f t="shared" si="405"/>
        <v>0</v>
      </c>
      <c r="AC464" s="594">
        <f t="shared" si="406"/>
        <v>3.2969612235626811E-4</v>
      </c>
      <c r="AD464" s="594">
        <f t="shared" si="407"/>
        <v>0</v>
      </c>
      <c r="AE464" s="594">
        <f t="shared" si="408"/>
        <v>0</v>
      </c>
      <c r="AF464" s="594">
        <f t="shared" si="409"/>
        <v>0</v>
      </c>
      <c r="AG464" s="594">
        <f t="shared" si="410"/>
        <v>0</v>
      </c>
      <c r="AH464" s="594">
        <f t="shared" si="411"/>
        <v>0</v>
      </c>
      <c r="AI464" s="594">
        <f t="shared" si="412"/>
        <v>0</v>
      </c>
      <c r="AJ464" s="594">
        <f t="shared" si="413"/>
        <v>0</v>
      </c>
      <c r="AL464" s="594">
        <f t="shared" si="414"/>
        <v>6.5939224471253617E-5</v>
      </c>
    </row>
    <row r="465" spans="1:38" outlineLevel="1">
      <c r="B465" s="562" t="s">
        <v>2343</v>
      </c>
      <c r="C465" s="562" t="s">
        <v>360</v>
      </c>
      <c r="D465" s="572" t="s">
        <v>2425</v>
      </c>
      <c r="E465" s="664">
        <v>0</v>
      </c>
      <c r="F465" s="664"/>
      <c r="G465" s="665">
        <v>6824.16</v>
      </c>
      <c r="H465" s="665"/>
      <c r="I465" s="665">
        <v>0</v>
      </c>
      <c r="J465" s="665">
        <v>0</v>
      </c>
      <c r="K465" s="616">
        <f>+Ricavi!J23</f>
        <v>0</v>
      </c>
      <c r="L465" s="616">
        <f>+Ricavi!K23</f>
        <v>0</v>
      </c>
      <c r="M465" s="616">
        <f>+Ricavi!L23</f>
        <v>0</v>
      </c>
      <c r="N465" s="616">
        <f>+Ricavi!M23</f>
        <v>0</v>
      </c>
      <c r="O465" s="616">
        <f>+Ricavi!N23</f>
        <v>0</v>
      </c>
      <c r="Q465" s="594">
        <f t="shared" si="395"/>
        <v>0</v>
      </c>
      <c r="R465" s="594">
        <f t="shared" si="396"/>
        <v>0</v>
      </c>
      <c r="S465" s="594">
        <f t="shared" si="397"/>
        <v>-1</v>
      </c>
      <c r="T465" s="594">
        <f t="shared" si="398"/>
        <v>0</v>
      </c>
      <c r="U465" s="594">
        <f t="shared" si="399"/>
        <v>0</v>
      </c>
      <c r="V465" s="594">
        <f t="shared" si="400"/>
        <v>0</v>
      </c>
      <c r="W465" s="594">
        <f t="shared" si="401"/>
        <v>0</v>
      </c>
      <c r="X465" s="594">
        <f t="shared" si="402"/>
        <v>0</v>
      </c>
      <c r="Y465" s="594">
        <f t="shared" si="403"/>
        <v>0</v>
      </c>
      <c r="AA465" s="594">
        <f t="shared" si="404"/>
        <v>0</v>
      </c>
      <c r="AB465" s="594">
        <f t="shared" si="405"/>
        <v>0</v>
      </c>
      <c r="AC465" s="594">
        <f t="shared" si="406"/>
        <v>2.5418108111324451E-4</v>
      </c>
      <c r="AD465" s="594">
        <f t="shared" si="407"/>
        <v>0</v>
      </c>
      <c r="AE465" s="594">
        <f t="shared" si="408"/>
        <v>0</v>
      </c>
      <c r="AF465" s="594">
        <f t="shared" si="409"/>
        <v>0</v>
      </c>
      <c r="AG465" s="594">
        <f t="shared" si="410"/>
        <v>0</v>
      </c>
      <c r="AH465" s="594">
        <f t="shared" si="411"/>
        <v>0</v>
      </c>
      <c r="AI465" s="594">
        <f t="shared" si="412"/>
        <v>0</v>
      </c>
      <c r="AJ465" s="594">
        <f t="shared" si="413"/>
        <v>0</v>
      </c>
      <c r="AL465" s="594">
        <f t="shared" si="414"/>
        <v>5.0836216222648902E-5</v>
      </c>
    </row>
    <row r="466" spans="1:38" outlineLevel="1">
      <c r="B466" s="562" t="s">
        <v>2343</v>
      </c>
      <c r="C466" s="562" t="s">
        <v>360</v>
      </c>
      <c r="D466" s="572" t="s">
        <v>2426</v>
      </c>
      <c r="E466" s="664">
        <v>0</v>
      </c>
      <c r="F466" s="664"/>
      <c r="G466" s="665">
        <v>17073</v>
      </c>
      <c r="H466" s="665"/>
      <c r="I466" s="665">
        <v>0</v>
      </c>
      <c r="J466" s="665">
        <v>0</v>
      </c>
      <c r="K466" s="616">
        <f>+Ricavi!J24</f>
        <v>0</v>
      </c>
      <c r="L466" s="616">
        <f>+Ricavi!K24</f>
        <v>0</v>
      </c>
      <c r="M466" s="616">
        <f>+Ricavi!L24</f>
        <v>0</v>
      </c>
      <c r="N466" s="616">
        <f>+Ricavi!M24</f>
        <v>0</v>
      </c>
      <c r="O466" s="616">
        <f>+Ricavi!N24</f>
        <v>0</v>
      </c>
      <c r="Q466" s="594">
        <f t="shared" si="395"/>
        <v>0</v>
      </c>
      <c r="R466" s="594">
        <f t="shared" si="396"/>
        <v>0</v>
      </c>
      <c r="S466" s="594">
        <f t="shared" si="397"/>
        <v>-1</v>
      </c>
      <c r="T466" s="594">
        <f t="shared" si="398"/>
        <v>0</v>
      </c>
      <c r="U466" s="594">
        <f t="shared" si="399"/>
        <v>0</v>
      </c>
      <c r="V466" s="594">
        <f t="shared" si="400"/>
        <v>0</v>
      </c>
      <c r="W466" s="594">
        <f t="shared" si="401"/>
        <v>0</v>
      </c>
      <c r="X466" s="594">
        <f t="shared" si="402"/>
        <v>0</v>
      </c>
      <c r="Y466" s="594">
        <f t="shared" si="403"/>
        <v>0</v>
      </c>
      <c r="AA466" s="594">
        <f t="shared" si="404"/>
        <v>0</v>
      </c>
      <c r="AB466" s="594">
        <f t="shared" si="405"/>
        <v>0</v>
      </c>
      <c r="AC466" s="594">
        <f t="shared" si="406"/>
        <v>6.3592201792549174E-4</v>
      </c>
      <c r="AD466" s="594">
        <f t="shared" si="407"/>
        <v>0</v>
      </c>
      <c r="AE466" s="594">
        <f t="shared" si="408"/>
        <v>0</v>
      </c>
      <c r="AF466" s="594">
        <f t="shared" si="409"/>
        <v>0</v>
      </c>
      <c r="AG466" s="594">
        <f t="shared" si="410"/>
        <v>0</v>
      </c>
      <c r="AH466" s="594">
        <f t="shared" si="411"/>
        <v>0</v>
      </c>
      <c r="AI466" s="594">
        <f t="shared" si="412"/>
        <v>0</v>
      </c>
      <c r="AJ466" s="594">
        <f t="shared" si="413"/>
        <v>0</v>
      </c>
      <c r="AL466" s="594">
        <f t="shared" si="414"/>
        <v>1.2718440358509836E-4</v>
      </c>
    </row>
    <row r="467" spans="1:38" outlineLevel="1">
      <c r="A467" s="545">
        <v>1</v>
      </c>
      <c r="D467" s="570" t="s">
        <v>2105</v>
      </c>
      <c r="E467" s="676">
        <f>+SUM(E461:E466)</f>
        <v>0</v>
      </c>
      <c r="F467" s="676">
        <f t="shared" ref="F467:O467" si="415">+SUM(F461:F466)</f>
        <v>18410</v>
      </c>
      <c r="G467" s="676">
        <f t="shared" si="415"/>
        <v>45014.8</v>
      </c>
      <c r="H467" s="676">
        <f t="shared" si="415"/>
        <v>31293.94</v>
      </c>
      <c r="I467" s="676">
        <v>0</v>
      </c>
      <c r="J467" s="676">
        <v>0</v>
      </c>
      <c r="K467" s="619">
        <f t="shared" si="415"/>
        <v>0</v>
      </c>
      <c r="L467" s="619">
        <f t="shared" si="415"/>
        <v>0</v>
      </c>
      <c r="M467" s="619">
        <f t="shared" si="415"/>
        <v>0</v>
      </c>
      <c r="N467" s="619">
        <f t="shared" si="415"/>
        <v>0</v>
      </c>
      <c r="O467" s="619">
        <f t="shared" si="415"/>
        <v>0</v>
      </c>
    </row>
    <row r="468" spans="1:38" outlineLevel="1">
      <c r="B468" s="562" t="s">
        <v>2343</v>
      </c>
      <c r="C468" s="562" t="s">
        <v>360</v>
      </c>
      <c r="D468" s="572" t="s">
        <v>2106</v>
      </c>
      <c r="E468" s="664">
        <v>0</v>
      </c>
      <c r="F468" s="664"/>
      <c r="G468" s="665">
        <v>0</v>
      </c>
      <c r="H468" s="670"/>
      <c r="I468" s="665">
        <v>0</v>
      </c>
      <c r="J468" s="665">
        <v>22967.62</v>
      </c>
      <c r="K468" s="616">
        <f>+Ricavi!J26</f>
        <v>0</v>
      </c>
      <c r="L468" s="616">
        <f>+Ricavi!K26</f>
        <v>0</v>
      </c>
      <c r="M468" s="616">
        <f>+Ricavi!L26</f>
        <v>0</v>
      </c>
      <c r="N468" s="616">
        <f>+Ricavi!M26</f>
        <v>0</v>
      </c>
      <c r="O468" s="616">
        <f>+Ricavi!N26</f>
        <v>0</v>
      </c>
      <c r="Q468" s="594">
        <f t="shared" ref="Q468:Q493" si="416">+IFERROR(F468/E468-1,0)</f>
        <v>0</v>
      </c>
      <c r="R468" s="594">
        <f t="shared" ref="R468:R493" si="417">+IFERROR(G468/F468-1,0)</f>
        <v>0</v>
      </c>
      <c r="S468" s="594">
        <f t="shared" ref="S468:S493" si="418">+IFERROR(H468/G468-1,0)</f>
        <v>0</v>
      </c>
      <c r="T468" s="594">
        <f t="shared" ref="T468:T493" si="419">+IFERROR(I468/H468-1,0)</f>
        <v>0</v>
      </c>
      <c r="U468" s="594">
        <f t="shared" ref="U468:U493" si="420">+IFERROR(K468/I468-1,0)</f>
        <v>0</v>
      </c>
      <c r="V468" s="594">
        <f t="shared" ref="V468:V493" si="421">+IFERROR(L468/K468-1,0)</f>
        <v>0</v>
      </c>
      <c r="W468" s="594">
        <f t="shared" ref="W468:W493" si="422">+IFERROR(M468/L468-1,0)</f>
        <v>0</v>
      </c>
      <c r="X468" s="594">
        <f t="shared" ref="X468:X493" si="423">+IFERROR(N468/M468-1,0)</f>
        <v>0</v>
      </c>
      <c r="Y468" s="594">
        <f t="shared" ref="Y468:Y493" si="424">+IFERROR(O468/N468-1,0)</f>
        <v>0</v>
      </c>
      <c r="AA468" s="594">
        <f t="shared" ref="AA468:AA476" si="425">+IFERROR(E468/E$454,0)</f>
        <v>0</v>
      </c>
      <c r="AB468" s="594">
        <f t="shared" ref="AB468:AB476" si="426">+IFERROR(F468/F$454,0)</f>
        <v>0</v>
      </c>
      <c r="AC468" s="594">
        <f t="shared" ref="AC468:AC476" si="427">+IFERROR(G468/G$454,0)</f>
        <v>0</v>
      </c>
      <c r="AD468" s="594">
        <f t="shared" ref="AD468:AD476" si="428">+IFERROR(H468/H$454,0)</f>
        <v>0</v>
      </c>
      <c r="AE468" s="594">
        <f t="shared" ref="AE468:AE476" si="429">+IFERROR(I468/I$454,0)</f>
        <v>0</v>
      </c>
      <c r="AF468" s="594">
        <f t="shared" ref="AF468:AF476" si="430">+IFERROR(K468/K$454,0)</f>
        <v>0</v>
      </c>
      <c r="AG468" s="594">
        <f t="shared" ref="AG468:AG476" si="431">+IFERROR(L468/L$454,0)</f>
        <v>0</v>
      </c>
      <c r="AH468" s="594">
        <f t="shared" ref="AH468:AH476" si="432">+IFERROR(M468/M$454,0)</f>
        <v>0</v>
      </c>
      <c r="AI468" s="594">
        <f t="shared" ref="AI468:AI476" si="433">+IFERROR(N468/N$454,0)</f>
        <v>0</v>
      </c>
      <c r="AJ468" s="594">
        <f t="shared" ref="AJ468:AJ476" si="434">+IFERROR(O468/O$454,0)</f>
        <v>0</v>
      </c>
      <c r="AL468" s="594">
        <f t="shared" ref="AL468:AL493" si="435">+AVERAGE(AA468:AE468)</f>
        <v>0</v>
      </c>
    </row>
    <row r="469" spans="1:38" outlineLevel="1">
      <c r="B469" s="562" t="s">
        <v>2343</v>
      </c>
      <c r="C469" s="562" t="s">
        <v>360</v>
      </c>
      <c r="D469" s="572" t="s">
        <v>2107</v>
      </c>
      <c r="E469" s="664">
        <v>582.08000000000004</v>
      </c>
      <c r="F469" s="664">
        <v>0</v>
      </c>
      <c r="G469" s="665">
        <v>594.86</v>
      </c>
      <c r="H469" s="665">
        <v>839.5</v>
      </c>
      <c r="I469" s="665">
        <v>815.28</v>
      </c>
      <c r="J469" s="665">
        <v>1501.56</v>
      </c>
      <c r="K469" s="616">
        <f>+Ricavi!J27</f>
        <v>1073.2708821531182</v>
      </c>
      <c r="L469" s="616">
        <f>+Ricavi!K27</f>
        <v>1140.6964079709337</v>
      </c>
      <c r="M469" s="616">
        <f>+Ricavi!L27</f>
        <v>1182.7615033656818</v>
      </c>
      <c r="N469" s="616">
        <f>+Ricavi!M27</f>
        <v>1235.1007584219642</v>
      </c>
      <c r="O469" s="616">
        <f>+Ricavi!N27</f>
        <v>1289.7561166081261</v>
      </c>
      <c r="Q469" s="594">
        <f t="shared" si="416"/>
        <v>-1</v>
      </c>
      <c r="R469" s="594">
        <f t="shared" si="417"/>
        <v>0</v>
      </c>
      <c r="S469" s="594">
        <f t="shared" si="418"/>
        <v>0.4112564300843895</v>
      </c>
      <c r="T469" s="594">
        <f t="shared" si="419"/>
        <v>-2.8850506253722541E-2</v>
      </c>
      <c r="U469" s="594">
        <f t="shared" si="420"/>
        <v>0.31644451250259831</v>
      </c>
      <c r="V469" s="594">
        <f t="shared" si="421"/>
        <v>6.2822468156921607E-2</v>
      </c>
      <c r="W469" s="594">
        <f t="shared" si="422"/>
        <v>3.6876679106558674E-2</v>
      </c>
      <c r="X469" s="594">
        <f t="shared" si="423"/>
        <v>4.4251740445850674E-2</v>
      </c>
      <c r="Y469" s="594">
        <f t="shared" si="424"/>
        <v>4.4251740445850674E-2</v>
      </c>
      <c r="AA469" s="594">
        <f t="shared" si="425"/>
        <v>2.2426439813344213E-5</v>
      </c>
      <c r="AB469" s="594">
        <f t="shared" si="426"/>
        <v>0</v>
      </c>
      <c r="AC469" s="594">
        <f t="shared" si="427"/>
        <v>2.2156889333049731E-5</v>
      </c>
      <c r="AD469" s="594">
        <f t="shared" si="428"/>
        <v>2.6956767103300566E-5</v>
      </c>
      <c r="AE469" s="594">
        <f t="shared" si="429"/>
        <v>1.5979319627570932E-5</v>
      </c>
      <c r="AF469" s="594">
        <f t="shared" si="430"/>
        <v>1.6430655494640917E-5</v>
      </c>
      <c r="AG469" s="594">
        <f t="shared" si="431"/>
        <v>1.6430655494640917E-5</v>
      </c>
      <c r="AH469" s="594">
        <f t="shared" si="432"/>
        <v>1.6430655494640914E-5</v>
      </c>
      <c r="AI469" s="594">
        <f t="shared" si="433"/>
        <v>1.6430655494640921E-5</v>
      </c>
      <c r="AJ469" s="594">
        <f t="shared" si="434"/>
        <v>1.6430655494640914E-5</v>
      </c>
      <c r="AL469" s="594">
        <f t="shared" si="435"/>
        <v>1.7503883175453087E-5</v>
      </c>
    </row>
    <row r="470" spans="1:38" outlineLevel="1">
      <c r="B470" s="562" t="s">
        <v>2343</v>
      </c>
      <c r="C470" s="562" t="s">
        <v>360</v>
      </c>
      <c r="D470" s="572" t="s">
        <v>2108</v>
      </c>
      <c r="E470" s="664">
        <v>142052.34</v>
      </c>
      <c r="F470" s="664">
        <v>214327.4</v>
      </c>
      <c r="G470" s="665">
        <v>144202.39000000001</v>
      </c>
      <c r="H470" s="665">
        <v>166575.26</v>
      </c>
      <c r="I470" s="665">
        <v>133851.42000000001</v>
      </c>
      <c r="J470" s="665">
        <v>0</v>
      </c>
      <c r="K470" s="616">
        <f>+Ricavi!J28</f>
        <v>0</v>
      </c>
      <c r="L470" s="616">
        <f>+Ricavi!K28</f>
        <v>0</v>
      </c>
      <c r="M470" s="616">
        <f>+Ricavi!L28</f>
        <v>0</v>
      </c>
      <c r="N470" s="616">
        <f>+Ricavi!M28</f>
        <v>0</v>
      </c>
      <c r="O470" s="616">
        <f>+Ricavi!N28</f>
        <v>0</v>
      </c>
      <c r="Q470" s="594">
        <f t="shared" si="416"/>
        <v>0.50879175943176991</v>
      </c>
      <c r="R470" s="594">
        <f t="shared" si="417"/>
        <v>-0.3271863980060411</v>
      </c>
      <c r="S470" s="594">
        <f t="shared" si="418"/>
        <v>0.15514909288257983</v>
      </c>
      <c r="T470" s="594">
        <f t="shared" si="419"/>
        <v>-0.19645078146658745</v>
      </c>
      <c r="U470" s="594">
        <f t="shared" si="420"/>
        <v>-1</v>
      </c>
      <c r="V470" s="594">
        <f t="shared" si="421"/>
        <v>0</v>
      </c>
      <c r="W470" s="594">
        <f t="shared" si="422"/>
        <v>0</v>
      </c>
      <c r="X470" s="594">
        <f t="shared" si="423"/>
        <v>0</v>
      </c>
      <c r="Y470" s="594">
        <f t="shared" si="424"/>
        <v>0</v>
      </c>
      <c r="AA470" s="594">
        <f t="shared" si="425"/>
        <v>5.4730075820414864E-3</v>
      </c>
      <c r="AB470" s="594">
        <f t="shared" si="426"/>
        <v>8.564544360694747E-3</v>
      </c>
      <c r="AC470" s="594">
        <f t="shared" si="427"/>
        <v>5.3711400947975612E-3</v>
      </c>
      <c r="AD470" s="594">
        <f t="shared" si="428"/>
        <v>5.3488153531765798E-3</v>
      </c>
      <c r="AE470" s="594">
        <f t="shared" si="429"/>
        <v>2.6234601888728299E-3</v>
      </c>
      <c r="AF470" s="594">
        <f t="shared" si="430"/>
        <v>0</v>
      </c>
      <c r="AG470" s="594">
        <f t="shared" si="431"/>
        <v>0</v>
      </c>
      <c r="AH470" s="594">
        <f t="shared" si="432"/>
        <v>0</v>
      </c>
      <c r="AI470" s="594">
        <f t="shared" si="433"/>
        <v>0</v>
      </c>
      <c r="AJ470" s="594">
        <f t="shared" si="434"/>
        <v>0</v>
      </c>
      <c r="AL470" s="594">
        <f t="shared" si="435"/>
        <v>5.47619351591664E-3</v>
      </c>
    </row>
    <row r="471" spans="1:38" outlineLevel="1">
      <c r="B471" s="562" t="s">
        <v>2343</v>
      </c>
      <c r="C471" s="562" t="s">
        <v>360</v>
      </c>
      <c r="D471" s="572" t="s">
        <v>2109</v>
      </c>
      <c r="E471" s="664">
        <v>2394.5300000000002</v>
      </c>
      <c r="F471" s="664">
        <v>58307.48</v>
      </c>
      <c r="G471" s="665">
        <v>53693.33</v>
      </c>
      <c r="H471" s="665">
        <v>50920.94</v>
      </c>
      <c r="I471" s="665">
        <v>0</v>
      </c>
      <c r="J471" s="665">
        <v>0</v>
      </c>
      <c r="K471" s="616">
        <f>+Ricavi!J29</f>
        <v>0</v>
      </c>
      <c r="L471" s="616">
        <f>+Ricavi!K29</f>
        <v>0</v>
      </c>
      <c r="M471" s="616">
        <f>+Ricavi!L29</f>
        <v>0</v>
      </c>
      <c r="N471" s="616">
        <f>+Ricavi!M29</f>
        <v>0</v>
      </c>
      <c r="O471" s="616">
        <f>+Ricavi!N29</f>
        <v>0</v>
      </c>
      <c r="Q471" s="594">
        <f t="shared" si="416"/>
        <v>23.350281683670698</v>
      </c>
      <c r="R471" s="594">
        <f t="shared" si="417"/>
        <v>-7.9134786823234382E-2</v>
      </c>
      <c r="S471" s="594">
        <f t="shared" si="418"/>
        <v>-5.163378766040394E-2</v>
      </c>
      <c r="T471" s="594">
        <f t="shared" si="419"/>
        <v>-1</v>
      </c>
      <c r="U471" s="594">
        <f t="shared" si="420"/>
        <v>0</v>
      </c>
      <c r="V471" s="594">
        <f t="shared" si="421"/>
        <v>0</v>
      </c>
      <c r="W471" s="594">
        <f t="shared" si="422"/>
        <v>0</v>
      </c>
      <c r="X471" s="594">
        <f t="shared" si="423"/>
        <v>0</v>
      </c>
      <c r="Y471" s="594">
        <f t="shared" si="424"/>
        <v>0</v>
      </c>
      <c r="AA471" s="594">
        <f t="shared" si="425"/>
        <v>9.2256705137175516E-5</v>
      </c>
      <c r="AB471" s="594">
        <f t="shared" si="426"/>
        <v>2.3299727380648567E-3</v>
      </c>
      <c r="AC471" s="594">
        <f t="shared" si="427"/>
        <v>1.9999280010976014E-3</v>
      </c>
      <c r="AD471" s="594">
        <f t="shared" si="428"/>
        <v>1.6350969866124382E-3</v>
      </c>
      <c r="AE471" s="594">
        <f t="shared" si="429"/>
        <v>0</v>
      </c>
      <c r="AF471" s="594">
        <f t="shared" si="430"/>
        <v>0</v>
      </c>
      <c r="AG471" s="594">
        <f t="shared" si="431"/>
        <v>0</v>
      </c>
      <c r="AH471" s="594">
        <f t="shared" si="432"/>
        <v>0</v>
      </c>
      <c r="AI471" s="594">
        <f t="shared" si="433"/>
        <v>0</v>
      </c>
      <c r="AJ471" s="594">
        <f t="shared" si="434"/>
        <v>0</v>
      </c>
      <c r="AL471" s="594">
        <f t="shared" si="435"/>
        <v>1.2114508861824143E-3</v>
      </c>
    </row>
    <row r="472" spans="1:38" outlineLevel="1">
      <c r="B472" s="562" t="s">
        <v>2343</v>
      </c>
      <c r="C472" s="562" t="s">
        <v>360</v>
      </c>
      <c r="D472" s="572" t="s">
        <v>2110</v>
      </c>
      <c r="E472" s="664">
        <v>15553.45</v>
      </c>
      <c r="F472" s="664">
        <v>140721.19</v>
      </c>
      <c r="G472" s="665">
        <v>17577.96</v>
      </c>
      <c r="H472" s="665">
        <v>161921.87</v>
      </c>
      <c r="I472" s="665">
        <v>46674.92</v>
      </c>
      <c r="J472" s="665">
        <v>88000.51</v>
      </c>
      <c r="K472" s="616">
        <f>+Ricavi!J30</f>
        <v>159316.79021210296</v>
      </c>
      <c r="L472" s="616">
        <f>+Ricavi!K30</f>
        <v>169325.46419206576</v>
      </c>
      <c r="M472" s="616">
        <f>+Ricavi!L30</f>
        <v>175569.62499964563</v>
      </c>
      <c r="N472" s="616">
        <f>+Ricavi!M30</f>
        <v>183338.88647530531</v>
      </c>
      <c r="O472" s="616">
        <f>+Ricavi!N30</f>
        <v>191451.95129324176</v>
      </c>
      <c r="Q472" s="594">
        <f t="shared" si="416"/>
        <v>8.047586869794161</v>
      </c>
      <c r="R472" s="594">
        <f t="shared" si="417"/>
        <v>-0.87508661630846074</v>
      </c>
      <c r="S472" s="594">
        <f t="shared" si="418"/>
        <v>8.2116417377215569</v>
      </c>
      <c r="T472" s="594">
        <f t="shared" si="419"/>
        <v>-0.71174418872509315</v>
      </c>
      <c r="U472" s="594">
        <f t="shared" si="420"/>
        <v>2.4133275474730964</v>
      </c>
      <c r="V472" s="594">
        <f t="shared" si="421"/>
        <v>6.2822468156921607E-2</v>
      </c>
      <c r="W472" s="594">
        <f t="shared" si="422"/>
        <v>3.6876679106558452E-2</v>
      </c>
      <c r="X472" s="594">
        <f t="shared" si="423"/>
        <v>4.4251740445850896E-2</v>
      </c>
      <c r="Y472" s="594">
        <f t="shared" si="424"/>
        <v>4.4251740445850452E-2</v>
      </c>
      <c r="AA472" s="594">
        <f t="shared" si="425"/>
        <v>5.9924496686857226E-4</v>
      </c>
      <c r="AB472" s="594">
        <f t="shared" si="426"/>
        <v>5.6232328402469967E-3</v>
      </c>
      <c r="AC472" s="594">
        <f t="shared" si="427"/>
        <v>6.5473038096489056E-4</v>
      </c>
      <c r="AD472" s="594">
        <f t="shared" si="428"/>
        <v>5.1993926605371178E-3</v>
      </c>
      <c r="AE472" s="594">
        <f t="shared" si="429"/>
        <v>9.1481879264952303E-4</v>
      </c>
      <c r="AF472" s="594">
        <f t="shared" si="430"/>
        <v>2.4389735508669025E-3</v>
      </c>
      <c r="AG472" s="594">
        <f t="shared" si="431"/>
        <v>2.4389735508669025E-3</v>
      </c>
      <c r="AH472" s="594">
        <f t="shared" si="432"/>
        <v>2.4389735508669021E-3</v>
      </c>
      <c r="AI472" s="594">
        <f t="shared" si="433"/>
        <v>2.438973550866903E-3</v>
      </c>
      <c r="AJ472" s="594">
        <f t="shared" si="434"/>
        <v>2.4389735508669017E-3</v>
      </c>
      <c r="AL472" s="594">
        <f t="shared" si="435"/>
        <v>2.5982839282534206E-3</v>
      </c>
    </row>
    <row r="473" spans="1:38" outlineLevel="1">
      <c r="B473" s="562" t="s">
        <v>2343</v>
      </c>
      <c r="C473" s="562" t="s">
        <v>360</v>
      </c>
      <c r="D473" s="572" t="s">
        <v>2111</v>
      </c>
      <c r="E473" s="664">
        <v>0</v>
      </c>
      <c r="F473" s="664"/>
      <c r="G473" s="665">
        <v>0</v>
      </c>
      <c r="H473" s="665">
        <v>3451.5</v>
      </c>
      <c r="I473" s="665">
        <v>1943.5</v>
      </c>
      <c r="J473" s="665">
        <v>1856.6</v>
      </c>
      <c r="K473" s="616">
        <f>+Ricavi!J31</f>
        <v>0</v>
      </c>
      <c r="L473" s="616">
        <f>+Ricavi!K31</f>
        <v>0</v>
      </c>
      <c r="M473" s="616">
        <f>+Ricavi!L31</f>
        <v>0</v>
      </c>
      <c r="N473" s="616">
        <f>+Ricavi!M31</f>
        <v>0</v>
      </c>
      <c r="O473" s="616">
        <f>+Ricavi!N31</f>
        <v>0</v>
      </c>
      <c r="Q473" s="594">
        <f t="shared" si="416"/>
        <v>0</v>
      </c>
      <c r="R473" s="594">
        <f t="shared" si="417"/>
        <v>0</v>
      </c>
      <c r="S473" s="594">
        <f t="shared" si="418"/>
        <v>0</v>
      </c>
      <c r="T473" s="594">
        <f t="shared" si="419"/>
        <v>-0.43691148775894539</v>
      </c>
      <c r="U473" s="594">
        <f t="shared" si="420"/>
        <v>-1</v>
      </c>
      <c r="V473" s="594">
        <f t="shared" si="421"/>
        <v>0</v>
      </c>
      <c r="W473" s="594">
        <f t="shared" si="422"/>
        <v>0</v>
      </c>
      <c r="X473" s="594">
        <f t="shared" si="423"/>
        <v>0</v>
      </c>
      <c r="Y473" s="594">
        <f t="shared" si="424"/>
        <v>0</v>
      </c>
      <c r="AA473" s="594">
        <f t="shared" si="425"/>
        <v>0</v>
      </c>
      <c r="AB473" s="594">
        <f t="shared" si="426"/>
        <v>0</v>
      </c>
      <c r="AC473" s="594">
        <f t="shared" si="427"/>
        <v>0</v>
      </c>
      <c r="AD473" s="594">
        <f t="shared" si="428"/>
        <v>1.1082940042530304E-4</v>
      </c>
      <c r="AE473" s="594">
        <f t="shared" si="429"/>
        <v>3.8092198626464662E-5</v>
      </c>
      <c r="AF473" s="594">
        <f t="shared" si="430"/>
        <v>0</v>
      </c>
      <c r="AG473" s="594">
        <f t="shared" si="431"/>
        <v>0</v>
      </c>
      <c r="AH473" s="594">
        <f t="shared" si="432"/>
        <v>0</v>
      </c>
      <c r="AI473" s="594">
        <f t="shared" si="433"/>
        <v>0</v>
      </c>
      <c r="AJ473" s="594">
        <f t="shared" si="434"/>
        <v>0</v>
      </c>
      <c r="AL473" s="594">
        <f t="shared" si="435"/>
        <v>2.9784319810353541E-5</v>
      </c>
    </row>
    <row r="474" spans="1:38" outlineLevel="1">
      <c r="B474" s="562" t="s">
        <v>2343</v>
      </c>
      <c r="C474" s="562" t="s">
        <v>360</v>
      </c>
      <c r="D474" s="572" t="s">
        <v>2112</v>
      </c>
      <c r="E474" s="664">
        <v>388676.98</v>
      </c>
      <c r="F474" s="664">
        <v>659913.34</v>
      </c>
      <c r="G474" s="665">
        <v>355616</v>
      </c>
      <c r="H474" s="665">
        <v>559802.42000000004</v>
      </c>
      <c r="I474" s="665">
        <v>908956.44</v>
      </c>
      <c r="J474" s="665">
        <v>500035.49</v>
      </c>
      <c r="K474" s="616">
        <f>+Ricavi!J32</f>
        <v>1108372.9475019006</v>
      </c>
      <c r="L474" s="616">
        <f>+Ricavi!K32</f>
        <v>1178003.6717023323</v>
      </c>
      <c r="M474" s="616">
        <f>+Ricavi!L32</f>
        <v>1221444.5350900469</v>
      </c>
      <c r="N474" s="616">
        <f>+Ricavi!M32</f>
        <v>1275495.5816258544</v>
      </c>
      <c r="O474" s="616">
        <f>+Ricavi!N32</f>
        <v>1331938.4810437909</v>
      </c>
      <c r="Q474" s="594">
        <f t="shared" si="416"/>
        <v>0.69784518753850566</v>
      </c>
      <c r="R474" s="594">
        <f t="shared" si="417"/>
        <v>-0.46111712183299702</v>
      </c>
      <c r="S474" s="594">
        <f t="shared" si="418"/>
        <v>0.57417669621164413</v>
      </c>
      <c r="T474" s="594">
        <f t="shared" si="419"/>
        <v>0.62370937946284677</v>
      </c>
      <c r="U474" s="594">
        <f t="shared" si="420"/>
        <v>0.21939060963350521</v>
      </c>
      <c r="V474" s="594">
        <f t="shared" si="421"/>
        <v>6.2822468156921829E-2</v>
      </c>
      <c r="W474" s="594">
        <f t="shared" si="422"/>
        <v>3.6876679106558452E-2</v>
      </c>
      <c r="X474" s="594">
        <f t="shared" si="423"/>
        <v>4.4251740445850674E-2</v>
      </c>
      <c r="Y474" s="594">
        <f t="shared" si="424"/>
        <v>4.4251740445850674E-2</v>
      </c>
      <c r="AA474" s="594">
        <f t="shared" si="425"/>
        <v>1.4974987800306473E-2</v>
      </c>
      <c r="AB474" s="594">
        <f t="shared" si="426"/>
        <v>2.6370203131490584E-2</v>
      </c>
      <c r="AC474" s="594">
        <f t="shared" si="427"/>
        <v>1.3245712196250904E-2</v>
      </c>
      <c r="AD474" s="594">
        <f t="shared" si="428"/>
        <v>1.7975537176657591E-2</v>
      </c>
      <c r="AE474" s="594">
        <f t="shared" si="429"/>
        <v>1.7815358505420226E-2</v>
      </c>
      <c r="AF474" s="594">
        <f t="shared" si="430"/>
        <v>1.6968031428793887E-2</v>
      </c>
      <c r="AG474" s="594">
        <f t="shared" si="431"/>
        <v>1.6968031428793891E-2</v>
      </c>
      <c r="AH474" s="594">
        <f t="shared" si="432"/>
        <v>1.6968031428793887E-2</v>
      </c>
      <c r="AI474" s="594">
        <f t="shared" si="433"/>
        <v>1.6968031428793891E-2</v>
      </c>
      <c r="AJ474" s="594">
        <f t="shared" si="434"/>
        <v>1.6968031428793884E-2</v>
      </c>
      <c r="AL474" s="594">
        <f t="shared" si="435"/>
        <v>1.8076359762025155E-2</v>
      </c>
    </row>
    <row r="475" spans="1:38" outlineLevel="1">
      <c r="B475" s="562" t="s">
        <v>2343</v>
      </c>
      <c r="C475" s="562" t="s">
        <v>360</v>
      </c>
      <c r="D475" s="572" t="s">
        <v>2113</v>
      </c>
      <c r="E475" s="664">
        <v>20755</v>
      </c>
      <c r="F475" s="664">
        <v>39417.89</v>
      </c>
      <c r="G475" s="665">
        <v>110418.85</v>
      </c>
      <c r="H475" s="665">
        <v>28920.21</v>
      </c>
      <c r="I475" s="665">
        <v>147526.28</v>
      </c>
      <c r="J475" s="665">
        <v>4000</v>
      </c>
      <c r="K475" s="616">
        <f>+Ricavi!J33</f>
        <v>126405.92836296692</v>
      </c>
      <c r="L475" s="616">
        <f>+Ricavi!K33</f>
        <v>134347.06077239552</v>
      </c>
      <c r="M475" s="616">
        <f>+Ricavi!L33</f>
        <v>139301.33422140847</v>
      </c>
      <c r="N475" s="616">
        <f>+Ricavi!M33</f>
        <v>145465.66070713496</v>
      </c>
      <c r="O475" s="616">
        <f>+Ricavi!N33</f>
        <v>151902.76936853124</v>
      </c>
      <c r="Q475" s="594">
        <f t="shared" si="416"/>
        <v>0.89919971091303297</v>
      </c>
      <c r="R475" s="594">
        <f t="shared" si="417"/>
        <v>1.8012369510392365</v>
      </c>
      <c r="S475" s="594">
        <f t="shared" si="418"/>
        <v>-0.738086295953997</v>
      </c>
      <c r="T475" s="594">
        <f t="shared" si="419"/>
        <v>4.1011482973325579</v>
      </c>
      <c r="U475" s="594">
        <f t="shared" si="420"/>
        <v>-0.14316331732239895</v>
      </c>
      <c r="V475" s="594">
        <f t="shared" si="421"/>
        <v>6.2822468156921607E-2</v>
      </c>
      <c r="W475" s="594">
        <f t="shared" si="422"/>
        <v>3.6876679106558674E-2</v>
      </c>
      <c r="X475" s="594">
        <f t="shared" si="423"/>
        <v>4.4251740445850896E-2</v>
      </c>
      <c r="Y475" s="594">
        <f t="shared" si="424"/>
        <v>4.4251740445850452E-2</v>
      </c>
      <c r="AA475" s="594">
        <f t="shared" si="425"/>
        <v>7.9965083549676872E-4</v>
      </c>
      <c r="AB475" s="594">
        <f t="shared" si="426"/>
        <v>1.5751428305946225E-3</v>
      </c>
      <c r="AC475" s="594">
        <f t="shared" si="427"/>
        <v>4.1127966912090546E-3</v>
      </c>
      <c r="AD475" s="594">
        <f t="shared" si="428"/>
        <v>9.2864248427462065E-4</v>
      </c>
      <c r="AE475" s="594">
        <f t="shared" si="429"/>
        <v>2.8914846207272657E-3</v>
      </c>
      <c r="AF475" s="594">
        <f t="shared" si="430"/>
        <v>1.9351426521938037E-3</v>
      </c>
      <c r="AG475" s="594">
        <f t="shared" si="431"/>
        <v>1.9351426521938035E-3</v>
      </c>
      <c r="AH475" s="594">
        <f t="shared" si="432"/>
        <v>1.9351426521938035E-3</v>
      </c>
      <c r="AI475" s="594">
        <f t="shared" si="433"/>
        <v>1.9351426521938041E-3</v>
      </c>
      <c r="AJ475" s="594">
        <f t="shared" si="434"/>
        <v>1.935142652193803E-3</v>
      </c>
      <c r="AL475" s="594">
        <f t="shared" si="435"/>
        <v>2.0615434924604664E-3</v>
      </c>
    </row>
    <row r="476" spans="1:38" outlineLevel="1">
      <c r="B476" s="562" t="s">
        <v>2343</v>
      </c>
      <c r="C476" s="562" t="s">
        <v>360</v>
      </c>
      <c r="D476" s="572" t="s">
        <v>2114</v>
      </c>
      <c r="E476" s="664">
        <v>350</v>
      </c>
      <c r="F476" s="664">
        <v>0</v>
      </c>
      <c r="G476" s="665">
        <v>0</v>
      </c>
      <c r="H476" s="665">
        <v>587.35</v>
      </c>
      <c r="I476" s="665">
        <v>0</v>
      </c>
      <c r="J476" s="665">
        <v>0</v>
      </c>
      <c r="K476" s="616">
        <f>+Ricavi!J34</f>
        <v>0</v>
      </c>
      <c r="L476" s="616">
        <f>+Ricavi!K34</f>
        <v>0</v>
      </c>
      <c r="M476" s="616">
        <f>+Ricavi!L34</f>
        <v>0</v>
      </c>
      <c r="N476" s="616">
        <f>+Ricavi!M34</f>
        <v>0</v>
      </c>
      <c r="O476" s="616">
        <f>+Ricavi!N34</f>
        <v>0</v>
      </c>
      <c r="Q476" s="594">
        <f t="shared" si="416"/>
        <v>-1</v>
      </c>
      <c r="R476" s="594">
        <f t="shared" si="417"/>
        <v>0</v>
      </c>
      <c r="S476" s="594">
        <f t="shared" si="418"/>
        <v>0</v>
      </c>
      <c r="T476" s="594">
        <f t="shared" si="419"/>
        <v>-1</v>
      </c>
      <c r="U476" s="594">
        <f t="shared" si="420"/>
        <v>0</v>
      </c>
      <c r="V476" s="594">
        <f t="shared" si="421"/>
        <v>0</v>
      </c>
      <c r="W476" s="594">
        <f t="shared" si="422"/>
        <v>0</v>
      </c>
      <c r="X476" s="594">
        <f t="shared" si="423"/>
        <v>0</v>
      </c>
      <c r="Y476" s="594">
        <f t="shared" si="424"/>
        <v>0</v>
      </c>
      <c r="AA476" s="594">
        <f t="shared" si="425"/>
        <v>1.3484837023554278E-5</v>
      </c>
      <c r="AB476" s="594">
        <f t="shared" si="426"/>
        <v>0</v>
      </c>
      <c r="AC476" s="594">
        <f t="shared" si="427"/>
        <v>0</v>
      </c>
      <c r="AD476" s="594">
        <f t="shared" si="428"/>
        <v>1.8860103821469429E-5</v>
      </c>
      <c r="AE476" s="594">
        <f t="shared" si="429"/>
        <v>0</v>
      </c>
      <c r="AF476" s="594">
        <f t="shared" si="430"/>
        <v>0</v>
      </c>
      <c r="AG476" s="594">
        <f t="shared" si="431"/>
        <v>0</v>
      </c>
      <c r="AH476" s="594">
        <f t="shared" si="432"/>
        <v>0</v>
      </c>
      <c r="AI476" s="594">
        <f t="shared" si="433"/>
        <v>0</v>
      </c>
      <c r="AJ476" s="594">
        <f t="shared" si="434"/>
        <v>0</v>
      </c>
      <c r="AL476" s="594">
        <f t="shared" si="435"/>
        <v>6.4689881690047417E-6</v>
      </c>
    </row>
    <row r="477" spans="1:38" outlineLevel="1">
      <c r="B477" s="562" t="s">
        <v>2343</v>
      </c>
      <c r="C477" s="562" t="s">
        <v>360</v>
      </c>
      <c r="D477" s="572" t="s">
        <v>2115</v>
      </c>
      <c r="E477" s="664">
        <v>0</v>
      </c>
      <c r="F477" s="664">
        <v>13715</v>
      </c>
      <c r="G477" s="665">
        <v>4535.01</v>
      </c>
      <c r="H477" s="665">
        <v>296.93</v>
      </c>
      <c r="I477" s="665">
        <v>657616.73</v>
      </c>
      <c r="J477" s="665">
        <v>245575.98</v>
      </c>
      <c r="K477" s="616">
        <f>+Ricavi!J35</f>
        <v>11136.607467308948</v>
      </c>
      <c r="L477" s="616">
        <f>+Ricavi!K35</f>
        <v>11836.2366353001</v>
      </c>
      <c r="M477" s="616">
        <f>+Ricavi!L35</f>
        <v>12272.717735529353</v>
      </c>
      <c r="N477" s="616">
        <f>+Ricavi!M35</f>
        <v>12815.806855327188</v>
      </c>
      <c r="O477" s="616">
        <f>+Ricavi!N35</f>
        <v>13382.928613893278</v>
      </c>
      <c r="Q477" s="594">
        <f t="shared" si="416"/>
        <v>0</v>
      </c>
      <c r="R477" s="594">
        <f t="shared" si="417"/>
        <v>-0.66933940940576009</v>
      </c>
      <c r="S477" s="594">
        <f t="shared" si="418"/>
        <v>-0.93452495143340364</v>
      </c>
      <c r="T477" s="594">
        <f t="shared" si="419"/>
        <v>2213.7197319233487</v>
      </c>
      <c r="U477" s="594">
        <f t="shared" si="420"/>
        <v>-0.9830652005046937</v>
      </c>
      <c r="V477" s="594">
        <f t="shared" si="421"/>
        <v>6.2822468156921607E-2</v>
      </c>
      <c r="W477" s="594">
        <f t="shared" si="422"/>
        <v>3.6876679106558452E-2</v>
      </c>
      <c r="X477" s="594">
        <f t="shared" si="423"/>
        <v>4.4251740445850674E-2</v>
      </c>
      <c r="Y477" s="594">
        <f t="shared" si="424"/>
        <v>4.4251740445850452E-2</v>
      </c>
      <c r="AA477" s="594">
        <f t="shared" ref="AA477:AA493" si="436">+IFERROR(E477/E$454,0)</f>
        <v>0</v>
      </c>
      <c r="AB477" s="594">
        <f t="shared" ref="AB477:AB493" si="437">+IFERROR(F477/F$454,0)</f>
        <v>5.4805277303288547E-4</v>
      </c>
      <c r="AC477" s="594">
        <f t="shared" ref="AC477:AC493" si="438">+IFERROR(G477/G$454,0)</f>
        <v>1.689165764957702E-4</v>
      </c>
      <c r="AD477" s="594">
        <f t="shared" ref="AD477:AD493" si="439">+IFERROR(H477/H$454,0)</f>
        <v>9.5345715973591855E-6</v>
      </c>
      <c r="AE477" s="594">
        <f t="shared" ref="AE477:AE493" si="440">+IFERROR(I477/I$454,0)</f>
        <v>1.2889152096344832E-2</v>
      </c>
      <c r="AF477" s="594">
        <f t="shared" ref="AF477:AF493" si="441">+IFERROR(K477/K$454,0)</f>
        <v>1.7048982108534808E-4</v>
      </c>
      <c r="AG477" s="594">
        <f t="shared" ref="AG477:AG493" si="442">+IFERROR(L477/L$454,0)</f>
        <v>1.7048982108534806E-4</v>
      </c>
      <c r="AH477" s="594">
        <f t="shared" ref="AH477:AH493" si="443">+IFERROR(M477/M$454,0)</f>
        <v>1.7048982108534806E-4</v>
      </c>
      <c r="AI477" s="594">
        <f t="shared" ref="AI477:AI493" si="444">+IFERROR(N477/N$454,0)</f>
        <v>1.7048982108534811E-4</v>
      </c>
      <c r="AJ477" s="594">
        <f t="shared" ref="AJ477:AJ493" si="445">+IFERROR(O477/O$454,0)</f>
        <v>1.7048982108534803E-4</v>
      </c>
      <c r="AL477" s="594">
        <f t="shared" si="435"/>
        <v>2.7231312034941696E-3</v>
      </c>
    </row>
    <row r="478" spans="1:38" outlineLevel="1">
      <c r="B478" s="562" t="s">
        <v>2343</v>
      </c>
      <c r="C478" s="562" t="s">
        <v>360</v>
      </c>
      <c r="D478" s="572" t="s">
        <v>2116</v>
      </c>
      <c r="E478" s="664">
        <v>0</v>
      </c>
      <c r="F478" s="664"/>
      <c r="G478" s="665">
        <v>0</v>
      </c>
      <c r="H478" s="670"/>
      <c r="I478" s="665">
        <v>84750</v>
      </c>
      <c r="J478" s="665">
        <v>0</v>
      </c>
      <c r="K478" s="616">
        <f>+Ricavi!J36</f>
        <v>0</v>
      </c>
      <c r="L478" s="616">
        <f>+Ricavi!K36</f>
        <v>0</v>
      </c>
      <c r="M478" s="616">
        <f>+Ricavi!L36</f>
        <v>0</v>
      </c>
      <c r="N478" s="616">
        <f>+Ricavi!M36</f>
        <v>0</v>
      </c>
      <c r="O478" s="616">
        <f>+Ricavi!N36</f>
        <v>0</v>
      </c>
      <c r="Q478" s="594">
        <f t="shared" si="416"/>
        <v>0</v>
      </c>
      <c r="R478" s="594">
        <f t="shared" si="417"/>
        <v>0</v>
      </c>
      <c r="S478" s="594">
        <f t="shared" si="418"/>
        <v>0</v>
      </c>
      <c r="T478" s="594">
        <f t="shared" si="419"/>
        <v>0</v>
      </c>
      <c r="U478" s="594">
        <f t="shared" si="420"/>
        <v>-1</v>
      </c>
      <c r="V478" s="594">
        <f t="shared" si="421"/>
        <v>0</v>
      </c>
      <c r="W478" s="594">
        <f t="shared" si="422"/>
        <v>0</v>
      </c>
      <c r="X478" s="594">
        <f t="shared" si="423"/>
        <v>0</v>
      </c>
      <c r="Y478" s="594">
        <f t="shared" si="424"/>
        <v>0</v>
      </c>
      <c r="AA478" s="594">
        <f t="shared" si="436"/>
        <v>0</v>
      </c>
      <c r="AB478" s="594">
        <f t="shared" si="437"/>
        <v>0</v>
      </c>
      <c r="AC478" s="594">
        <f t="shared" si="438"/>
        <v>0</v>
      </c>
      <c r="AD478" s="594">
        <f t="shared" si="439"/>
        <v>0</v>
      </c>
      <c r="AE478" s="594">
        <f t="shared" si="440"/>
        <v>1.6610824973464782E-3</v>
      </c>
      <c r="AF478" s="594">
        <f t="shared" si="441"/>
        <v>0</v>
      </c>
      <c r="AG478" s="594">
        <f t="shared" si="442"/>
        <v>0</v>
      </c>
      <c r="AH478" s="594">
        <f t="shared" si="443"/>
        <v>0</v>
      </c>
      <c r="AI478" s="594">
        <f t="shared" si="444"/>
        <v>0</v>
      </c>
      <c r="AJ478" s="594">
        <f t="shared" si="445"/>
        <v>0</v>
      </c>
      <c r="AL478" s="594">
        <f t="shared" si="435"/>
        <v>3.3221649946929565E-4</v>
      </c>
    </row>
    <row r="479" spans="1:38" outlineLevel="1">
      <c r="B479" s="562" t="s">
        <v>2343</v>
      </c>
      <c r="C479" s="562" t="s">
        <v>360</v>
      </c>
      <c r="D479" s="572" t="s">
        <v>2117</v>
      </c>
      <c r="E479" s="664">
        <v>33525.589999999997</v>
      </c>
      <c r="F479" s="664">
        <v>48025.75</v>
      </c>
      <c r="G479" s="665">
        <v>52419.64</v>
      </c>
      <c r="H479" s="665">
        <v>38850.01</v>
      </c>
      <c r="I479" s="665">
        <v>197213.39</v>
      </c>
      <c r="J479" s="665">
        <v>27253.63</v>
      </c>
      <c r="K479" s="616">
        <f>+Ricavi!J37</f>
        <v>126018.35427042482</v>
      </c>
      <c r="L479" s="616">
        <f>+Ricavi!K37</f>
        <v>133935.13831876626</v>
      </c>
      <c r="M479" s="616">
        <f>+Ricavi!L37</f>
        <v>138874.22143563995</v>
      </c>
      <c r="N479" s="616">
        <f>+Ricavi!M37</f>
        <v>145019.64743722946</v>
      </c>
      <c r="O479" s="616">
        <f>+Ricavi!N37</f>
        <v>151437.0192351705</v>
      </c>
      <c r="Q479" s="594">
        <f t="shared" si="416"/>
        <v>0.43251021085684105</v>
      </c>
      <c r="R479" s="594">
        <f t="shared" si="417"/>
        <v>9.1490294269220174E-2</v>
      </c>
      <c r="S479" s="594">
        <f t="shared" si="418"/>
        <v>-0.25886537946464339</v>
      </c>
      <c r="T479" s="594">
        <f t="shared" si="419"/>
        <v>4.0762764282428758</v>
      </c>
      <c r="U479" s="594">
        <f t="shared" si="420"/>
        <v>-0.36100508048452074</v>
      </c>
      <c r="V479" s="594">
        <f t="shared" si="421"/>
        <v>6.2822468156921607E-2</v>
      </c>
      <c r="W479" s="594">
        <f t="shared" si="422"/>
        <v>3.6876679106558674E-2</v>
      </c>
      <c r="X479" s="594">
        <f t="shared" si="423"/>
        <v>4.4251740445850452E-2</v>
      </c>
      <c r="Y479" s="594">
        <f t="shared" si="424"/>
        <v>4.4251740445850674E-2</v>
      </c>
      <c r="AA479" s="594">
        <f t="shared" si="436"/>
        <v>1.291677477910003E-3</v>
      </c>
      <c r="AB479" s="594">
        <f t="shared" si="437"/>
        <v>1.9191137779426977E-3</v>
      </c>
      <c r="AC479" s="594">
        <f t="shared" si="438"/>
        <v>1.9524865722326378E-3</v>
      </c>
      <c r="AD479" s="594">
        <f t="shared" si="439"/>
        <v>1.2474933550100035E-3</v>
      </c>
      <c r="AE479" s="594">
        <f t="shared" si="440"/>
        <v>3.8653417152963417E-3</v>
      </c>
      <c r="AF479" s="594">
        <f t="shared" si="441"/>
        <v>1.9292092979035689E-3</v>
      </c>
      <c r="AG479" s="594">
        <f t="shared" si="442"/>
        <v>1.9292092979035689E-3</v>
      </c>
      <c r="AH479" s="594">
        <f t="shared" si="443"/>
        <v>1.9292092979035689E-3</v>
      </c>
      <c r="AI479" s="594">
        <f t="shared" si="444"/>
        <v>1.9292092979035691E-3</v>
      </c>
      <c r="AJ479" s="594">
        <f t="shared" si="445"/>
        <v>1.9292092979035684E-3</v>
      </c>
      <c r="AL479" s="594">
        <f t="shared" si="435"/>
        <v>2.0552225796783368E-3</v>
      </c>
    </row>
    <row r="480" spans="1:38" outlineLevel="1">
      <c r="B480" s="562" t="s">
        <v>2343</v>
      </c>
      <c r="C480" s="562" t="s">
        <v>360</v>
      </c>
      <c r="D480" s="572" t="s">
        <v>2118</v>
      </c>
      <c r="E480" s="664">
        <v>212</v>
      </c>
      <c r="F480" s="664">
        <v>0</v>
      </c>
      <c r="G480" s="665">
        <v>0</v>
      </c>
      <c r="H480" s="665">
        <v>1089.31</v>
      </c>
      <c r="I480" s="665">
        <v>794</v>
      </c>
      <c r="J480" s="665">
        <v>347</v>
      </c>
      <c r="K480" s="616">
        <f>+Ricavi!J38</f>
        <v>0</v>
      </c>
      <c r="L480" s="616">
        <f>+Ricavi!K38</f>
        <v>0</v>
      </c>
      <c r="M480" s="616">
        <f>+Ricavi!L38</f>
        <v>0</v>
      </c>
      <c r="N480" s="616">
        <f>+Ricavi!M38</f>
        <v>0</v>
      </c>
      <c r="O480" s="616">
        <f>+Ricavi!N38</f>
        <v>0</v>
      </c>
      <c r="Q480" s="594">
        <f t="shared" si="416"/>
        <v>-1</v>
      </c>
      <c r="R480" s="594">
        <f t="shared" si="417"/>
        <v>0</v>
      </c>
      <c r="S480" s="594">
        <f t="shared" si="418"/>
        <v>0</v>
      </c>
      <c r="T480" s="594">
        <f t="shared" si="419"/>
        <v>-0.27109821813808732</v>
      </c>
      <c r="U480" s="594">
        <f t="shared" si="420"/>
        <v>-1</v>
      </c>
      <c r="V480" s="594">
        <f t="shared" si="421"/>
        <v>0</v>
      </c>
      <c r="W480" s="594">
        <f t="shared" si="422"/>
        <v>0</v>
      </c>
      <c r="X480" s="594">
        <f t="shared" si="423"/>
        <v>0</v>
      </c>
      <c r="Y480" s="594">
        <f t="shared" si="424"/>
        <v>0</v>
      </c>
      <c r="AA480" s="594">
        <f t="shared" si="436"/>
        <v>8.1679584256957341E-6</v>
      </c>
      <c r="AB480" s="594">
        <f t="shared" si="437"/>
        <v>0</v>
      </c>
      <c r="AC480" s="594">
        <f t="shared" si="438"/>
        <v>0</v>
      </c>
      <c r="AD480" s="594">
        <f t="shared" si="439"/>
        <v>3.4978291808572168E-5</v>
      </c>
      <c r="AE480" s="594">
        <f t="shared" si="440"/>
        <v>1.5562236022337506E-5</v>
      </c>
      <c r="AF480" s="594">
        <f t="shared" si="441"/>
        <v>0</v>
      </c>
      <c r="AG480" s="594">
        <f t="shared" si="442"/>
        <v>0</v>
      </c>
      <c r="AH480" s="594">
        <f t="shared" si="443"/>
        <v>0</v>
      </c>
      <c r="AI480" s="594">
        <f t="shared" si="444"/>
        <v>0</v>
      </c>
      <c r="AJ480" s="594">
        <f t="shared" si="445"/>
        <v>0</v>
      </c>
      <c r="AL480" s="594">
        <f t="shared" si="435"/>
        <v>1.1741697251321082E-5</v>
      </c>
    </row>
    <row r="481" spans="1:38" outlineLevel="1">
      <c r="B481" s="562" t="s">
        <v>2343</v>
      </c>
      <c r="C481" s="562" t="s">
        <v>360</v>
      </c>
      <c r="D481" s="572" t="s">
        <v>2398</v>
      </c>
      <c r="E481" s="664">
        <v>18359.23</v>
      </c>
      <c r="F481" s="664">
        <v>18896.63</v>
      </c>
      <c r="G481" s="665">
        <v>13842.27</v>
      </c>
      <c r="H481" s="665"/>
      <c r="I481" s="665">
        <v>0</v>
      </c>
      <c r="J481" s="665">
        <v>0</v>
      </c>
      <c r="K481" s="616">
        <f>+Ricavi!J39</f>
        <v>0</v>
      </c>
      <c r="L481" s="616">
        <f>+Ricavi!K39</f>
        <v>0</v>
      </c>
      <c r="M481" s="616">
        <f>+Ricavi!L39</f>
        <v>0</v>
      </c>
      <c r="N481" s="616">
        <f>+Ricavi!M39</f>
        <v>0</v>
      </c>
      <c r="O481" s="616">
        <f>+Ricavi!N39</f>
        <v>0</v>
      </c>
      <c r="Q481" s="594">
        <f t="shared" si="416"/>
        <v>2.9271380117793733E-2</v>
      </c>
      <c r="R481" s="594">
        <f t="shared" si="417"/>
        <v>-0.26747414750672471</v>
      </c>
      <c r="S481" s="594">
        <f t="shared" si="418"/>
        <v>-1</v>
      </c>
      <c r="T481" s="594">
        <f t="shared" si="419"/>
        <v>0</v>
      </c>
      <c r="U481" s="594">
        <f t="shared" si="420"/>
        <v>0</v>
      </c>
      <c r="V481" s="594">
        <f t="shared" si="421"/>
        <v>0</v>
      </c>
      <c r="W481" s="594">
        <f t="shared" si="422"/>
        <v>0</v>
      </c>
      <c r="X481" s="594">
        <f t="shared" si="423"/>
        <v>0</v>
      </c>
      <c r="Y481" s="594">
        <f t="shared" si="424"/>
        <v>0</v>
      </c>
      <c r="AA481" s="594">
        <f t="shared" si="436"/>
        <v>7.07346355508424E-4</v>
      </c>
      <c r="AB481" s="594">
        <f t="shared" si="437"/>
        <v>7.5511122657502116E-4</v>
      </c>
      <c r="AC481" s="594">
        <f t="shared" si="438"/>
        <v>5.1558626316813079E-4</v>
      </c>
      <c r="AD481" s="594">
        <f t="shared" si="439"/>
        <v>0</v>
      </c>
      <c r="AE481" s="594">
        <f t="shared" si="440"/>
        <v>0</v>
      </c>
      <c r="AF481" s="594">
        <f t="shared" si="441"/>
        <v>0</v>
      </c>
      <c r="AG481" s="594">
        <f t="shared" si="442"/>
        <v>0</v>
      </c>
      <c r="AH481" s="594">
        <f t="shared" si="443"/>
        <v>0</v>
      </c>
      <c r="AI481" s="594">
        <f t="shared" si="444"/>
        <v>0</v>
      </c>
      <c r="AJ481" s="594">
        <f t="shared" si="445"/>
        <v>0</v>
      </c>
      <c r="AL481" s="594">
        <f t="shared" si="435"/>
        <v>3.9560876905031517E-4</v>
      </c>
    </row>
    <row r="482" spans="1:38" outlineLevel="1">
      <c r="B482" s="562" t="s">
        <v>2343</v>
      </c>
      <c r="C482" s="562" t="s">
        <v>360</v>
      </c>
      <c r="D482" s="572" t="s">
        <v>2400</v>
      </c>
      <c r="E482" s="664">
        <v>36637.9</v>
      </c>
      <c r="F482" s="664">
        <v>19868.68</v>
      </c>
      <c r="G482" s="665">
        <v>241.89</v>
      </c>
      <c r="H482" s="665"/>
      <c r="I482" s="665">
        <v>3693.73</v>
      </c>
      <c r="J482" s="665">
        <v>0</v>
      </c>
      <c r="K482" s="616">
        <f>+Ricavi!J40</f>
        <v>0</v>
      </c>
      <c r="L482" s="616">
        <f>+Ricavi!K40</f>
        <v>0</v>
      </c>
      <c r="M482" s="616">
        <f>+Ricavi!L40</f>
        <v>0</v>
      </c>
      <c r="N482" s="616">
        <f>+Ricavi!M40</f>
        <v>0</v>
      </c>
      <c r="O482" s="616">
        <f>+Ricavi!N40</f>
        <v>0</v>
      </c>
      <c r="Q482" s="594">
        <f t="shared" si="416"/>
        <v>-0.4577014512294646</v>
      </c>
      <c r="R482" s="594">
        <f t="shared" si="417"/>
        <v>-0.98782556264432264</v>
      </c>
      <c r="S482" s="594">
        <f t="shared" si="418"/>
        <v>-1</v>
      </c>
      <c r="T482" s="594">
        <f t="shared" si="419"/>
        <v>0</v>
      </c>
      <c r="U482" s="594">
        <f t="shared" si="420"/>
        <v>-1</v>
      </c>
      <c r="V482" s="594">
        <f t="shared" si="421"/>
        <v>0</v>
      </c>
      <c r="W482" s="594">
        <f t="shared" si="422"/>
        <v>0</v>
      </c>
      <c r="X482" s="594">
        <f t="shared" si="423"/>
        <v>0</v>
      </c>
      <c r="Y482" s="594">
        <f t="shared" si="424"/>
        <v>0</v>
      </c>
      <c r="AA482" s="594">
        <f t="shared" si="436"/>
        <v>1.4115888868150837E-3</v>
      </c>
      <c r="AB482" s="594">
        <f t="shared" si="437"/>
        <v>7.9395444188866437E-4</v>
      </c>
      <c r="AC482" s="594">
        <f t="shared" si="438"/>
        <v>9.0097333166987171E-6</v>
      </c>
      <c r="AD482" s="594">
        <f t="shared" si="439"/>
        <v>0</v>
      </c>
      <c r="AE482" s="594">
        <f t="shared" si="440"/>
        <v>7.2396345167240197E-5</v>
      </c>
      <c r="AF482" s="594">
        <f t="shared" si="441"/>
        <v>0</v>
      </c>
      <c r="AG482" s="594">
        <f t="shared" si="442"/>
        <v>0</v>
      </c>
      <c r="AH482" s="594">
        <f t="shared" si="443"/>
        <v>0</v>
      </c>
      <c r="AI482" s="594">
        <f t="shared" si="444"/>
        <v>0</v>
      </c>
      <c r="AJ482" s="594">
        <f t="shared" si="445"/>
        <v>0</v>
      </c>
      <c r="AL482" s="594">
        <f t="shared" si="435"/>
        <v>4.5738988143753732E-4</v>
      </c>
    </row>
    <row r="483" spans="1:38" outlineLevel="1">
      <c r="B483" s="562" t="s">
        <v>2343</v>
      </c>
      <c r="C483" s="562" t="s">
        <v>360</v>
      </c>
      <c r="D483" s="572" t="s">
        <v>2119</v>
      </c>
      <c r="E483" s="664">
        <v>0</v>
      </c>
      <c r="F483" s="664"/>
      <c r="G483" s="665">
        <v>24600</v>
      </c>
      <c r="H483" s="665">
        <v>119523.49</v>
      </c>
      <c r="I483" s="665">
        <v>255002.86</v>
      </c>
      <c r="J483" s="665">
        <v>105</v>
      </c>
      <c r="K483" s="616">
        <f>+Ricavi!J41</f>
        <v>119594.03710563394</v>
      </c>
      <c r="L483" s="616">
        <f>+Ricavi!K41</f>
        <v>127107.22969346032</v>
      </c>
      <c r="M483" s="616">
        <f>+Ricavi!L41</f>
        <v>131794.5222149897</v>
      </c>
      <c r="N483" s="616">
        <f>+Ricavi!M41</f>
        <v>137626.65920423233</v>
      </c>
      <c r="O483" s="616">
        <f>+Ricavi!N41</f>
        <v>143716.87840576755</v>
      </c>
      <c r="Q483" s="594">
        <f t="shared" si="416"/>
        <v>0</v>
      </c>
      <c r="R483" s="594">
        <f t="shared" si="417"/>
        <v>0</v>
      </c>
      <c r="S483" s="594">
        <f t="shared" si="418"/>
        <v>3.8586784552845534</v>
      </c>
      <c r="T483" s="594">
        <f t="shared" si="419"/>
        <v>1.133495767233704</v>
      </c>
      <c r="U483" s="594">
        <f t="shared" si="420"/>
        <v>-0.53100903611185402</v>
      </c>
      <c r="V483" s="594">
        <f t="shared" si="421"/>
        <v>6.2822468156921607E-2</v>
      </c>
      <c r="W483" s="594">
        <f t="shared" si="422"/>
        <v>3.6876679106558674E-2</v>
      </c>
      <c r="X483" s="594">
        <f t="shared" si="423"/>
        <v>4.4251740445850674E-2</v>
      </c>
      <c r="Y483" s="594">
        <f t="shared" si="424"/>
        <v>4.4251740445850452E-2</v>
      </c>
      <c r="AA483" s="594">
        <f t="shared" si="436"/>
        <v>0</v>
      </c>
      <c r="AB483" s="594">
        <f t="shared" si="437"/>
        <v>0</v>
      </c>
      <c r="AC483" s="594">
        <f t="shared" si="438"/>
        <v>9.162819446475193E-4</v>
      </c>
      <c r="AD483" s="594">
        <f t="shared" si="439"/>
        <v>3.8379593606952642E-3</v>
      </c>
      <c r="AE483" s="594">
        <f t="shared" si="440"/>
        <v>4.9980033925580451E-3</v>
      </c>
      <c r="AF483" s="594">
        <f t="shared" si="441"/>
        <v>1.830859716378326E-3</v>
      </c>
      <c r="AG483" s="594">
        <f t="shared" si="442"/>
        <v>1.830859716378326E-3</v>
      </c>
      <c r="AH483" s="594">
        <f t="shared" si="443"/>
        <v>1.830859716378326E-3</v>
      </c>
      <c r="AI483" s="594">
        <f t="shared" si="444"/>
        <v>1.8308597163783265E-3</v>
      </c>
      <c r="AJ483" s="594">
        <f t="shared" si="445"/>
        <v>1.8308597163783258E-3</v>
      </c>
      <c r="AL483" s="594">
        <f t="shared" si="435"/>
        <v>1.9504489395801654E-3</v>
      </c>
    </row>
    <row r="484" spans="1:38" outlineLevel="1">
      <c r="B484" s="562" t="s">
        <v>2343</v>
      </c>
      <c r="C484" s="562" t="s">
        <v>360</v>
      </c>
      <c r="D484" s="572" t="s">
        <v>2399</v>
      </c>
      <c r="E484" s="664">
        <v>28338.05</v>
      </c>
      <c r="F484" s="664"/>
      <c r="G484" s="665"/>
      <c r="H484" s="665"/>
      <c r="I484" s="665">
        <v>0</v>
      </c>
      <c r="J484" s="665">
        <v>26.97</v>
      </c>
      <c r="K484" s="616">
        <f>+Ricavi!J42</f>
        <v>0</v>
      </c>
      <c r="L484" s="616">
        <f>+Ricavi!K42</f>
        <v>0</v>
      </c>
      <c r="M484" s="616">
        <f>+Ricavi!L42</f>
        <v>0</v>
      </c>
      <c r="N484" s="616">
        <f>+Ricavi!M42</f>
        <v>0</v>
      </c>
      <c r="O484" s="616">
        <f>+Ricavi!N42</f>
        <v>0</v>
      </c>
      <c r="Q484" s="594">
        <f t="shared" si="416"/>
        <v>-1</v>
      </c>
      <c r="R484" s="594">
        <f t="shared" si="417"/>
        <v>0</v>
      </c>
      <c r="S484" s="594">
        <f t="shared" si="418"/>
        <v>0</v>
      </c>
      <c r="T484" s="594">
        <f t="shared" si="419"/>
        <v>0</v>
      </c>
      <c r="U484" s="594">
        <f t="shared" si="420"/>
        <v>0</v>
      </c>
      <c r="V484" s="594">
        <f t="shared" si="421"/>
        <v>0</v>
      </c>
      <c r="W484" s="594">
        <f t="shared" si="422"/>
        <v>0</v>
      </c>
      <c r="X484" s="594">
        <f t="shared" si="423"/>
        <v>0</v>
      </c>
      <c r="Y484" s="594">
        <f t="shared" si="424"/>
        <v>0</v>
      </c>
      <c r="AA484" s="594">
        <f t="shared" si="436"/>
        <v>1.0918113880438065E-3</v>
      </c>
      <c r="AB484" s="594">
        <f t="shared" si="437"/>
        <v>0</v>
      </c>
      <c r="AC484" s="594">
        <f t="shared" si="438"/>
        <v>0</v>
      </c>
      <c r="AD484" s="594">
        <f t="shared" si="439"/>
        <v>0</v>
      </c>
      <c r="AE484" s="594">
        <f t="shared" si="440"/>
        <v>0</v>
      </c>
      <c r="AF484" s="594">
        <f t="shared" si="441"/>
        <v>0</v>
      </c>
      <c r="AG484" s="594">
        <f t="shared" si="442"/>
        <v>0</v>
      </c>
      <c r="AH484" s="594">
        <f t="shared" si="443"/>
        <v>0</v>
      </c>
      <c r="AI484" s="594">
        <f t="shared" si="444"/>
        <v>0</v>
      </c>
      <c r="AJ484" s="594">
        <f t="shared" si="445"/>
        <v>0</v>
      </c>
      <c r="AL484" s="594">
        <f t="shared" si="435"/>
        <v>2.183622776087613E-4</v>
      </c>
    </row>
    <row r="485" spans="1:38" outlineLevel="1">
      <c r="B485" s="562" t="s">
        <v>2343</v>
      </c>
      <c r="C485" s="562" t="s">
        <v>360</v>
      </c>
      <c r="D485" s="572" t="s">
        <v>2120</v>
      </c>
      <c r="E485" s="664">
        <v>7917.25</v>
      </c>
      <c r="F485" s="664">
        <v>6777.31</v>
      </c>
      <c r="G485" s="665">
        <v>6422.41</v>
      </c>
      <c r="H485" s="665">
        <v>5415.32</v>
      </c>
      <c r="I485" s="665">
        <v>2510.4</v>
      </c>
      <c r="J485" s="665">
        <v>1369.9</v>
      </c>
      <c r="K485" s="616">
        <f>+Ricavi!J43</f>
        <v>0</v>
      </c>
      <c r="L485" s="616">
        <f>+Ricavi!K43</f>
        <v>0</v>
      </c>
      <c r="M485" s="616">
        <f>+Ricavi!L43</f>
        <v>0</v>
      </c>
      <c r="N485" s="616">
        <f>+Ricavi!M43</f>
        <v>0</v>
      </c>
      <c r="O485" s="616">
        <f>+Ricavi!N43</f>
        <v>0</v>
      </c>
      <c r="Q485" s="594">
        <f t="shared" si="416"/>
        <v>-0.14398181186649395</v>
      </c>
      <c r="R485" s="594">
        <f t="shared" si="417"/>
        <v>-5.2365909188158755E-2</v>
      </c>
      <c r="S485" s="594">
        <f t="shared" si="418"/>
        <v>-0.15680873690717345</v>
      </c>
      <c r="T485" s="594">
        <f t="shared" si="419"/>
        <v>-0.53642628690455962</v>
      </c>
      <c r="U485" s="594">
        <f t="shared" si="420"/>
        <v>-1</v>
      </c>
      <c r="V485" s="594">
        <f t="shared" si="421"/>
        <v>0</v>
      </c>
      <c r="W485" s="594">
        <f t="shared" si="422"/>
        <v>0</v>
      </c>
      <c r="X485" s="594">
        <f t="shared" si="423"/>
        <v>0</v>
      </c>
      <c r="Y485" s="594">
        <f t="shared" si="424"/>
        <v>0</v>
      </c>
      <c r="AA485" s="594">
        <f t="shared" si="436"/>
        <v>3.0503664549924315E-4</v>
      </c>
      <c r="AB485" s="594">
        <f t="shared" si="437"/>
        <v>2.7082198608848016E-4</v>
      </c>
      <c r="AC485" s="594">
        <f t="shared" si="438"/>
        <v>2.3921700504567783E-4</v>
      </c>
      <c r="AD485" s="594">
        <f t="shared" si="439"/>
        <v>1.738886480403164E-4</v>
      </c>
      <c r="AE485" s="594">
        <f t="shared" si="440"/>
        <v>4.920332154971798E-5</v>
      </c>
      <c r="AF485" s="594">
        <f t="shared" si="441"/>
        <v>0</v>
      </c>
      <c r="AG485" s="594">
        <f t="shared" si="442"/>
        <v>0</v>
      </c>
      <c r="AH485" s="594">
        <f t="shared" si="443"/>
        <v>0</v>
      </c>
      <c r="AI485" s="594">
        <f t="shared" si="444"/>
        <v>0</v>
      </c>
      <c r="AJ485" s="594">
        <f t="shared" si="445"/>
        <v>0</v>
      </c>
      <c r="AL485" s="594">
        <f t="shared" si="435"/>
        <v>2.0763352124468712E-4</v>
      </c>
    </row>
    <row r="486" spans="1:38" outlineLevel="1">
      <c r="B486" s="562" t="s">
        <v>2343</v>
      </c>
      <c r="C486" s="562" t="s">
        <v>360</v>
      </c>
      <c r="D486" s="572" t="s">
        <v>2121</v>
      </c>
      <c r="E486" s="664">
        <v>228.66</v>
      </c>
      <c r="F486" s="664">
        <v>93.54</v>
      </c>
      <c r="G486" s="665">
        <v>180.48</v>
      </c>
      <c r="H486" s="665">
        <v>61.14</v>
      </c>
      <c r="I486" s="665">
        <v>780.42</v>
      </c>
      <c r="J486" s="665">
        <v>0</v>
      </c>
      <c r="K486" s="616">
        <f>+Ricavi!J44</f>
        <v>0</v>
      </c>
      <c r="L486" s="616">
        <f>+Ricavi!K44</f>
        <v>0</v>
      </c>
      <c r="M486" s="616">
        <f>+Ricavi!L44</f>
        <v>0</v>
      </c>
      <c r="N486" s="616">
        <f>+Ricavi!M44</f>
        <v>0</v>
      </c>
      <c r="O486" s="616">
        <f>+Ricavi!N44</f>
        <v>0</v>
      </c>
      <c r="Q486" s="594">
        <f t="shared" si="416"/>
        <v>-0.59092101810548403</v>
      </c>
      <c r="R486" s="594">
        <f t="shared" si="417"/>
        <v>0.92944194996792784</v>
      </c>
      <c r="S486" s="594">
        <f t="shared" si="418"/>
        <v>-0.6612367021276595</v>
      </c>
      <c r="T486" s="594">
        <f t="shared" si="419"/>
        <v>11.764474975466143</v>
      </c>
      <c r="U486" s="594">
        <f t="shared" si="420"/>
        <v>-1</v>
      </c>
      <c r="V486" s="594">
        <f t="shared" si="421"/>
        <v>0</v>
      </c>
      <c r="W486" s="594">
        <f t="shared" si="422"/>
        <v>0</v>
      </c>
      <c r="X486" s="594">
        <f t="shared" si="423"/>
        <v>0</v>
      </c>
      <c r="Y486" s="594">
        <f t="shared" si="424"/>
        <v>0</v>
      </c>
      <c r="AA486" s="594">
        <f t="shared" si="436"/>
        <v>8.8098366680169182E-6</v>
      </c>
      <c r="AB486" s="594">
        <f t="shared" si="437"/>
        <v>3.7378677644546926E-6</v>
      </c>
      <c r="AC486" s="594">
        <f t="shared" si="438"/>
        <v>6.7223807060969221E-6</v>
      </c>
      <c r="AD486" s="594">
        <f t="shared" si="439"/>
        <v>1.9632361413886795E-6</v>
      </c>
      <c r="AE486" s="594">
        <f t="shared" si="440"/>
        <v>1.5296070826892488E-5</v>
      </c>
      <c r="AF486" s="594">
        <f t="shared" si="441"/>
        <v>0</v>
      </c>
      <c r="AG486" s="594">
        <f t="shared" si="442"/>
        <v>0</v>
      </c>
      <c r="AH486" s="594">
        <f t="shared" si="443"/>
        <v>0</v>
      </c>
      <c r="AI486" s="594">
        <f t="shared" si="444"/>
        <v>0</v>
      </c>
      <c r="AJ486" s="594">
        <f t="shared" si="445"/>
        <v>0</v>
      </c>
      <c r="AL486" s="594">
        <f t="shared" si="435"/>
        <v>7.305878421369941E-6</v>
      </c>
    </row>
    <row r="487" spans="1:38" outlineLevel="1">
      <c r="B487" s="562" t="s">
        <v>2343</v>
      </c>
      <c r="C487" s="562" t="s">
        <v>360</v>
      </c>
      <c r="D487" s="572" t="s">
        <v>2122</v>
      </c>
      <c r="E487" s="664">
        <v>0</v>
      </c>
      <c r="F487" s="664"/>
      <c r="G487" s="665">
        <v>1.1000000000000001</v>
      </c>
      <c r="H487" s="665">
        <v>0.54</v>
      </c>
      <c r="I487" s="665">
        <v>0</v>
      </c>
      <c r="J487" s="665">
        <v>0</v>
      </c>
      <c r="K487" s="616">
        <f>+Ricavi!J45</f>
        <v>0</v>
      </c>
      <c r="L487" s="616">
        <f>+Ricavi!K45</f>
        <v>0</v>
      </c>
      <c r="M487" s="616">
        <f>+Ricavi!L45</f>
        <v>0</v>
      </c>
      <c r="N487" s="616">
        <f>+Ricavi!M45</f>
        <v>0</v>
      </c>
      <c r="O487" s="616">
        <f>+Ricavi!N45</f>
        <v>0</v>
      </c>
      <c r="Q487" s="594">
        <f t="shared" si="416"/>
        <v>0</v>
      </c>
      <c r="R487" s="594">
        <f t="shared" si="417"/>
        <v>0</v>
      </c>
      <c r="S487" s="594">
        <f t="shared" si="418"/>
        <v>-0.50909090909090904</v>
      </c>
      <c r="T487" s="594">
        <f t="shared" si="419"/>
        <v>-1</v>
      </c>
      <c r="U487" s="594">
        <f t="shared" si="420"/>
        <v>0</v>
      </c>
      <c r="V487" s="594">
        <f t="shared" si="421"/>
        <v>0</v>
      </c>
      <c r="W487" s="594">
        <f t="shared" si="422"/>
        <v>0</v>
      </c>
      <c r="X487" s="594">
        <f t="shared" si="423"/>
        <v>0</v>
      </c>
      <c r="Y487" s="594">
        <f t="shared" si="424"/>
        <v>0</v>
      </c>
      <c r="AA487" s="594">
        <f t="shared" si="436"/>
        <v>0</v>
      </c>
      <c r="AB487" s="594">
        <f t="shared" si="437"/>
        <v>0</v>
      </c>
      <c r="AC487" s="594">
        <f t="shared" si="438"/>
        <v>4.0971956874482576E-8</v>
      </c>
      <c r="AD487" s="594">
        <f t="shared" si="439"/>
        <v>1.7339671513737112E-8</v>
      </c>
      <c r="AE487" s="594">
        <f t="shared" si="440"/>
        <v>0</v>
      </c>
      <c r="AF487" s="594">
        <f t="shared" si="441"/>
        <v>0</v>
      </c>
      <c r="AG487" s="594">
        <f t="shared" si="442"/>
        <v>0</v>
      </c>
      <c r="AH487" s="594">
        <f t="shared" si="443"/>
        <v>0</v>
      </c>
      <c r="AI487" s="594">
        <f t="shared" si="444"/>
        <v>0</v>
      </c>
      <c r="AJ487" s="594">
        <f t="shared" si="445"/>
        <v>0</v>
      </c>
      <c r="AL487" s="594">
        <f t="shared" si="435"/>
        <v>1.1662325677643937E-8</v>
      </c>
    </row>
    <row r="488" spans="1:38" outlineLevel="1">
      <c r="B488" s="562" t="s">
        <v>2343</v>
      </c>
      <c r="C488" s="562" t="s">
        <v>360</v>
      </c>
      <c r="D488" s="572" t="s">
        <v>2123</v>
      </c>
      <c r="E488" s="664">
        <v>27106.16</v>
      </c>
      <c r="F488" s="664">
        <v>4902</v>
      </c>
      <c r="G488" s="665">
        <v>17549.939999999999</v>
      </c>
      <c r="H488" s="665">
        <v>2573.2800000000002</v>
      </c>
      <c r="I488" s="665">
        <v>0</v>
      </c>
      <c r="J488" s="665">
        <v>0</v>
      </c>
      <c r="K488" s="616">
        <f>+Ricavi!J46</f>
        <v>24238.883891351485</v>
      </c>
      <c r="L488" s="616">
        <f>+Ricavi!K46</f>
        <v>25761.630402775234</v>
      </c>
      <c r="M488" s="616">
        <f>+Ricavi!L46</f>
        <v>26711.633780400138</v>
      </c>
      <c r="N488" s="616">
        <f>+Ricavi!M46</f>
        <v>27893.670065335024</v>
      </c>
      <c r="O488" s="616">
        <f>+Ricavi!N46</f>
        <v>29128.01351314842</v>
      </c>
      <c r="Q488" s="594">
        <f t="shared" si="416"/>
        <v>-0.81915549823361178</v>
      </c>
      <c r="R488" s="594">
        <f t="shared" si="417"/>
        <v>2.5801591187270501</v>
      </c>
      <c r="S488" s="594">
        <f t="shared" si="418"/>
        <v>-0.85337385768840235</v>
      </c>
      <c r="T488" s="594">
        <f t="shared" si="419"/>
        <v>-1</v>
      </c>
      <c r="U488" s="594">
        <f t="shared" si="420"/>
        <v>0</v>
      </c>
      <c r="V488" s="594">
        <f t="shared" si="421"/>
        <v>6.2822468156921607E-2</v>
      </c>
      <c r="W488" s="594">
        <f t="shared" si="422"/>
        <v>3.6876679106558452E-2</v>
      </c>
      <c r="X488" s="594">
        <f t="shared" si="423"/>
        <v>4.4251740445850674E-2</v>
      </c>
      <c r="Y488" s="594">
        <f t="shared" si="424"/>
        <v>4.4251740445850452E-2</v>
      </c>
      <c r="AA488" s="594">
        <f t="shared" si="436"/>
        <v>1.0443489998125314E-3</v>
      </c>
      <c r="AB488" s="594">
        <f t="shared" si="437"/>
        <v>1.9588441074788222E-4</v>
      </c>
      <c r="AC488" s="594">
        <f t="shared" si="438"/>
        <v>6.5368671348159694E-4</v>
      </c>
      <c r="AD488" s="594">
        <f t="shared" si="439"/>
        <v>8.2629314653461921E-5</v>
      </c>
      <c r="AE488" s="594">
        <f t="shared" si="440"/>
        <v>0</v>
      </c>
      <c r="AF488" s="594">
        <f t="shared" si="441"/>
        <v>3.7107197951223239E-4</v>
      </c>
      <c r="AG488" s="594">
        <f t="shared" si="442"/>
        <v>3.7107197951223239E-4</v>
      </c>
      <c r="AH488" s="594">
        <f t="shared" si="443"/>
        <v>3.7107197951223234E-4</v>
      </c>
      <c r="AI488" s="594">
        <f t="shared" si="444"/>
        <v>3.7107197951223244E-4</v>
      </c>
      <c r="AJ488" s="594">
        <f t="shared" si="445"/>
        <v>3.7107197951223228E-4</v>
      </c>
      <c r="AL488" s="594">
        <f t="shared" si="435"/>
        <v>3.9530988773909452E-4</v>
      </c>
    </row>
    <row r="489" spans="1:38" outlineLevel="1">
      <c r="A489" s="545">
        <v>1</v>
      </c>
      <c r="B489" s="562" t="s">
        <v>2343</v>
      </c>
      <c r="C489" s="562" t="s">
        <v>360</v>
      </c>
      <c r="D489" s="572" t="s">
        <v>2124</v>
      </c>
      <c r="E489" s="664">
        <v>5509.52</v>
      </c>
      <c r="F489" s="664">
        <v>3706.06</v>
      </c>
      <c r="G489" s="665">
        <v>13403.25</v>
      </c>
      <c r="H489" s="665">
        <v>7628.08</v>
      </c>
      <c r="I489" s="665">
        <v>8876.74</v>
      </c>
      <c r="J489" s="665">
        <v>1866.75</v>
      </c>
      <c r="K489" s="616">
        <f>+Ricavi!J47</f>
        <v>15678.831680591675</v>
      </c>
      <c r="L489" s="616">
        <f>+Ricavi!K47</f>
        <v>16663.814584583379</v>
      </c>
      <c r="M489" s="616">
        <f>+Ricavi!L47</f>
        <v>17278.320727710252</v>
      </c>
      <c r="N489" s="616">
        <f>+Ricavi!M47</f>
        <v>18042.916491893047</v>
      </c>
      <c r="O489" s="616">
        <f>+Ricavi!N47</f>
        <v>18841.346949378454</v>
      </c>
      <c r="Q489" s="594">
        <f t="shared" si="416"/>
        <v>-0.32733523065530212</v>
      </c>
      <c r="R489" s="594">
        <f t="shared" si="417"/>
        <v>2.6165766339454839</v>
      </c>
      <c r="S489" s="594">
        <f t="shared" si="418"/>
        <v>-0.43087833174789703</v>
      </c>
      <c r="T489" s="594">
        <f t="shared" si="419"/>
        <v>0.16369256746127459</v>
      </c>
      <c r="U489" s="594">
        <f t="shared" si="420"/>
        <v>0.76628263085228077</v>
      </c>
      <c r="V489" s="594">
        <f t="shared" si="421"/>
        <v>6.2822468156921607E-2</v>
      </c>
      <c r="W489" s="594">
        <f t="shared" si="422"/>
        <v>3.6876679106558674E-2</v>
      </c>
      <c r="X489" s="594">
        <f t="shared" si="423"/>
        <v>4.4251740445850674E-2</v>
      </c>
      <c r="Y489" s="594">
        <f t="shared" si="424"/>
        <v>4.4251740445850452E-2</v>
      </c>
      <c r="AA489" s="594">
        <f t="shared" si="436"/>
        <v>2.1227136936575078E-4</v>
      </c>
      <c r="AB489" s="594">
        <f t="shared" si="437"/>
        <v>1.4809452862021551E-4</v>
      </c>
      <c r="AC489" s="594">
        <f t="shared" si="438"/>
        <v>4.9923398270718957E-4</v>
      </c>
      <c r="AD489" s="594">
        <f t="shared" si="439"/>
        <v>2.4494148422316258E-4</v>
      </c>
      <c r="AE489" s="594">
        <f t="shared" si="440"/>
        <v>1.7398227076690709E-4</v>
      </c>
      <c r="AF489" s="594">
        <f t="shared" si="441"/>
        <v>2.40026526560991E-4</v>
      </c>
      <c r="AG489" s="594">
        <f t="shared" si="442"/>
        <v>2.4002652656099097E-4</v>
      </c>
      <c r="AH489" s="594">
        <f t="shared" si="443"/>
        <v>2.40026526560991E-4</v>
      </c>
      <c r="AI489" s="594">
        <f t="shared" si="444"/>
        <v>2.4002652656099103E-4</v>
      </c>
      <c r="AJ489" s="594">
        <f t="shared" si="445"/>
        <v>2.4002652656099092E-4</v>
      </c>
      <c r="AL489" s="594">
        <f t="shared" si="435"/>
        <v>2.557047271366451E-4</v>
      </c>
    </row>
    <row r="490" spans="1:38" outlineLevel="1">
      <c r="B490" s="562" t="s">
        <v>2343</v>
      </c>
      <c r="C490" s="562" t="s">
        <v>360</v>
      </c>
      <c r="D490" s="572" t="s">
        <v>2125</v>
      </c>
      <c r="E490" s="664">
        <v>0</v>
      </c>
      <c r="F490" s="664"/>
      <c r="G490" s="665">
        <v>0</v>
      </c>
      <c r="H490" s="665">
        <v>56653</v>
      </c>
      <c r="I490" s="665">
        <v>0</v>
      </c>
      <c r="J490" s="665">
        <v>0</v>
      </c>
      <c r="K490" s="616">
        <f>+Ricavi!J48</f>
        <v>0</v>
      </c>
      <c r="L490" s="616">
        <f>+Ricavi!K48</f>
        <v>0</v>
      </c>
      <c r="M490" s="616">
        <f>+Ricavi!L48</f>
        <v>0</v>
      </c>
      <c r="N490" s="616">
        <f>+Ricavi!M48</f>
        <v>0</v>
      </c>
      <c r="O490" s="616">
        <f>+Ricavi!N48</f>
        <v>0</v>
      </c>
      <c r="Q490" s="594">
        <f t="shared" si="416"/>
        <v>0</v>
      </c>
      <c r="R490" s="594">
        <f t="shared" si="417"/>
        <v>0</v>
      </c>
      <c r="S490" s="594">
        <f t="shared" si="418"/>
        <v>0</v>
      </c>
      <c r="T490" s="594">
        <f t="shared" si="419"/>
        <v>-1</v>
      </c>
      <c r="U490" s="594">
        <f t="shared" si="420"/>
        <v>0</v>
      </c>
      <c r="V490" s="594">
        <f t="shared" si="421"/>
        <v>0</v>
      </c>
      <c r="W490" s="594">
        <f t="shared" si="422"/>
        <v>0</v>
      </c>
      <c r="X490" s="594">
        <f t="shared" si="423"/>
        <v>0</v>
      </c>
      <c r="Y490" s="594">
        <f t="shared" si="424"/>
        <v>0</v>
      </c>
      <c r="AA490" s="594">
        <f t="shared" si="436"/>
        <v>0</v>
      </c>
      <c r="AB490" s="594">
        <f t="shared" si="437"/>
        <v>0</v>
      </c>
      <c r="AC490" s="594">
        <f t="shared" si="438"/>
        <v>0</v>
      </c>
      <c r="AD490" s="594">
        <f t="shared" si="439"/>
        <v>1.8191563153106456E-3</v>
      </c>
      <c r="AE490" s="594">
        <f t="shared" si="440"/>
        <v>0</v>
      </c>
      <c r="AF490" s="594">
        <f t="shared" si="441"/>
        <v>0</v>
      </c>
      <c r="AG490" s="594">
        <f t="shared" si="442"/>
        <v>0</v>
      </c>
      <c r="AH490" s="594">
        <f t="shared" si="443"/>
        <v>0</v>
      </c>
      <c r="AI490" s="594">
        <f t="shared" si="444"/>
        <v>0</v>
      </c>
      <c r="AJ490" s="594">
        <f t="shared" si="445"/>
        <v>0</v>
      </c>
      <c r="AL490" s="594">
        <f t="shared" si="435"/>
        <v>3.6383126306212911E-4</v>
      </c>
    </row>
    <row r="491" spans="1:38" outlineLevel="1">
      <c r="B491" s="562" t="s">
        <v>2343</v>
      </c>
      <c r="C491" s="562" t="s">
        <v>360</v>
      </c>
      <c r="D491" s="572" t="s">
        <v>2126</v>
      </c>
      <c r="E491" s="664">
        <v>0</v>
      </c>
      <c r="F491" s="664"/>
      <c r="G491" s="665">
        <v>0</v>
      </c>
      <c r="H491" s="665">
        <v>6824.16</v>
      </c>
      <c r="I491" s="665">
        <v>6444.36</v>
      </c>
      <c r="J491" s="665">
        <v>3032.28</v>
      </c>
      <c r="K491" s="616">
        <f>+Ricavi!J49</f>
        <v>3032.28</v>
      </c>
      <c r="L491" s="616">
        <f>+Ricavi!K49</f>
        <v>0</v>
      </c>
      <c r="M491" s="616">
        <f>+Ricavi!L49</f>
        <v>0</v>
      </c>
      <c r="N491" s="616">
        <f>+Ricavi!M49</f>
        <v>0</v>
      </c>
      <c r="O491" s="616">
        <f>+Ricavi!N49</f>
        <v>0</v>
      </c>
      <c r="Q491" s="594">
        <f t="shared" si="416"/>
        <v>0</v>
      </c>
      <c r="R491" s="594">
        <f t="shared" si="417"/>
        <v>0</v>
      </c>
      <c r="S491" s="594">
        <f t="shared" si="418"/>
        <v>0</v>
      </c>
      <c r="T491" s="594">
        <f t="shared" si="419"/>
        <v>-5.5655201519307917E-2</v>
      </c>
      <c r="U491" s="594">
        <f t="shared" si="420"/>
        <v>-0.52946762750684306</v>
      </c>
      <c r="V491" s="594">
        <f t="shared" si="421"/>
        <v>-1</v>
      </c>
      <c r="W491" s="594">
        <f t="shared" si="422"/>
        <v>0</v>
      </c>
      <c r="X491" s="594">
        <f t="shared" si="423"/>
        <v>0</v>
      </c>
      <c r="Y491" s="594">
        <f t="shared" si="424"/>
        <v>0</v>
      </c>
      <c r="AA491" s="594">
        <f t="shared" si="436"/>
        <v>0</v>
      </c>
      <c r="AB491" s="594">
        <f t="shared" si="437"/>
        <v>0</v>
      </c>
      <c r="AC491" s="594">
        <f t="shared" si="438"/>
        <v>0</v>
      </c>
      <c r="AD491" s="594">
        <f t="shared" si="439"/>
        <v>2.1912720880960045E-4</v>
      </c>
      <c r="AE491" s="594">
        <f t="shared" si="440"/>
        <v>1.2630812510442183E-4</v>
      </c>
      <c r="AF491" s="594">
        <f t="shared" si="441"/>
        <v>4.642103766324097E-5</v>
      </c>
      <c r="AG491" s="594">
        <f t="shared" si="442"/>
        <v>0</v>
      </c>
      <c r="AH491" s="594">
        <f t="shared" si="443"/>
        <v>0</v>
      </c>
      <c r="AI491" s="594">
        <f t="shared" si="444"/>
        <v>0</v>
      </c>
      <c r="AJ491" s="594">
        <f t="shared" si="445"/>
        <v>0</v>
      </c>
      <c r="AL491" s="594">
        <f t="shared" si="435"/>
        <v>6.908706678280445E-5</v>
      </c>
    </row>
    <row r="492" spans="1:38" outlineLevel="1">
      <c r="B492" s="562" t="s">
        <v>2343</v>
      </c>
      <c r="C492" s="562" t="s">
        <v>360</v>
      </c>
      <c r="D492" s="572" t="s">
        <v>2421</v>
      </c>
      <c r="E492" s="664">
        <v>0</v>
      </c>
      <c r="F492" s="664"/>
      <c r="G492" s="665">
        <v>691.49</v>
      </c>
      <c r="H492" s="665"/>
      <c r="I492" s="665">
        <v>0</v>
      </c>
      <c r="J492" s="665">
        <v>0</v>
      </c>
      <c r="K492" s="616">
        <f>+Ricavi!J50</f>
        <v>0</v>
      </c>
      <c r="L492" s="616">
        <f>+Ricavi!K50</f>
        <v>0</v>
      </c>
      <c r="M492" s="616">
        <f>+Ricavi!L50</f>
        <v>0</v>
      </c>
      <c r="N492" s="616">
        <f>+Ricavi!M50</f>
        <v>0</v>
      </c>
      <c r="O492" s="616">
        <f>+Ricavi!N50</f>
        <v>0</v>
      </c>
      <c r="Q492" s="594">
        <f t="shared" si="416"/>
        <v>0</v>
      </c>
      <c r="R492" s="594">
        <f t="shared" si="417"/>
        <v>0</v>
      </c>
      <c r="S492" s="594">
        <f t="shared" si="418"/>
        <v>-1</v>
      </c>
      <c r="T492" s="594">
        <f t="shared" si="419"/>
        <v>0</v>
      </c>
      <c r="U492" s="594">
        <f t="shared" si="420"/>
        <v>0</v>
      </c>
      <c r="V492" s="594">
        <f t="shared" si="421"/>
        <v>0</v>
      </c>
      <c r="W492" s="594">
        <f t="shared" si="422"/>
        <v>0</v>
      </c>
      <c r="X492" s="594">
        <f t="shared" si="423"/>
        <v>0</v>
      </c>
      <c r="Y492" s="594">
        <f t="shared" si="424"/>
        <v>0</v>
      </c>
      <c r="AA492" s="594">
        <f t="shared" si="436"/>
        <v>0</v>
      </c>
      <c r="AB492" s="594">
        <f t="shared" si="437"/>
        <v>0</v>
      </c>
      <c r="AC492" s="594">
        <f t="shared" si="438"/>
        <v>2.5756089508305412E-5</v>
      </c>
      <c r="AD492" s="594">
        <f t="shared" si="439"/>
        <v>0</v>
      </c>
      <c r="AE492" s="594">
        <f t="shared" si="440"/>
        <v>0</v>
      </c>
      <c r="AF492" s="594">
        <f t="shared" si="441"/>
        <v>0</v>
      </c>
      <c r="AG492" s="594">
        <f t="shared" si="442"/>
        <v>0</v>
      </c>
      <c r="AH492" s="594">
        <f t="shared" si="443"/>
        <v>0</v>
      </c>
      <c r="AI492" s="594">
        <f t="shared" si="444"/>
        <v>0</v>
      </c>
      <c r="AJ492" s="594">
        <f t="shared" si="445"/>
        <v>0</v>
      </c>
      <c r="AL492" s="594">
        <f t="shared" si="435"/>
        <v>5.1512179016610825E-6</v>
      </c>
    </row>
    <row r="493" spans="1:38" outlineLevel="1">
      <c r="B493" s="562" t="s">
        <v>2343</v>
      </c>
      <c r="C493" s="562" t="s">
        <v>360</v>
      </c>
      <c r="D493" s="572" t="s">
        <v>2127</v>
      </c>
      <c r="E493" s="664">
        <v>0</v>
      </c>
      <c r="F493" s="664"/>
      <c r="G493" s="665">
        <v>0</v>
      </c>
      <c r="H493" s="665">
        <v>165938.41</v>
      </c>
      <c r="I493" s="665">
        <v>197740.89</v>
      </c>
      <c r="J493" s="665">
        <v>142891.57</v>
      </c>
      <c r="K493" s="616">
        <f>+Ricavi!J51</f>
        <v>142891.57</v>
      </c>
      <c r="L493" s="616">
        <f>+Ricavi!K51</f>
        <v>0</v>
      </c>
      <c r="M493" s="616">
        <f>+Ricavi!L51</f>
        <v>0</v>
      </c>
      <c r="N493" s="616">
        <f>+Ricavi!M51</f>
        <v>0</v>
      </c>
      <c r="O493" s="616">
        <f>+Ricavi!N51</f>
        <v>0</v>
      </c>
      <c r="Q493" s="594">
        <f t="shared" si="416"/>
        <v>0</v>
      </c>
      <c r="R493" s="594">
        <f t="shared" si="417"/>
        <v>0</v>
      </c>
      <c r="S493" s="594">
        <f t="shared" si="418"/>
        <v>0</v>
      </c>
      <c r="T493" s="594">
        <f t="shared" si="419"/>
        <v>0.19165231244532244</v>
      </c>
      <c r="U493" s="594">
        <f t="shared" si="420"/>
        <v>-0.27737975691320094</v>
      </c>
      <c r="V493" s="594">
        <f t="shared" si="421"/>
        <v>-1</v>
      </c>
      <c r="W493" s="594">
        <f t="shared" si="422"/>
        <v>0</v>
      </c>
      <c r="X493" s="594">
        <f t="shared" si="423"/>
        <v>0</v>
      </c>
      <c r="Y493" s="594">
        <f t="shared" si="424"/>
        <v>0</v>
      </c>
      <c r="AA493" s="594">
        <f t="shared" si="436"/>
        <v>0</v>
      </c>
      <c r="AB493" s="594">
        <f t="shared" si="437"/>
        <v>0</v>
      </c>
      <c r="AC493" s="594">
        <f t="shared" si="438"/>
        <v>0</v>
      </c>
      <c r="AD493" s="594">
        <f t="shared" si="439"/>
        <v>5.3283657794663507E-3</v>
      </c>
      <c r="AE493" s="594">
        <f t="shared" si="440"/>
        <v>3.8756806063565221E-3</v>
      </c>
      <c r="AF493" s="594">
        <f t="shared" si="441"/>
        <v>2.1875205959639723E-3</v>
      </c>
      <c r="AG493" s="594">
        <f t="shared" si="442"/>
        <v>0</v>
      </c>
      <c r="AH493" s="594">
        <f t="shared" si="443"/>
        <v>0</v>
      </c>
      <c r="AI493" s="594">
        <f t="shared" si="444"/>
        <v>0</v>
      </c>
      <c r="AJ493" s="594">
        <f t="shared" si="445"/>
        <v>0</v>
      </c>
      <c r="AL493" s="594">
        <f t="shared" si="435"/>
        <v>1.8408092771645744E-3</v>
      </c>
    </row>
    <row r="494" spans="1:38" outlineLevel="1">
      <c r="B494" s="562" t="s">
        <v>2343</v>
      </c>
      <c r="C494" s="562" t="s">
        <v>360</v>
      </c>
      <c r="D494" s="572" t="s">
        <v>4167</v>
      </c>
      <c r="E494" s="664"/>
      <c r="F494" s="664"/>
      <c r="G494" s="665"/>
      <c r="H494" s="665"/>
      <c r="I494" s="665"/>
      <c r="J494" s="665">
        <v>17871.36</v>
      </c>
      <c r="K494" s="616"/>
      <c r="L494" s="616"/>
      <c r="M494" s="616"/>
      <c r="N494" s="616"/>
      <c r="O494" s="616"/>
      <c r="Q494" s="1034"/>
      <c r="R494" s="1034"/>
      <c r="S494" s="1034"/>
      <c r="T494" s="1034"/>
      <c r="U494" s="1034"/>
      <c r="V494" s="1034"/>
      <c r="W494" s="1034"/>
      <c r="X494" s="1034"/>
      <c r="Y494" s="1034"/>
      <c r="AA494" s="1034"/>
      <c r="AB494" s="1034"/>
      <c r="AC494" s="1034"/>
      <c r="AD494" s="1034"/>
      <c r="AE494" s="1034"/>
      <c r="AF494" s="1034"/>
      <c r="AG494" s="1034"/>
      <c r="AH494" s="1034"/>
      <c r="AI494" s="1034"/>
      <c r="AJ494" s="1034"/>
      <c r="AL494" s="1034"/>
    </row>
    <row r="495" spans="1:38" outlineLevel="1">
      <c r="D495" s="574" t="s">
        <v>2128</v>
      </c>
      <c r="E495" s="671">
        <f>+SUM(E468:E494)</f>
        <v>728198.74000000011</v>
      </c>
      <c r="F495" s="671">
        <f t="shared" ref="F495:H495" si="446">+SUM(F468:F494)</f>
        <v>1228672.2699999998</v>
      </c>
      <c r="G495" s="671">
        <f t="shared" si="446"/>
        <v>815990.87</v>
      </c>
      <c r="H495" s="671">
        <f t="shared" si="446"/>
        <v>1377872.72</v>
      </c>
      <c r="I495" s="671">
        <v>2655191.36</v>
      </c>
      <c r="J495" s="671">
        <v>1058702.2200000002</v>
      </c>
      <c r="K495" s="620">
        <f t="shared" ref="K495:O495" si="447">+SUM(K468:K493)</f>
        <v>1837759.5013744347</v>
      </c>
      <c r="L495" s="620">
        <f t="shared" si="447"/>
        <v>1798120.9427096494</v>
      </c>
      <c r="M495" s="620">
        <f t="shared" si="447"/>
        <v>1864429.6717087359</v>
      </c>
      <c r="N495" s="620">
        <f t="shared" si="447"/>
        <v>1946933.9296207337</v>
      </c>
      <c r="O495" s="620">
        <f t="shared" si="447"/>
        <v>2033089.1445395302</v>
      </c>
    </row>
    <row r="496" spans="1:38" outlineLevel="1">
      <c r="D496" s="573" t="s">
        <v>2129</v>
      </c>
      <c r="E496" s="668">
        <f t="shared" ref="E496:O496" si="448">+E467+E495</f>
        <v>728198.74000000011</v>
      </c>
      <c r="F496" s="668">
        <f t="shared" si="448"/>
        <v>1247082.2699999998</v>
      </c>
      <c r="G496" s="668">
        <f t="shared" si="448"/>
        <v>861005.67</v>
      </c>
      <c r="H496" s="668">
        <f t="shared" si="448"/>
        <v>1409166.66</v>
      </c>
      <c r="I496" s="668">
        <v>2655191.36</v>
      </c>
      <c r="J496" s="668">
        <v>1058702.2200000002</v>
      </c>
      <c r="K496" s="621">
        <f t="shared" si="448"/>
        <v>1837759.5013744347</v>
      </c>
      <c r="L496" s="621">
        <f t="shared" si="448"/>
        <v>1798120.9427096494</v>
      </c>
      <c r="M496" s="621">
        <f t="shared" si="448"/>
        <v>1864429.6717087359</v>
      </c>
      <c r="N496" s="621">
        <f t="shared" si="448"/>
        <v>1946933.9296207337</v>
      </c>
      <c r="O496" s="621">
        <f t="shared" si="448"/>
        <v>2033089.1445395302</v>
      </c>
    </row>
    <row r="497" spans="2:38" outlineLevel="1">
      <c r="D497" s="582" t="s">
        <v>2130</v>
      </c>
      <c r="E497" s="687">
        <f t="shared" ref="E497:O497" si="449">+E496+E459+E454</f>
        <v>26165241.979999997</v>
      </c>
      <c r="F497" s="687">
        <f t="shared" si="449"/>
        <v>26546544.600000001</v>
      </c>
      <c r="G497" s="687">
        <f t="shared" si="449"/>
        <v>27648782.310000002</v>
      </c>
      <c r="H497" s="687">
        <f t="shared" si="449"/>
        <v>32528849.129999999</v>
      </c>
      <c r="I497" s="687">
        <v>53274059.949999996</v>
      </c>
      <c r="J497" s="687">
        <v>27262121.800000004</v>
      </c>
      <c r="K497" s="622">
        <f t="shared" si="449"/>
        <v>68497153.663862929</v>
      </c>
      <c r="L497" s="622">
        <f t="shared" si="449"/>
        <v>71338674.929870486</v>
      </c>
      <c r="M497" s="622">
        <f t="shared" si="449"/>
        <v>73921637.8593999</v>
      </c>
      <c r="N497" s="622">
        <f t="shared" si="449"/>
        <v>77207230.748394147</v>
      </c>
      <c r="O497" s="622">
        <f t="shared" si="449"/>
        <v>80623785.084014997</v>
      </c>
    </row>
    <row r="498" spans="2:38" outlineLevel="1">
      <c r="C498" s="614" t="s">
        <v>363</v>
      </c>
      <c r="D498" s="615"/>
      <c r="E498" s="691"/>
      <c r="F498" s="691"/>
      <c r="G498" s="692"/>
      <c r="H498" s="692"/>
      <c r="I498" s="692"/>
      <c r="J498" s="692"/>
      <c r="K498" s="623">
        <f>+K497-Ricavi!J55</f>
        <v>-17871.359999999404</v>
      </c>
      <c r="L498" s="623">
        <f>+L497-Ricavi!K55</f>
        <v>0</v>
      </c>
      <c r="M498" s="623">
        <f>+M497-Ricavi!L55</f>
        <v>0</v>
      </c>
      <c r="N498" s="623">
        <f>+N497-Ricavi!M55</f>
        <v>0</v>
      </c>
      <c r="O498" s="623">
        <f>+O497-Ricavi!N55</f>
        <v>0</v>
      </c>
    </row>
    <row r="499" spans="2:38" outlineLevel="1">
      <c r="D499" s="568" t="s">
        <v>2131</v>
      </c>
      <c r="E499" s="660"/>
      <c r="F499" s="660"/>
      <c r="G499" s="686"/>
      <c r="H499" s="686"/>
      <c r="I499" s="686"/>
      <c r="J499" s="686"/>
      <c r="K499" s="624"/>
      <c r="L499" s="624"/>
      <c r="M499" s="624"/>
      <c r="N499" s="624"/>
      <c r="O499" s="624"/>
    </row>
    <row r="500" spans="2:38" outlineLevel="1">
      <c r="B500" s="562" t="s">
        <v>2343</v>
      </c>
      <c r="C500" s="562" t="s">
        <v>2352</v>
      </c>
      <c r="D500" s="572" t="s">
        <v>2132</v>
      </c>
      <c r="E500" s="664">
        <v>74327.850000000006</v>
      </c>
      <c r="F500" s="664">
        <v>76760.7</v>
      </c>
      <c r="G500" s="665">
        <v>86177.34</v>
      </c>
      <c r="H500" s="665">
        <v>155733.45000000001</v>
      </c>
      <c r="I500" s="665">
        <v>278192.37</v>
      </c>
      <c r="J500" s="665">
        <v>39234.5</v>
      </c>
      <c r="K500" s="616">
        <f>+Costi!I5</f>
        <v>255982.67921076369</v>
      </c>
      <c r="L500" s="616">
        <f>+Costi!J5</f>
        <v>272064.1429242054</v>
      </c>
      <c r="M500" s="616">
        <f>+Costi!K5</f>
        <v>282096.96501922217</v>
      </c>
      <c r="N500" s="616">
        <f>+Costi!L5</f>
        <v>294580.246695815</v>
      </c>
      <c r="O500" s="616">
        <f>+Costi!M5</f>
        <v>307615.93531307293</v>
      </c>
      <c r="Q500" s="594">
        <f t="shared" ref="Q500:Q527" si="450">+IFERROR(F500/E500-1,0)</f>
        <v>3.2731338253427111E-2</v>
      </c>
      <c r="R500" s="594">
        <f t="shared" ref="R500:R527" si="451">+IFERROR(G500/F500-1,0)</f>
        <v>0.12267527523850097</v>
      </c>
      <c r="S500" s="594">
        <f t="shared" ref="S500:S527" si="452">+IFERROR(H500/G500-1,0)</f>
        <v>0.80712760454198307</v>
      </c>
      <c r="T500" s="594">
        <f t="shared" ref="T500:T527" si="453">+IFERROR(I500/H500-1,0)</f>
        <v>0.78633665407142761</v>
      </c>
      <c r="U500" s="594">
        <f t="shared" ref="U500:U527" si="454">+IFERROR(K500/I500-1,0)</f>
        <v>-7.9835729460287941E-2</v>
      </c>
      <c r="V500" s="594">
        <f t="shared" ref="V500:V527" si="455">+IFERROR(L500/K500-1,0)</f>
        <v>6.2822468156921829E-2</v>
      </c>
      <c r="W500" s="594">
        <f t="shared" ref="W500:W527" si="456">+IFERROR(M500/L500-1,0)</f>
        <v>3.6876679106558452E-2</v>
      </c>
      <c r="X500" s="594">
        <f t="shared" ref="X500:X527" si="457">+IFERROR(N500/M500-1,0)</f>
        <v>4.4251740445850674E-2</v>
      </c>
      <c r="Y500" s="594">
        <f t="shared" ref="Y500:Y527" si="458">+IFERROR(O500/N500-1,0)</f>
        <v>4.4251740445850896E-2</v>
      </c>
      <c r="AA500" s="594">
        <f t="shared" ref="AA500:AA527" si="459">+IFERROR(E500/E$454,0)</f>
        <v>2.8637112673176829E-3</v>
      </c>
      <c r="AB500" s="594">
        <f t="shared" ref="AB500:AB527" si="460">+IFERROR(F500/F$454,0)</f>
        <v>3.0673652566493188E-3</v>
      </c>
      <c r="AC500" s="594">
        <f t="shared" ref="AC500:AC527" si="461">+IFERROR(G500/G$454,0)</f>
        <v>3.209867507306929E-3</v>
      </c>
      <c r="AD500" s="594">
        <f t="shared" ref="AD500:AD527" si="462">+IFERROR(H500/H$454,0)</f>
        <v>5.0006793827796353E-3</v>
      </c>
      <c r="AE500" s="594">
        <f t="shared" ref="AE500:AE527" si="463">+IFERROR(I500/I$454,0)</f>
        <v>5.4525129994375861E-3</v>
      </c>
      <c r="AF500" s="594">
        <f t="shared" ref="AF500:AF527" si="464">+IFERROR(K500/K$454,0)</f>
        <v>3.9188272826982309E-3</v>
      </c>
      <c r="AG500" s="594">
        <f t="shared" ref="AG500:AG527" si="465">+IFERROR(L500/L$454,0)</f>
        <v>3.9188272826982309E-3</v>
      </c>
      <c r="AH500" s="594">
        <f t="shared" ref="AH500:AH527" si="466">+IFERROR(M500/M$454,0)</f>
        <v>3.9188272826982309E-3</v>
      </c>
      <c r="AI500" s="594">
        <f t="shared" ref="AI500:AI527" si="467">+IFERROR(N500/N$454,0)</f>
        <v>3.9188272826982309E-3</v>
      </c>
      <c r="AJ500" s="594">
        <f t="shared" ref="AJ500:AJ527" si="468">+IFERROR(O500/O$454,0)</f>
        <v>3.9188272826982309E-3</v>
      </c>
      <c r="AL500" s="594">
        <f t="shared" ref="AL500:AL527" si="469">+AVERAGE(AA500:AE500)</f>
        <v>3.9188272826982309E-3</v>
      </c>
    </row>
    <row r="501" spans="2:38" outlineLevel="1">
      <c r="B501" s="562" t="s">
        <v>2343</v>
      </c>
      <c r="C501" s="562" t="s">
        <v>2352</v>
      </c>
      <c r="D501" s="572" t="s">
        <v>2401</v>
      </c>
      <c r="E501" s="664">
        <v>0</v>
      </c>
      <c r="F501" s="664">
        <v>8000</v>
      </c>
      <c r="G501" s="665">
        <v>170000</v>
      </c>
      <c r="H501" s="665"/>
      <c r="I501" s="665">
        <v>0</v>
      </c>
      <c r="J501" s="665">
        <v>0</v>
      </c>
      <c r="K501" s="616">
        <f>+Costi!I6</f>
        <v>86899.602978650117</v>
      </c>
      <c r="L501" s="616">
        <f>+Costi!J6</f>
        <v>92358.850519625499</v>
      </c>
      <c r="M501" s="616">
        <f>+Costi!K6</f>
        <v>95764.738212888347</v>
      </c>
      <c r="N501" s="616">
        <f>+Costi!L6</f>
        <v>100002.49455214989</v>
      </c>
      <c r="O501" s="616">
        <f>+Costi!M6</f>
        <v>104427.77898500925</v>
      </c>
      <c r="Q501" s="594">
        <f t="shared" si="450"/>
        <v>0</v>
      </c>
      <c r="R501" s="594">
        <f t="shared" si="451"/>
        <v>20.25</v>
      </c>
      <c r="S501" s="594">
        <f t="shared" si="452"/>
        <v>-1</v>
      </c>
      <c r="T501" s="594">
        <f t="shared" si="453"/>
        <v>0</v>
      </c>
      <c r="U501" s="594">
        <f t="shared" si="454"/>
        <v>0</v>
      </c>
      <c r="V501" s="594">
        <f t="shared" si="455"/>
        <v>6.2822468156921607E-2</v>
      </c>
      <c r="W501" s="594">
        <f t="shared" si="456"/>
        <v>3.6876679106558674E-2</v>
      </c>
      <c r="X501" s="594">
        <f t="shared" si="457"/>
        <v>4.4251740445850452E-2</v>
      </c>
      <c r="Y501" s="594">
        <f t="shared" si="458"/>
        <v>4.4251740445850896E-2</v>
      </c>
      <c r="AA501" s="594">
        <f t="shared" si="459"/>
        <v>0</v>
      </c>
      <c r="AB501" s="594">
        <f t="shared" si="460"/>
        <v>3.1968080089413663E-4</v>
      </c>
      <c r="AC501" s="594">
        <f t="shared" si="461"/>
        <v>6.3320296987836701E-3</v>
      </c>
      <c r="AD501" s="594">
        <f t="shared" si="462"/>
        <v>0</v>
      </c>
      <c r="AE501" s="594">
        <f t="shared" si="463"/>
        <v>0</v>
      </c>
      <c r="AF501" s="594">
        <f t="shared" si="464"/>
        <v>1.3303420999355613E-3</v>
      </c>
      <c r="AG501" s="594">
        <f t="shared" si="465"/>
        <v>1.3303420999355613E-3</v>
      </c>
      <c r="AH501" s="594">
        <f t="shared" si="466"/>
        <v>1.3303420999355613E-3</v>
      </c>
      <c r="AI501" s="594">
        <f t="shared" si="467"/>
        <v>1.3303420999355613E-3</v>
      </c>
      <c r="AJ501" s="594">
        <f t="shared" si="468"/>
        <v>1.3303420999355613E-3</v>
      </c>
      <c r="AL501" s="594">
        <f t="shared" si="469"/>
        <v>1.3303420999355613E-3</v>
      </c>
    </row>
    <row r="502" spans="2:38" outlineLevel="1">
      <c r="B502" s="562" t="s">
        <v>2343</v>
      </c>
      <c r="C502" s="562" t="s">
        <v>2352</v>
      </c>
      <c r="D502" s="572" t="s">
        <v>2427</v>
      </c>
      <c r="E502" s="664">
        <v>0</v>
      </c>
      <c r="F502" s="664"/>
      <c r="G502" s="665">
        <v>346</v>
      </c>
      <c r="H502" s="665"/>
      <c r="I502" s="665">
        <v>0</v>
      </c>
      <c r="J502" s="665">
        <v>0</v>
      </c>
      <c r="K502" s="616">
        <f>+Costi!I7</f>
        <v>168.36606954432463</v>
      </c>
      <c r="L502" s="616">
        <f>+Costi!J7</f>
        <v>178.94324158697901</v>
      </c>
      <c r="M502" s="616">
        <f>+Costi!K7</f>
        <v>185.54207408526943</v>
      </c>
      <c r="N502" s="616">
        <f>+Costi!L7</f>
        <v>193.75263378947554</v>
      </c>
      <c r="O502" s="616">
        <f>+Costi!M7</f>
        <v>202.32652505062742</v>
      </c>
      <c r="Q502" s="594">
        <f t="shared" si="450"/>
        <v>0</v>
      </c>
      <c r="R502" s="594">
        <f t="shared" si="451"/>
        <v>0</v>
      </c>
      <c r="S502" s="594">
        <f t="shared" si="452"/>
        <v>-1</v>
      </c>
      <c r="T502" s="594">
        <f t="shared" si="453"/>
        <v>0</v>
      </c>
      <c r="U502" s="594">
        <f t="shared" si="454"/>
        <v>0</v>
      </c>
      <c r="V502" s="594">
        <f t="shared" si="455"/>
        <v>6.2822468156921607E-2</v>
      </c>
      <c r="W502" s="594">
        <f t="shared" si="456"/>
        <v>3.6876679106558674E-2</v>
      </c>
      <c r="X502" s="594">
        <f t="shared" si="457"/>
        <v>4.4251740445850452E-2</v>
      </c>
      <c r="Y502" s="594">
        <f t="shared" si="458"/>
        <v>4.4251740445850896E-2</v>
      </c>
      <c r="AA502" s="594">
        <f t="shared" si="459"/>
        <v>0</v>
      </c>
      <c r="AB502" s="594">
        <f t="shared" si="460"/>
        <v>0</v>
      </c>
      <c r="AC502" s="594">
        <f t="shared" si="461"/>
        <v>1.2887542798700881E-5</v>
      </c>
      <c r="AD502" s="594">
        <f t="shared" si="462"/>
        <v>0</v>
      </c>
      <c r="AE502" s="594">
        <f t="shared" si="463"/>
        <v>0</v>
      </c>
      <c r="AF502" s="594">
        <f t="shared" si="464"/>
        <v>2.5775085597401761E-6</v>
      </c>
      <c r="AG502" s="594">
        <f t="shared" si="465"/>
        <v>2.5775085597401761E-6</v>
      </c>
      <c r="AH502" s="594">
        <f t="shared" si="466"/>
        <v>2.5775085597401761E-6</v>
      </c>
      <c r="AI502" s="594">
        <f t="shared" si="467"/>
        <v>2.5775085597401761E-6</v>
      </c>
      <c r="AJ502" s="594">
        <f t="shared" si="468"/>
        <v>2.5775085597401761E-6</v>
      </c>
      <c r="AL502" s="594">
        <f t="shared" si="469"/>
        <v>2.5775085597401761E-6</v>
      </c>
    </row>
    <row r="503" spans="2:38" outlineLevel="1">
      <c r="B503" s="562" t="s">
        <v>2343</v>
      </c>
      <c r="C503" s="562" t="s">
        <v>2352</v>
      </c>
      <c r="D503" s="572" t="s">
        <v>2402</v>
      </c>
      <c r="E503" s="664">
        <v>1010</v>
      </c>
      <c r="F503" s="664">
        <v>1081</v>
      </c>
      <c r="G503" s="665">
        <v>0</v>
      </c>
      <c r="H503" s="665"/>
      <c r="I503" s="665">
        <v>0</v>
      </c>
      <c r="J503" s="665">
        <v>0</v>
      </c>
      <c r="K503" s="616">
        <f>+Costi!I8</f>
        <v>1072.7088266325493</v>
      </c>
      <c r="L503" s="616">
        <f>+Costi!J8</f>
        <v>1140.0990427353215</v>
      </c>
      <c r="M503" s="616">
        <f>+Costi!K8</f>
        <v>1182.1421092839666</v>
      </c>
      <c r="N503" s="616">
        <f>+Costi!L8</f>
        <v>1234.453955074111</v>
      </c>
      <c r="O503" s="616">
        <f>+Costi!M8</f>
        <v>1289.0806910864046</v>
      </c>
      <c r="Q503" s="594">
        <f t="shared" si="450"/>
        <v>7.0297029702970359E-2</v>
      </c>
      <c r="R503" s="594">
        <f t="shared" si="451"/>
        <v>-1</v>
      </c>
      <c r="S503" s="594">
        <f t="shared" si="452"/>
        <v>0</v>
      </c>
      <c r="T503" s="594">
        <f t="shared" si="453"/>
        <v>0</v>
      </c>
      <c r="U503" s="594">
        <f t="shared" si="454"/>
        <v>0</v>
      </c>
      <c r="V503" s="594">
        <f t="shared" si="455"/>
        <v>6.2822468156921829E-2</v>
      </c>
      <c r="W503" s="594">
        <f t="shared" si="456"/>
        <v>3.6876679106558674E-2</v>
      </c>
      <c r="X503" s="594">
        <f t="shared" si="457"/>
        <v>4.4251740445850452E-2</v>
      </c>
      <c r="Y503" s="594">
        <f t="shared" si="458"/>
        <v>4.4251740445850896E-2</v>
      </c>
      <c r="AA503" s="594">
        <f t="shared" si="459"/>
        <v>3.8913386839399487E-5</v>
      </c>
      <c r="AB503" s="594">
        <f t="shared" si="460"/>
        <v>4.3196868220820214E-5</v>
      </c>
      <c r="AC503" s="594">
        <f t="shared" si="461"/>
        <v>0</v>
      </c>
      <c r="AD503" s="594">
        <f t="shared" si="462"/>
        <v>0</v>
      </c>
      <c r="AE503" s="594">
        <f t="shared" si="463"/>
        <v>0</v>
      </c>
      <c r="AF503" s="594">
        <f t="shared" si="464"/>
        <v>1.642205101204394E-5</v>
      </c>
      <c r="AG503" s="594">
        <f t="shared" si="465"/>
        <v>1.642205101204394E-5</v>
      </c>
      <c r="AH503" s="594">
        <f t="shared" si="466"/>
        <v>1.642205101204394E-5</v>
      </c>
      <c r="AI503" s="594">
        <f t="shared" si="467"/>
        <v>1.642205101204394E-5</v>
      </c>
      <c r="AJ503" s="594">
        <f t="shared" si="468"/>
        <v>1.642205101204394E-5</v>
      </c>
      <c r="AL503" s="594">
        <f t="shared" si="469"/>
        <v>1.642205101204394E-5</v>
      </c>
    </row>
    <row r="504" spans="2:38" outlineLevel="1">
      <c r="B504" s="562" t="s">
        <v>2343</v>
      </c>
      <c r="C504" s="562" t="s">
        <v>2352</v>
      </c>
      <c r="D504" s="572" t="s">
        <v>2133</v>
      </c>
      <c r="E504" s="664">
        <v>25703</v>
      </c>
      <c r="F504" s="664">
        <v>27271.4</v>
      </c>
      <c r="G504" s="665">
        <v>18354.97</v>
      </c>
      <c r="H504" s="665">
        <v>3212.4</v>
      </c>
      <c r="I504" s="665">
        <v>0</v>
      </c>
      <c r="J504" s="665">
        <v>0</v>
      </c>
      <c r="K504" s="616">
        <f>+Costi!I9</f>
        <v>37453.626784340202</v>
      </c>
      <c r="L504" s="616">
        <f>+Costi!J9</f>
        <v>39806.556060360643</v>
      </c>
      <c r="M504" s="616">
        <f>+Costi!K9</f>
        <v>41274.489654535799</v>
      </c>
      <c r="N504" s="616">
        <f>+Costi!L9</f>
        <v>43100.957657763262</v>
      </c>
      <c r="O504" s="616">
        <f>+Costi!M9</f>
        <v>45008.250049002214</v>
      </c>
      <c r="Q504" s="594">
        <f t="shared" si="450"/>
        <v>6.1020114383535162E-2</v>
      </c>
      <c r="R504" s="594">
        <f t="shared" si="451"/>
        <v>-0.32695167831501137</v>
      </c>
      <c r="S504" s="594">
        <f t="shared" si="452"/>
        <v>-0.8249847316557859</v>
      </c>
      <c r="T504" s="594">
        <f t="shared" si="453"/>
        <v>-1</v>
      </c>
      <c r="U504" s="594">
        <f t="shared" si="454"/>
        <v>0</v>
      </c>
      <c r="V504" s="594">
        <f t="shared" si="455"/>
        <v>6.2822468156921607E-2</v>
      </c>
      <c r="W504" s="594">
        <f t="shared" si="456"/>
        <v>3.6876679106558674E-2</v>
      </c>
      <c r="X504" s="594">
        <f t="shared" si="457"/>
        <v>4.4251740445850674E-2</v>
      </c>
      <c r="Y504" s="594">
        <f t="shared" si="458"/>
        <v>4.4251740445850896E-2</v>
      </c>
      <c r="AA504" s="594">
        <f t="shared" si="459"/>
        <v>9.9028790290404457E-4</v>
      </c>
      <c r="AB504" s="594">
        <f t="shared" si="460"/>
        <v>1.0897678741880448E-3</v>
      </c>
      <c r="AC504" s="594">
        <f t="shared" si="461"/>
        <v>6.8367185388401943E-4</v>
      </c>
      <c r="AD504" s="594">
        <f t="shared" si="462"/>
        <v>1.0315177920505389E-4</v>
      </c>
      <c r="AE504" s="594">
        <f t="shared" si="463"/>
        <v>0</v>
      </c>
      <c r="AF504" s="594">
        <f t="shared" si="464"/>
        <v>5.7337588203623256E-4</v>
      </c>
      <c r="AG504" s="594">
        <f t="shared" si="465"/>
        <v>5.7337588203623256E-4</v>
      </c>
      <c r="AH504" s="594">
        <f t="shared" si="466"/>
        <v>5.7337588203623256E-4</v>
      </c>
      <c r="AI504" s="594">
        <f t="shared" si="467"/>
        <v>5.7337588203623256E-4</v>
      </c>
      <c r="AJ504" s="594">
        <f t="shared" si="468"/>
        <v>5.7337588203623256E-4</v>
      </c>
      <c r="AL504" s="594">
        <f t="shared" si="469"/>
        <v>5.7337588203623256E-4</v>
      </c>
    </row>
    <row r="505" spans="2:38" outlineLevel="1">
      <c r="B505" s="562" t="s">
        <v>2343</v>
      </c>
      <c r="C505" s="562" t="s">
        <v>2352</v>
      </c>
      <c r="D505" s="572" t="s">
        <v>2134</v>
      </c>
      <c r="E505" s="664">
        <v>2785108.92</v>
      </c>
      <c r="F505" s="664">
        <v>2418641.39</v>
      </c>
      <c r="G505" s="665">
        <v>2487819.1800000002</v>
      </c>
      <c r="H505" s="665">
        <v>1992461.02</v>
      </c>
      <c r="I505" s="665">
        <v>6482127.71</v>
      </c>
      <c r="J505" s="665">
        <v>2343394.1</v>
      </c>
      <c r="K505" s="616">
        <f>+Costi!I10</f>
        <v>7278379.7234626459</v>
      </c>
      <c r="L505" s="616">
        <f>+Costi!J10</f>
        <v>7478261.5355567653</v>
      </c>
      <c r="M505" s="616">
        <f>+Costi!K10</f>
        <v>7784532.6658745911</v>
      </c>
      <c r="N505" s="616">
        <f>+Costi!L10</f>
        <v>8121049.9711998655</v>
      </c>
      <c r="O505" s="616">
        <f>+Costi!M10</f>
        <v>8480420.5666731857</v>
      </c>
      <c r="Q505" s="594">
        <f t="shared" si="450"/>
        <v>-0.13158104064382514</v>
      </c>
      <c r="R505" s="594">
        <f t="shared" si="451"/>
        <v>2.8601921014838938E-2</v>
      </c>
      <c r="S505" s="594">
        <f t="shared" si="452"/>
        <v>-0.19911340984194847</v>
      </c>
      <c r="T505" s="594">
        <f t="shared" si="453"/>
        <v>2.2533272394960076</v>
      </c>
      <c r="U505" s="594">
        <f t="shared" si="454"/>
        <v>0.1228380632233248</v>
      </c>
      <c r="V505" s="594">
        <f t="shared" si="455"/>
        <v>2.7462405052841365E-2</v>
      </c>
      <c r="W505" s="594">
        <f t="shared" si="456"/>
        <v>4.09548568021596E-2</v>
      </c>
      <c r="X505" s="594">
        <f t="shared" si="457"/>
        <v>4.3228966948842151E-2</v>
      </c>
      <c r="Y505" s="594">
        <f t="shared" si="458"/>
        <v>4.4251740445850674E-2</v>
      </c>
      <c r="AA505" s="594">
        <f t="shared" si="459"/>
        <v>0.1073049710829922</v>
      </c>
      <c r="AB505" s="594">
        <f t="shared" si="460"/>
        <v>9.6649152078863487E-2</v>
      </c>
      <c r="AC505" s="594">
        <f t="shared" si="461"/>
        <v>9.266438195860964E-2</v>
      </c>
      <c r="AD505" s="594">
        <f t="shared" si="462"/>
        <v>6.3978925168010348E-2</v>
      </c>
      <c r="AE505" s="594">
        <f t="shared" si="463"/>
        <v>0.12704836442059714</v>
      </c>
      <c r="AF505" s="594">
        <f t="shared" si="464"/>
        <v>0.11142438668929942</v>
      </c>
      <c r="AG505" s="594">
        <f t="shared" si="465"/>
        <v>0.10771730158081512</v>
      </c>
      <c r="AH505" s="594">
        <f t="shared" si="466"/>
        <v>0.10814096845035617</v>
      </c>
      <c r="AI505" s="594">
        <f t="shared" si="467"/>
        <v>0.10803505173297094</v>
      </c>
      <c r="AJ505" s="594">
        <f t="shared" si="468"/>
        <v>0.10803505173297093</v>
      </c>
      <c r="AL505" s="594">
        <f t="shared" si="469"/>
        <v>9.7529158941814562E-2</v>
      </c>
    </row>
    <row r="506" spans="2:38" outlineLevel="1">
      <c r="B506" s="562" t="s">
        <v>2343</v>
      </c>
      <c r="C506" s="562" t="s">
        <v>2352</v>
      </c>
      <c r="D506" s="572" t="s">
        <v>2135</v>
      </c>
      <c r="E506" s="664">
        <v>119380.38</v>
      </c>
      <c r="F506" s="664">
        <v>214942.94</v>
      </c>
      <c r="G506" s="665">
        <v>346068.59</v>
      </c>
      <c r="H506" s="665">
        <v>279021.21999999997</v>
      </c>
      <c r="I506" s="665">
        <v>105229.88</v>
      </c>
      <c r="J506" s="665">
        <v>245548.74</v>
      </c>
      <c r="K506" s="616">
        <f>+Costi!I11</f>
        <v>484693.23741369415</v>
      </c>
      <c r="L506" s="616">
        <f>+Costi!J11</f>
        <v>515142.86288699124</v>
      </c>
      <c r="M506" s="616">
        <f>+Costi!K11</f>
        <v>534139.62093570875</v>
      </c>
      <c r="N506" s="616">
        <f>+Costi!L11</f>
        <v>557776.22880320065</v>
      </c>
      <c r="O506" s="616">
        <f>+Costi!M11</f>
        <v>582458.79770706547</v>
      </c>
      <c r="Q506" s="594">
        <f t="shared" si="450"/>
        <v>0.80048798638436236</v>
      </c>
      <c r="R506" s="594">
        <f t="shared" si="451"/>
        <v>0.61004864825985927</v>
      </c>
      <c r="S506" s="594">
        <f t="shared" si="452"/>
        <v>-0.19374011955260095</v>
      </c>
      <c r="T506" s="594">
        <f t="shared" si="453"/>
        <v>-0.62286065554440628</v>
      </c>
      <c r="U506" s="594">
        <f t="shared" si="454"/>
        <v>3.6060419095193694</v>
      </c>
      <c r="V506" s="594">
        <f t="shared" si="455"/>
        <v>6.2822468156921607E-2</v>
      </c>
      <c r="W506" s="594">
        <f t="shared" si="456"/>
        <v>3.6876679106558674E-2</v>
      </c>
      <c r="X506" s="594">
        <f t="shared" si="457"/>
        <v>4.4251740445850452E-2</v>
      </c>
      <c r="Y506" s="594">
        <f t="shared" si="458"/>
        <v>4.4251740445850896E-2</v>
      </c>
      <c r="AA506" s="594">
        <f t="shared" si="459"/>
        <v>4.5994999088856533E-3</v>
      </c>
      <c r="AB506" s="594">
        <f t="shared" si="460"/>
        <v>8.589141400717544E-3</v>
      </c>
      <c r="AC506" s="594">
        <f t="shared" si="461"/>
        <v>1.2890097586448174E-2</v>
      </c>
      <c r="AD506" s="594">
        <f t="shared" si="462"/>
        <v>8.9595116669669902E-3</v>
      </c>
      <c r="AE506" s="594">
        <f t="shared" si="463"/>
        <v>2.0624839158214776E-3</v>
      </c>
      <c r="AF506" s="594">
        <f t="shared" si="464"/>
        <v>7.4201468957679675E-3</v>
      </c>
      <c r="AG506" s="594">
        <f t="shared" si="465"/>
        <v>7.4201468957679675E-3</v>
      </c>
      <c r="AH506" s="594">
        <f t="shared" si="466"/>
        <v>7.4201468957679675E-3</v>
      </c>
      <c r="AI506" s="594">
        <f t="shared" si="467"/>
        <v>7.4201468957679666E-3</v>
      </c>
      <c r="AJ506" s="594">
        <f t="shared" si="468"/>
        <v>7.4201468957679675E-3</v>
      </c>
      <c r="AL506" s="594">
        <f t="shared" si="469"/>
        <v>7.4201468957679675E-3</v>
      </c>
    </row>
    <row r="507" spans="2:38" outlineLevel="1">
      <c r="B507" s="562" t="s">
        <v>2343</v>
      </c>
      <c r="C507" s="562" t="s">
        <v>2352</v>
      </c>
      <c r="D507" s="572" t="s">
        <v>2136</v>
      </c>
      <c r="E507" s="664">
        <v>2399572.86</v>
      </c>
      <c r="F507" s="664">
        <v>2336720.7799999998</v>
      </c>
      <c r="G507" s="665">
        <v>2545397.27</v>
      </c>
      <c r="H507" s="665">
        <v>2651919.89</v>
      </c>
      <c r="I507" s="665">
        <v>5889750.3600000003</v>
      </c>
      <c r="J507" s="665">
        <v>2529324.6</v>
      </c>
      <c r="K507" s="616">
        <f>+Costi!I12</f>
        <v>6804339.6110022468</v>
      </c>
      <c r="L507" s="616">
        <f>+Costi!J12</f>
        <v>6991203.1415166846</v>
      </c>
      <c r="M507" s="616">
        <f>+Costi!K12</f>
        <v>7277526.865052308</v>
      </c>
      <c r="N507" s="616">
        <f>+Costi!L12</f>
        <v>7592126.833370964</v>
      </c>
      <c r="O507" s="616">
        <f>+Costi!M12</f>
        <v>7928091.6594332764</v>
      </c>
      <c r="Q507" s="594">
        <f t="shared" si="450"/>
        <v>-2.6193028370890992E-2</v>
      </c>
      <c r="R507" s="594">
        <f t="shared" si="451"/>
        <v>8.9303134454943311E-2</v>
      </c>
      <c r="S507" s="594">
        <f t="shared" si="452"/>
        <v>4.184911379275591E-2</v>
      </c>
      <c r="T507" s="594">
        <f t="shared" si="453"/>
        <v>1.2209382652203722</v>
      </c>
      <c r="U507" s="594">
        <f t="shared" si="454"/>
        <v>0.15528489241473498</v>
      </c>
      <c r="V507" s="594">
        <f t="shared" si="455"/>
        <v>2.7462405052841588E-2</v>
      </c>
      <c r="W507" s="594">
        <f t="shared" si="456"/>
        <v>4.09548568021596E-2</v>
      </c>
      <c r="X507" s="594">
        <f t="shared" si="457"/>
        <v>4.3228966948841929E-2</v>
      </c>
      <c r="Y507" s="594">
        <f t="shared" si="458"/>
        <v>4.4251740445850896E-2</v>
      </c>
      <c r="AA507" s="594">
        <f t="shared" si="459"/>
        <v>9.2450996980697212E-2</v>
      </c>
      <c r="AB507" s="594">
        <f t="shared" si="460"/>
        <v>9.3375596302046449E-2</v>
      </c>
      <c r="AC507" s="594">
        <f t="shared" si="461"/>
        <v>9.4809006522605155E-2</v>
      </c>
      <c r="AD507" s="594">
        <f t="shared" si="462"/>
        <v>8.515448106175158E-2</v>
      </c>
      <c r="AE507" s="594">
        <f>+IFERROR(I507/I$454,0)</f>
        <v>0.11543789069895126</v>
      </c>
      <c r="AF507" s="594">
        <f t="shared" si="464"/>
        <v>0.10416732800263093</v>
      </c>
      <c r="AG507" s="594">
        <f t="shared" si="465"/>
        <v>0.10070168496071828</v>
      </c>
      <c r="AH507" s="594">
        <f t="shared" si="466"/>
        <v>0.10109775845122257</v>
      </c>
      <c r="AI507" s="594">
        <f t="shared" si="467"/>
        <v>0.10099874007859652</v>
      </c>
      <c r="AJ507" s="594">
        <f t="shared" si="468"/>
        <v>0.10099874007859652</v>
      </c>
      <c r="AL507" s="594">
        <f t="shared" si="469"/>
        <v>9.6245594313210336E-2</v>
      </c>
    </row>
    <row r="508" spans="2:38" outlineLevel="1">
      <c r="B508" s="562" t="s">
        <v>2343</v>
      </c>
      <c r="C508" s="562" t="s">
        <v>2352</v>
      </c>
      <c r="D508" s="572" t="s">
        <v>2137</v>
      </c>
      <c r="E508" s="664">
        <v>115174.21</v>
      </c>
      <c r="F508" s="664">
        <v>115324.78</v>
      </c>
      <c r="G508" s="665">
        <v>122981.5</v>
      </c>
      <c r="H508" s="665">
        <v>116325.93</v>
      </c>
      <c r="I508" s="665">
        <v>282175.21000000002</v>
      </c>
      <c r="J508" s="665">
        <v>112948.55</v>
      </c>
      <c r="K508" s="616">
        <f>+Costi!I13</f>
        <v>299072.20566439204</v>
      </c>
      <c r="L508" s="616">
        <f>+Costi!J13</f>
        <v>317860.65978136368</v>
      </c>
      <c r="M508" s="616">
        <f>+Costi!K13</f>
        <v>329582.30533271999</v>
      </c>
      <c r="N508" s="616">
        <f>+Costi!L13</f>
        <v>344166.89596384857</v>
      </c>
      <c r="O508" s="616">
        <f>+Costi!M13</f>
        <v>359396.88011409499</v>
      </c>
      <c r="Q508" s="594">
        <f t="shared" si="450"/>
        <v>1.307323922603798E-3</v>
      </c>
      <c r="R508" s="594">
        <f t="shared" si="451"/>
        <v>6.6392669467914889E-2</v>
      </c>
      <c r="S508" s="594">
        <f t="shared" si="452"/>
        <v>-5.4118464972373936E-2</v>
      </c>
      <c r="T508" s="594">
        <f t="shared" si="453"/>
        <v>1.4257292419669461</v>
      </c>
      <c r="U508" s="594">
        <f t="shared" si="454"/>
        <v>5.9881219418219001E-2</v>
      </c>
      <c r="V508" s="594">
        <f t="shared" si="455"/>
        <v>6.2822468156921829E-2</v>
      </c>
      <c r="W508" s="594">
        <f t="shared" si="456"/>
        <v>3.6876679106558452E-2</v>
      </c>
      <c r="X508" s="594">
        <f t="shared" si="457"/>
        <v>4.4251740445850452E-2</v>
      </c>
      <c r="Y508" s="594">
        <f t="shared" si="458"/>
        <v>4.4251740445850896E-2</v>
      </c>
      <c r="AA508" s="594">
        <f t="shared" si="459"/>
        <v>4.4374441461903303E-3</v>
      </c>
      <c r="AB508" s="594">
        <f t="shared" si="460"/>
        <v>4.6083897541675141E-3</v>
      </c>
      <c r="AC508" s="594">
        <f t="shared" si="461"/>
        <v>4.5807206494174347E-3</v>
      </c>
      <c r="AD508" s="594">
        <f t="shared" si="462"/>
        <v>3.7352841013518095E-3</v>
      </c>
      <c r="AE508" s="594">
        <f t="shared" si="463"/>
        <v>5.5305758408975454E-3</v>
      </c>
      <c r="AF508" s="594">
        <f t="shared" si="464"/>
        <v>4.5784828984049269E-3</v>
      </c>
      <c r="AG508" s="594">
        <f t="shared" si="465"/>
        <v>4.5784828984049269E-3</v>
      </c>
      <c r="AH508" s="594">
        <f t="shared" si="466"/>
        <v>4.5784828984049269E-3</v>
      </c>
      <c r="AI508" s="594">
        <f t="shared" si="467"/>
        <v>4.5784828984049269E-3</v>
      </c>
      <c r="AJ508" s="594">
        <f t="shared" si="468"/>
        <v>4.5784828984049269E-3</v>
      </c>
      <c r="AL508" s="594">
        <f t="shared" si="469"/>
        <v>4.5784828984049269E-3</v>
      </c>
    </row>
    <row r="509" spans="2:38" outlineLevel="1">
      <c r="B509" s="562" t="s">
        <v>2343</v>
      </c>
      <c r="C509" s="562" t="s">
        <v>2352</v>
      </c>
      <c r="D509" s="572" t="s">
        <v>2138</v>
      </c>
      <c r="E509" s="664">
        <v>3649.67</v>
      </c>
      <c r="F509" s="664">
        <v>211.5</v>
      </c>
      <c r="G509" s="665">
        <v>1625.21</v>
      </c>
      <c r="H509" s="665">
        <v>1989.27</v>
      </c>
      <c r="I509" s="665">
        <v>2374.63</v>
      </c>
      <c r="J509" s="665">
        <v>926.75</v>
      </c>
      <c r="K509" s="616">
        <f>+Costi!I14</f>
        <v>4180.8174324224992</v>
      </c>
      <c r="L509" s="616">
        <f>+Costi!J14</f>
        <v>4443.4667024407645</v>
      </c>
      <c r="M509" s="616">
        <f>+Costi!K14</f>
        <v>4607.3269981473504</v>
      </c>
      <c r="N509" s="616">
        <f>+Costi!L14</f>
        <v>4811.209236618527</v>
      </c>
      <c r="O509" s="616">
        <f>+Costi!M14</f>
        <v>5024.1136189880508</v>
      </c>
      <c r="Q509" s="594">
        <f t="shared" si="450"/>
        <v>-0.94204955516526157</v>
      </c>
      <c r="R509" s="594">
        <f t="shared" si="451"/>
        <v>6.6842080378250595</v>
      </c>
      <c r="S509" s="594">
        <f t="shared" si="452"/>
        <v>0.22400797435408348</v>
      </c>
      <c r="T509" s="594">
        <f t="shared" si="453"/>
        <v>0.19371930406631588</v>
      </c>
      <c r="U509" s="594">
        <f t="shared" si="454"/>
        <v>0.76061846789710352</v>
      </c>
      <c r="V509" s="594">
        <f t="shared" si="455"/>
        <v>6.2822468156921607E-2</v>
      </c>
      <c r="W509" s="594">
        <f t="shared" si="456"/>
        <v>3.6876679106558452E-2</v>
      </c>
      <c r="X509" s="594">
        <f t="shared" si="457"/>
        <v>4.4251740445850674E-2</v>
      </c>
      <c r="Y509" s="594">
        <f t="shared" si="458"/>
        <v>4.4251740445850896E-2</v>
      </c>
      <c r="AA509" s="594">
        <f t="shared" si="459"/>
        <v>1.4061487182787241E-4</v>
      </c>
      <c r="AB509" s="594">
        <f t="shared" si="460"/>
        <v>8.4515611736387376E-6</v>
      </c>
      <c r="AC509" s="594">
        <f t="shared" si="461"/>
        <v>6.053457639270711E-5</v>
      </c>
      <c r="AD509" s="594">
        <f t="shared" si="462"/>
        <v>6.3876459911355225E-5</v>
      </c>
      <c r="AE509" s="594">
        <f t="shared" si="463"/>
        <v>4.6542257589072186E-5</v>
      </c>
      <c r="AF509" s="594">
        <f t="shared" si="464"/>
        <v>6.4003945378929129E-5</v>
      </c>
      <c r="AG509" s="594">
        <f t="shared" si="465"/>
        <v>6.4003945378929129E-5</v>
      </c>
      <c r="AH509" s="594">
        <f t="shared" si="466"/>
        <v>6.4003945378929129E-5</v>
      </c>
      <c r="AI509" s="594">
        <f t="shared" si="467"/>
        <v>6.4003945378929129E-5</v>
      </c>
      <c r="AJ509" s="594">
        <f t="shared" si="468"/>
        <v>6.4003945378929129E-5</v>
      </c>
      <c r="AL509" s="594">
        <f t="shared" si="469"/>
        <v>6.4003945378929129E-5</v>
      </c>
    </row>
    <row r="510" spans="2:38" outlineLevel="1">
      <c r="B510" s="562" t="s">
        <v>2343</v>
      </c>
      <c r="C510" s="562" t="s">
        <v>2352</v>
      </c>
      <c r="D510" s="572" t="s">
        <v>2139</v>
      </c>
      <c r="E510" s="664">
        <v>0</v>
      </c>
      <c r="F510" s="664"/>
      <c r="G510" s="665">
        <v>698909.49</v>
      </c>
      <c r="H510" s="665">
        <v>1006076.69</v>
      </c>
      <c r="I510" s="665">
        <v>1627517.34</v>
      </c>
      <c r="J510" s="665">
        <v>675898.05</v>
      </c>
      <c r="K510" s="616">
        <f>+Costi!I15</f>
        <v>1240181.3963528646</v>
      </c>
      <c r="L510" s="616">
        <f>+Costi!J15</f>
        <v>1274239.7601985054</v>
      </c>
      <c r="M510" s="616">
        <f>+Costi!K15</f>
        <v>1326426.0671090533</v>
      </c>
      <c r="N510" s="616">
        <f>+Costi!L15</f>
        <v>1383766.0957241931</v>
      </c>
      <c r="O510" s="616">
        <f>+Costi!M15</f>
        <v>1445000.1538299485</v>
      </c>
      <c r="Q510" s="594">
        <f t="shared" si="450"/>
        <v>0</v>
      </c>
      <c r="R510" s="594">
        <f t="shared" si="451"/>
        <v>0</v>
      </c>
      <c r="S510" s="594">
        <f t="shared" si="452"/>
        <v>0.43949496235914598</v>
      </c>
      <c r="T510" s="594">
        <f t="shared" si="453"/>
        <v>0.61768715663216511</v>
      </c>
      <c r="U510" s="594">
        <f t="shared" si="454"/>
        <v>-0.23799189976503443</v>
      </c>
      <c r="V510" s="594">
        <f t="shared" si="455"/>
        <v>2.7462405052841365E-2</v>
      </c>
      <c r="W510" s="594">
        <f t="shared" si="456"/>
        <v>4.09548568021596E-2</v>
      </c>
      <c r="X510" s="594">
        <f t="shared" si="457"/>
        <v>4.3228966948842151E-2</v>
      </c>
      <c r="Y510" s="594">
        <f t="shared" si="458"/>
        <v>4.4251740445850896E-2</v>
      </c>
      <c r="AA510" s="594">
        <f t="shared" si="459"/>
        <v>0</v>
      </c>
      <c r="AB510" s="594">
        <f t="shared" si="460"/>
        <v>0</v>
      </c>
      <c r="AC510" s="594">
        <f t="shared" si="461"/>
        <v>2.6032444984951462E-2</v>
      </c>
      <c r="AD510" s="594">
        <f t="shared" si="462"/>
        <v>3.2305628374496152E-2</v>
      </c>
      <c r="AE510" s="594">
        <f t="shared" si="463"/>
        <v>3.189900374751501E-2</v>
      </c>
      <c r="AF510" s="594">
        <f t="shared" si="464"/>
        <v>1.8985881023304937E-2</v>
      </c>
      <c r="AG510" s="594">
        <f t="shared" si="465"/>
        <v>1.8354221483556196E-2</v>
      </c>
      <c r="AH510" s="594">
        <f t="shared" si="466"/>
        <v>1.8426411145241767E-2</v>
      </c>
      <c r="AI510" s="594">
        <f t="shared" si="467"/>
        <v>1.8408363729820378E-2</v>
      </c>
      <c r="AJ510" s="594">
        <f t="shared" si="468"/>
        <v>1.8408363729820375E-2</v>
      </c>
      <c r="AL510" s="594">
        <f t="shared" si="469"/>
        <v>1.8047415421392526E-2</v>
      </c>
    </row>
    <row r="511" spans="2:38" outlineLevel="1">
      <c r="B511" s="562" t="s">
        <v>2343</v>
      </c>
      <c r="C511" s="562" t="s">
        <v>2352</v>
      </c>
      <c r="D511" s="572" t="s">
        <v>2140</v>
      </c>
      <c r="E511" s="664">
        <v>40342.449999999997</v>
      </c>
      <c r="F511" s="664">
        <v>8196.25</v>
      </c>
      <c r="G511" s="665">
        <v>36120.699999999997</v>
      </c>
      <c r="H511" s="665">
        <v>40196.97</v>
      </c>
      <c r="I511" s="665">
        <v>64529.8</v>
      </c>
      <c r="J511" s="665">
        <v>32712.33</v>
      </c>
      <c r="K511" s="616">
        <f>+Costi!I16</f>
        <v>75547.325352664033</v>
      </c>
      <c r="L511" s="616">
        <f>+Costi!J16</f>
        <v>80293.394793972358</v>
      </c>
      <c r="M511" s="616">
        <f>+Costi!K16</f>
        <v>83254.348548165901</v>
      </c>
      <c r="N511" s="616">
        <f>+Costi!L16</f>
        <v>86938.498371107707</v>
      </c>
      <c r="O511" s="616">
        <f>+Costi!M16</f>
        <v>90785.678235778003</v>
      </c>
      <c r="Q511" s="594">
        <f t="shared" si="450"/>
        <v>-0.79683311251547684</v>
      </c>
      <c r="R511" s="594">
        <f t="shared" si="451"/>
        <v>3.4069788012810731</v>
      </c>
      <c r="S511" s="594">
        <f t="shared" si="452"/>
        <v>0.1128513567012821</v>
      </c>
      <c r="T511" s="594">
        <f t="shared" si="453"/>
        <v>0.6053399049729371</v>
      </c>
      <c r="U511" s="594">
        <f t="shared" si="454"/>
        <v>0.17073546412144514</v>
      </c>
      <c r="V511" s="594">
        <f t="shared" si="455"/>
        <v>6.2822468156921607E-2</v>
      </c>
      <c r="W511" s="594">
        <f t="shared" si="456"/>
        <v>3.6876679106558674E-2</v>
      </c>
      <c r="X511" s="594">
        <f t="shared" si="457"/>
        <v>4.4251740445850452E-2</v>
      </c>
      <c r="Y511" s="594">
        <f t="shared" si="458"/>
        <v>4.4251740445850896E-2</v>
      </c>
      <c r="AA511" s="594">
        <f t="shared" si="459"/>
        <v>1.5543181810882493E-3</v>
      </c>
      <c r="AB511" s="594">
        <f t="shared" si="460"/>
        <v>3.2752297054107092E-4</v>
      </c>
      <c r="AC511" s="594">
        <f t="shared" si="461"/>
        <v>1.3453961478873842E-3</v>
      </c>
      <c r="AD511" s="594">
        <f t="shared" si="462"/>
        <v>1.2907449178658245E-3</v>
      </c>
      <c r="AE511" s="594">
        <f t="shared" si="463"/>
        <v>1.2647707532421094E-3</v>
      </c>
      <c r="AF511" s="594">
        <f t="shared" si="464"/>
        <v>1.156550594124928E-3</v>
      </c>
      <c r="AG511" s="594">
        <f t="shared" si="465"/>
        <v>1.1565505941249278E-3</v>
      </c>
      <c r="AH511" s="594">
        <f t="shared" si="466"/>
        <v>1.1565505941249278E-3</v>
      </c>
      <c r="AI511" s="594">
        <f t="shared" si="467"/>
        <v>1.1565505941249278E-3</v>
      </c>
      <c r="AJ511" s="594">
        <f t="shared" si="468"/>
        <v>1.1565505941249278E-3</v>
      </c>
      <c r="AL511" s="594">
        <f t="shared" si="469"/>
        <v>1.1565505941249278E-3</v>
      </c>
    </row>
    <row r="512" spans="2:38" outlineLevel="1">
      <c r="B512" s="562" t="s">
        <v>2343</v>
      </c>
      <c r="C512" s="562" t="s">
        <v>2352</v>
      </c>
      <c r="D512" s="572" t="s">
        <v>2141</v>
      </c>
      <c r="E512" s="664">
        <v>0</v>
      </c>
      <c r="F512" s="664"/>
      <c r="G512" s="665">
        <v>1990.06</v>
      </c>
      <c r="H512" s="665">
        <v>6694.12</v>
      </c>
      <c r="I512" s="665">
        <v>4067.69</v>
      </c>
      <c r="J512" s="665">
        <v>905.39</v>
      </c>
      <c r="K512" s="616">
        <f>+Costi!I17</f>
        <v>4818.1169219708509</v>
      </c>
      <c r="L512" s="616">
        <f>+Costi!J17</f>
        <v>5120.80291887769</v>
      </c>
      <c r="M512" s="616">
        <f>+Costi!K17</f>
        <v>5309.6411248850709</v>
      </c>
      <c r="N512" s="616">
        <f>+Costi!L17</f>
        <v>5544.6019858040991</v>
      </c>
      <c r="O512" s="616">
        <f>+Costi!M17</f>
        <v>5789.9602737554515</v>
      </c>
      <c r="Q512" s="594">
        <f t="shared" si="450"/>
        <v>0</v>
      </c>
      <c r="R512" s="594">
        <f t="shared" si="451"/>
        <v>0</v>
      </c>
      <c r="S512" s="594">
        <f t="shared" si="452"/>
        <v>2.363777976543421</v>
      </c>
      <c r="T512" s="594">
        <f t="shared" si="453"/>
        <v>-0.39234880761026092</v>
      </c>
      <c r="U512" s="594">
        <f t="shared" si="454"/>
        <v>0.18448478668995194</v>
      </c>
      <c r="V512" s="594">
        <f t="shared" si="455"/>
        <v>6.2822468156921607E-2</v>
      </c>
      <c r="W512" s="594">
        <f t="shared" si="456"/>
        <v>3.6876679106558452E-2</v>
      </c>
      <c r="X512" s="594">
        <f t="shared" si="457"/>
        <v>4.4251740445850452E-2</v>
      </c>
      <c r="Y512" s="594">
        <f t="shared" si="458"/>
        <v>4.4251740445850896E-2</v>
      </c>
      <c r="AA512" s="594">
        <f t="shared" si="459"/>
        <v>0</v>
      </c>
      <c r="AB512" s="594">
        <f t="shared" si="460"/>
        <v>0</v>
      </c>
      <c r="AC512" s="594">
        <f t="shared" si="461"/>
        <v>7.4124229543302535E-5</v>
      </c>
      <c r="AD512" s="594">
        <f t="shared" si="462"/>
        <v>2.1495155902507014E-4</v>
      </c>
      <c r="AE512" s="594">
        <f t="shared" si="463"/>
        <v>7.9725883936652457E-5</v>
      </c>
      <c r="AF512" s="594">
        <f t="shared" si="464"/>
        <v>7.3760334501005018E-5</v>
      </c>
      <c r="AG512" s="594">
        <f t="shared" si="465"/>
        <v>7.3760334501005018E-5</v>
      </c>
      <c r="AH512" s="594">
        <f t="shared" si="466"/>
        <v>7.3760334501005018E-5</v>
      </c>
      <c r="AI512" s="594">
        <f t="shared" si="467"/>
        <v>7.3760334501005018E-5</v>
      </c>
      <c r="AJ512" s="594">
        <f t="shared" si="468"/>
        <v>7.3760334501005018E-5</v>
      </c>
      <c r="AL512" s="594">
        <f t="shared" si="469"/>
        <v>7.3760334501005018E-5</v>
      </c>
    </row>
    <row r="513" spans="2:38" outlineLevel="1">
      <c r="B513" s="562" t="s">
        <v>2343</v>
      </c>
      <c r="C513" s="562" t="s">
        <v>2352</v>
      </c>
      <c r="D513" s="572" t="s">
        <v>2142</v>
      </c>
      <c r="E513" s="664">
        <v>7301.17</v>
      </c>
      <c r="F513" s="664">
        <v>40.74</v>
      </c>
      <c r="G513" s="665">
        <v>9208.5499999999993</v>
      </c>
      <c r="H513" s="665">
        <v>11312.88</v>
      </c>
      <c r="I513" s="665">
        <v>0</v>
      </c>
      <c r="J513" s="665">
        <v>2458.27</v>
      </c>
      <c r="K513" s="616">
        <f>+Costi!I18</f>
        <v>12922.939683132092</v>
      </c>
      <c r="L513" s="616">
        <f>+Costi!J18</f>
        <v>13734.790649869477</v>
      </c>
      <c r="M513" s="616">
        <f>+Costi!K18</f>
        <v>14241.284117260475</v>
      </c>
      <c r="N513" s="616">
        <f>+Costi!L18</f>
        <v>14871.485725633098</v>
      </c>
      <c r="O513" s="616">
        <f>+Costi!M18</f>
        <v>15529.574852007992</v>
      </c>
      <c r="Q513" s="594">
        <f t="shared" si="450"/>
        <v>-0.99442007239935515</v>
      </c>
      <c r="R513" s="594">
        <f t="shared" si="451"/>
        <v>225.03215513009326</v>
      </c>
      <c r="S513" s="594">
        <f t="shared" si="452"/>
        <v>0.22851914796574913</v>
      </c>
      <c r="T513" s="594">
        <f t="shared" si="453"/>
        <v>-1</v>
      </c>
      <c r="U513" s="594">
        <f t="shared" si="454"/>
        <v>0</v>
      </c>
      <c r="V513" s="594">
        <f t="shared" si="455"/>
        <v>6.2822468156921607E-2</v>
      </c>
      <c r="W513" s="594">
        <f t="shared" si="456"/>
        <v>3.6876679106558452E-2</v>
      </c>
      <c r="X513" s="594">
        <f t="shared" si="457"/>
        <v>4.4251740445850452E-2</v>
      </c>
      <c r="Y513" s="594">
        <f t="shared" si="458"/>
        <v>4.4251740445851118E-2</v>
      </c>
      <c r="AA513" s="594">
        <f t="shared" si="459"/>
        <v>2.8130025008932512E-4</v>
      </c>
      <c r="AB513" s="594">
        <f t="shared" si="460"/>
        <v>1.6279744785533908E-6</v>
      </c>
      <c r="AC513" s="594">
        <f t="shared" si="461"/>
        <v>3.4299301225137861E-4</v>
      </c>
      <c r="AD513" s="594">
        <f t="shared" si="462"/>
        <v>3.6326226495245607E-4</v>
      </c>
      <c r="AE513" s="594">
        <f t="shared" si="463"/>
        <v>0</v>
      </c>
      <c r="AF513" s="594">
        <f t="shared" si="464"/>
        <v>1.9783670035434264E-4</v>
      </c>
      <c r="AG513" s="594">
        <f t="shared" si="465"/>
        <v>1.9783670035434264E-4</v>
      </c>
      <c r="AH513" s="594">
        <f t="shared" si="466"/>
        <v>1.9783670035434264E-4</v>
      </c>
      <c r="AI513" s="594">
        <f t="shared" si="467"/>
        <v>1.9783670035434264E-4</v>
      </c>
      <c r="AJ513" s="594">
        <f t="shared" si="468"/>
        <v>1.9783670035434264E-4</v>
      </c>
      <c r="AL513" s="594">
        <f t="shared" si="469"/>
        <v>1.9783670035434264E-4</v>
      </c>
    </row>
    <row r="514" spans="2:38" outlineLevel="1">
      <c r="B514" s="562" t="s">
        <v>2343</v>
      </c>
      <c r="C514" s="562" t="s">
        <v>2352</v>
      </c>
      <c r="D514" s="572" t="s">
        <v>2143</v>
      </c>
      <c r="E514" s="664">
        <v>35553.379999999997</v>
      </c>
      <c r="F514" s="664">
        <v>21008.57</v>
      </c>
      <c r="G514" s="665">
        <v>16454.36</v>
      </c>
      <c r="H514" s="665">
        <v>25116.95</v>
      </c>
      <c r="I514" s="665">
        <v>49184.47</v>
      </c>
      <c r="J514" s="665">
        <v>0</v>
      </c>
      <c r="K514" s="616">
        <f>+Costi!I19</f>
        <v>60000.329520350795</v>
      </c>
      <c r="L514" s="616">
        <f>+Costi!J19</f>
        <v>63769.69831104784</v>
      </c>
      <c r="M514" s="616">
        <f>+Costi!K19</f>
        <v>66121.313012386396</v>
      </c>
      <c r="N514" s="616">
        <f>+Costi!L19</f>
        <v>69047.296193749367</v>
      </c>
      <c r="O514" s="616">
        <f>+Costi!M19</f>
        <v>72102.759223402958</v>
      </c>
      <c r="Q514" s="594">
        <f t="shared" si="450"/>
        <v>-0.40909781292242819</v>
      </c>
      <c r="R514" s="594">
        <f t="shared" si="451"/>
        <v>-0.21677867651153793</v>
      </c>
      <c r="S514" s="594">
        <f t="shared" si="452"/>
        <v>0.52646167945760269</v>
      </c>
      <c r="T514" s="594">
        <f t="shared" si="453"/>
        <v>0.95821825500309554</v>
      </c>
      <c r="U514" s="594">
        <f t="shared" si="454"/>
        <v>0.21990395586962297</v>
      </c>
      <c r="V514" s="594">
        <f t="shared" si="455"/>
        <v>6.2822468156921607E-2</v>
      </c>
      <c r="W514" s="594">
        <f t="shared" si="456"/>
        <v>3.6876679106558452E-2</v>
      </c>
      <c r="X514" s="594">
        <f t="shared" si="457"/>
        <v>4.4251740445850674E-2</v>
      </c>
      <c r="Y514" s="594">
        <f t="shared" si="458"/>
        <v>4.4251740445850896E-2</v>
      </c>
      <c r="AA514" s="594">
        <f t="shared" si="459"/>
        <v>1.3698043855328405E-3</v>
      </c>
      <c r="AB514" s="594">
        <f t="shared" si="460"/>
        <v>8.3950456040506646E-4</v>
      </c>
      <c r="AC514" s="594">
        <f t="shared" si="461"/>
        <v>6.1287938937928282E-4</v>
      </c>
      <c r="AD514" s="594">
        <f t="shared" si="462"/>
        <v>8.0651789338325808E-4</v>
      </c>
      <c r="AE514" s="594">
        <f t="shared" si="463"/>
        <v>9.6400545437478388E-4</v>
      </c>
      <c r="AF514" s="594">
        <f t="shared" si="464"/>
        <v>9.1854233661504644E-4</v>
      </c>
      <c r="AG514" s="594">
        <f t="shared" si="465"/>
        <v>9.1854233661504644E-4</v>
      </c>
      <c r="AH514" s="594">
        <f t="shared" si="466"/>
        <v>9.1854233661504633E-4</v>
      </c>
      <c r="AI514" s="594">
        <f t="shared" si="467"/>
        <v>9.1854233661504655E-4</v>
      </c>
      <c r="AJ514" s="594">
        <f t="shared" si="468"/>
        <v>9.1854233661504655E-4</v>
      </c>
      <c r="AL514" s="594">
        <f t="shared" si="469"/>
        <v>9.1854233661504644E-4</v>
      </c>
    </row>
    <row r="515" spans="2:38" outlineLevel="1">
      <c r="B515" s="562" t="s">
        <v>2343</v>
      </c>
      <c r="C515" s="562" t="s">
        <v>2352</v>
      </c>
      <c r="D515" s="572" t="s">
        <v>2144</v>
      </c>
      <c r="E515" s="664">
        <v>2156168.75</v>
      </c>
      <c r="F515" s="664">
        <v>2030204.05</v>
      </c>
      <c r="G515" s="665">
        <v>1605814.36</v>
      </c>
      <c r="H515" s="665">
        <v>2199671.38</v>
      </c>
      <c r="I515" s="665">
        <v>3565819.68</v>
      </c>
      <c r="J515" s="665">
        <v>2242963.29</v>
      </c>
      <c r="K515" s="616">
        <f>+Costi!I20</f>
        <v>5010009.7162898742</v>
      </c>
      <c r="L515" s="616">
        <f>+Costi!J20</f>
        <v>5147596.6324372981</v>
      </c>
      <c r="M515" s="616">
        <f>+Costi!K20</f>
        <v>5358415.7153940471</v>
      </c>
      <c r="N515" s="616">
        <f>+Costi!L20</f>
        <v>5590054.4912529718</v>
      </c>
      <c r="O515" s="616">
        <f>+Costi!M20</f>
        <v>5837424.1316780606</v>
      </c>
      <c r="Q515" s="594">
        <f t="shared" si="450"/>
        <v>-5.8420612950632944E-2</v>
      </c>
      <c r="R515" s="594">
        <f t="shared" si="451"/>
        <v>-0.2090379486731887</v>
      </c>
      <c r="S515" s="594">
        <f t="shared" si="452"/>
        <v>0.3698167327386459</v>
      </c>
      <c r="T515" s="594">
        <f t="shared" si="453"/>
        <v>0.62106927081080654</v>
      </c>
      <c r="U515" s="594">
        <f t="shared" si="454"/>
        <v>0.40500927301233403</v>
      </c>
      <c r="V515" s="594">
        <f t="shared" si="455"/>
        <v>2.7462405052841365E-2</v>
      </c>
      <c r="W515" s="594">
        <f t="shared" si="456"/>
        <v>4.09548568021596E-2</v>
      </c>
      <c r="X515" s="594">
        <f t="shared" si="457"/>
        <v>4.3228966948841929E-2</v>
      </c>
      <c r="Y515" s="594">
        <f t="shared" si="458"/>
        <v>4.4251740445850674E-2</v>
      </c>
      <c r="AA515" s="594">
        <f t="shared" si="459"/>
        <v>8.3073097682945005E-2</v>
      </c>
      <c r="AB515" s="594">
        <f t="shared" si="460"/>
        <v>8.1127157085314983E-2</v>
      </c>
      <c r="AC515" s="594">
        <f t="shared" si="461"/>
        <v>5.9812142460313487E-2</v>
      </c>
      <c r="AD515" s="594">
        <f t="shared" si="462"/>
        <v>7.0632554013645918E-2</v>
      </c>
      <c r="AE515" s="594">
        <f t="shared" si="463"/>
        <v>6.988932931140554E-2</v>
      </c>
      <c r="AF515" s="594">
        <f t="shared" si="464"/>
        <v>7.6698012628482679E-2</v>
      </c>
      <c r="AG515" s="594">
        <f t="shared" si="465"/>
        <v>7.4146272664607285E-2</v>
      </c>
      <c r="AH515" s="594">
        <f t="shared" si="466"/>
        <v>7.4437900089050199E-2</v>
      </c>
      <c r="AI515" s="594">
        <f t="shared" si="467"/>
        <v>7.4364993232939477E-2</v>
      </c>
      <c r="AJ515" s="594">
        <f t="shared" si="468"/>
        <v>7.4364993232939464E-2</v>
      </c>
      <c r="AL515" s="594">
        <f t="shared" si="469"/>
        <v>7.2906856110724977E-2</v>
      </c>
    </row>
    <row r="516" spans="2:38" outlineLevel="1">
      <c r="B516" s="562" t="s">
        <v>2343</v>
      </c>
      <c r="C516" s="562" t="s">
        <v>2352</v>
      </c>
      <c r="D516" s="572" t="s">
        <v>2145</v>
      </c>
      <c r="E516" s="664">
        <v>15377.39</v>
      </c>
      <c r="F516" s="664">
        <v>18524.650000000001</v>
      </c>
      <c r="G516" s="665">
        <v>30056.19</v>
      </c>
      <c r="H516" s="665">
        <v>28660.73</v>
      </c>
      <c r="I516" s="665">
        <v>19388.68</v>
      </c>
      <c r="J516" s="665">
        <v>23791.89</v>
      </c>
      <c r="K516" s="616">
        <f>+Costi!I21</f>
        <v>49024.157590487761</v>
      </c>
      <c r="L516" s="616">
        <f>+Costi!J21</f>
        <v>52103.976169636087</v>
      </c>
      <c r="M516" s="616">
        <f>+Costi!K21</f>
        <v>54025.397779019535</v>
      </c>
      <c r="N516" s="616">
        <f>+Costi!L21</f>
        <v>56416.115659020536</v>
      </c>
      <c r="O516" s="616">
        <f>+Costi!M21</f>
        <v>58912.62696612662</v>
      </c>
      <c r="Q516" s="594">
        <f t="shared" si="450"/>
        <v>0.20466802233669057</v>
      </c>
      <c r="R516" s="594">
        <f t="shared" si="451"/>
        <v>0.6224970512263388</v>
      </c>
      <c r="S516" s="594">
        <f t="shared" si="452"/>
        <v>-4.6428372990721667E-2</v>
      </c>
      <c r="T516" s="594">
        <f t="shared" si="453"/>
        <v>-0.32351060143967025</v>
      </c>
      <c r="U516" s="594">
        <f t="shared" si="454"/>
        <v>1.5284938216777912</v>
      </c>
      <c r="V516" s="594">
        <f t="shared" si="455"/>
        <v>6.2822468156921607E-2</v>
      </c>
      <c r="W516" s="594">
        <f t="shared" si="456"/>
        <v>3.6876679106558674E-2</v>
      </c>
      <c r="X516" s="594">
        <f t="shared" si="457"/>
        <v>4.4251740445850452E-2</v>
      </c>
      <c r="Y516" s="594">
        <f t="shared" si="458"/>
        <v>4.4251740445850896E-2</v>
      </c>
      <c r="AA516" s="594">
        <f t="shared" si="459"/>
        <v>5.9246170856466665E-4</v>
      </c>
      <c r="AB516" s="594">
        <f t="shared" si="460"/>
        <v>7.4024686853544611E-4</v>
      </c>
      <c r="AC516" s="594">
        <f t="shared" si="461"/>
        <v>1.119509927719322E-3</v>
      </c>
      <c r="AD516" s="594">
        <f t="shared" si="462"/>
        <v>9.2031045100724189E-4</v>
      </c>
      <c r="AE516" s="594">
        <f t="shared" si="463"/>
        <v>3.800141238306987E-4</v>
      </c>
      <c r="AF516" s="594">
        <f t="shared" si="464"/>
        <v>7.5050861593147498E-4</v>
      </c>
      <c r="AG516" s="594">
        <f t="shared" si="465"/>
        <v>7.5050861593147498E-4</v>
      </c>
      <c r="AH516" s="594">
        <f t="shared" si="466"/>
        <v>7.5050861593147498E-4</v>
      </c>
      <c r="AI516" s="594">
        <f t="shared" si="467"/>
        <v>7.5050861593147498E-4</v>
      </c>
      <c r="AJ516" s="594">
        <f t="shared" si="468"/>
        <v>7.5050861593147498E-4</v>
      </c>
      <c r="AL516" s="594">
        <f t="shared" si="469"/>
        <v>7.5050861593147498E-4</v>
      </c>
    </row>
    <row r="517" spans="2:38" outlineLevel="1">
      <c r="B517" s="562" t="s">
        <v>2343</v>
      </c>
      <c r="C517" s="562" t="s">
        <v>2352</v>
      </c>
      <c r="D517" s="572" t="s">
        <v>2146</v>
      </c>
      <c r="E517" s="664">
        <v>3110.36</v>
      </c>
      <c r="F517" s="664">
        <v>9044.74</v>
      </c>
      <c r="G517" s="665">
        <v>11973.81</v>
      </c>
      <c r="H517" s="665">
        <v>16304.63</v>
      </c>
      <c r="I517" s="665">
        <v>23699.919999999998</v>
      </c>
      <c r="J517" s="665">
        <v>10341.129999999999</v>
      </c>
      <c r="K517" s="616">
        <f>+Costi!I22</f>
        <v>25022.213647762615</v>
      </c>
      <c r="L517" s="616">
        <f>+Costi!J22</f>
        <v>26594.170867864876</v>
      </c>
      <c r="M517" s="616">
        <f>+Costi!K22</f>
        <v>27574.875573064117</v>
      </c>
      <c r="N517" s="616">
        <f>+Costi!L22</f>
        <v>28795.111809749971</v>
      </c>
      <c r="O517" s="616">
        <f>+Costi!M22</f>
        <v>30069.345623664285</v>
      </c>
      <c r="Q517" s="594">
        <f t="shared" si="450"/>
        <v>1.9079399169227997</v>
      </c>
      <c r="R517" s="594">
        <f t="shared" si="451"/>
        <v>0.32384236583915071</v>
      </c>
      <c r="S517" s="594">
        <f t="shared" si="452"/>
        <v>0.36169105739944096</v>
      </c>
      <c r="T517" s="594">
        <f t="shared" si="453"/>
        <v>0.45356993688295888</v>
      </c>
      <c r="U517" s="594">
        <f t="shared" si="454"/>
        <v>5.5793169249626962E-2</v>
      </c>
      <c r="V517" s="594">
        <f t="shared" si="455"/>
        <v>6.2822468156921829E-2</v>
      </c>
      <c r="W517" s="594">
        <f t="shared" si="456"/>
        <v>3.6876679106558674E-2</v>
      </c>
      <c r="X517" s="594">
        <f t="shared" si="457"/>
        <v>4.4251740445850452E-2</v>
      </c>
      <c r="Y517" s="594">
        <f t="shared" si="458"/>
        <v>4.4251740445850896E-2</v>
      </c>
      <c r="AA517" s="594">
        <f t="shared" si="459"/>
        <v>1.1983627909880653E-4</v>
      </c>
      <c r="AB517" s="594">
        <f t="shared" si="460"/>
        <v>3.6142871588490415E-4</v>
      </c>
      <c r="AC517" s="594">
        <f t="shared" si="461"/>
        <v>4.4599129722113466E-4</v>
      </c>
      <c r="AD517" s="594">
        <f t="shared" si="462"/>
        <v>5.2354986732041395E-4</v>
      </c>
      <c r="AE517" s="594">
        <f t="shared" si="463"/>
        <v>4.645135374691651E-4</v>
      </c>
      <c r="AF517" s="594">
        <f t="shared" si="464"/>
        <v>3.8306393939888485E-4</v>
      </c>
      <c r="AG517" s="594">
        <f t="shared" si="465"/>
        <v>3.8306393939888485E-4</v>
      </c>
      <c r="AH517" s="594">
        <f t="shared" si="466"/>
        <v>3.8306393939888485E-4</v>
      </c>
      <c r="AI517" s="594">
        <f t="shared" si="467"/>
        <v>3.8306393939888485E-4</v>
      </c>
      <c r="AJ517" s="594">
        <f t="shared" si="468"/>
        <v>3.8306393939888485E-4</v>
      </c>
      <c r="AL517" s="594">
        <f t="shared" si="469"/>
        <v>3.8306393939888485E-4</v>
      </c>
    </row>
    <row r="518" spans="2:38" outlineLevel="1">
      <c r="B518" s="562" t="s">
        <v>2343</v>
      </c>
      <c r="C518" s="562" t="s">
        <v>2352</v>
      </c>
      <c r="D518" s="572" t="s">
        <v>2147</v>
      </c>
      <c r="E518" s="664">
        <v>27137.55</v>
      </c>
      <c r="F518" s="664">
        <v>6849.41</v>
      </c>
      <c r="G518" s="665">
        <v>28754.62</v>
      </c>
      <c r="H518" s="665">
        <v>72087.08</v>
      </c>
      <c r="I518" s="665">
        <v>107419.3</v>
      </c>
      <c r="J518" s="665">
        <v>41266.22</v>
      </c>
      <c r="K518" s="616">
        <f>+Costi!I23</f>
        <v>88973.285135577025</v>
      </c>
      <c r="L518" s="616">
        <f>+Costi!J23</f>
        <v>94562.806507823538</v>
      </c>
      <c r="M518" s="616">
        <f>+Costi!K23</f>
        <v>98049.96877882813</v>
      </c>
      <c r="N518" s="616">
        <f>+Costi!L23</f>
        <v>102388.85054795258</v>
      </c>
      <c r="O518" s="616">
        <f>+Costi!M23</f>
        <v>106919.7353869496</v>
      </c>
      <c r="Q518" s="594">
        <f t="shared" si="450"/>
        <v>-0.74760396572277155</v>
      </c>
      <c r="R518" s="594">
        <f t="shared" si="451"/>
        <v>3.1981163341076089</v>
      </c>
      <c r="S518" s="594">
        <f t="shared" si="452"/>
        <v>1.506973835856638</v>
      </c>
      <c r="T518" s="594">
        <f t="shared" si="453"/>
        <v>0.49013248976099466</v>
      </c>
      <c r="U518" s="594">
        <f t="shared" si="454"/>
        <v>-0.17171974556176572</v>
      </c>
      <c r="V518" s="594">
        <f t="shared" si="455"/>
        <v>6.2822468156921829E-2</v>
      </c>
      <c r="W518" s="594">
        <f t="shared" si="456"/>
        <v>3.6876679106558452E-2</v>
      </c>
      <c r="X518" s="594">
        <f t="shared" si="457"/>
        <v>4.4251740445850452E-2</v>
      </c>
      <c r="Y518" s="594">
        <f t="shared" si="458"/>
        <v>4.4251740445850896E-2</v>
      </c>
      <c r="AA518" s="594">
        <f t="shared" si="459"/>
        <v>1.0455583970530155E-3</v>
      </c>
      <c r="AB518" s="594">
        <f t="shared" si="460"/>
        <v>2.7370310930653852E-4</v>
      </c>
      <c r="AC518" s="594">
        <f t="shared" si="461"/>
        <v>1.0710300459837582E-3</v>
      </c>
      <c r="AD518" s="594">
        <f t="shared" si="462"/>
        <v>2.3147523844157191E-3</v>
      </c>
      <c r="AE518" s="594">
        <f t="shared" si="463"/>
        <v>2.1053960956603016E-3</v>
      </c>
      <c r="AF518" s="594">
        <f t="shared" si="464"/>
        <v>1.3620880064838666E-3</v>
      </c>
      <c r="AG518" s="594">
        <f t="shared" si="465"/>
        <v>1.3620880064838666E-3</v>
      </c>
      <c r="AH518" s="594">
        <f t="shared" si="466"/>
        <v>1.3620880064838666E-3</v>
      </c>
      <c r="AI518" s="594">
        <f t="shared" si="467"/>
        <v>1.3620880064838666E-3</v>
      </c>
      <c r="AJ518" s="594">
        <f t="shared" si="468"/>
        <v>1.3620880064838666E-3</v>
      </c>
      <c r="AL518" s="594">
        <f t="shared" si="469"/>
        <v>1.3620880064838666E-3</v>
      </c>
    </row>
    <row r="519" spans="2:38" outlineLevel="1">
      <c r="B519" s="562" t="s">
        <v>2343</v>
      </c>
      <c r="C519" s="562" t="s">
        <v>2352</v>
      </c>
      <c r="D519" s="572" t="s">
        <v>2148</v>
      </c>
      <c r="E519" s="664">
        <v>91106.89</v>
      </c>
      <c r="F519" s="664">
        <v>91915.54</v>
      </c>
      <c r="G519" s="665">
        <v>77514.92</v>
      </c>
      <c r="H519" s="665">
        <v>93733.52</v>
      </c>
      <c r="I519" s="665">
        <v>263934.15000000002</v>
      </c>
      <c r="J519" s="665">
        <v>79651.009999999995</v>
      </c>
      <c r="K519" s="616">
        <f>+Costi!I24</f>
        <v>238464.76588338555</v>
      </c>
      <c r="L519" s="616">
        <f>+Costi!J24</f>
        <v>253445.71104464232</v>
      </c>
      <c r="M519" s="616">
        <f>+Costi!K24</f>
        <v>262791.94720176916</v>
      </c>
      <c r="N519" s="616">
        <f>+Costi!L24</f>
        <v>274420.94824060152</v>
      </c>
      <c r="O519" s="616">
        <f>+Costi!M24</f>
        <v>286564.5528150489</v>
      </c>
      <c r="Q519" s="594">
        <f t="shared" si="450"/>
        <v>8.8758380403501924E-3</v>
      </c>
      <c r="R519" s="594">
        <f t="shared" si="451"/>
        <v>-0.1566723102535218</v>
      </c>
      <c r="S519" s="594">
        <f t="shared" si="452"/>
        <v>0.20923197753413159</v>
      </c>
      <c r="T519" s="594">
        <f t="shared" si="453"/>
        <v>1.8157925787914504</v>
      </c>
      <c r="U519" s="594">
        <f t="shared" si="454"/>
        <v>-9.6499009759117849E-2</v>
      </c>
      <c r="V519" s="594">
        <f t="shared" si="455"/>
        <v>6.2822468156921607E-2</v>
      </c>
      <c r="W519" s="594">
        <f t="shared" si="456"/>
        <v>3.6876679106558674E-2</v>
      </c>
      <c r="X519" s="594">
        <f t="shared" si="457"/>
        <v>4.4251740445850674E-2</v>
      </c>
      <c r="Y519" s="594">
        <f t="shared" si="458"/>
        <v>4.4251740445850896E-2</v>
      </c>
      <c r="AA519" s="594">
        <f t="shared" si="459"/>
        <v>3.5101758953511057E-3</v>
      </c>
      <c r="AB519" s="594">
        <f t="shared" si="460"/>
        <v>3.6729541802271309E-3</v>
      </c>
      <c r="AC519" s="594">
        <f t="shared" si="461"/>
        <v>2.8872163266990603E-3</v>
      </c>
      <c r="AD519" s="594">
        <f t="shared" si="462"/>
        <v>3.0098304567153849E-3</v>
      </c>
      <c r="AE519" s="594">
        <f t="shared" si="463"/>
        <v>5.173054832059233E-3</v>
      </c>
      <c r="AF519" s="594">
        <f t="shared" si="464"/>
        <v>3.6506463382103829E-3</v>
      </c>
      <c r="AG519" s="594">
        <f t="shared" si="465"/>
        <v>3.6506463382103829E-3</v>
      </c>
      <c r="AH519" s="594">
        <f t="shared" si="466"/>
        <v>3.6506463382103829E-3</v>
      </c>
      <c r="AI519" s="594">
        <f t="shared" si="467"/>
        <v>3.6506463382103833E-3</v>
      </c>
      <c r="AJ519" s="594">
        <f t="shared" si="468"/>
        <v>3.6506463382103829E-3</v>
      </c>
      <c r="AL519" s="594">
        <f t="shared" si="469"/>
        <v>3.6506463382103829E-3</v>
      </c>
    </row>
    <row r="520" spans="2:38" outlineLevel="1">
      <c r="B520" s="562" t="s">
        <v>2343</v>
      </c>
      <c r="C520" s="562" t="s">
        <v>2352</v>
      </c>
      <c r="D520" s="572" t="s">
        <v>2149</v>
      </c>
      <c r="E520" s="664">
        <v>438513.45</v>
      </c>
      <c r="F520" s="664">
        <v>581930.92000000004</v>
      </c>
      <c r="G520" s="665">
        <v>614346.26</v>
      </c>
      <c r="H520" s="665">
        <v>684949.21</v>
      </c>
      <c r="I520" s="665">
        <v>884169.96</v>
      </c>
      <c r="J520" s="665">
        <v>365842.06</v>
      </c>
      <c r="K520" s="616">
        <f>+Costi!I25</f>
        <v>1388498.9747399236</v>
      </c>
      <c r="L520" s="616">
        <f>+Costi!J25</f>
        <v>1475727.9073664409</v>
      </c>
      <c r="M520" s="616">
        <f>+Costi!K25</f>
        <v>1530147.8518549863</v>
      </c>
      <c r="N520" s="616">
        <f>+Costi!L25</f>
        <v>1597859.557439049</v>
      </c>
      <c r="O520" s="616">
        <f>+Costi!M25</f>
        <v>1668567.623843764</v>
      </c>
      <c r="Q520" s="594">
        <f t="shared" si="450"/>
        <v>0.327053753995459</v>
      </c>
      <c r="R520" s="594">
        <f t="shared" si="451"/>
        <v>5.5703072110345975E-2</v>
      </c>
      <c r="S520" s="594">
        <f t="shared" si="452"/>
        <v>0.11492370768237437</v>
      </c>
      <c r="T520" s="594">
        <f t="shared" si="453"/>
        <v>0.29085477739291066</v>
      </c>
      <c r="U520" s="594">
        <f t="shared" si="454"/>
        <v>0.57039826906121505</v>
      </c>
      <c r="V520" s="594">
        <f t="shared" si="455"/>
        <v>6.2822468156921607E-2</v>
      </c>
      <c r="W520" s="594">
        <f t="shared" si="456"/>
        <v>3.6876679106558452E-2</v>
      </c>
      <c r="X520" s="594">
        <f t="shared" si="457"/>
        <v>4.4251740445850674E-2</v>
      </c>
      <c r="Y520" s="594">
        <f t="shared" si="458"/>
        <v>4.4251740445850896E-2</v>
      </c>
      <c r="AA520" s="594">
        <f t="shared" si="459"/>
        <v>1.6895092588247194E-2</v>
      </c>
      <c r="AB520" s="594">
        <f t="shared" si="460"/>
        <v>2.3254017821332719E-2</v>
      </c>
      <c r="AC520" s="594">
        <f t="shared" si="461"/>
        <v>2.2882698609745143E-2</v>
      </c>
      <c r="AD520" s="594">
        <f t="shared" si="462"/>
        <v>2.1994063527766183E-2</v>
      </c>
      <c r="AE520" s="594">
        <f t="shared" si="463"/>
        <v>1.7329548616348504E-2</v>
      </c>
      <c r="AF520" s="594">
        <f t="shared" si="464"/>
        <v>2.1256468136772812E-2</v>
      </c>
      <c r="AG520" s="594">
        <f t="shared" si="465"/>
        <v>2.1256468136772812E-2</v>
      </c>
      <c r="AH520" s="594">
        <f t="shared" si="466"/>
        <v>2.1256468136772812E-2</v>
      </c>
      <c r="AI520" s="594">
        <f t="shared" si="467"/>
        <v>2.1256468136772812E-2</v>
      </c>
      <c r="AJ520" s="594">
        <f t="shared" si="468"/>
        <v>2.1256468136772812E-2</v>
      </c>
      <c r="AL520" s="594">
        <f t="shared" si="469"/>
        <v>2.0471084232687949E-2</v>
      </c>
    </row>
    <row r="521" spans="2:38" outlineLevel="1">
      <c r="B521" s="562" t="s">
        <v>2343</v>
      </c>
      <c r="C521" s="562" t="s">
        <v>2352</v>
      </c>
      <c r="D521" s="572" t="s">
        <v>2150</v>
      </c>
      <c r="E521" s="664">
        <v>975568.39</v>
      </c>
      <c r="F521" s="664">
        <v>927676.51</v>
      </c>
      <c r="G521" s="665">
        <v>974486.11</v>
      </c>
      <c r="H521" s="665">
        <v>910036.8</v>
      </c>
      <c r="I521" s="665">
        <v>1187110.17</v>
      </c>
      <c r="J521" s="665">
        <v>1066505.32</v>
      </c>
      <c r="K521" s="616">
        <f>+Costi!I26</f>
        <v>2289109.5518805962</v>
      </c>
      <c r="L521" s="616">
        <f>+Costi!J26</f>
        <v>2432917.0638113203</v>
      </c>
      <c r="M521" s="616">
        <f>+Costi!K26</f>
        <v>2522634.9656663612</v>
      </c>
      <c r="N521" s="616">
        <f>+Costi!L26</f>
        <v>2634265.9534066557</v>
      </c>
      <c r="O521" s="616">
        <f>+Costi!M26</f>
        <v>2750836.8066421491</v>
      </c>
      <c r="Q521" s="594">
        <f t="shared" si="450"/>
        <v>-4.9091258481632427E-2</v>
      </c>
      <c r="R521" s="594">
        <f t="shared" si="451"/>
        <v>5.0458968719602426E-2</v>
      </c>
      <c r="S521" s="594">
        <f t="shared" si="452"/>
        <v>-6.6136714868106128E-2</v>
      </c>
      <c r="T521" s="594">
        <f t="shared" si="453"/>
        <v>0.30446391838220155</v>
      </c>
      <c r="U521" s="594">
        <f t="shared" si="454"/>
        <v>0.92830422123381884</v>
      </c>
      <c r="V521" s="594">
        <f t="shared" si="455"/>
        <v>6.2822468156921829E-2</v>
      </c>
      <c r="W521" s="594">
        <f t="shared" si="456"/>
        <v>3.6876679106558674E-2</v>
      </c>
      <c r="X521" s="594">
        <f t="shared" si="457"/>
        <v>4.4251740445850452E-2</v>
      </c>
      <c r="Y521" s="594">
        <f t="shared" si="458"/>
        <v>4.4251740445850896E-2</v>
      </c>
      <c r="AA521" s="594">
        <f t="shared" si="459"/>
        <v>3.7586802127089258E-2</v>
      </c>
      <c r="AB521" s="594">
        <f t="shared" si="460"/>
        <v>3.7070046210934696E-2</v>
      </c>
      <c r="AC521" s="594">
        <f t="shared" si="461"/>
        <v>3.6296911703365707E-2</v>
      </c>
      <c r="AD521" s="594">
        <f t="shared" si="462"/>
        <v>2.9221739217430515E-2</v>
      </c>
      <c r="AE521" s="594">
        <f t="shared" si="463"/>
        <v>2.3267114168837782E-2</v>
      </c>
      <c r="AF521" s="594">
        <f t="shared" si="464"/>
        <v>3.5043874814705042E-2</v>
      </c>
      <c r="AG521" s="594">
        <f t="shared" si="465"/>
        <v>3.5043874814705042E-2</v>
      </c>
      <c r="AH521" s="594">
        <f t="shared" si="466"/>
        <v>3.5043874814705042E-2</v>
      </c>
      <c r="AI521" s="594">
        <f t="shared" si="467"/>
        <v>3.5043874814705042E-2</v>
      </c>
      <c r="AJ521" s="594">
        <f t="shared" si="468"/>
        <v>3.5043874814705042E-2</v>
      </c>
      <c r="AL521" s="594">
        <f t="shared" si="469"/>
        <v>3.2688522685531587E-2</v>
      </c>
    </row>
    <row r="522" spans="2:38" outlineLevel="1">
      <c r="B522" s="562" t="s">
        <v>2343</v>
      </c>
      <c r="C522" s="562" t="s">
        <v>2352</v>
      </c>
      <c r="D522" s="572" t="s">
        <v>2151</v>
      </c>
      <c r="E522" s="664">
        <v>0</v>
      </c>
      <c r="F522" s="664">
        <v>851.69</v>
      </c>
      <c r="G522" s="665">
        <v>2416.94</v>
      </c>
      <c r="H522" s="665">
        <v>3168.83</v>
      </c>
      <c r="I522" s="665">
        <v>2316.84</v>
      </c>
      <c r="J522" s="665">
        <v>759.49</v>
      </c>
      <c r="K522" s="616">
        <f>+Costi!I27</f>
        <v>3543.2889930979322</v>
      </c>
      <c r="L522" s="616">
        <f>+Costi!J27</f>
        <v>3765.8871530375982</v>
      </c>
      <c r="M522" s="616">
        <f>+Costi!K27</f>
        <v>3904.7605651316771</v>
      </c>
      <c r="N522" s="616">
        <f>+Costi!L27</f>
        <v>4077.5530161630768</v>
      </c>
      <c r="O522" s="616">
        <f>+Costi!M27</f>
        <v>4257.9918338885218</v>
      </c>
      <c r="Q522" s="594">
        <f t="shared" si="450"/>
        <v>0</v>
      </c>
      <c r="R522" s="594">
        <f t="shared" si="451"/>
        <v>1.8378165764538741</v>
      </c>
      <c r="S522" s="594">
        <f t="shared" si="452"/>
        <v>0.31109171100647925</v>
      </c>
      <c r="T522" s="594">
        <f t="shared" si="453"/>
        <v>-0.26886579589312143</v>
      </c>
      <c r="U522" s="594">
        <f t="shared" si="454"/>
        <v>0.52936283606029422</v>
      </c>
      <c r="V522" s="594">
        <f t="shared" si="455"/>
        <v>6.2822468156921607E-2</v>
      </c>
      <c r="W522" s="594">
        <f t="shared" si="456"/>
        <v>3.6876679106558674E-2</v>
      </c>
      <c r="X522" s="594">
        <f t="shared" si="457"/>
        <v>4.4251740445850452E-2</v>
      </c>
      <c r="Y522" s="594">
        <f t="shared" si="458"/>
        <v>4.4251740445850896E-2</v>
      </c>
      <c r="AA522" s="594">
        <f t="shared" si="459"/>
        <v>0</v>
      </c>
      <c r="AB522" s="594">
        <f t="shared" si="460"/>
        <v>3.4033617664190903E-5</v>
      </c>
      <c r="AC522" s="594">
        <f t="shared" si="461"/>
        <v>9.0024328589283554E-5</v>
      </c>
      <c r="AD522" s="594">
        <f t="shared" si="462"/>
        <v>1.0175272459791772E-4</v>
      </c>
      <c r="AE522" s="594">
        <f t="shared" si="463"/>
        <v>4.5409585523919936E-5</v>
      </c>
      <c r="AF522" s="594">
        <f t="shared" si="464"/>
        <v>5.424405127506242E-5</v>
      </c>
      <c r="AG522" s="594">
        <f t="shared" si="465"/>
        <v>5.424405127506242E-5</v>
      </c>
      <c r="AH522" s="594">
        <f t="shared" si="466"/>
        <v>5.424405127506242E-5</v>
      </c>
      <c r="AI522" s="594">
        <f t="shared" si="467"/>
        <v>5.424405127506242E-5</v>
      </c>
      <c r="AJ522" s="594">
        <f t="shared" si="468"/>
        <v>5.424405127506242E-5</v>
      </c>
      <c r="AL522" s="594">
        <f t="shared" si="469"/>
        <v>5.424405127506242E-5</v>
      </c>
    </row>
    <row r="523" spans="2:38" outlineLevel="1">
      <c r="B523" s="562" t="s">
        <v>2343</v>
      </c>
      <c r="C523" s="562" t="s">
        <v>2352</v>
      </c>
      <c r="D523" s="572" t="s">
        <v>2152</v>
      </c>
      <c r="E523" s="664">
        <v>35611.160000000003</v>
      </c>
      <c r="F523" s="664">
        <v>17583.3</v>
      </c>
      <c r="G523" s="665">
        <v>48059.78</v>
      </c>
      <c r="H523" s="665">
        <v>96861.56</v>
      </c>
      <c r="I523" s="665">
        <v>73041.33</v>
      </c>
      <c r="J523" s="665">
        <v>13077.3</v>
      </c>
      <c r="K523" s="616">
        <f>+Costi!I28</f>
        <v>109826.2195818873</v>
      </c>
      <c r="L523" s="616">
        <f>+Costi!J28</f>
        <v>116725.7737643655</v>
      </c>
      <c r="M523" s="616">
        <f>+Costi!K28</f>
        <v>121030.23266693877</v>
      </c>
      <c r="N523" s="616">
        <f>+Costi!L28</f>
        <v>126386.03110901703</v>
      </c>
      <c r="O523" s="616">
        <f>+Costi!M28</f>
        <v>131978.8329536345</v>
      </c>
      <c r="Q523" s="594">
        <f t="shared" si="450"/>
        <v>-0.5062418635057101</v>
      </c>
      <c r="R523" s="594">
        <f t="shared" si="451"/>
        <v>1.733262811872629</v>
      </c>
      <c r="S523" s="594">
        <f t="shared" si="452"/>
        <v>1.015439105214381</v>
      </c>
      <c r="T523" s="594">
        <f t="shared" si="453"/>
        <v>-0.24592036304185061</v>
      </c>
      <c r="U523" s="594">
        <f t="shared" si="454"/>
        <v>0.50361746673954721</v>
      </c>
      <c r="V523" s="594">
        <f t="shared" si="455"/>
        <v>6.2822468156921607E-2</v>
      </c>
      <c r="W523" s="594">
        <f t="shared" si="456"/>
        <v>3.6876679106558674E-2</v>
      </c>
      <c r="X523" s="594">
        <f t="shared" si="457"/>
        <v>4.4251740445850452E-2</v>
      </c>
      <c r="Y523" s="594">
        <f t="shared" si="458"/>
        <v>4.4251740445850896E-2</v>
      </c>
      <c r="AA523" s="594">
        <f t="shared" si="459"/>
        <v>1.3720305394849008E-3</v>
      </c>
      <c r="AB523" s="594">
        <f t="shared" si="460"/>
        <v>7.0263042829523401E-4</v>
      </c>
      <c r="AC523" s="594">
        <f t="shared" si="461"/>
        <v>1.7900938486882908E-3</v>
      </c>
      <c r="AD523" s="594">
        <f t="shared" si="462"/>
        <v>3.1102733939039591E-3</v>
      </c>
      <c r="AE523" s="594">
        <f t="shared" si="463"/>
        <v>1.4315949834325455E-3</v>
      </c>
      <c r="AF523" s="594">
        <f t="shared" si="464"/>
        <v>1.681324638760986E-3</v>
      </c>
      <c r="AG523" s="594">
        <f t="shared" si="465"/>
        <v>1.681324638760986E-3</v>
      </c>
      <c r="AH523" s="594">
        <f t="shared" si="466"/>
        <v>1.681324638760986E-3</v>
      </c>
      <c r="AI523" s="594">
        <f t="shared" si="467"/>
        <v>1.681324638760986E-3</v>
      </c>
      <c r="AJ523" s="594">
        <f t="shared" si="468"/>
        <v>1.681324638760986E-3</v>
      </c>
      <c r="AL523" s="594">
        <f t="shared" si="469"/>
        <v>1.681324638760986E-3</v>
      </c>
    </row>
    <row r="524" spans="2:38" outlineLevel="1">
      <c r="B524" s="562" t="s">
        <v>2343</v>
      </c>
      <c r="C524" s="562" t="s">
        <v>2352</v>
      </c>
      <c r="D524" s="572" t="s">
        <v>2153</v>
      </c>
      <c r="E524" s="664">
        <v>12023.48</v>
      </c>
      <c r="F524" s="664">
        <v>9674.36</v>
      </c>
      <c r="G524" s="665">
        <v>9780.69</v>
      </c>
      <c r="H524" s="665">
        <v>9492.43</v>
      </c>
      <c r="I524" s="665">
        <v>10175.65</v>
      </c>
      <c r="J524" s="665">
        <v>10610.75</v>
      </c>
      <c r="K524" s="616">
        <f>+Costi!I29</f>
        <v>22449.361193612254</v>
      </c>
      <c r="L524" s="616">
        <f>+Costi!J29</f>
        <v>23859.685472341193</v>
      </c>
      <c r="M524" s="616">
        <f>+Costi!K29</f>
        <v>24739.551437088139</v>
      </c>
      <c r="N524" s="616">
        <f>+Costi!L29</f>
        <v>25834.319646028929</v>
      </c>
      <c r="O524" s="616">
        <f>+Costi!M29</f>
        <v>26977.533253600152</v>
      </c>
      <c r="Q524" s="594">
        <f t="shared" si="450"/>
        <v>-0.19537771094558309</v>
      </c>
      <c r="R524" s="594">
        <f t="shared" si="451"/>
        <v>1.0990907925692239E-2</v>
      </c>
      <c r="S524" s="594">
        <f t="shared" si="452"/>
        <v>-2.9472358289650336E-2</v>
      </c>
      <c r="T524" s="594">
        <f t="shared" si="453"/>
        <v>7.1975247644701978E-2</v>
      </c>
      <c r="U524" s="594">
        <f t="shared" si="454"/>
        <v>1.2061844888151869</v>
      </c>
      <c r="V524" s="594">
        <f t="shared" si="455"/>
        <v>6.2822468156921607E-2</v>
      </c>
      <c r="W524" s="594">
        <f t="shared" si="456"/>
        <v>3.6876679106558674E-2</v>
      </c>
      <c r="X524" s="594">
        <f t="shared" si="457"/>
        <v>4.4251740445850452E-2</v>
      </c>
      <c r="Y524" s="594">
        <f t="shared" si="458"/>
        <v>4.4251740445851118E-2</v>
      </c>
      <c r="AA524" s="594">
        <f t="shared" si="459"/>
        <v>4.6324190930275541E-4</v>
      </c>
      <c r="AB524" s="594">
        <f t="shared" si="460"/>
        <v>3.8658839411727499E-4</v>
      </c>
      <c r="AC524" s="594">
        <f t="shared" si="461"/>
        <v>3.6430364443880268E-4</v>
      </c>
      <c r="AD524" s="594">
        <f t="shared" si="462"/>
        <v>3.0480670012433993E-4</v>
      </c>
      <c r="AE524" s="594">
        <f t="shared" si="463"/>
        <v>1.9944063851473379E-4</v>
      </c>
      <c r="AF524" s="594">
        <f t="shared" si="464"/>
        <v>3.4367625729958139E-4</v>
      </c>
      <c r="AG524" s="594">
        <f t="shared" si="465"/>
        <v>3.4367625729958139E-4</v>
      </c>
      <c r="AH524" s="594">
        <f t="shared" si="466"/>
        <v>3.4367625729958139E-4</v>
      </c>
      <c r="AI524" s="594">
        <f t="shared" si="467"/>
        <v>3.4367625729958139E-4</v>
      </c>
      <c r="AJ524" s="594">
        <f t="shared" si="468"/>
        <v>3.4367625729958139E-4</v>
      </c>
      <c r="AL524" s="594">
        <f t="shared" si="469"/>
        <v>3.4367625729958139E-4</v>
      </c>
    </row>
    <row r="525" spans="2:38" outlineLevel="1">
      <c r="B525" s="562" t="s">
        <v>2343</v>
      </c>
      <c r="C525" s="562" t="s">
        <v>2352</v>
      </c>
      <c r="D525" s="572" t="s">
        <v>2154</v>
      </c>
      <c r="E525" s="664">
        <v>409879.05</v>
      </c>
      <c r="F525" s="664">
        <v>460624.84</v>
      </c>
      <c r="G525" s="665">
        <v>428706.89</v>
      </c>
      <c r="H525" s="665">
        <v>604849.84</v>
      </c>
      <c r="I525" s="665">
        <v>805557.69</v>
      </c>
      <c r="J525" s="665">
        <v>431356.69</v>
      </c>
      <c r="K525" s="616">
        <f>+Costi!I30</f>
        <v>1173392.2695111877</v>
      </c>
      <c r="L525" s="616">
        <f>+Costi!J30</f>
        <v>1205616.4433023767</v>
      </c>
      <c r="M525" s="616">
        <f>+Costi!K30</f>
        <v>1254992.2920961545</v>
      </c>
      <c r="N525" s="616">
        <f>+Costi!L30</f>
        <v>1309244.3124122305</v>
      </c>
      <c r="O525" s="616">
        <f>+Costi!M30</f>
        <v>1367180.6519053031</v>
      </c>
      <c r="Q525" s="594">
        <f t="shared" si="450"/>
        <v>0.12380674250123302</v>
      </c>
      <c r="R525" s="594">
        <f t="shared" si="451"/>
        <v>-6.9292724204799705E-2</v>
      </c>
      <c r="S525" s="594">
        <f t="shared" si="452"/>
        <v>0.4108703501359634</v>
      </c>
      <c r="T525" s="594">
        <f t="shared" si="453"/>
        <v>0.33183087227071106</v>
      </c>
      <c r="U525" s="594">
        <f t="shared" si="454"/>
        <v>0.45662102674631266</v>
      </c>
      <c r="V525" s="594">
        <f t="shared" si="455"/>
        <v>2.7462405052841365E-2</v>
      </c>
      <c r="W525" s="594">
        <f t="shared" si="456"/>
        <v>4.09548568021596E-2</v>
      </c>
      <c r="X525" s="594">
        <f t="shared" si="457"/>
        <v>4.3228966948841929E-2</v>
      </c>
      <c r="Y525" s="594">
        <f t="shared" si="458"/>
        <v>4.4251740445850896E-2</v>
      </c>
      <c r="AA525" s="594">
        <f t="shared" si="459"/>
        <v>1.5791863396055015E-2</v>
      </c>
      <c r="AB525" s="594">
        <f t="shared" si="460"/>
        <v>1.8406614720366695E-2</v>
      </c>
      <c r="AC525" s="594">
        <f t="shared" si="461"/>
        <v>1.5968145644430495E-2</v>
      </c>
      <c r="AD525" s="594">
        <f t="shared" si="462"/>
        <v>1.9422032482845276E-2</v>
      </c>
      <c r="AE525" s="594">
        <f t="shared" si="463"/>
        <v>1.5788764359431974E-2</v>
      </c>
      <c r="AF525" s="594">
        <f t="shared" si="464"/>
        <v>1.7963409294898439E-2</v>
      </c>
      <c r="AG525" s="594">
        <f t="shared" si="465"/>
        <v>1.7365767350676527E-2</v>
      </c>
      <c r="AH525" s="594">
        <f t="shared" si="466"/>
        <v>1.7434069287159033E-2</v>
      </c>
      <c r="AI525" s="594">
        <f t="shared" si="467"/>
        <v>1.7416993803038409E-2</v>
      </c>
      <c r="AJ525" s="594">
        <f t="shared" si="468"/>
        <v>1.7416993803038409E-2</v>
      </c>
      <c r="AL525" s="594">
        <f t="shared" si="469"/>
        <v>1.707548412062589E-2</v>
      </c>
    </row>
    <row r="526" spans="2:38" outlineLevel="1">
      <c r="B526" s="562" t="s">
        <v>2343</v>
      </c>
      <c r="C526" s="562" t="s">
        <v>2352</v>
      </c>
      <c r="D526" s="572" t="s">
        <v>2155</v>
      </c>
      <c r="E526" s="664">
        <v>80492.490000000005</v>
      </c>
      <c r="F526" s="664">
        <v>72545.14</v>
      </c>
      <c r="G526" s="665">
        <v>46403.199999999997</v>
      </c>
      <c r="H526" s="665">
        <v>59927.16</v>
      </c>
      <c r="I526" s="665">
        <v>73062.45</v>
      </c>
      <c r="J526" s="665">
        <v>37607.93</v>
      </c>
      <c r="K526" s="616">
        <f>+Costi!I31</f>
        <v>152345.29380114563</v>
      </c>
      <c r="L526" s="616">
        <f>+Costi!J31</f>
        <v>156529.06196740683</v>
      </c>
      <c r="M526" s="616">
        <f>+Costi!K31</f>
        <v>162939.68728565835</v>
      </c>
      <c r="N526" s="616">
        <f>+Costi!L31</f>
        <v>169983.40164198473</v>
      </c>
      <c r="O526" s="616">
        <f>+Costi!M31</f>
        <v>177505.46301154865</v>
      </c>
      <c r="Q526" s="594">
        <f t="shared" si="450"/>
        <v>-9.8734055810672627E-2</v>
      </c>
      <c r="R526" s="594">
        <f t="shared" si="451"/>
        <v>-0.36035411882863555</v>
      </c>
      <c r="S526" s="594">
        <f t="shared" si="452"/>
        <v>0.2914445555478935</v>
      </c>
      <c r="T526" s="594">
        <f t="shared" si="453"/>
        <v>0.21918759373879881</v>
      </c>
      <c r="U526" s="594">
        <f t="shared" si="454"/>
        <v>1.0851380401443644</v>
      </c>
      <c r="V526" s="594">
        <f t="shared" si="455"/>
        <v>2.7462405052841588E-2</v>
      </c>
      <c r="W526" s="594">
        <f t="shared" si="456"/>
        <v>4.09548568021596E-2</v>
      </c>
      <c r="X526" s="594">
        <f t="shared" si="457"/>
        <v>4.3228966948841929E-2</v>
      </c>
      <c r="Y526" s="594">
        <f t="shared" si="458"/>
        <v>4.4251740445850896E-2</v>
      </c>
      <c r="AA526" s="594">
        <f t="shared" si="459"/>
        <v>3.1012231693430645E-3</v>
      </c>
      <c r="AB526" s="594">
        <f t="shared" si="460"/>
        <v>2.8989110570221584E-3</v>
      </c>
      <c r="AC526" s="594">
        <f t="shared" si="461"/>
        <v>1.7283908265799904E-3</v>
      </c>
      <c r="AD526" s="594">
        <f t="shared" si="462"/>
        <v>1.9242912391688261E-3</v>
      </c>
      <c r="AE526" s="594">
        <f t="shared" si="463"/>
        <v>1.4320089310708222E-3</v>
      </c>
      <c r="AF526" s="594">
        <f t="shared" si="464"/>
        <v>2.3322472269580946E-3</v>
      </c>
      <c r="AG526" s="594">
        <f t="shared" si="465"/>
        <v>2.2546534503958006E-3</v>
      </c>
      <c r="AH526" s="594">
        <f t="shared" si="466"/>
        <v>2.2635213105743485E-3</v>
      </c>
      <c r="AI526" s="594">
        <f t="shared" si="467"/>
        <v>2.2613043455297121E-3</v>
      </c>
      <c r="AJ526" s="594">
        <f t="shared" si="468"/>
        <v>2.2613043455297116E-3</v>
      </c>
      <c r="AL526" s="594">
        <f t="shared" si="469"/>
        <v>2.2169650446369725E-3</v>
      </c>
    </row>
    <row r="527" spans="2:38" outlineLevel="1">
      <c r="B527" s="562" t="s">
        <v>2343</v>
      </c>
      <c r="C527" s="562" t="s">
        <v>2352</v>
      </c>
      <c r="D527" s="572" t="s">
        <v>2156</v>
      </c>
      <c r="E527" s="664">
        <v>0</v>
      </c>
      <c r="F527" s="664"/>
      <c r="G527" s="665">
        <v>0</v>
      </c>
      <c r="H527" s="670"/>
      <c r="I527" s="665">
        <v>-366</v>
      </c>
      <c r="J527" s="665">
        <v>0</v>
      </c>
      <c r="K527" s="616">
        <f>+Costi!I32</f>
        <v>0</v>
      </c>
      <c r="L527" s="616">
        <f>+Costi!J32</f>
        <v>0</v>
      </c>
      <c r="M527" s="616">
        <f>+Costi!K32</f>
        <v>0</v>
      </c>
      <c r="N527" s="616">
        <f>+Costi!L32</f>
        <v>0</v>
      </c>
      <c r="O527" s="616">
        <f>+Costi!M32</f>
        <v>0</v>
      </c>
      <c r="Q527" s="594">
        <f t="shared" si="450"/>
        <v>0</v>
      </c>
      <c r="R527" s="594">
        <f t="shared" si="451"/>
        <v>0</v>
      </c>
      <c r="S527" s="594">
        <f t="shared" si="452"/>
        <v>0</v>
      </c>
      <c r="T527" s="594">
        <f t="shared" si="453"/>
        <v>0</v>
      </c>
      <c r="U527" s="594">
        <f t="shared" si="454"/>
        <v>-1</v>
      </c>
      <c r="V527" s="594">
        <f t="shared" si="455"/>
        <v>0</v>
      </c>
      <c r="W527" s="594">
        <f t="shared" si="456"/>
        <v>0</v>
      </c>
      <c r="X527" s="594">
        <f t="shared" si="457"/>
        <v>0</v>
      </c>
      <c r="Y527" s="594">
        <f t="shared" si="458"/>
        <v>0</v>
      </c>
      <c r="AA527" s="594">
        <f t="shared" si="459"/>
        <v>0</v>
      </c>
      <c r="AB527" s="594">
        <f t="shared" si="460"/>
        <v>0</v>
      </c>
      <c r="AC527" s="594">
        <f t="shared" si="461"/>
        <v>0</v>
      </c>
      <c r="AD527" s="594">
        <f t="shared" si="462"/>
        <v>0</v>
      </c>
      <c r="AE527" s="594">
        <f t="shared" si="463"/>
        <v>-7.1735244133193038E-6</v>
      </c>
      <c r="AF527" s="594">
        <f t="shared" si="464"/>
        <v>0</v>
      </c>
      <c r="AG527" s="594">
        <f t="shared" si="465"/>
        <v>0</v>
      </c>
      <c r="AH527" s="594">
        <f t="shared" si="466"/>
        <v>0</v>
      </c>
      <c r="AI527" s="594">
        <f t="shared" si="467"/>
        <v>0</v>
      </c>
      <c r="AJ527" s="594">
        <f t="shared" si="468"/>
        <v>0</v>
      </c>
      <c r="AL527" s="594">
        <f t="shared" si="469"/>
        <v>-1.4347048826638607E-6</v>
      </c>
    </row>
    <row r="528" spans="2:38" outlineLevel="1">
      <c r="B528" s="562" t="s">
        <v>2343</v>
      </c>
      <c r="C528" s="562" t="s">
        <v>2352</v>
      </c>
      <c r="D528" s="572" t="s">
        <v>4156</v>
      </c>
      <c r="E528" s="664"/>
      <c r="F528" s="664"/>
      <c r="G528" s="665"/>
      <c r="H528" s="670"/>
      <c r="I528" s="665"/>
      <c r="J528" s="665">
        <v>34745.21</v>
      </c>
      <c r="K528" s="616"/>
      <c r="L528" s="616"/>
      <c r="M528" s="616"/>
      <c r="N528" s="616"/>
      <c r="O528" s="616"/>
      <c r="Q528" s="1034"/>
      <c r="R528" s="1034"/>
      <c r="S528" s="1034"/>
      <c r="T528" s="1034"/>
      <c r="U528" s="1034"/>
      <c r="V528" s="1034"/>
      <c r="W528" s="1034"/>
      <c r="X528" s="1034"/>
      <c r="Y528" s="1034"/>
      <c r="AA528" s="1034"/>
      <c r="AB528" s="1034"/>
      <c r="AC528" s="1034"/>
      <c r="AD528" s="1034"/>
      <c r="AE528" s="1034"/>
      <c r="AF528" s="1034"/>
      <c r="AG528" s="1034"/>
      <c r="AH528" s="1034"/>
      <c r="AI528" s="1034"/>
      <c r="AJ528" s="1034"/>
      <c r="AL528" s="1034"/>
    </row>
    <row r="529" spans="2:38" outlineLevel="1">
      <c r="B529" s="562" t="s">
        <v>2343</v>
      </c>
      <c r="C529" s="562" t="s">
        <v>2352</v>
      </c>
      <c r="D529" s="572" t="s">
        <v>4160</v>
      </c>
      <c r="E529" s="664"/>
      <c r="F529" s="664"/>
      <c r="G529" s="665"/>
      <c r="H529" s="670"/>
      <c r="I529" s="665"/>
      <c r="J529" s="665">
        <v>532.82000000000005</v>
      </c>
      <c r="K529" s="616"/>
      <c r="L529" s="616"/>
      <c r="M529" s="616"/>
      <c r="N529" s="616"/>
      <c r="O529" s="616"/>
      <c r="Q529" s="1034"/>
      <c r="R529" s="1034"/>
      <c r="S529" s="1034"/>
      <c r="T529" s="1034"/>
      <c r="U529" s="1034"/>
      <c r="V529" s="1034"/>
      <c r="W529" s="1034"/>
      <c r="X529" s="1034"/>
      <c r="Y529" s="1034"/>
      <c r="AA529" s="1034"/>
      <c r="AB529" s="1034"/>
      <c r="AC529" s="1034"/>
      <c r="AD529" s="1034"/>
      <c r="AE529" s="1034"/>
      <c r="AF529" s="1034"/>
      <c r="AG529" s="1034"/>
      <c r="AH529" s="1034"/>
      <c r="AI529" s="1034"/>
      <c r="AJ529" s="1034"/>
      <c r="AL529" s="1034"/>
    </row>
    <row r="530" spans="2:38" outlineLevel="1">
      <c r="B530" s="562" t="s">
        <v>2343</v>
      </c>
      <c r="C530" s="562" t="s">
        <v>2352</v>
      </c>
      <c r="D530" s="572" t="s">
        <v>4161</v>
      </c>
      <c r="E530" s="664"/>
      <c r="F530" s="664"/>
      <c r="G530" s="665"/>
      <c r="H530" s="670"/>
      <c r="I530" s="665"/>
      <c r="J530" s="665">
        <v>834.34</v>
      </c>
      <c r="K530" s="616"/>
      <c r="L530" s="616"/>
      <c r="M530" s="616"/>
      <c r="N530" s="616"/>
      <c r="O530" s="616"/>
      <c r="Q530" s="1034"/>
      <c r="R530" s="1034"/>
      <c r="S530" s="1034"/>
      <c r="T530" s="1034"/>
      <c r="U530" s="1034"/>
      <c r="V530" s="1034"/>
      <c r="W530" s="1034"/>
      <c r="X530" s="1034"/>
      <c r="Y530" s="1034"/>
      <c r="AA530" s="1034"/>
      <c r="AB530" s="1034"/>
      <c r="AC530" s="1034"/>
      <c r="AD530" s="1034"/>
      <c r="AE530" s="1034"/>
      <c r="AF530" s="1034"/>
      <c r="AG530" s="1034"/>
      <c r="AH530" s="1034"/>
      <c r="AI530" s="1034"/>
      <c r="AJ530" s="1034"/>
      <c r="AL530" s="1034"/>
    </row>
    <row r="531" spans="2:38" outlineLevel="1">
      <c r="B531" s="562" t="s">
        <v>2343</v>
      </c>
      <c r="C531" s="562" t="s">
        <v>2352</v>
      </c>
      <c r="D531" s="572" t="s">
        <v>4157</v>
      </c>
      <c r="E531" s="664"/>
      <c r="F531" s="664"/>
      <c r="G531" s="665"/>
      <c r="H531" s="670"/>
      <c r="I531" s="665"/>
      <c r="J531" s="665">
        <v>-1631.66</v>
      </c>
      <c r="K531" s="616"/>
      <c r="L531" s="616"/>
      <c r="M531" s="616"/>
      <c r="N531" s="616"/>
      <c r="O531" s="616"/>
      <c r="Q531" s="1034"/>
      <c r="R531" s="1034"/>
      <c r="S531" s="1034"/>
      <c r="T531" s="1034"/>
      <c r="U531" s="1034"/>
      <c r="V531" s="1034"/>
      <c r="W531" s="1034"/>
      <c r="X531" s="1034"/>
      <c r="Y531" s="1034"/>
      <c r="AA531" s="1034"/>
      <c r="AB531" s="1034"/>
      <c r="AC531" s="1034"/>
      <c r="AD531" s="1034"/>
      <c r="AE531" s="1034"/>
      <c r="AF531" s="1034"/>
      <c r="AG531" s="1034"/>
      <c r="AH531" s="1034"/>
      <c r="AI531" s="1034"/>
      <c r="AJ531" s="1034"/>
      <c r="AL531" s="1034"/>
    </row>
    <row r="532" spans="2:38" outlineLevel="1">
      <c r="B532" s="562" t="s">
        <v>2343</v>
      </c>
      <c r="C532" s="562" t="s">
        <v>2352</v>
      </c>
      <c r="D532" s="572" t="s">
        <v>4159</v>
      </c>
      <c r="E532" s="664"/>
      <c r="F532" s="664"/>
      <c r="G532" s="665"/>
      <c r="H532" s="670"/>
      <c r="I532" s="665"/>
      <c r="J532" s="665">
        <v>751.79</v>
      </c>
      <c r="K532" s="616"/>
      <c r="L532" s="616"/>
      <c r="M532" s="616"/>
      <c r="N532" s="616"/>
      <c r="O532" s="616"/>
      <c r="Q532" s="1034"/>
      <c r="R532" s="1034"/>
      <c r="S532" s="1034"/>
      <c r="T532" s="1034"/>
      <c r="U532" s="1034"/>
      <c r="V532" s="1034"/>
      <c r="W532" s="1034"/>
      <c r="X532" s="1034"/>
      <c r="Y532" s="1034"/>
      <c r="AA532" s="1034"/>
      <c r="AB532" s="1034"/>
      <c r="AC532" s="1034"/>
      <c r="AD532" s="1034"/>
      <c r="AE532" s="1034"/>
      <c r="AF532" s="1034"/>
      <c r="AG532" s="1034"/>
      <c r="AH532" s="1034"/>
      <c r="AI532" s="1034"/>
      <c r="AJ532" s="1034"/>
      <c r="AL532" s="1034"/>
    </row>
    <row r="533" spans="2:38" outlineLevel="1">
      <c r="B533" s="562" t="s">
        <v>2343</v>
      </c>
      <c r="C533" s="562" t="s">
        <v>2352</v>
      </c>
      <c r="D533" s="572" t="s">
        <v>4158</v>
      </c>
      <c r="E533" s="664"/>
      <c r="F533" s="664"/>
      <c r="G533" s="665"/>
      <c r="H533" s="670"/>
      <c r="I533" s="665"/>
      <c r="J533" s="665">
        <v>199231.41</v>
      </c>
      <c r="K533" s="616"/>
      <c r="L533" s="616"/>
      <c r="M533" s="616"/>
      <c r="N533" s="616"/>
      <c r="O533" s="616"/>
      <c r="Q533" s="1034"/>
      <c r="R533" s="1034"/>
      <c r="S533" s="1034"/>
      <c r="T533" s="1034"/>
      <c r="U533" s="1034"/>
      <c r="V533" s="1034"/>
      <c r="W533" s="1034"/>
      <c r="X533" s="1034"/>
      <c r="Y533" s="1034"/>
      <c r="AA533" s="1034"/>
      <c r="AB533" s="1034"/>
      <c r="AC533" s="1034"/>
      <c r="AD533" s="1034"/>
      <c r="AE533" s="1034"/>
      <c r="AF533" s="1034"/>
      <c r="AG533" s="1034"/>
      <c r="AH533" s="1034"/>
      <c r="AI533" s="1034"/>
      <c r="AJ533" s="1034"/>
      <c r="AL533" s="1034"/>
    </row>
    <row r="534" spans="2:38" outlineLevel="1">
      <c r="D534" s="578" t="s">
        <v>2157</v>
      </c>
      <c r="E534" s="685"/>
      <c r="F534" s="685"/>
      <c r="G534" s="690">
        <f t="shared" ref="G534:H534" si="470">+SUM(G500:G533)</f>
        <v>10419766.989999998</v>
      </c>
      <c r="H534" s="690">
        <f t="shared" si="470"/>
        <v>11069803.960000001</v>
      </c>
      <c r="I534" s="690">
        <v>21800479.280000005</v>
      </c>
      <c r="J534" s="690">
        <v>10541588.269999998</v>
      </c>
      <c r="K534" s="617"/>
      <c r="L534" s="617"/>
      <c r="M534" s="617"/>
      <c r="N534" s="617"/>
      <c r="O534" s="617"/>
    </row>
    <row r="535" spans="2:38" outlineLevel="1">
      <c r="B535" s="562" t="s">
        <v>2343</v>
      </c>
      <c r="C535" s="562" t="s">
        <v>369</v>
      </c>
      <c r="D535" s="572" t="s">
        <v>2158</v>
      </c>
      <c r="E535" s="664">
        <v>29541.78</v>
      </c>
      <c r="F535" s="664">
        <v>38623.879999999997</v>
      </c>
      <c r="G535" s="665">
        <v>40069.11</v>
      </c>
      <c r="H535" s="665">
        <v>66072.67</v>
      </c>
      <c r="I535" s="665">
        <v>80736.37</v>
      </c>
      <c r="J535" s="665">
        <v>36356.74</v>
      </c>
      <c r="K535" s="616">
        <f>+Costi!I40</f>
        <v>108273.50424712575</v>
      </c>
      <c r="L535" s="616">
        <f>+Costi!J40</f>
        <v>111246.95507725085</v>
      </c>
      <c r="M535" s="616">
        <f>+Costi!K40</f>
        <v>115803.05819211596</v>
      </c>
      <c r="N535" s="616">
        <f>+Costi!L40</f>
        <v>120809.10476727775</v>
      </c>
      <c r="O535" s="616">
        <f>+Costi!M40</f>
        <v>126155.11791493493</v>
      </c>
      <c r="Q535" s="594">
        <f t="shared" ref="Q535:Q596" si="471">+IFERROR(F535/E535-1,0)</f>
        <v>0.30743238897588432</v>
      </c>
      <c r="R535" s="594">
        <f t="shared" ref="R535:R596" si="472">+IFERROR(G535/F535-1,0)</f>
        <v>3.7418042930953632E-2</v>
      </c>
      <c r="S535" s="594">
        <f t="shared" ref="S535:S596" si="473">+IFERROR(H535/G535-1,0)</f>
        <v>0.64896774597688833</v>
      </c>
      <c r="T535" s="594">
        <f t="shared" ref="T535:T596" si="474">+IFERROR(I535/H535-1,0)</f>
        <v>0.22193291114162639</v>
      </c>
      <c r="U535" s="594">
        <f t="shared" ref="U535:U596" si="475">+IFERROR(K535/I535-1,0)</f>
        <v>0.3410747132565628</v>
      </c>
      <c r="V535" s="594">
        <f t="shared" ref="V535:V596" si="476">+IFERROR(L535/K535-1,0)</f>
        <v>2.7462405052841365E-2</v>
      </c>
      <c r="W535" s="594">
        <f t="shared" ref="W535:W596" si="477">+IFERROR(M535/L535-1,0)</f>
        <v>4.0954856802159822E-2</v>
      </c>
      <c r="X535" s="594">
        <f t="shared" ref="X535:X596" si="478">+IFERROR(N535/M535-1,0)</f>
        <v>4.3228966948841929E-2</v>
      </c>
      <c r="Y535" s="594">
        <f t="shared" ref="Y535:Y596" si="479">+IFERROR(O535/N535-1,0)</f>
        <v>4.4251740445850896E-2</v>
      </c>
      <c r="AA535" s="594">
        <f t="shared" ref="AA535:AA596" si="480">+IFERROR(E535/E$454,0)</f>
        <v>1.1381888248162722E-3</v>
      </c>
      <c r="AB535" s="594">
        <f t="shared" ref="AB535:AB596" si="481">+IFERROR(F535/F$454,0)</f>
        <v>1.5434141115048781E-3</v>
      </c>
      <c r="AC535" s="594">
        <f t="shared" ref="AC535:AC596" si="482">+IFERROR(G535/G$454,0)</f>
        <v>1.4924634971989986E-3</v>
      </c>
      <c r="AD535" s="594">
        <f t="shared" ref="AD535:AD596" si="483">+IFERROR(H535/H$454,0)</f>
        <v>2.1216266552510233E-3</v>
      </c>
      <c r="AE535" s="594">
        <f t="shared" ref="AE535:AE596" si="484">+IFERROR(I535/I$454,0)</f>
        <v>1.582416178245301E-3</v>
      </c>
      <c r="AF535" s="594">
        <f t="shared" ref="AF535:AF596" si="485">+IFERROR(K535/K$454,0)</f>
        <v>1.657554189780266E-3</v>
      </c>
      <c r="AG535" s="594">
        <f t="shared" ref="AG535:AG596" si="486">+IFERROR(L535/L$454,0)</f>
        <v>1.6024074249111502E-3</v>
      </c>
      <c r="AH535" s="594">
        <f t="shared" ref="AH535:AH596" si="487">+IFERROR(M535/M$454,0)</f>
        <v>1.6087099123247637E-3</v>
      </c>
      <c r="AI535" s="594">
        <f t="shared" ref="AI535:AI596" si="488">+IFERROR(N535/N$454,0)</f>
        <v>1.6071342904713606E-3</v>
      </c>
      <c r="AJ535" s="594">
        <f t="shared" ref="AJ535:AJ596" si="489">+IFERROR(O535/O$454,0)</f>
        <v>1.6071342904713604E-3</v>
      </c>
      <c r="AL535" s="594">
        <f t="shared" ref="AL535:AL596" si="490">+AVERAGE(AA535:AE535)</f>
        <v>1.5756218534032946E-3</v>
      </c>
    </row>
    <row r="536" spans="2:38" outlineLevel="1">
      <c r="B536" s="562" t="s">
        <v>2343</v>
      </c>
      <c r="C536" s="562" t="s">
        <v>369</v>
      </c>
      <c r="D536" s="572" t="s">
        <v>2159</v>
      </c>
      <c r="E536" s="664">
        <v>3325.94</v>
      </c>
      <c r="F536" s="664">
        <v>4905.7</v>
      </c>
      <c r="G536" s="665">
        <v>4748.9399999999996</v>
      </c>
      <c r="H536" s="665">
        <v>7948.22</v>
      </c>
      <c r="I536" s="665">
        <v>6099.73</v>
      </c>
      <c r="J536" s="665">
        <v>3067.4</v>
      </c>
      <c r="K536" s="616">
        <f>+Costi!I41</f>
        <v>6416.9159600000003</v>
      </c>
      <c r="L536" s="616">
        <f>+Costi!J41</f>
        <v>6526.0035313199996</v>
      </c>
      <c r="M536" s="616">
        <f>+Costi!K41</f>
        <v>6663.0496054777186</v>
      </c>
      <c r="N536" s="616">
        <f>+Costi!L41</f>
        <v>6796.3105975872732</v>
      </c>
      <c r="O536" s="616">
        <f>+Costi!M41</f>
        <v>6932.2368095390184</v>
      </c>
      <c r="Q536" s="594">
        <f t="shared" si="471"/>
        <v>0.47498150898693292</v>
      </c>
      <c r="R536" s="594">
        <f t="shared" si="472"/>
        <v>-3.1954664981552083E-2</v>
      </c>
      <c r="S536" s="594">
        <f t="shared" si="473"/>
        <v>0.67368296925208582</v>
      </c>
      <c r="T536" s="594">
        <f t="shared" si="474"/>
        <v>-0.23256653691015106</v>
      </c>
      <c r="U536" s="594">
        <f t="shared" si="475"/>
        <v>5.2000000000000046E-2</v>
      </c>
      <c r="V536" s="594">
        <f t="shared" si="476"/>
        <v>1.6999999999999904E-2</v>
      </c>
      <c r="W536" s="594">
        <f t="shared" si="477"/>
        <v>2.0999999999999908E-2</v>
      </c>
      <c r="X536" s="594">
        <f t="shared" si="478"/>
        <v>2.0000000000000018E-2</v>
      </c>
      <c r="Y536" s="594">
        <f t="shared" si="479"/>
        <v>2.0000000000000018E-2</v>
      </c>
      <c r="AA536" s="594">
        <f t="shared" si="480"/>
        <v>1.2814216814320033E-4</v>
      </c>
      <c r="AB536" s="594">
        <f t="shared" si="481"/>
        <v>1.9603226311829574E-4</v>
      </c>
      <c r="AC536" s="594">
        <f t="shared" si="482"/>
        <v>1.7688487716318658E-4</v>
      </c>
      <c r="AD536" s="594">
        <f t="shared" si="483"/>
        <v>2.5522134059058441E-4</v>
      </c>
      <c r="AE536" s="594">
        <f t="shared" si="484"/>
        <v>1.1955344827774905E-4</v>
      </c>
      <c r="AF536" s="594">
        <f t="shared" si="485"/>
        <v>9.8236276815139793E-5</v>
      </c>
      <c r="AG536" s="594">
        <f t="shared" si="486"/>
        <v>9.4000923497833294E-5</v>
      </c>
      <c r="AH536" s="594">
        <f t="shared" si="487"/>
        <v>9.2561579236198201E-5</v>
      </c>
      <c r="AI536" s="594">
        <f t="shared" si="488"/>
        <v>9.0411925749448086E-5</v>
      </c>
      <c r="AJ536" s="594">
        <f t="shared" si="489"/>
        <v>8.8312195893552414E-5</v>
      </c>
      <c r="AL536" s="594">
        <f t="shared" si="490"/>
        <v>1.751668194586032E-4</v>
      </c>
    </row>
    <row r="537" spans="2:38" outlineLevel="1">
      <c r="B537" s="562" t="s">
        <v>2343</v>
      </c>
      <c r="C537" s="562" t="s">
        <v>369</v>
      </c>
      <c r="D537" s="572" t="s">
        <v>2428</v>
      </c>
      <c r="E537" s="664">
        <v>0</v>
      </c>
      <c r="F537" s="664"/>
      <c r="G537" s="665">
        <v>62.6</v>
      </c>
      <c r="H537" s="665"/>
      <c r="I537" s="665">
        <v>0</v>
      </c>
      <c r="J537" s="665">
        <v>0</v>
      </c>
      <c r="K537" s="616">
        <f>+Costi!I42</f>
        <v>0</v>
      </c>
      <c r="L537" s="616">
        <f>+Costi!J42</f>
        <v>0</v>
      </c>
      <c r="M537" s="616">
        <f>+Costi!K42</f>
        <v>0</v>
      </c>
      <c r="N537" s="616">
        <f>+Costi!L42</f>
        <v>0</v>
      </c>
      <c r="O537" s="616">
        <f>+Costi!M42</f>
        <v>0</v>
      </c>
      <c r="Q537" s="594">
        <f t="shared" si="471"/>
        <v>0</v>
      </c>
      <c r="R537" s="594">
        <f t="shared" si="472"/>
        <v>0</v>
      </c>
      <c r="S537" s="594">
        <f t="shared" si="473"/>
        <v>-1</v>
      </c>
      <c r="T537" s="594">
        <f t="shared" si="474"/>
        <v>0</v>
      </c>
      <c r="U537" s="594">
        <f t="shared" si="475"/>
        <v>0</v>
      </c>
      <c r="V537" s="594">
        <f t="shared" si="476"/>
        <v>0</v>
      </c>
      <c r="W537" s="594">
        <f t="shared" si="477"/>
        <v>0</v>
      </c>
      <c r="X537" s="594">
        <f t="shared" si="478"/>
        <v>0</v>
      </c>
      <c r="Y537" s="594">
        <f t="shared" si="479"/>
        <v>0</v>
      </c>
      <c r="AA537" s="594">
        <f t="shared" si="480"/>
        <v>0</v>
      </c>
      <c r="AB537" s="594">
        <f t="shared" si="481"/>
        <v>0</v>
      </c>
      <c r="AC537" s="594">
        <f t="shared" si="482"/>
        <v>2.3316768184932811E-6</v>
      </c>
      <c r="AD537" s="594">
        <f t="shared" si="483"/>
        <v>0</v>
      </c>
      <c r="AE537" s="594">
        <f t="shared" si="484"/>
        <v>0</v>
      </c>
      <c r="AF537" s="594">
        <f t="shared" si="485"/>
        <v>0</v>
      </c>
      <c r="AG537" s="594">
        <f t="shared" si="486"/>
        <v>0</v>
      </c>
      <c r="AH537" s="594">
        <f t="shared" si="487"/>
        <v>0</v>
      </c>
      <c r="AI537" s="594">
        <f t="shared" si="488"/>
        <v>0</v>
      </c>
      <c r="AJ537" s="594">
        <f t="shared" si="489"/>
        <v>0</v>
      </c>
      <c r="AL537" s="594">
        <f t="shared" si="490"/>
        <v>4.6633536369865622E-7</v>
      </c>
    </row>
    <row r="538" spans="2:38" outlineLevel="1">
      <c r="B538" s="562" t="s">
        <v>2343</v>
      </c>
      <c r="C538" s="562" t="s">
        <v>369</v>
      </c>
      <c r="D538" s="572" t="s">
        <v>2160</v>
      </c>
      <c r="E538" s="664">
        <v>38.6</v>
      </c>
      <c r="F538" s="664">
        <v>0</v>
      </c>
      <c r="G538" s="665">
        <v>0</v>
      </c>
      <c r="H538" s="665">
        <v>343.32</v>
      </c>
      <c r="I538" s="665">
        <v>2897.08</v>
      </c>
      <c r="J538" s="665">
        <v>1822.81</v>
      </c>
      <c r="K538" s="616">
        <f>+Costi!I43</f>
        <v>3047.7281600000001</v>
      </c>
      <c r="L538" s="616">
        <f>+Costi!J43</f>
        <v>3099.5395387199997</v>
      </c>
      <c r="M538" s="616">
        <f>+Costi!K43</f>
        <v>3164.6298690331196</v>
      </c>
      <c r="N538" s="616">
        <f>+Costi!L43</f>
        <v>3227.9224664137819</v>
      </c>
      <c r="O538" s="616">
        <f>+Costi!M43</f>
        <v>3292.4809157420577</v>
      </c>
      <c r="Q538" s="594">
        <f t="shared" si="471"/>
        <v>-1</v>
      </c>
      <c r="R538" s="594">
        <f t="shared" si="472"/>
        <v>0</v>
      </c>
      <c r="S538" s="594">
        <f t="shared" si="473"/>
        <v>0</v>
      </c>
      <c r="T538" s="594">
        <f t="shared" si="474"/>
        <v>7.4384247931958516</v>
      </c>
      <c r="U538" s="594">
        <f t="shared" si="475"/>
        <v>5.2000000000000046E-2</v>
      </c>
      <c r="V538" s="594">
        <f t="shared" si="476"/>
        <v>1.6999999999999904E-2</v>
      </c>
      <c r="W538" s="594">
        <f t="shared" si="477"/>
        <v>2.0999999999999908E-2</v>
      </c>
      <c r="X538" s="594">
        <f t="shared" si="478"/>
        <v>2.0000000000000018E-2</v>
      </c>
      <c r="Y538" s="594">
        <f t="shared" si="479"/>
        <v>2.0000000000000018E-2</v>
      </c>
      <c r="AA538" s="594">
        <f t="shared" si="480"/>
        <v>1.487184883169129E-6</v>
      </c>
      <c r="AB538" s="594">
        <f t="shared" si="481"/>
        <v>0</v>
      </c>
      <c r="AC538" s="594">
        <f t="shared" si="482"/>
        <v>0</v>
      </c>
      <c r="AD538" s="594">
        <f t="shared" si="483"/>
        <v>1.1024177822400417E-5</v>
      </c>
      <c r="AE538" s="594">
        <f t="shared" si="484"/>
        <v>5.6782169692183298E-5</v>
      </c>
      <c r="AF538" s="594">
        <f t="shared" si="485"/>
        <v>4.6657532847454755E-5</v>
      </c>
      <c r="AG538" s="594">
        <f t="shared" si="486"/>
        <v>4.4645942598623683E-5</v>
      </c>
      <c r="AH538" s="594">
        <f t="shared" si="487"/>
        <v>4.3962322918162787E-5</v>
      </c>
      <c r="AI538" s="594">
        <f t="shared" si="488"/>
        <v>4.2941340329852476E-5</v>
      </c>
      <c r="AJ538" s="594">
        <f t="shared" si="489"/>
        <v>4.1944069078351475E-5</v>
      </c>
      <c r="AL538" s="594">
        <f t="shared" si="490"/>
        <v>1.3858706479550567E-5</v>
      </c>
    </row>
    <row r="539" spans="2:38" outlineLevel="1">
      <c r="B539" s="562" t="s">
        <v>2343</v>
      </c>
      <c r="C539" s="562" t="s">
        <v>369</v>
      </c>
      <c r="D539" s="572" t="s">
        <v>2161</v>
      </c>
      <c r="E539" s="664">
        <v>10283.69</v>
      </c>
      <c r="F539" s="664">
        <v>7821.79</v>
      </c>
      <c r="G539" s="665">
        <v>8898.23</v>
      </c>
      <c r="H539" s="665">
        <v>12768.48</v>
      </c>
      <c r="I539" s="665">
        <v>26885.66</v>
      </c>
      <c r="J539" s="665">
        <v>14830.65</v>
      </c>
      <c r="K539" s="616">
        <f>+Costi!I44</f>
        <v>28283.714320000003</v>
      </c>
      <c r="L539" s="616">
        <f>+Costi!J44</f>
        <v>28764.53746344</v>
      </c>
      <c r="M539" s="616">
        <f>+Costi!K44</f>
        <v>29368.592750172236</v>
      </c>
      <c r="N539" s="616">
        <f>+Costi!L44</f>
        <v>29955.964605175683</v>
      </c>
      <c r="O539" s="616">
        <f>+Costi!M44</f>
        <v>30555.083897279197</v>
      </c>
      <c r="Q539" s="594">
        <f t="shared" si="471"/>
        <v>-0.23939850384443717</v>
      </c>
      <c r="R539" s="594">
        <f t="shared" si="472"/>
        <v>0.1376206725059097</v>
      </c>
      <c r="S539" s="594">
        <f t="shared" si="473"/>
        <v>0.43494605106858342</v>
      </c>
      <c r="T539" s="594">
        <f t="shared" si="474"/>
        <v>1.1056272947132313</v>
      </c>
      <c r="U539" s="594">
        <f t="shared" si="475"/>
        <v>5.2000000000000046E-2</v>
      </c>
      <c r="V539" s="594">
        <f t="shared" si="476"/>
        <v>1.6999999999999904E-2</v>
      </c>
      <c r="W539" s="594">
        <f t="shared" si="477"/>
        <v>2.0999999999999908E-2</v>
      </c>
      <c r="X539" s="594">
        <f t="shared" si="478"/>
        <v>2.0000000000000018E-2</v>
      </c>
      <c r="Y539" s="594">
        <f t="shared" si="479"/>
        <v>2.0000000000000018E-2</v>
      </c>
      <c r="AA539" s="594">
        <f t="shared" si="480"/>
        <v>3.9621109614501403E-4</v>
      </c>
      <c r="AB539" s="594">
        <f t="shared" si="481"/>
        <v>3.125595114532186E-4</v>
      </c>
      <c r="AC539" s="594">
        <f t="shared" si="482"/>
        <v>3.3143445074475188E-4</v>
      </c>
      <c r="AD539" s="594">
        <f t="shared" si="483"/>
        <v>4.1000231283281854E-4</v>
      </c>
      <c r="AE539" s="594">
        <f t="shared" si="484"/>
        <v>5.2695338354700073E-4</v>
      </c>
      <c r="AF539" s="594">
        <f t="shared" si="485"/>
        <v>4.3299410598792592E-4</v>
      </c>
      <c r="AG539" s="594">
        <f t="shared" si="486"/>
        <v>4.1432602243849428E-4</v>
      </c>
      <c r="AH539" s="594">
        <f t="shared" si="487"/>
        <v>4.079818530340662E-4</v>
      </c>
      <c r="AI539" s="594">
        <f t="shared" si="488"/>
        <v>3.9850686762281389E-4</v>
      </c>
      <c r="AJ539" s="594">
        <f t="shared" si="489"/>
        <v>3.8925192961777763E-4</v>
      </c>
      <c r="AL539" s="594">
        <f t="shared" si="490"/>
        <v>3.9543215094456076E-4</v>
      </c>
    </row>
    <row r="540" spans="2:38" outlineLevel="1">
      <c r="B540" s="562" t="s">
        <v>2343</v>
      </c>
      <c r="C540" s="562" t="s">
        <v>369</v>
      </c>
      <c r="D540" s="572" t="s">
        <v>2162</v>
      </c>
      <c r="E540" s="664">
        <v>20752.419999999998</v>
      </c>
      <c r="F540" s="664">
        <v>21466.25</v>
      </c>
      <c r="G540" s="665">
        <v>20710.810000000001</v>
      </c>
      <c r="H540" s="665">
        <v>20833.5</v>
      </c>
      <c r="I540" s="665">
        <v>19063.32</v>
      </c>
      <c r="J540" s="665">
        <v>11486.97</v>
      </c>
      <c r="K540" s="616">
        <f>+Costi!I45</f>
        <v>19063.32</v>
      </c>
      <c r="L540" s="616">
        <f>+Costi!J45</f>
        <v>19063.32</v>
      </c>
      <c r="M540" s="616">
        <f>+Costi!K45</f>
        <v>19063.32</v>
      </c>
      <c r="N540" s="616">
        <f>+Costi!L45</f>
        <v>19063.32</v>
      </c>
      <c r="O540" s="616">
        <f>+Costi!M45</f>
        <v>19063.32</v>
      </c>
      <c r="Q540" s="594">
        <f t="shared" si="471"/>
        <v>3.4397434130573723E-2</v>
      </c>
      <c r="R540" s="594">
        <f t="shared" si="472"/>
        <v>-3.5191987422116044E-2</v>
      </c>
      <c r="S540" s="594">
        <f t="shared" si="473"/>
        <v>5.9239595167932535E-3</v>
      </c>
      <c r="T540" s="594">
        <f t="shared" si="474"/>
        <v>-8.496796025631792E-2</v>
      </c>
      <c r="U540" s="594">
        <f t="shared" si="475"/>
        <v>0</v>
      </c>
      <c r="V540" s="594">
        <f t="shared" si="476"/>
        <v>0</v>
      </c>
      <c r="W540" s="594">
        <f t="shared" si="477"/>
        <v>0</v>
      </c>
      <c r="X540" s="594">
        <f t="shared" si="478"/>
        <v>0</v>
      </c>
      <c r="Y540" s="594">
        <f t="shared" si="479"/>
        <v>0</v>
      </c>
      <c r="AA540" s="594">
        <f t="shared" si="480"/>
        <v>7.9955143298385213E-4</v>
      </c>
      <c r="AB540" s="594">
        <f t="shared" si="481"/>
        <v>8.5779349902422009E-4</v>
      </c>
      <c r="AC540" s="594">
        <f t="shared" si="482"/>
        <v>7.7142037650509314E-4</v>
      </c>
      <c r="AD540" s="594">
        <f t="shared" si="483"/>
        <v>6.6897416015081874E-4</v>
      </c>
      <c r="AE540" s="594">
        <f t="shared" si="484"/>
        <v>3.7363713502436654E-4</v>
      </c>
      <c r="AF540" s="594">
        <f t="shared" si="485"/>
        <v>2.9183950548973537E-4</v>
      </c>
      <c r="AG540" s="594">
        <f t="shared" si="486"/>
        <v>2.7458913810490349E-4</v>
      </c>
      <c r="AH540" s="594">
        <f t="shared" si="487"/>
        <v>2.6482333303272636E-4</v>
      </c>
      <c r="AI540" s="594">
        <f t="shared" si="488"/>
        <v>2.5360104539510581E-4</v>
      </c>
      <c r="AJ540" s="594">
        <f t="shared" si="489"/>
        <v>2.4285431910013285E-4</v>
      </c>
      <c r="AL540" s="594">
        <f t="shared" si="490"/>
        <v>6.942753207376701E-4</v>
      </c>
    </row>
    <row r="541" spans="2:38" outlineLevel="1">
      <c r="B541" s="562" t="s">
        <v>2343</v>
      </c>
      <c r="C541" s="562" t="s">
        <v>369</v>
      </c>
      <c r="D541" s="572" t="s">
        <v>2163</v>
      </c>
      <c r="E541" s="664">
        <v>1680.05</v>
      </c>
      <c r="F541" s="664">
        <v>1730.53</v>
      </c>
      <c r="G541" s="665">
        <v>2050.21</v>
      </c>
      <c r="H541" s="665">
        <v>1279.8599999999999</v>
      </c>
      <c r="I541" s="665">
        <v>1140.46</v>
      </c>
      <c r="J541" s="665">
        <v>336.35</v>
      </c>
      <c r="K541" s="616">
        <f>+Costi!I46</f>
        <v>1140.46</v>
      </c>
      <c r="L541" s="616">
        <f>+Costi!J46</f>
        <v>1140.46</v>
      </c>
      <c r="M541" s="616">
        <f>+Costi!K46</f>
        <v>1140.46</v>
      </c>
      <c r="N541" s="616">
        <f>+Costi!L46</f>
        <v>1140.46</v>
      </c>
      <c r="O541" s="616">
        <f>+Costi!M46</f>
        <v>1140.46</v>
      </c>
      <c r="Q541" s="594">
        <f t="shared" si="471"/>
        <v>3.0046724799857261E-2</v>
      </c>
      <c r="R541" s="594">
        <f t="shared" si="472"/>
        <v>0.1847295337266619</v>
      </c>
      <c r="S541" s="594">
        <f t="shared" si="473"/>
        <v>-0.37574199716126644</v>
      </c>
      <c r="T541" s="594">
        <f t="shared" si="474"/>
        <v>-0.10891816292406975</v>
      </c>
      <c r="U541" s="594">
        <f t="shared" si="475"/>
        <v>0</v>
      </c>
      <c r="V541" s="594">
        <f t="shared" si="476"/>
        <v>0</v>
      </c>
      <c r="W541" s="594">
        <f t="shared" si="477"/>
        <v>0</v>
      </c>
      <c r="X541" s="594">
        <f t="shared" si="478"/>
        <v>0</v>
      </c>
      <c r="Y541" s="594">
        <f t="shared" si="479"/>
        <v>0</v>
      </c>
      <c r="AA541" s="594">
        <f t="shared" si="480"/>
        <v>6.4729144118349616E-5</v>
      </c>
      <c r="AB541" s="594">
        <f t="shared" si="481"/>
        <v>6.9152152046416274E-5</v>
      </c>
      <c r="AC541" s="594">
        <f t="shared" si="482"/>
        <v>7.6364650639666292E-5</v>
      </c>
      <c r="AD541" s="594">
        <f t="shared" si="483"/>
        <v>4.1096948117725146E-5</v>
      </c>
      <c r="AE541" s="594">
        <f t="shared" si="484"/>
        <v>2.2352780471076868E-5</v>
      </c>
      <c r="AF541" s="594">
        <f t="shared" si="485"/>
        <v>1.745925066729319E-5</v>
      </c>
      <c r="AG541" s="594">
        <f t="shared" si="486"/>
        <v>1.642725026087367E-5</v>
      </c>
      <c r="AH541" s="594">
        <f t="shared" si="487"/>
        <v>1.5843012570239765E-5</v>
      </c>
      <c r="AI541" s="594">
        <f t="shared" si="488"/>
        <v>1.5171641048427155E-5</v>
      </c>
      <c r="AJ541" s="594">
        <f t="shared" si="489"/>
        <v>1.4528719906130596E-5</v>
      </c>
      <c r="AL541" s="594">
        <f t="shared" si="490"/>
        <v>5.4739135078646841E-5</v>
      </c>
    </row>
    <row r="542" spans="2:38" outlineLevel="1">
      <c r="B542" s="562" t="s">
        <v>2343</v>
      </c>
      <c r="C542" s="562" t="s">
        <v>369</v>
      </c>
      <c r="D542" s="572" t="s">
        <v>2164</v>
      </c>
      <c r="E542" s="664">
        <v>332197.01</v>
      </c>
      <c r="F542" s="664">
        <v>232086.52</v>
      </c>
      <c r="G542" s="665">
        <v>227296.77</v>
      </c>
      <c r="H542" s="665">
        <v>353326.52</v>
      </c>
      <c r="I542" s="665">
        <v>489469.61</v>
      </c>
      <c r="J542" s="665">
        <v>174241.83</v>
      </c>
      <c r="K542" s="616">
        <f>+Costi!I47</f>
        <v>672525.24964370439</v>
      </c>
      <c r="L542" s="616">
        <f>+Costi!J47</f>
        <v>714774.94572417182</v>
      </c>
      <c r="M542" s="616">
        <f>+Costi!K47</f>
        <v>741133.47203105001</v>
      </c>
      <c r="N542" s="616">
        <f>+Costi!L47</f>
        <v>773929.91807110002</v>
      </c>
      <c r="O542" s="616">
        <f>+Costi!M47</f>
        <v>808177.66392886103</v>
      </c>
      <c r="Q542" s="594">
        <f t="shared" si="471"/>
        <v>-0.30135879308486258</v>
      </c>
      <c r="R542" s="594">
        <f t="shared" si="472"/>
        <v>-2.0637777670155066E-2</v>
      </c>
      <c r="S542" s="594">
        <f t="shared" si="473"/>
        <v>0.55447224349030577</v>
      </c>
      <c r="T542" s="594">
        <f t="shared" si="474"/>
        <v>0.38531806217093467</v>
      </c>
      <c r="U542" s="594">
        <f t="shared" si="475"/>
        <v>0.37398775307767207</v>
      </c>
      <c r="V542" s="594">
        <f t="shared" si="476"/>
        <v>6.2822468156921607E-2</v>
      </c>
      <c r="W542" s="594">
        <f t="shared" si="477"/>
        <v>3.6876679106558674E-2</v>
      </c>
      <c r="X542" s="594">
        <f t="shared" si="478"/>
        <v>4.4251740445850452E-2</v>
      </c>
      <c r="Y542" s="594">
        <f t="shared" si="479"/>
        <v>4.4251740445850896E-2</v>
      </c>
      <c r="AA542" s="594">
        <f t="shared" si="480"/>
        <v>1.2798921541605803E-2</v>
      </c>
      <c r="AB542" s="594">
        <f t="shared" si="481"/>
        <v>9.2742005737916321E-3</v>
      </c>
      <c r="AC542" s="594">
        <f t="shared" si="482"/>
        <v>8.4661758710447132E-3</v>
      </c>
      <c r="AD542" s="594">
        <f t="shared" si="483"/>
        <v>1.1345492210910864E-2</v>
      </c>
      <c r="AE542" s="594">
        <f t="shared" si="484"/>
        <v>9.5935032702537653E-3</v>
      </c>
      <c r="AF542" s="594">
        <f t="shared" si="485"/>
        <v>1.0295658693521356E-2</v>
      </c>
      <c r="AG542" s="594">
        <f t="shared" si="486"/>
        <v>1.0295658693521356E-2</v>
      </c>
      <c r="AH542" s="594">
        <f t="shared" si="487"/>
        <v>1.0295658693521356E-2</v>
      </c>
      <c r="AI542" s="594">
        <f t="shared" si="488"/>
        <v>1.0295658693521356E-2</v>
      </c>
      <c r="AJ542" s="594">
        <f t="shared" si="489"/>
        <v>1.0295658693521356E-2</v>
      </c>
      <c r="AL542" s="594">
        <f t="shared" si="490"/>
        <v>1.0295658693521356E-2</v>
      </c>
    </row>
    <row r="543" spans="2:38" outlineLevel="1">
      <c r="B543" s="562" t="s">
        <v>2343</v>
      </c>
      <c r="C543" s="562" t="s">
        <v>369</v>
      </c>
      <c r="D543" s="572" t="s">
        <v>2165</v>
      </c>
      <c r="E543" s="664">
        <v>0</v>
      </c>
      <c r="F543" s="664"/>
      <c r="G543" s="665">
        <v>0</v>
      </c>
      <c r="H543" s="665">
        <v>802784.27</v>
      </c>
      <c r="I543" s="665">
        <v>277281.93</v>
      </c>
      <c r="J543" s="665">
        <v>112100.04</v>
      </c>
      <c r="K543" s="616">
        <f>+Costi!I48</f>
        <v>407767.55026614852</v>
      </c>
      <c r="L543" s="616">
        <f>+Costi!J48</f>
        <v>433384.5142081696</v>
      </c>
      <c r="M543" s="616">
        <f>+Costi!K48</f>
        <v>449366.29586837604</v>
      </c>
      <c r="N543" s="616">
        <f>+Costi!L48</f>
        <v>469251.53655825666</v>
      </c>
      <c r="O543" s="616">
        <f>+Costi!M48</f>
        <v>490016.73375784938</v>
      </c>
      <c r="Q543" s="594">
        <f t="shared" si="471"/>
        <v>0</v>
      </c>
      <c r="R543" s="594">
        <f t="shared" si="472"/>
        <v>0</v>
      </c>
      <c r="S543" s="594">
        <f t="shared" si="473"/>
        <v>0</v>
      </c>
      <c r="T543" s="594">
        <f t="shared" si="474"/>
        <v>-0.65459969712660171</v>
      </c>
      <c r="U543" s="594">
        <f t="shared" si="475"/>
        <v>0.47058825746830513</v>
      </c>
      <c r="V543" s="594">
        <f t="shared" si="476"/>
        <v>6.2822468156921607E-2</v>
      </c>
      <c r="W543" s="594">
        <f t="shared" si="477"/>
        <v>3.6876679106558674E-2</v>
      </c>
      <c r="X543" s="594">
        <f t="shared" si="478"/>
        <v>4.4251740445850452E-2</v>
      </c>
      <c r="Y543" s="594">
        <f t="shared" si="479"/>
        <v>4.4251740445850896E-2</v>
      </c>
      <c r="AA543" s="594">
        <f t="shared" si="480"/>
        <v>0</v>
      </c>
      <c r="AB543" s="594">
        <f t="shared" si="481"/>
        <v>0</v>
      </c>
      <c r="AC543" s="594">
        <f t="shared" si="482"/>
        <v>0</v>
      </c>
      <c r="AD543" s="594">
        <f t="shared" si="483"/>
        <v>2.5777806552213411E-2</v>
      </c>
      <c r="AE543" s="594">
        <f t="shared" si="484"/>
        <v>5.4346685634625528E-3</v>
      </c>
      <c r="AF543" s="594">
        <f t="shared" si="485"/>
        <v>6.2424950231351932E-3</v>
      </c>
      <c r="AG543" s="594">
        <f t="shared" si="486"/>
        <v>6.2424950231351932E-3</v>
      </c>
      <c r="AH543" s="594">
        <f t="shared" si="487"/>
        <v>6.2424950231351932E-3</v>
      </c>
      <c r="AI543" s="594">
        <f t="shared" si="488"/>
        <v>6.2424950231351932E-3</v>
      </c>
      <c r="AJ543" s="594">
        <f t="shared" si="489"/>
        <v>6.2424950231351932E-3</v>
      </c>
      <c r="AL543" s="594">
        <f t="shared" si="490"/>
        <v>6.2424950231351932E-3</v>
      </c>
    </row>
    <row r="544" spans="2:38" outlineLevel="1">
      <c r="B544" s="562" t="s">
        <v>2343</v>
      </c>
      <c r="C544" s="562" t="s">
        <v>369</v>
      </c>
      <c r="D544" s="572" t="s">
        <v>2166</v>
      </c>
      <c r="E544" s="664">
        <v>16198.47</v>
      </c>
      <c r="F544" s="664">
        <v>18873.72</v>
      </c>
      <c r="G544" s="665">
        <v>31658.25</v>
      </c>
      <c r="H544" s="665">
        <v>15027.57</v>
      </c>
      <c r="I544" s="665">
        <v>27493.18</v>
      </c>
      <c r="J544" s="665">
        <v>12634.95</v>
      </c>
      <c r="K544" s="616">
        <f>+Costi!I49</f>
        <v>27493.18</v>
      </c>
      <c r="L544" s="616">
        <f>+Costi!J49</f>
        <v>27493.18</v>
      </c>
      <c r="M544" s="616">
        <f>+Costi!K49</f>
        <v>27493.18</v>
      </c>
      <c r="N544" s="616">
        <f>+Costi!L49</f>
        <v>27493.18</v>
      </c>
      <c r="O544" s="616">
        <f>+Costi!M49</f>
        <v>27493.18</v>
      </c>
      <c r="Q544" s="594">
        <f t="shared" si="471"/>
        <v>0.16515448681264355</v>
      </c>
      <c r="R544" s="594">
        <f t="shared" si="472"/>
        <v>0.67737202840775423</v>
      </c>
      <c r="S544" s="594">
        <f t="shared" si="473"/>
        <v>-0.52531899267963333</v>
      </c>
      <c r="T544" s="594">
        <f t="shared" si="474"/>
        <v>0.82951601622883819</v>
      </c>
      <c r="U544" s="594">
        <f t="shared" si="475"/>
        <v>0</v>
      </c>
      <c r="V544" s="594">
        <f t="shared" si="476"/>
        <v>0</v>
      </c>
      <c r="W544" s="594">
        <f t="shared" si="477"/>
        <v>0</v>
      </c>
      <c r="X544" s="594">
        <f t="shared" si="478"/>
        <v>0</v>
      </c>
      <c r="Y544" s="594">
        <f t="shared" si="479"/>
        <v>0</v>
      </c>
      <c r="AA544" s="594">
        <f t="shared" si="480"/>
        <v>6.2409636565980938E-4</v>
      </c>
      <c r="AB544" s="594">
        <f t="shared" si="481"/>
        <v>7.5419574068146054E-4</v>
      </c>
      <c r="AC544" s="594">
        <f t="shared" si="482"/>
        <v>1.1791822306559891E-3</v>
      </c>
      <c r="AD544" s="594">
        <f t="shared" si="483"/>
        <v>4.8254282861053774E-4</v>
      </c>
      <c r="AE544" s="594">
        <f t="shared" si="484"/>
        <v>5.388606500813716E-4</v>
      </c>
      <c r="AF544" s="594">
        <f t="shared" si="485"/>
        <v>4.2089185176245707E-4</v>
      </c>
      <c r="AG544" s="594">
        <f t="shared" si="486"/>
        <v>3.9601331772025919E-4</v>
      </c>
      <c r="AH544" s="594">
        <f t="shared" si="487"/>
        <v>3.8192904296149318E-4</v>
      </c>
      <c r="AI544" s="594">
        <f t="shared" si="488"/>
        <v>3.6574422447064909E-4</v>
      </c>
      <c r="AJ544" s="594">
        <f t="shared" si="489"/>
        <v>3.502452620423615E-4</v>
      </c>
      <c r="AL544" s="594">
        <f t="shared" si="490"/>
        <v>7.1577556313783355E-4</v>
      </c>
    </row>
    <row r="545" spans="2:38" outlineLevel="1">
      <c r="B545" s="562" t="s">
        <v>2343</v>
      </c>
      <c r="C545" s="562" t="s">
        <v>369</v>
      </c>
      <c r="D545" s="572" t="s">
        <v>2167</v>
      </c>
      <c r="E545" s="664">
        <v>0</v>
      </c>
      <c r="F545" s="664"/>
      <c r="G545" s="665">
        <v>0</v>
      </c>
      <c r="H545" s="670"/>
      <c r="I545" s="665">
        <v>926405.02</v>
      </c>
      <c r="J545" s="665">
        <v>396063.09</v>
      </c>
      <c r="K545" s="616">
        <f>+Costi!I50</f>
        <v>926405.02</v>
      </c>
      <c r="L545" s="616">
        <f>+Costi!J50</f>
        <v>926405.02</v>
      </c>
      <c r="M545" s="616">
        <f>+Costi!K50</f>
        <v>926405.02</v>
      </c>
      <c r="N545" s="616">
        <f>+Costi!L50</f>
        <v>926405.02</v>
      </c>
      <c r="O545" s="616">
        <f>+Costi!M50</f>
        <v>926405.02</v>
      </c>
      <c r="Q545" s="594">
        <f t="shared" si="471"/>
        <v>0</v>
      </c>
      <c r="R545" s="594">
        <f t="shared" si="472"/>
        <v>0</v>
      </c>
      <c r="S545" s="594">
        <f t="shared" si="473"/>
        <v>0</v>
      </c>
      <c r="T545" s="594">
        <f t="shared" si="474"/>
        <v>0</v>
      </c>
      <c r="U545" s="594">
        <f t="shared" si="475"/>
        <v>0</v>
      </c>
      <c r="V545" s="594">
        <f t="shared" si="476"/>
        <v>0</v>
      </c>
      <c r="W545" s="594">
        <f t="shared" si="477"/>
        <v>0</v>
      </c>
      <c r="X545" s="594">
        <f t="shared" si="478"/>
        <v>0</v>
      </c>
      <c r="Y545" s="594">
        <f t="shared" si="479"/>
        <v>0</v>
      </c>
      <c r="AA545" s="594">
        <f t="shared" si="480"/>
        <v>0</v>
      </c>
      <c r="AB545" s="594">
        <f t="shared" si="481"/>
        <v>0</v>
      </c>
      <c r="AC545" s="594">
        <f t="shared" si="482"/>
        <v>0</v>
      </c>
      <c r="AD545" s="594">
        <f t="shared" si="483"/>
        <v>0</v>
      </c>
      <c r="AE545" s="594">
        <f t="shared" si="484"/>
        <v>1.8157347069922291E-2</v>
      </c>
      <c r="AF545" s="594">
        <f t="shared" si="485"/>
        <v>1.418229263947772E-2</v>
      </c>
      <c r="AG545" s="594">
        <f t="shared" si="486"/>
        <v>1.3343990237684511E-2</v>
      </c>
      <c r="AH545" s="594">
        <f t="shared" si="487"/>
        <v>1.2869409165593901E-2</v>
      </c>
      <c r="AI545" s="594">
        <f t="shared" si="488"/>
        <v>1.2324048567157971E-2</v>
      </c>
      <c r="AJ545" s="594">
        <f t="shared" si="489"/>
        <v>1.1801798445551192E-2</v>
      </c>
      <c r="AL545" s="594">
        <f t="shared" si="490"/>
        <v>3.6314694139844583E-3</v>
      </c>
    </row>
    <row r="546" spans="2:38" outlineLevel="1">
      <c r="B546" s="562" t="s">
        <v>2343</v>
      </c>
      <c r="C546" s="562" t="s">
        <v>369</v>
      </c>
      <c r="D546" s="572" t="s">
        <v>2168</v>
      </c>
      <c r="E546" s="664">
        <v>0</v>
      </c>
      <c r="F546" s="664"/>
      <c r="G546" s="665">
        <v>0</v>
      </c>
      <c r="H546" s="670"/>
      <c r="I546" s="665">
        <v>0</v>
      </c>
      <c r="J546" s="665">
        <v>0</v>
      </c>
      <c r="K546" s="616">
        <f>+Costi!I51</f>
        <v>0</v>
      </c>
      <c r="L546" s="616">
        <f>+Costi!J51</f>
        <v>0</v>
      </c>
      <c r="M546" s="616">
        <f>+Costi!K51</f>
        <v>0</v>
      </c>
      <c r="N546" s="616">
        <f>+Costi!L51</f>
        <v>0</v>
      </c>
      <c r="O546" s="616">
        <f>+Costi!M51</f>
        <v>0</v>
      </c>
      <c r="Q546" s="594">
        <f t="shared" si="471"/>
        <v>0</v>
      </c>
      <c r="R546" s="594">
        <f t="shared" si="472"/>
        <v>0</v>
      </c>
      <c r="S546" s="594">
        <f t="shared" si="473"/>
        <v>0</v>
      </c>
      <c r="T546" s="594">
        <f t="shared" si="474"/>
        <v>0</v>
      </c>
      <c r="U546" s="594">
        <f t="shared" si="475"/>
        <v>0</v>
      </c>
      <c r="V546" s="594">
        <f t="shared" si="476"/>
        <v>0</v>
      </c>
      <c r="W546" s="594">
        <f t="shared" si="477"/>
        <v>0</v>
      </c>
      <c r="X546" s="594">
        <f t="shared" si="478"/>
        <v>0</v>
      </c>
      <c r="Y546" s="594">
        <f t="shared" si="479"/>
        <v>0</v>
      </c>
      <c r="AA546" s="594">
        <f t="shared" si="480"/>
        <v>0</v>
      </c>
      <c r="AB546" s="594">
        <f t="shared" si="481"/>
        <v>0</v>
      </c>
      <c r="AC546" s="594">
        <f t="shared" si="482"/>
        <v>0</v>
      </c>
      <c r="AD546" s="594">
        <f t="shared" si="483"/>
        <v>0</v>
      </c>
      <c r="AE546" s="594">
        <f t="shared" si="484"/>
        <v>0</v>
      </c>
      <c r="AF546" s="594">
        <f t="shared" si="485"/>
        <v>0</v>
      </c>
      <c r="AG546" s="594">
        <f t="shared" si="486"/>
        <v>0</v>
      </c>
      <c r="AH546" s="594">
        <f t="shared" si="487"/>
        <v>0</v>
      </c>
      <c r="AI546" s="594">
        <f t="shared" si="488"/>
        <v>0</v>
      </c>
      <c r="AJ546" s="594">
        <f t="shared" si="489"/>
        <v>0</v>
      </c>
      <c r="AL546" s="594">
        <f t="shared" si="490"/>
        <v>0</v>
      </c>
    </row>
    <row r="547" spans="2:38" outlineLevel="1">
      <c r="B547" s="562" t="s">
        <v>2343</v>
      </c>
      <c r="C547" s="562" t="s">
        <v>369</v>
      </c>
      <c r="D547" s="572" t="s">
        <v>2169</v>
      </c>
      <c r="E547" s="664">
        <v>120709.44</v>
      </c>
      <c r="F547" s="664">
        <v>143880.4</v>
      </c>
      <c r="G547" s="665">
        <v>140613.71</v>
      </c>
      <c r="H547" s="665">
        <v>177936.16</v>
      </c>
      <c r="I547" s="665">
        <v>194484.1</v>
      </c>
      <c r="J547" s="665">
        <v>90233.08</v>
      </c>
      <c r="K547" s="616">
        <f>+Costi!I52</f>
        <v>328737.27739852888</v>
      </c>
      <c r="L547" s="616">
        <f>+Costi!J52</f>
        <v>349389.36453989113</v>
      </c>
      <c r="M547" s="616">
        <f>+Costi!K52</f>
        <v>362273.68401927309</v>
      </c>
      <c r="N547" s="616">
        <f>+Costi!L52</f>
        <v>378304.92505485605</v>
      </c>
      <c r="O547" s="616">
        <f>+Costi!M52</f>
        <v>395045.57640777063</v>
      </c>
      <c r="Q547" s="594">
        <f t="shared" si="471"/>
        <v>0.19195648658464481</v>
      </c>
      <c r="R547" s="594">
        <f t="shared" si="472"/>
        <v>-2.2704204325259103E-2</v>
      </c>
      <c r="S547" s="594">
        <f t="shared" si="473"/>
        <v>0.26542539841954249</v>
      </c>
      <c r="T547" s="594">
        <f t="shared" si="474"/>
        <v>9.2999309415241926E-2</v>
      </c>
      <c r="U547" s="594">
        <f t="shared" si="475"/>
        <v>0.69030412973877486</v>
      </c>
      <c r="V547" s="594">
        <f t="shared" si="476"/>
        <v>6.2822468156921829E-2</v>
      </c>
      <c r="W547" s="594">
        <f t="shared" si="477"/>
        <v>3.6876679106558452E-2</v>
      </c>
      <c r="X547" s="594">
        <f t="shared" si="478"/>
        <v>4.4251740445850674E-2</v>
      </c>
      <c r="Y547" s="594">
        <f t="shared" si="479"/>
        <v>4.4251740445850896E-2</v>
      </c>
      <c r="AA547" s="594">
        <f t="shared" si="480"/>
        <v>4.6507060731557255E-3</v>
      </c>
      <c r="AB547" s="594">
        <f t="shared" si="481"/>
        <v>5.749475188121092E-3</v>
      </c>
      <c r="AC547" s="594">
        <f t="shared" si="482"/>
        <v>5.2374716928009074E-3</v>
      </c>
      <c r="AD547" s="594">
        <f t="shared" si="483"/>
        <v>5.7136195644736463E-3</v>
      </c>
      <c r="AE547" s="594">
        <f t="shared" si="484"/>
        <v>3.8118481949520021E-3</v>
      </c>
      <c r="AF547" s="594">
        <f t="shared" si="485"/>
        <v>5.0326241427006754E-3</v>
      </c>
      <c r="AG547" s="594">
        <f t="shared" si="486"/>
        <v>5.0326241427006754E-3</v>
      </c>
      <c r="AH547" s="594">
        <f t="shared" si="487"/>
        <v>5.0326241427006754E-3</v>
      </c>
      <c r="AI547" s="594">
        <f t="shared" si="488"/>
        <v>5.0326241427006754E-3</v>
      </c>
      <c r="AJ547" s="594">
        <f t="shared" si="489"/>
        <v>5.0326241427006754E-3</v>
      </c>
      <c r="AL547" s="594">
        <f t="shared" si="490"/>
        <v>5.0326241427006754E-3</v>
      </c>
    </row>
    <row r="548" spans="2:38" outlineLevel="1">
      <c r="B548" s="562" t="s">
        <v>2343</v>
      </c>
      <c r="C548" s="562" t="s">
        <v>369</v>
      </c>
      <c r="D548" s="572" t="s">
        <v>2170</v>
      </c>
      <c r="E548" s="664">
        <v>310882.59999999998</v>
      </c>
      <c r="F548" s="664">
        <v>265625.71999999997</v>
      </c>
      <c r="G548" s="665">
        <v>794825.24</v>
      </c>
      <c r="H548" s="665">
        <v>268178.11</v>
      </c>
      <c r="I548" s="665">
        <v>650690.82999999996</v>
      </c>
      <c r="J548" s="665">
        <v>363324.92</v>
      </c>
      <c r="K548" s="616">
        <f>+Costi!I53</f>
        <v>961031.36844599294</v>
      </c>
      <c r="L548" s="616">
        <f>+Costi!J53</f>
        <v>1021405.7309879941</v>
      </c>
      <c r="M548" s="616">
        <f>+Costi!K53</f>
        <v>1059071.7823672383</v>
      </c>
      <c r="N548" s="616">
        <f>+Costi!L53</f>
        <v>1105937.5519940776</v>
      </c>
      <c r="O548" s="616">
        <f>+Costi!M53</f>
        <v>1154877.2134942394</v>
      </c>
      <c r="Q548" s="594">
        <f t="shared" si="471"/>
        <v>-0.14557546803841714</v>
      </c>
      <c r="R548" s="594">
        <f t="shared" si="472"/>
        <v>1.9922751456447818</v>
      </c>
      <c r="S548" s="594">
        <f t="shared" si="473"/>
        <v>-0.66259487431476138</v>
      </c>
      <c r="T548" s="594">
        <f t="shared" si="474"/>
        <v>1.426338339098594</v>
      </c>
      <c r="U548" s="594">
        <f t="shared" si="475"/>
        <v>0.47694008296688772</v>
      </c>
      <c r="V548" s="594">
        <f t="shared" si="476"/>
        <v>6.2822468156921607E-2</v>
      </c>
      <c r="W548" s="594">
        <f t="shared" si="477"/>
        <v>3.6876679106558674E-2</v>
      </c>
      <c r="X548" s="594">
        <f t="shared" si="478"/>
        <v>4.4251740445850452E-2</v>
      </c>
      <c r="Y548" s="594">
        <f t="shared" si="479"/>
        <v>4.4251740445850896E-2</v>
      </c>
      <c r="AA548" s="594">
        <f t="shared" si="480"/>
        <v>1.1977717698453757E-2</v>
      </c>
      <c r="AB548" s="594">
        <f t="shared" si="481"/>
        <v>1.0614430363460209E-2</v>
      </c>
      <c r="AC548" s="594">
        <f t="shared" si="482"/>
        <v>2.9605041323663872E-2</v>
      </c>
      <c r="AD548" s="594">
        <f t="shared" si="483"/>
        <v>8.6113339529164026E-3</v>
      </c>
      <c r="AE548" s="594">
        <f t="shared" si="484"/>
        <v>1.2753405886688525E-2</v>
      </c>
      <c r="AF548" s="594">
        <f t="shared" si="485"/>
        <v>1.4712385845036554E-2</v>
      </c>
      <c r="AG548" s="594">
        <f t="shared" si="486"/>
        <v>1.4712385845036554E-2</v>
      </c>
      <c r="AH548" s="594">
        <f t="shared" si="487"/>
        <v>1.4712385845036554E-2</v>
      </c>
      <c r="AI548" s="594">
        <f t="shared" si="488"/>
        <v>1.4712385845036554E-2</v>
      </c>
      <c r="AJ548" s="594">
        <f t="shared" si="489"/>
        <v>1.4712385845036554E-2</v>
      </c>
      <c r="AL548" s="594">
        <f t="shared" si="490"/>
        <v>1.4712385845036554E-2</v>
      </c>
    </row>
    <row r="549" spans="2:38" outlineLevel="1">
      <c r="B549" s="562" t="s">
        <v>2343</v>
      </c>
      <c r="C549" s="562" t="s">
        <v>369</v>
      </c>
      <c r="D549" s="572" t="s">
        <v>2171</v>
      </c>
      <c r="E549" s="664">
        <v>28387.63</v>
      </c>
      <c r="F549" s="664">
        <v>24329.59</v>
      </c>
      <c r="G549" s="665">
        <v>23615.64</v>
      </c>
      <c r="H549" s="665">
        <v>31040.54</v>
      </c>
      <c r="I549" s="665">
        <v>45470.61</v>
      </c>
      <c r="J549" s="665">
        <v>18584.71</v>
      </c>
      <c r="K549" s="616">
        <f>+Costi!I54</f>
        <v>63145.964902171931</v>
      </c>
      <c r="L549" s="616">
        <f>+Costi!J54</f>
        <v>67112.950271476715</v>
      </c>
      <c r="M549" s="616">
        <f>+Costi!K54</f>
        <v>69587.8530025324</v>
      </c>
      <c r="N549" s="616">
        <f>+Costi!L54</f>
        <v>72667.23661178445</v>
      </c>
      <c r="O549" s="616">
        <f>+Costi!M54</f>
        <v>75882.888305246379</v>
      </c>
      <c r="Q549" s="594">
        <f t="shared" si="471"/>
        <v>-0.14295099661366595</v>
      </c>
      <c r="R549" s="594">
        <f t="shared" si="472"/>
        <v>-2.9344925253569909E-2</v>
      </c>
      <c r="S549" s="594">
        <f t="shared" si="473"/>
        <v>0.31440604616262791</v>
      </c>
      <c r="T549" s="594">
        <f t="shared" si="474"/>
        <v>0.46487818833048644</v>
      </c>
      <c r="U549" s="594">
        <f t="shared" si="475"/>
        <v>0.38872042627472836</v>
      </c>
      <c r="V549" s="594">
        <f t="shared" si="476"/>
        <v>6.2822468156921607E-2</v>
      </c>
      <c r="W549" s="594">
        <f t="shared" si="477"/>
        <v>3.6876679106558896E-2</v>
      </c>
      <c r="X549" s="594">
        <f t="shared" si="478"/>
        <v>4.4251740445850229E-2</v>
      </c>
      <c r="Y549" s="594">
        <f t="shared" si="479"/>
        <v>4.4251740445851118E-2</v>
      </c>
      <c r="AA549" s="594">
        <f t="shared" si="480"/>
        <v>1.0937216115284576E-3</v>
      </c>
      <c r="AB549" s="594">
        <f t="shared" si="481"/>
        <v>9.7221285207824723E-4</v>
      </c>
      <c r="AC549" s="594">
        <f t="shared" si="482"/>
        <v>8.7961725785755049E-4</v>
      </c>
      <c r="AD549" s="594">
        <f t="shared" si="483"/>
        <v>9.967273466833656E-4</v>
      </c>
      <c r="AE549" s="594">
        <f t="shared" si="484"/>
        <v>8.9121456536481116E-4</v>
      </c>
      <c r="AF549" s="594">
        <f t="shared" si="485"/>
        <v>9.6669872670248637E-4</v>
      </c>
      <c r="AG549" s="594">
        <f t="shared" si="486"/>
        <v>9.6669872670248627E-4</v>
      </c>
      <c r="AH549" s="594">
        <f t="shared" si="487"/>
        <v>9.6669872670248648E-4</v>
      </c>
      <c r="AI549" s="594">
        <f t="shared" si="488"/>
        <v>9.6669872670248637E-4</v>
      </c>
      <c r="AJ549" s="594">
        <f t="shared" si="489"/>
        <v>9.6669872670248637E-4</v>
      </c>
      <c r="AL549" s="594">
        <f t="shared" si="490"/>
        <v>9.6669872670248637E-4</v>
      </c>
    </row>
    <row r="550" spans="2:38" outlineLevel="1">
      <c r="B550" s="562" t="s">
        <v>2343</v>
      </c>
      <c r="C550" s="562" t="s">
        <v>369</v>
      </c>
      <c r="D550" s="572" t="s">
        <v>2172</v>
      </c>
      <c r="E550" s="664">
        <v>19518.63</v>
      </c>
      <c r="F550" s="664">
        <v>17708.13</v>
      </c>
      <c r="G550" s="665">
        <v>15834.09</v>
      </c>
      <c r="H550" s="665">
        <v>23634.52</v>
      </c>
      <c r="I550" s="665">
        <v>20274.560000000001</v>
      </c>
      <c r="J550" s="665">
        <v>11487.19</v>
      </c>
      <c r="K550" s="616">
        <f>+Costi!I55</f>
        <v>41880.116236370814</v>
      </c>
      <c r="L550" s="616">
        <f>+Costi!J55</f>
        <v>44511.128505038396</v>
      </c>
      <c r="M550" s="616">
        <f>+Costi!K55</f>
        <v>46152.55110758949</v>
      </c>
      <c r="N550" s="616">
        <f>+Costi!L55</f>
        <v>48194.881820116389</v>
      </c>
      <c r="O550" s="616">
        <f>+Costi!M55</f>
        <v>50327.589221238639</v>
      </c>
      <c r="Q550" s="594">
        <f t="shared" si="471"/>
        <v>-9.2757534724517088E-2</v>
      </c>
      <c r="R550" s="594">
        <f t="shared" si="472"/>
        <v>-0.10582935634649171</v>
      </c>
      <c r="S550" s="594">
        <f t="shared" si="473"/>
        <v>0.49263519406546252</v>
      </c>
      <c r="T550" s="594">
        <f t="shared" si="474"/>
        <v>-0.14216324257907498</v>
      </c>
      <c r="U550" s="594">
        <f t="shared" si="475"/>
        <v>1.0656485880024431</v>
      </c>
      <c r="V550" s="594">
        <f t="shared" si="476"/>
        <v>6.2822468156921607E-2</v>
      </c>
      <c r="W550" s="594">
        <f t="shared" si="477"/>
        <v>3.6876679106558674E-2</v>
      </c>
      <c r="X550" s="594">
        <f t="shared" si="478"/>
        <v>4.4251740445850452E-2</v>
      </c>
      <c r="Y550" s="594">
        <f t="shared" si="479"/>
        <v>4.4251740445850896E-2</v>
      </c>
      <c r="AA550" s="594">
        <f t="shared" si="480"/>
        <v>7.5201584135159221E-4</v>
      </c>
      <c r="AB550" s="594">
        <f t="shared" si="481"/>
        <v>7.0761864759218596E-4</v>
      </c>
      <c r="AC550" s="594">
        <f t="shared" si="482"/>
        <v>5.8977604784243246E-4</v>
      </c>
      <c r="AD550" s="594">
        <f t="shared" si="483"/>
        <v>7.5891632071268525E-4</v>
      </c>
      <c r="AE550" s="594">
        <f t="shared" si="484"/>
        <v>3.9737718887788808E-4</v>
      </c>
      <c r="AF550" s="594">
        <f t="shared" si="485"/>
        <v>6.4114080927535691E-4</v>
      </c>
      <c r="AG550" s="594">
        <f t="shared" si="486"/>
        <v>6.411408092753568E-4</v>
      </c>
      <c r="AH550" s="594">
        <f t="shared" si="487"/>
        <v>6.411408092753568E-4</v>
      </c>
      <c r="AI550" s="594">
        <f t="shared" si="488"/>
        <v>6.411408092753568E-4</v>
      </c>
      <c r="AJ550" s="594">
        <f t="shared" si="489"/>
        <v>6.411408092753568E-4</v>
      </c>
      <c r="AL550" s="594">
        <f t="shared" si="490"/>
        <v>6.411408092753568E-4</v>
      </c>
    </row>
    <row r="551" spans="2:38" outlineLevel="1">
      <c r="B551" s="562" t="s">
        <v>2343</v>
      </c>
      <c r="C551" s="562" t="s">
        <v>369</v>
      </c>
      <c r="D551" s="572" t="s">
        <v>2173</v>
      </c>
      <c r="E551" s="664">
        <v>0</v>
      </c>
      <c r="F551" s="664"/>
      <c r="G551" s="665">
        <v>0</v>
      </c>
      <c r="H551" s="665">
        <v>6230.78</v>
      </c>
      <c r="I551" s="665">
        <v>7779.43</v>
      </c>
      <c r="J551" s="665">
        <v>13072.970000000001</v>
      </c>
      <c r="K551" s="616">
        <f>+Costi!I56</f>
        <v>15000</v>
      </c>
      <c r="L551" s="616">
        <f>+Costi!J56</f>
        <v>15000</v>
      </c>
      <c r="M551" s="616">
        <f>+Costi!K56</f>
        <v>15000</v>
      </c>
      <c r="N551" s="616">
        <f>+Costi!L56</f>
        <v>15000</v>
      </c>
      <c r="O551" s="616">
        <f>+Costi!M56</f>
        <v>15000</v>
      </c>
      <c r="Q551" s="594">
        <f t="shared" si="471"/>
        <v>0</v>
      </c>
      <c r="R551" s="594">
        <f t="shared" si="472"/>
        <v>0</v>
      </c>
      <c r="S551" s="594">
        <f t="shared" si="473"/>
        <v>0</v>
      </c>
      <c r="T551" s="594">
        <f t="shared" si="474"/>
        <v>0.24854833584238256</v>
      </c>
      <c r="U551" s="594">
        <f t="shared" si="475"/>
        <v>0.92816183190799317</v>
      </c>
      <c r="V551" s="594">
        <f t="shared" si="476"/>
        <v>0</v>
      </c>
      <c r="W551" s="594">
        <f t="shared" si="477"/>
        <v>0</v>
      </c>
      <c r="X551" s="594">
        <f t="shared" si="478"/>
        <v>0</v>
      </c>
      <c r="Y551" s="594">
        <f t="shared" si="479"/>
        <v>0</v>
      </c>
      <c r="AA551" s="594">
        <f t="shared" si="480"/>
        <v>0</v>
      </c>
      <c r="AB551" s="594">
        <f t="shared" si="481"/>
        <v>0</v>
      </c>
      <c r="AC551" s="594">
        <f t="shared" si="482"/>
        <v>0</v>
      </c>
      <c r="AD551" s="594">
        <f t="shared" si="483"/>
        <v>2.0007347865622763E-4</v>
      </c>
      <c r="AE551" s="594">
        <f t="shared" si="484"/>
        <v>1.5247522138444971E-4</v>
      </c>
      <c r="AF551" s="594">
        <f t="shared" si="485"/>
        <v>2.2963432300071712E-4</v>
      </c>
      <c r="AG551" s="594">
        <f t="shared" si="486"/>
        <v>2.1606084730118114E-4</v>
      </c>
      <c r="AH551" s="594">
        <f t="shared" si="487"/>
        <v>2.083766099237119E-4</v>
      </c>
      <c r="AI551" s="594">
        <f t="shared" si="488"/>
        <v>1.9954633720288946E-4</v>
      </c>
      <c r="AJ551" s="594">
        <f t="shared" si="489"/>
        <v>1.9109026058955066E-4</v>
      </c>
      <c r="AL551" s="594">
        <f t="shared" si="490"/>
        <v>7.050974000813547E-5</v>
      </c>
    </row>
    <row r="552" spans="2:38" outlineLevel="1">
      <c r="B552" s="562" t="s">
        <v>2343</v>
      </c>
      <c r="C552" s="562" t="s">
        <v>369</v>
      </c>
      <c r="D552" s="572" t="s">
        <v>2174</v>
      </c>
      <c r="E552" s="664">
        <v>19032.900000000001</v>
      </c>
      <c r="F552" s="664">
        <v>5341.57</v>
      </c>
      <c r="G552" s="665">
        <v>23300.77</v>
      </c>
      <c r="H552" s="665">
        <v>17751.7</v>
      </c>
      <c r="I552" s="665">
        <v>21797.52</v>
      </c>
      <c r="J552" s="665">
        <v>17730.8</v>
      </c>
      <c r="K552" s="616">
        <f>+Costi!I57</f>
        <v>36735.144957583077</v>
      </c>
      <c r="L552" s="616">
        <f>+Costi!J57</f>
        <v>39042.937431920742</v>
      </c>
      <c r="M552" s="616">
        <f>+Costi!K57</f>
        <v>40482.711306975129</v>
      </c>
      <c r="N552" s="616">
        <f>+Costi!L57</f>
        <v>42274.141740275685</v>
      </c>
      <c r="O552" s="616">
        <f>+Costi!M57</f>
        <v>44144.846088137485</v>
      </c>
      <c r="Q552" s="594">
        <f t="shared" si="471"/>
        <v>-0.71935070325594108</v>
      </c>
      <c r="R552" s="594">
        <f t="shared" si="472"/>
        <v>3.3621575679060651</v>
      </c>
      <c r="S552" s="594">
        <f t="shared" si="473"/>
        <v>-0.23814964054835952</v>
      </c>
      <c r="T552" s="594">
        <f t="shared" si="474"/>
        <v>0.22791169296461744</v>
      </c>
      <c r="U552" s="594">
        <f t="shared" si="475"/>
        <v>0.68529011362682901</v>
      </c>
      <c r="V552" s="594">
        <f t="shared" si="476"/>
        <v>6.2822468156921607E-2</v>
      </c>
      <c r="W552" s="594">
        <f t="shared" si="477"/>
        <v>3.6876679106558674E-2</v>
      </c>
      <c r="X552" s="594">
        <f t="shared" si="478"/>
        <v>4.4251740445850452E-2</v>
      </c>
      <c r="Y552" s="594">
        <f t="shared" si="479"/>
        <v>4.4251740445851118E-2</v>
      </c>
      <c r="AA552" s="594">
        <f t="shared" si="480"/>
        <v>7.3330158453030361E-4</v>
      </c>
      <c r="AB552" s="594">
        <f t="shared" si="481"/>
        <v>2.1344967195401166E-4</v>
      </c>
      <c r="AC552" s="594">
        <f t="shared" si="482"/>
        <v>8.6788922143839751E-4</v>
      </c>
      <c r="AD552" s="594">
        <f t="shared" si="483"/>
        <v>5.7001601261186502E-4</v>
      </c>
      <c r="AE552" s="594">
        <f t="shared" si="484"/>
        <v>4.2722689035468793E-4</v>
      </c>
      <c r="AF552" s="594">
        <f t="shared" si="485"/>
        <v>5.6237667617785314E-4</v>
      </c>
      <c r="AG552" s="594">
        <f t="shared" si="486"/>
        <v>5.6237667617785314E-4</v>
      </c>
      <c r="AH552" s="594">
        <f t="shared" si="487"/>
        <v>5.6237667617785314E-4</v>
      </c>
      <c r="AI552" s="594">
        <f t="shared" si="488"/>
        <v>5.6237667617785314E-4</v>
      </c>
      <c r="AJ552" s="594">
        <f t="shared" si="489"/>
        <v>5.6237667617785314E-4</v>
      </c>
      <c r="AL552" s="594">
        <f t="shared" si="490"/>
        <v>5.6237667617785314E-4</v>
      </c>
    </row>
    <row r="553" spans="2:38" outlineLevel="1">
      <c r="B553" s="562" t="s">
        <v>2343</v>
      </c>
      <c r="C553" s="562" t="s">
        <v>369</v>
      </c>
      <c r="D553" s="572" t="s">
        <v>2175</v>
      </c>
      <c r="E553" s="664">
        <v>3415.2</v>
      </c>
      <c r="F553" s="664">
        <v>3667.87</v>
      </c>
      <c r="G553" s="665">
        <v>3456.13</v>
      </c>
      <c r="H553" s="665">
        <v>6169.15</v>
      </c>
      <c r="I553" s="665">
        <v>7032.64</v>
      </c>
      <c r="J553" s="665">
        <v>2935.35</v>
      </c>
      <c r="K553" s="616">
        <f>+Costi!I58</f>
        <v>5000</v>
      </c>
      <c r="L553" s="616">
        <f>+Costi!J58</f>
        <v>5000</v>
      </c>
      <c r="M553" s="616">
        <f>+Costi!K58</f>
        <v>5000</v>
      </c>
      <c r="N553" s="616">
        <f>+Costi!L58</f>
        <v>5000</v>
      </c>
      <c r="O553" s="616">
        <f>+Costi!M58</f>
        <v>5000</v>
      </c>
      <c r="Q553" s="594">
        <f t="shared" si="471"/>
        <v>7.3983954087608383E-2</v>
      </c>
      <c r="R553" s="594">
        <f t="shared" si="472"/>
        <v>-5.7728327339845675E-2</v>
      </c>
      <c r="S553" s="594">
        <f t="shared" si="473"/>
        <v>0.78498783321229215</v>
      </c>
      <c r="T553" s="594">
        <f t="shared" si="474"/>
        <v>0.13996903949490624</v>
      </c>
      <c r="U553" s="594">
        <f t="shared" si="475"/>
        <v>-0.28902943986895391</v>
      </c>
      <c r="V553" s="594">
        <f t="shared" si="476"/>
        <v>0</v>
      </c>
      <c r="W553" s="594">
        <f t="shared" si="477"/>
        <v>0</v>
      </c>
      <c r="X553" s="594">
        <f t="shared" si="478"/>
        <v>0</v>
      </c>
      <c r="Y553" s="594">
        <f t="shared" si="479"/>
        <v>0</v>
      </c>
      <c r="AA553" s="594">
        <f t="shared" si="480"/>
        <v>1.3158118686526447E-4</v>
      </c>
      <c r="AB553" s="594">
        <f t="shared" si="481"/>
        <v>1.465684523969471E-4</v>
      </c>
      <c r="AC553" s="594">
        <f t="shared" si="482"/>
        <v>1.2873128119327769E-4</v>
      </c>
      <c r="AD553" s="594">
        <f t="shared" si="483"/>
        <v>1.9809450836846536E-4</v>
      </c>
      <c r="AE553" s="594">
        <f t="shared" si="484"/>
        <v>1.3783829161225647E-4</v>
      </c>
      <c r="AF553" s="594">
        <f t="shared" si="485"/>
        <v>7.6544774333572378E-5</v>
      </c>
      <c r="AG553" s="594">
        <f t="shared" si="486"/>
        <v>7.2020282433727046E-5</v>
      </c>
      <c r="AH553" s="594">
        <f t="shared" si="487"/>
        <v>6.9458869974570625E-5</v>
      </c>
      <c r="AI553" s="594">
        <f t="shared" si="488"/>
        <v>6.6515445734296487E-5</v>
      </c>
      <c r="AJ553" s="594">
        <f t="shared" si="489"/>
        <v>6.369675352985022E-5</v>
      </c>
      <c r="AL553" s="594">
        <f t="shared" si="490"/>
        <v>1.4856274408724221E-4</v>
      </c>
    </row>
    <row r="554" spans="2:38" outlineLevel="1">
      <c r="B554" s="562" t="s">
        <v>2343</v>
      </c>
      <c r="C554" s="562" t="s">
        <v>369</v>
      </c>
      <c r="D554" s="572" t="s">
        <v>2176</v>
      </c>
      <c r="E554" s="664">
        <v>0</v>
      </c>
      <c r="F554" s="664"/>
      <c r="G554" s="665">
        <v>0</v>
      </c>
      <c r="H554" s="665">
        <v>965.94</v>
      </c>
      <c r="I554" s="665">
        <v>2367.31</v>
      </c>
      <c r="J554" s="665">
        <v>1766.64</v>
      </c>
      <c r="K554" s="616">
        <f>+Costi!I59</f>
        <v>2414.6561999999999</v>
      </c>
      <c r="L554" s="616">
        <f>+Costi!J59</f>
        <v>2462.9493240000002</v>
      </c>
      <c r="M554" s="616">
        <f>+Costi!K59</f>
        <v>2512.2083104800004</v>
      </c>
      <c r="N554" s="616">
        <f>+Costi!L59</f>
        <v>2562.4524766896002</v>
      </c>
      <c r="O554" s="616">
        <f>+Costi!M59</f>
        <v>2613.7015262233922</v>
      </c>
      <c r="Q554" s="594">
        <f t="shared" si="471"/>
        <v>0</v>
      </c>
      <c r="R554" s="594">
        <f t="shared" si="472"/>
        <v>0</v>
      </c>
      <c r="S554" s="594">
        <f t="shared" si="473"/>
        <v>0</v>
      </c>
      <c r="T554" s="594">
        <f t="shared" si="474"/>
        <v>1.4507836925688964</v>
      </c>
      <c r="U554" s="594">
        <f t="shared" si="475"/>
        <v>2.0000000000000018E-2</v>
      </c>
      <c r="V554" s="594">
        <f t="shared" si="476"/>
        <v>2.0000000000000018E-2</v>
      </c>
      <c r="W554" s="594">
        <f t="shared" si="477"/>
        <v>2.0000000000000018E-2</v>
      </c>
      <c r="X554" s="594">
        <f t="shared" si="478"/>
        <v>2.0000000000000018E-2</v>
      </c>
      <c r="Y554" s="594">
        <f t="shared" si="479"/>
        <v>2.0000000000000018E-2</v>
      </c>
      <c r="AA554" s="594">
        <f t="shared" si="480"/>
        <v>0</v>
      </c>
      <c r="AB554" s="594">
        <f t="shared" si="481"/>
        <v>0</v>
      </c>
      <c r="AC554" s="594">
        <f t="shared" si="482"/>
        <v>0</v>
      </c>
      <c r="AD554" s="594">
        <f t="shared" si="483"/>
        <v>3.1016819077739304E-5</v>
      </c>
      <c r="AE554" s="594">
        <f t="shared" si="484"/>
        <v>4.6398787100805796E-5</v>
      </c>
      <c r="AF554" s="594">
        <f t="shared" si="485"/>
        <v>3.696586278443228E-5</v>
      </c>
      <c r="AG554" s="594">
        <f t="shared" si="486"/>
        <v>3.5476461186887423E-5</v>
      </c>
      <c r="AH554" s="594">
        <f t="shared" si="487"/>
        <v>3.4899030077333222E-5</v>
      </c>
      <c r="AI554" s="594">
        <f t="shared" si="488"/>
        <v>3.4088533731992145E-5</v>
      </c>
      <c r="AJ554" s="594">
        <f t="shared" si="489"/>
        <v>3.3296860383288948E-5</v>
      </c>
      <c r="AL554" s="594">
        <f t="shared" si="490"/>
        <v>1.548312123570902E-5</v>
      </c>
    </row>
    <row r="555" spans="2:38" outlineLevel="1">
      <c r="B555" s="562" t="s">
        <v>2343</v>
      </c>
      <c r="C555" s="562" t="s">
        <v>369</v>
      </c>
      <c r="D555" s="572" t="s">
        <v>2177</v>
      </c>
      <c r="E555" s="664">
        <v>74768.84</v>
      </c>
      <c r="F555" s="664">
        <v>76375.53</v>
      </c>
      <c r="G555" s="665">
        <v>88210.23</v>
      </c>
      <c r="H555" s="665">
        <v>92703.09</v>
      </c>
      <c r="I555" s="665">
        <v>104447.15</v>
      </c>
      <c r="J555" s="665">
        <v>77501.600000000006</v>
      </c>
      <c r="K555" s="616">
        <f>+Costi!I60</f>
        <v>109669.50749999999</v>
      </c>
      <c r="L555" s="616">
        <f>+Costi!J60</f>
        <v>115152.982875</v>
      </c>
      <c r="M555" s="616">
        <f>+Costi!K60</f>
        <v>120910.63201875001</v>
      </c>
      <c r="N555" s="616">
        <f>+Costi!L60</f>
        <v>126956.16361968752</v>
      </c>
      <c r="O555" s="616">
        <f>+Costi!M60</f>
        <v>133303.97180067189</v>
      </c>
      <c r="Q555" s="594">
        <f t="shared" si="471"/>
        <v>2.1488764570909424E-2</v>
      </c>
      <c r="R555" s="594">
        <f t="shared" si="472"/>
        <v>0.15495408018772494</v>
      </c>
      <c r="S555" s="594">
        <f t="shared" si="473"/>
        <v>5.0933548183696997E-2</v>
      </c>
      <c r="T555" s="594">
        <f t="shared" si="474"/>
        <v>0.12668466606668671</v>
      </c>
      <c r="U555" s="594">
        <f t="shared" si="475"/>
        <v>5.0000000000000044E-2</v>
      </c>
      <c r="V555" s="594">
        <f t="shared" si="476"/>
        <v>5.0000000000000044E-2</v>
      </c>
      <c r="W555" s="594">
        <f t="shared" si="477"/>
        <v>5.0000000000000044E-2</v>
      </c>
      <c r="X555" s="594">
        <f t="shared" si="478"/>
        <v>5.0000000000000044E-2</v>
      </c>
      <c r="Y555" s="594">
        <f t="shared" si="479"/>
        <v>5.0000000000000044E-2</v>
      </c>
      <c r="AA555" s="594">
        <f t="shared" si="480"/>
        <v>2.8807017766863028E-3</v>
      </c>
      <c r="AB555" s="594">
        <f t="shared" si="481"/>
        <v>3.0519738248892697E-3</v>
      </c>
      <c r="AC555" s="594">
        <f t="shared" si="482"/>
        <v>3.2855870358619896E-3</v>
      </c>
      <c r="AD555" s="594">
        <f t="shared" si="483"/>
        <v>2.9767428313118658E-3</v>
      </c>
      <c r="AE555" s="594">
        <f t="shared" si="484"/>
        <v>2.0471425694716483E-3</v>
      </c>
      <c r="AF555" s="594">
        <f t="shared" si="485"/>
        <v>1.6789255405723045E-3</v>
      </c>
      <c r="AG555" s="594">
        <f t="shared" si="486"/>
        <v>1.6586700699487268E-3</v>
      </c>
      <c r="AH555" s="594">
        <f t="shared" si="487"/>
        <v>1.6796631735867026E-3</v>
      </c>
      <c r="AI555" s="594">
        <f t="shared" si="488"/>
        <v>1.6889091623759583E-3</v>
      </c>
      <c r="AJ555" s="594">
        <f t="shared" si="489"/>
        <v>1.6982060472675001E-3</v>
      </c>
      <c r="AL555" s="594">
        <f t="shared" si="490"/>
        <v>2.8484296076442153E-3</v>
      </c>
    </row>
    <row r="556" spans="2:38" outlineLevel="1">
      <c r="B556" s="562" t="s">
        <v>2343</v>
      </c>
      <c r="C556" s="562" t="s">
        <v>369</v>
      </c>
      <c r="D556" s="572" t="s">
        <v>2178</v>
      </c>
      <c r="E556" s="664">
        <v>1360.97</v>
      </c>
      <c r="F556" s="664">
        <v>1421.7</v>
      </c>
      <c r="G556" s="665">
        <v>1224.8</v>
      </c>
      <c r="H556" s="665">
        <v>533.86</v>
      </c>
      <c r="I556" s="665">
        <v>0</v>
      </c>
      <c r="J556" s="665">
        <v>0</v>
      </c>
      <c r="K556" s="616">
        <f>+Costi!I61</f>
        <v>0</v>
      </c>
      <c r="L556" s="616">
        <f>+Costi!J61</f>
        <v>0</v>
      </c>
      <c r="M556" s="616">
        <f>+Costi!K61</f>
        <v>0</v>
      </c>
      <c r="N556" s="616">
        <f>+Costi!L61</f>
        <v>0</v>
      </c>
      <c r="O556" s="616">
        <f>+Costi!M61</f>
        <v>0</v>
      </c>
      <c r="Q556" s="594">
        <f t="shared" si="471"/>
        <v>4.4622585361911105E-2</v>
      </c>
      <c r="R556" s="594">
        <f t="shared" si="472"/>
        <v>-0.13849616656115926</v>
      </c>
      <c r="S556" s="594">
        <f t="shared" si="473"/>
        <v>-0.56412475506205095</v>
      </c>
      <c r="T556" s="594">
        <f t="shared" si="474"/>
        <v>-1</v>
      </c>
      <c r="U556" s="594">
        <f t="shared" si="475"/>
        <v>0</v>
      </c>
      <c r="V556" s="594">
        <f t="shared" si="476"/>
        <v>0</v>
      </c>
      <c r="W556" s="594">
        <f t="shared" si="477"/>
        <v>0</v>
      </c>
      <c r="X556" s="594">
        <f t="shared" si="478"/>
        <v>0</v>
      </c>
      <c r="Y556" s="594">
        <f t="shared" si="479"/>
        <v>0</v>
      </c>
      <c r="AA556" s="594">
        <f t="shared" si="480"/>
        <v>5.2435596125561907E-5</v>
      </c>
      <c r="AB556" s="594">
        <f t="shared" si="481"/>
        <v>5.681127432889926E-5</v>
      </c>
      <c r="AC556" s="594">
        <f t="shared" si="482"/>
        <v>4.5620411618060227E-5</v>
      </c>
      <c r="AD556" s="594">
        <f t="shared" si="483"/>
        <v>1.7142513026525361E-5</v>
      </c>
      <c r="AE556" s="594">
        <f t="shared" si="484"/>
        <v>0</v>
      </c>
      <c r="AF556" s="594">
        <f t="shared" si="485"/>
        <v>0</v>
      </c>
      <c r="AG556" s="594">
        <f t="shared" si="486"/>
        <v>0</v>
      </c>
      <c r="AH556" s="594">
        <f t="shared" si="487"/>
        <v>0</v>
      </c>
      <c r="AI556" s="594">
        <f t="shared" si="488"/>
        <v>0</v>
      </c>
      <c r="AJ556" s="594">
        <f t="shared" si="489"/>
        <v>0</v>
      </c>
      <c r="AL556" s="594">
        <f t="shared" si="490"/>
        <v>3.4401959019809351E-5</v>
      </c>
    </row>
    <row r="557" spans="2:38" outlineLevel="1">
      <c r="B557" s="562" t="s">
        <v>2343</v>
      </c>
      <c r="C557" s="562" t="s">
        <v>369</v>
      </c>
      <c r="D557" s="572" t="s">
        <v>2179</v>
      </c>
      <c r="E557" s="664">
        <v>782239.65</v>
      </c>
      <c r="F557" s="664">
        <v>828364.03</v>
      </c>
      <c r="G557" s="665">
        <v>756147.01</v>
      </c>
      <c r="H557" s="665">
        <v>893333.09</v>
      </c>
      <c r="I557" s="665">
        <v>1308522.8</v>
      </c>
      <c r="J557" s="665">
        <v>853166.12</v>
      </c>
      <c r="K557" s="616">
        <f>+Costi!I62</f>
        <v>1903934.7677255569</v>
      </c>
      <c r="L557" s="616">
        <f>+Costi!J62</f>
        <v>2023544.6490438518</v>
      </c>
      <c r="M557" s="616">
        <f>+Costi!K62</f>
        <v>2098166.2557244357</v>
      </c>
      <c r="N557" s="616">
        <f>+Costi!L62</f>
        <v>2191013.7642849954</v>
      </c>
      <c r="O557" s="616">
        <f>+Costi!M62</f>
        <v>2287969.936695422</v>
      </c>
      <c r="Q557" s="594">
        <f t="shared" si="471"/>
        <v>5.8964512985246964E-2</v>
      </c>
      <c r="R557" s="594">
        <f t="shared" si="472"/>
        <v>-8.7180294393033986E-2</v>
      </c>
      <c r="S557" s="594">
        <f t="shared" si="473"/>
        <v>0.18142778875763854</v>
      </c>
      <c r="T557" s="594">
        <f t="shared" si="474"/>
        <v>0.46476472734263097</v>
      </c>
      <c r="U557" s="594">
        <f t="shared" si="475"/>
        <v>0.45502605512533423</v>
      </c>
      <c r="V557" s="594">
        <f t="shared" si="476"/>
        <v>6.2822468156921607E-2</v>
      </c>
      <c r="W557" s="594">
        <f t="shared" si="477"/>
        <v>3.6876679106558674E-2</v>
      </c>
      <c r="X557" s="594">
        <f t="shared" si="478"/>
        <v>4.4251740445850452E-2</v>
      </c>
      <c r="Y557" s="594">
        <f t="shared" si="479"/>
        <v>4.4251740445851118E-2</v>
      </c>
      <c r="AA557" s="594">
        <f t="shared" si="480"/>
        <v>3.0138211981748975E-2</v>
      </c>
      <c r="AB557" s="594">
        <f t="shared" si="481"/>
        <v>3.3101509567786826E-2</v>
      </c>
      <c r="AC557" s="594">
        <f t="shared" si="482"/>
        <v>2.8164384258626312E-2</v>
      </c>
      <c r="AD557" s="594">
        <f t="shared" si="483"/>
        <v>2.868537469065139E-2</v>
      </c>
      <c r="AE557" s="594">
        <f t="shared" si="484"/>
        <v>2.5646776642581783E-2</v>
      </c>
      <c r="AF557" s="594">
        <f t="shared" si="485"/>
        <v>2.9147251428279057E-2</v>
      </c>
      <c r="AG557" s="594">
        <f t="shared" si="486"/>
        <v>2.9147251428279057E-2</v>
      </c>
      <c r="AH557" s="594">
        <f t="shared" si="487"/>
        <v>2.9147251428279057E-2</v>
      </c>
      <c r="AI557" s="594">
        <f t="shared" si="488"/>
        <v>2.9147251428279057E-2</v>
      </c>
      <c r="AJ557" s="594">
        <f t="shared" si="489"/>
        <v>2.9147251428279061E-2</v>
      </c>
      <c r="AL557" s="594">
        <f t="shared" si="490"/>
        <v>2.9147251428279057E-2</v>
      </c>
    </row>
    <row r="558" spans="2:38" outlineLevel="1">
      <c r="B558" s="562" t="s">
        <v>2343</v>
      </c>
      <c r="C558" s="562" t="s">
        <v>369</v>
      </c>
      <c r="D558" s="572" t="s">
        <v>2180</v>
      </c>
      <c r="E558" s="664">
        <v>273681</v>
      </c>
      <c r="F558" s="664">
        <v>276304</v>
      </c>
      <c r="G558" s="665">
        <v>308169.5</v>
      </c>
      <c r="H558" s="665">
        <v>388370</v>
      </c>
      <c r="I558" s="665">
        <v>435076</v>
      </c>
      <c r="J558" s="665">
        <v>251053</v>
      </c>
      <c r="K558" s="616">
        <f>+Costi!I63</f>
        <v>706281.56582438212</v>
      </c>
      <c r="L558" s="616">
        <f>+Costi!J63</f>
        <v>750651.91700320516</v>
      </c>
      <c r="M558" s="616">
        <f>+Costi!K63</f>
        <v>778333.4668672554</v>
      </c>
      <c r="N558" s="616">
        <f>+Costi!L63</f>
        <v>812776.07742338418</v>
      </c>
      <c r="O558" s="616">
        <f>+Costi!M63</f>
        <v>848742.83344212058</v>
      </c>
      <c r="Q558" s="594">
        <f t="shared" si="471"/>
        <v>9.5841508910008422E-3</v>
      </c>
      <c r="R558" s="594">
        <f t="shared" si="472"/>
        <v>0.11532768255255088</v>
      </c>
      <c r="S558" s="594">
        <f t="shared" si="473"/>
        <v>0.2602480128630511</v>
      </c>
      <c r="T558" s="594">
        <f t="shared" si="474"/>
        <v>0.12026160620027304</v>
      </c>
      <c r="U558" s="594">
        <f t="shared" si="475"/>
        <v>0.62335216335624599</v>
      </c>
      <c r="V558" s="594">
        <f t="shared" si="476"/>
        <v>6.2822468156921607E-2</v>
      </c>
      <c r="W558" s="594">
        <f t="shared" si="477"/>
        <v>3.6876679106558674E-2</v>
      </c>
      <c r="X558" s="594">
        <f t="shared" si="478"/>
        <v>4.4251740445850452E-2</v>
      </c>
      <c r="Y558" s="594">
        <f t="shared" si="479"/>
        <v>4.4251740445850896E-2</v>
      </c>
      <c r="AA558" s="594">
        <f t="shared" si="480"/>
        <v>1.0544410518409595E-2</v>
      </c>
      <c r="AB558" s="594">
        <f t="shared" si="481"/>
        <v>1.104113550128169E-2</v>
      </c>
      <c r="AC558" s="594">
        <f t="shared" si="482"/>
        <v>1.1478461330937143E-2</v>
      </c>
      <c r="AD558" s="594">
        <f t="shared" si="483"/>
        <v>1.2470755973685337E-2</v>
      </c>
      <c r="AE558" s="594">
        <f t="shared" si="484"/>
        <v>8.5273997476757093E-3</v>
      </c>
      <c r="AF558" s="594">
        <f t="shared" si="485"/>
        <v>1.0812432614397894E-2</v>
      </c>
      <c r="AG558" s="594">
        <f t="shared" si="486"/>
        <v>1.0812432614397894E-2</v>
      </c>
      <c r="AH558" s="594">
        <f t="shared" si="487"/>
        <v>1.0812432614397894E-2</v>
      </c>
      <c r="AI558" s="594">
        <f t="shared" si="488"/>
        <v>1.0812432614397894E-2</v>
      </c>
      <c r="AJ558" s="594">
        <f t="shared" si="489"/>
        <v>1.0812432614397894E-2</v>
      </c>
      <c r="AL558" s="594">
        <f t="shared" si="490"/>
        <v>1.0812432614397894E-2</v>
      </c>
    </row>
    <row r="559" spans="2:38" outlineLevel="1">
      <c r="B559" s="562" t="s">
        <v>2343</v>
      </c>
      <c r="C559" s="562" t="s">
        <v>369</v>
      </c>
      <c r="D559" s="572" t="s">
        <v>2181</v>
      </c>
      <c r="E559" s="664">
        <v>6394.93</v>
      </c>
      <c r="F559" s="664">
        <v>5009.72</v>
      </c>
      <c r="G559" s="665">
        <v>4616</v>
      </c>
      <c r="H559" s="665">
        <v>5054.2700000000004</v>
      </c>
      <c r="I559" s="665">
        <v>7914.48</v>
      </c>
      <c r="J559" s="665">
        <v>8828.4</v>
      </c>
      <c r="K559" s="616">
        <f>+Costi!I64</f>
        <v>8072.7695999999996</v>
      </c>
      <c r="L559" s="616">
        <f>+Costi!J64</f>
        <v>8234.2249919999995</v>
      </c>
      <c r="M559" s="616">
        <f>+Costi!K64</f>
        <v>8398.9094918399987</v>
      </c>
      <c r="N559" s="616">
        <f>+Costi!L64</f>
        <v>8566.8876816767988</v>
      </c>
      <c r="O559" s="616">
        <f>+Costi!M64</f>
        <v>8738.2254353103344</v>
      </c>
      <c r="Q559" s="594">
        <f t="shared" si="471"/>
        <v>-0.21661065875623342</v>
      </c>
      <c r="R559" s="594">
        <f t="shared" si="472"/>
        <v>-7.8591218670903795E-2</v>
      </c>
      <c r="S559" s="594">
        <f t="shared" si="473"/>
        <v>9.4945840554592875E-2</v>
      </c>
      <c r="T559" s="594">
        <f t="shared" si="474"/>
        <v>0.56589972439145497</v>
      </c>
      <c r="U559" s="594">
        <f t="shared" si="475"/>
        <v>2.0000000000000018E-2</v>
      </c>
      <c r="V559" s="594">
        <f t="shared" si="476"/>
        <v>2.0000000000000018E-2</v>
      </c>
      <c r="W559" s="594">
        <f t="shared" si="477"/>
        <v>2.0000000000000018E-2</v>
      </c>
      <c r="X559" s="594">
        <f t="shared" si="478"/>
        <v>2.0000000000000018E-2</v>
      </c>
      <c r="Y559" s="594">
        <f t="shared" si="479"/>
        <v>2.0000000000000018E-2</v>
      </c>
      <c r="AA559" s="594">
        <f t="shared" si="480"/>
        <v>2.4638453950582277E-4</v>
      </c>
      <c r="AB559" s="594">
        <f t="shared" si="481"/>
        <v>2.0018891273192177E-4</v>
      </c>
      <c r="AC559" s="594">
        <f t="shared" si="482"/>
        <v>1.7193322993873776E-4</v>
      </c>
      <c r="AD559" s="594">
        <f t="shared" si="483"/>
        <v>1.6229515100321497E-4</v>
      </c>
      <c r="AE559" s="594">
        <f t="shared" si="484"/>
        <v>1.5512217349379059E-4</v>
      </c>
      <c r="AF559" s="594">
        <f t="shared" si="485"/>
        <v>1.2358566545578466E-4</v>
      </c>
      <c r="AG559" s="594">
        <f t="shared" si="486"/>
        <v>1.1860624190933876E-4</v>
      </c>
      <c r="AH559" s="594">
        <f t="shared" si="487"/>
        <v>1.166757524643803E-4</v>
      </c>
      <c r="AI559" s="594">
        <f t="shared" si="488"/>
        <v>1.1396607054047723E-4</v>
      </c>
      <c r="AJ559" s="594">
        <f t="shared" si="489"/>
        <v>1.113193183682461E-4</v>
      </c>
      <c r="AL559" s="594">
        <f t="shared" si="490"/>
        <v>1.8718480133469756E-4</v>
      </c>
    </row>
    <row r="560" spans="2:38" outlineLevel="1">
      <c r="B560" s="562" t="s">
        <v>2343</v>
      </c>
      <c r="C560" s="562" t="s">
        <v>369</v>
      </c>
      <c r="D560" s="572" t="s">
        <v>2182</v>
      </c>
      <c r="E560" s="664">
        <v>0</v>
      </c>
      <c r="F560" s="664"/>
      <c r="G560" s="665">
        <v>0</v>
      </c>
      <c r="H560" s="670"/>
      <c r="I560" s="665">
        <v>0</v>
      </c>
      <c r="J560" s="665">
        <v>0</v>
      </c>
      <c r="K560" s="616">
        <f>+Costi!I65</f>
        <v>0</v>
      </c>
      <c r="L560" s="616">
        <f>+Costi!J65</f>
        <v>0</v>
      </c>
      <c r="M560" s="616">
        <f>+Costi!K65</f>
        <v>0</v>
      </c>
      <c r="N560" s="616">
        <f>+Costi!L65</f>
        <v>0</v>
      </c>
      <c r="O560" s="616">
        <f>+Costi!M65</f>
        <v>0</v>
      </c>
      <c r="Q560" s="594">
        <f t="shared" si="471"/>
        <v>0</v>
      </c>
      <c r="R560" s="594">
        <f t="shared" si="472"/>
        <v>0</v>
      </c>
      <c r="S560" s="594">
        <f t="shared" si="473"/>
        <v>0</v>
      </c>
      <c r="T560" s="594">
        <f t="shared" si="474"/>
        <v>0</v>
      </c>
      <c r="U560" s="594">
        <f t="shared" si="475"/>
        <v>0</v>
      </c>
      <c r="V560" s="594">
        <f t="shared" si="476"/>
        <v>0</v>
      </c>
      <c r="W560" s="594">
        <f t="shared" si="477"/>
        <v>0</v>
      </c>
      <c r="X560" s="594">
        <f t="shared" si="478"/>
        <v>0</v>
      </c>
      <c r="Y560" s="594">
        <f t="shared" si="479"/>
        <v>0</v>
      </c>
      <c r="AA560" s="594">
        <f t="shared" si="480"/>
        <v>0</v>
      </c>
      <c r="AB560" s="594">
        <f t="shared" si="481"/>
        <v>0</v>
      </c>
      <c r="AC560" s="594">
        <f t="shared" si="482"/>
        <v>0</v>
      </c>
      <c r="AD560" s="594">
        <f t="shared" si="483"/>
        <v>0</v>
      </c>
      <c r="AE560" s="594">
        <f t="shared" si="484"/>
        <v>0</v>
      </c>
      <c r="AF560" s="594">
        <f t="shared" si="485"/>
        <v>0</v>
      </c>
      <c r="AG560" s="594">
        <f t="shared" si="486"/>
        <v>0</v>
      </c>
      <c r="AH560" s="594">
        <f t="shared" si="487"/>
        <v>0</v>
      </c>
      <c r="AI560" s="594">
        <f t="shared" si="488"/>
        <v>0</v>
      </c>
      <c r="AJ560" s="594">
        <f t="shared" si="489"/>
        <v>0</v>
      </c>
      <c r="AL560" s="594">
        <f t="shared" si="490"/>
        <v>0</v>
      </c>
    </row>
    <row r="561" spans="2:38" outlineLevel="1">
      <c r="B561" s="562" t="s">
        <v>2343</v>
      </c>
      <c r="C561" s="562" t="s">
        <v>369</v>
      </c>
      <c r="D561" s="572" t="s">
        <v>2183</v>
      </c>
      <c r="E561" s="664">
        <v>4680</v>
      </c>
      <c r="F561" s="664">
        <v>4680</v>
      </c>
      <c r="G561" s="665">
        <v>9600</v>
      </c>
      <c r="H561" s="665">
        <v>5100</v>
      </c>
      <c r="I561" s="665">
        <v>2174.8200000000002</v>
      </c>
      <c r="J561" s="665">
        <v>2833.51</v>
      </c>
      <c r="K561" s="616">
        <f>+Costi!I66</f>
        <v>2218.3164000000002</v>
      </c>
      <c r="L561" s="616">
        <f>+Costi!J66</f>
        <v>2262.6827280000002</v>
      </c>
      <c r="M561" s="616">
        <f>+Costi!K66</f>
        <v>2307.9363825600003</v>
      </c>
      <c r="N561" s="616">
        <f>+Costi!L66</f>
        <v>2354.0951102112003</v>
      </c>
      <c r="O561" s="616">
        <f>+Costi!M66</f>
        <v>2401.1770124154245</v>
      </c>
      <c r="Q561" s="594">
        <f t="shared" si="471"/>
        <v>0</v>
      </c>
      <c r="R561" s="594">
        <f t="shared" si="472"/>
        <v>1.0512820512820511</v>
      </c>
      <c r="S561" s="594">
        <f t="shared" si="473"/>
        <v>-0.46875</v>
      </c>
      <c r="T561" s="594">
        <f t="shared" si="474"/>
        <v>-0.57356470588235298</v>
      </c>
      <c r="U561" s="594">
        <f t="shared" si="475"/>
        <v>2.0000000000000018E-2</v>
      </c>
      <c r="V561" s="594">
        <f t="shared" si="476"/>
        <v>2.0000000000000018E-2</v>
      </c>
      <c r="W561" s="594">
        <f t="shared" si="477"/>
        <v>2.0000000000000018E-2</v>
      </c>
      <c r="X561" s="594">
        <f t="shared" si="478"/>
        <v>2.0000000000000018E-2</v>
      </c>
      <c r="Y561" s="594">
        <f t="shared" si="479"/>
        <v>2.0000000000000018E-2</v>
      </c>
      <c r="AA561" s="594">
        <f t="shared" si="480"/>
        <v>1.8031153505781151E-4</v>
      </c>
      <c r="AB561" s="594">
        <f t="shared" si="481"/>
        <v>1.8701326852306992E-4</v>
      </c>
      <c r="AC561" s="594">
        <f t="shared" si="482"/>
        <v>3.5757344181366608E-4</v>
      </c>
      <c r="AD561" s="594">
        <f t="shared" si="483"/>
        <v>1.6376356429640605E-4</v>
      </c>
      <c r="AE561" s="594">
        <f t="shared" si="484"/>
        <v>4.2626022854030302E-5</v>
      </c>
      <c r="AF561" s="594">
        <f t="shared" si="485"/>
        <v>3.3960105647692533E-5</v>
      </c>
      <c r="AG561" s="594">
        <f t="shared" si="486"/>
        <v>3.2591809825695205E-5</v>
      </c>
      <c r="AH561" s="594">
        <f t="shared" si="487"/>
        <v>3.2061330621163195E-5</v>
      </c>
      <c r="AI561" s="594">
        <f t="shared" si="488"/>
        <v>3.131673711132516E-5</v>
      </c>
      <c r="AJ561" s="594">
        <f t="shared" si="489"/>
        <v>3.0589436068273479E-5</v>
      </c>
      <c r="AL561" s="594">
        <f t="shared" si="490"/>
        <v>1.8625756650899678E-4</v>
      </c>
    </row>
    <row r="562" spans="2:38" outlineLevel="1">
      <c r="B562" s="562" t="s">
        <v>2343</v>
      </c>
      <c r="C562" s="562" t="s">
        <v>369</v>
      </c>
      <c r="D562" s="572" t="s">
        <v>2184</v>
      </c>
      <c r="E562" s="664">
        <v>3356.5</v>
      </c>
      <c r="F562" s="664">
        <v>3420.6</v>
      </c>
      <c r="G562" s="665">
        <v>4429.88</v>
      </c>
      <c r="H562" s="665">
        <v>6257.46</v>
      </c>
      <c r="I562" s="665">
        <v>6378.82</v>
      </c>
      <c r="J562" s="665">
        <v>4025.7</v>
      </c>
      <c r="K562" s="616">
        <f>+Costi!I67</f>
        <v>6506.3963999999996</v>
      </c>
      <c r="L562" s="616">
        <f>+Costi!J67</f>
        <v>6636.5243279999995</v>
      </c>
      <c r="M562" s="616">
        <f>+Costi!K67</f>
        <v>6769.2548145599994</v>
      </c>
      <c r="N562" s="616">
        <f>+Costi!L67</f>
        <v>6904.6399108511996</v>
      </c>
      <c r="O562" s="616">
        <f>+Costi!M67</f>
        <v>7042.7327090682238</v>
      </c>
      <c r="Q562" s="594">
        <f t="shared" si="471"/>
        <v>1.9097273946074855E-2</v>
      </c>
      <c r="R562" s="594">
        <f t="shared" si="472"/>
        <v>0.29505934631351227</v>
      </c>
      <c r="S562" s="594">
        <f t="shared" si="473"/>
        <v>0.41255745076616068</v>
      </c>
      <c r="T562" s="594">
        <f t="shared" si="474"/>
        <v>1.9394450783544626E-2</v>
      </c>
      <c r="U562" s="594">
        <f t="shared" si="475"/>
        <v>2.0000000000000018E-2</v>
      </c>
      <c r="V562" s="594">
        <f t="shared" si="476"/>
        <v>2.0000000000000018E-2</v>
      </c>
      <c r="W562" s="594">
        <f t="shared" si="477"/>
        <v>2.0000000000000018E-2</v>
      </c>
      <c r="X562" s="594">
        <f t="shared" si="478"/>
        <v>2.0000000000000018E-2</v>
      </c>
      <c r="Y562" s="594">
        <f t="shared" si="479"/>
        <v>2.0000000000000018E-2</v>
      </c>
      <c r="AA562" s="594">
        <f t="shared" si="480"/>
        <v>1.2931958705588554E-4</v>
      </c>
      <c r="AB562" s="594">
        <f t="shared" si="481"/>
        <v>1.3668751844231046E-4</v>
      </c>
      <c r="AC562" s="594">
        <f t="shared" si="482"/>
        <v>1.6500077483557534E-4</v>
      </c>
      <c r="AD562" s="594">
        <f t="shared" si="483"/>
        <v>2.0093018687101746E-4</v>
      </c>
      <c r="AE562" s="594">
        <f t="shared" si="484"/>
        <v>1.2502355463980721E-4</v>
      </c>
      <c r="AF562" s="594">
        <f t="shared" si="485"/>
        <v>9.9606128832553534E-5</v>
      </c>
      <c r="AG562" s="594">
        <f t="shared" si="486"/>
        <v>9.5592871296172109E-5</v>
      </c>
      <c r="AH562" s="594">
        <f t="shared" si="487"/>
        <v>9.4036957997851843E-5</v>
      </c>
      <c r="AI562" s="594">
        <f t="shared" si="488"/>
        <v>9.1853040261016149E-5</v>
      </c>
      <c r="AJ562" s="594">
        <f t="shared" si="489"/>
        <v>8.9719841909226592E-5</v>
      </c>
      <c r="AL562" s="594">
        <f t="shared" si="490"/>
        <v>1.5139232436891921E-4</v>
      </c>
    </row>
    <row r="563" spans="2:38" outlineLevel="1">
      <c r="B563" s="562" t="s">
        <v>2343</v>
      </c>
      <c r="C563" s="562" t="s">
        <v>369</v>
      </c>
      <c r="D563" s="572" t="s">
        <v>2185</v>
      </c>
      <c r="E563" s="664">
        <v>636172.81000000006</v>
      </c>
      <c r="F563" s="664">
        <v>54288.24</v>
      </c>
      <c r="G563" s="665">
        <v>161428.43</v>
      </c>
      <c r="H563" s="665">
        <v>276384.25</v>
      </c>
      <c r="I563" s="665">
        <v>33768.639999999999</v>
      </c>
      <c r="J563" s="665">
        <v>33176.239999999998</v>
      </c>
      <c r="K563" s="616">
        <f>+Costi!I68</f>
        <v>289353.87316372752</v>
      </c>
      <c r="L563" s="616">
        <f>+Costi!J68</f>
        <v>307531.79764663771</v>
      </c>
      <c r="M563" s="616">
        <f>+Costi!K68</f>
        <v>318872.54906351591</v>
      </c>
      <c r="N563" s="616">
        <f>+Costi!L68</f>
        <v>332983.21433998132</v>
      </c>
      <c r="O563" s="616">
        <f>+Costi!M68</f>
        <v>347718.30111377937</v>
      </c>
      <c r="Q563" s="594">
        <f t="shared" si="471"/>
        <v>-0.91466431896075528</v>
      </c>
      <c r="R563" s="594">
        <f t="shared" si="472"/>
        <v>1.9735432572505576</v>
      </c>
      <c r="S563" s="594">
        <f t="shared" si="473"/>
        <v>0.71211632300456618</v>
      </c>
      <c r="T563" s="594">
        <f t="shared" si="474"/>
        <v>-0.87781995537010515</v>
      </c>
      <c r="U563" s="594">
        <f t="shared" si="475"/>
        <v>7.5687156238370132</v>
      </c>
      <c r="V563" s="594">
        <f t="shared" si="476"/>
        <v>6.2822468156921607E-2</v>
      </c>
      <c r="W563" s="594">
        <f t="shared" si="477"/>
        <v>3.6876679106558674E-2</v>
      </c>
      <c r="X563" s="594">
        <f t="shared" si="478"/>
        <v>4.4251740445850452E-2</v>
      </c>
      <c r="Y563" s="594">
        <f t="shared" si="479"/>
        <v>4.4251740445851118E-2</v>
      </c>
      <c r="AA563" s="594">
        <f t="shared" si="480"/>
        <v>2.4510533319047321E-2</v>
      </c>
      <c r="AB563" s="594">
        <f t="shared" si="481"/>
        <v>2.1693635052916381E-3</v>
      </c>
      <c r="AC563" s="594">
        <f t="shared" si="482"/>
        <v>6.0127624293412982E-3</v>
      </c>
      <c r="AD563" s="594">
        <f t="shared" si="483"/>
        <v>8.8748372343899935E-3</v>
      </c>
      <c r="AE563" s="594">
        <f t="shared" si="484"/>
        <v>6.6185837006718792E-4</v>
      </c>
      <c r="AF563" s="594">
        <f t="shared" si="485"/>
        <v>4.4297053847725289E-3</v>
      </c>
      <c r="AG563" s="594">
        <f t="shared" si="486"/>
        <v>4.4297053847725289E-3</v>
      </c>
      <c r="AH563" s="594">
        <f t="shared" si="487"/>
        <v>4.4297053847725289E-3</v>
      </c>
      <c r="AI563" s="594">
        <f t="shared" si="488"/>
        <v>4.4297053847725289E-3</v>
      </c>
      <c r="AJ563" s="594">
        <f t="shared" si="489"/>
        <v>4.4297053847725289E-3</v>
      </c>
      <c r="AL563" s="594">
        <f t="shared" si="490"/>
        <v>8.4458709716274862E-3</v>
      </c>
    </row>
    <row r="564" spans="2:38" outlineLevel="1">
      <c r="B564" s="562" t="s">
        <v>2343</v>
      </c>
      <c r="C564" s="562" t="s">
        <v>369</v>
      </c>
      <c r="D564" s="1036" t="s">
        <v>2186</v>
      </c>
      <c r="E564" s="664">
        <v>0</v>
      </c>
      <c r="F564" s="664">
        <v>1460.39</v>
      </c>
      <c r="G564" s="665">
        <v>1696</v>
      </c>
      <c r="H564" s="665">
        <v>5085.12</v>
      </c>
      <c r="I564" s="665">
        <v>5630.84</v>
      </c>
      <c r="J564" s="665">
        <v>1873.04</v>
      </c>
      <c r="K564" s="616">
        <f>+Costi!I69</f>
        <v>5630.84</v>
      </c>
      <c r="L564" s="616">
        <f>+Costi!J69</f>
        <v>5630.84</v>
      </c>
      <c r="M564" s="616">
        <f>+Costi!K69</f>
        <v>5630.84</v>
      </c>
      <c r="N564" s="616">
        <f>+Costi!L69</f>
        <v>5630.84</v>
      </c>
      <c r="O564" s="616">
        <f>+Costi!M69</f>
        <v>5630.84</v>
      </c>
      <c r="Q564" s="594">
        <f t="shared" si="471"/>
        <v>0</v>
      </c>
      <c r="R564" s="594">
        <f t="shared" si="472"/>
        <v>0.16133361636275234</v>
      </c>
      <c r="S564" s="594">
        <f t="shared" si="473"/>
        <v>1.9983018867924529</v>
      </c>
      <c r="T564" s="594">
        <f t="shared" si="474"/>
        <v>0.10731703479957222</v>
      </c>
      <c r="U564" s="594">
        <f t="shared" si="475"/>
        <v>0</v>
      </c>
      <c r="V564" s="594">
        <f t="shared" si="476"/>
        <v>0</v>
      </c>
      <c r="W564" s="594">
        <f t="shared" si="477"/>
        <v>0</v>
      </c>
      <c r="X564" s="594">
        <f t="shared" si="478"/>
        <v>0</v>
      </c>
      <c r="Y564" s="594">
        <f t="shared" si="479"/>
        <v>0</v>
      </c>
      <c r="AA564" s="594">
        <f t="shared" si="480"/>
        <v>0</v>
      </c>
      <c r="AB564" s="594">
        <f t="shared" si="481"/>
        <v>5.8357330602223525E-5</v>
      </c>
      <c r="AC564" s="594">
        <f t="shared" si="482"/>
        <v>6.3171308053747681E-5</v>
      </c>
      <c r="AD564" s="594">
        <f t="shared" si="483"/>
        <v>1.6328576001469418E-4</v>
      </c>
      <c r="AE564" s="594">
        <f t="shared" si="484"/>
        <v>1.1036330111337395E-4</v>
      </c>
      <c r="AF564" s="594">
        <f t="shared" si="485"/>
        <v>8.620227542169054E-5</v>
      </c>
      <c r="AG564" s="594">
        <f t="shared" si="486"/>
        <v>8.1106937427825529E-5</v>
      </c>
      <c r="AH564" s="594">
        <f t="shared" si="487"/>
        <v>7.822235668152226E-5</v>
      </c>
      <c r="AI564" s="594">
        <f t="shared" si="488"/>
        <v>7.4907566491701211E-5</v>
      </c>
      <c r="AJ564" s="594">
        <f t="shared" si="489"/>
        <v>7.1733245529204362E-5</v>
      </c>
      <c r="AL564" s="594">
        <f t="shared" si="490"/>
        <v>7.9035539956807867E-5</v>
      </c>
    </row>
    <row r="565" spans="2:38" outlineLevel="1">
      <c r="B565" s="562" t="s">
        <v>2343</v>
      </c>
      <c r="C565" s="562" t="s">
        <v>369</v>
      </c>
      <c r="D565" s="572" t="s">
        <v>2187</v>
      </c>
      <c r="E565" s="664">
        <v>69932.92</v>
      </c>
      <c r="F565" s="664">
        <v>89986.84</v>
      </c>
      <c r="G565" s="665">
        <v>39772.85</v>
      </c>
      <c r="H565" s="665">
        <v>45309.42</v>
      </c>
      <c r="I565" s="665">
        <v>52417.66</v>
      </c>
      <c r="J565" s="665">
        <v>34601.94</v>
      </c>
      <c r="K565" s="616">
        <f>+Costi!I70</f>
        <v>52417.66</v>
      </c>
      <c r="L565" s="616">
        <f>+Costi!J70</f>
        <v>52417.66</v>
      </c>
      <c r="M565" s="616">
        <f>+Costi!K70</f>
        <v>52417.66</v>
      </c>
      <c r="N565" s="616">
        <f>+Costi!L70</f>
        <v>52417.66</v>
      </c>
      <c r="O565" s="616">
        <f>+Costi!M70</f>
        <v>52417.66</v>
      </c>
      <c r="Q565" s="594">
        <f t="shared" si="471"/>
        <v>0.28675936883516373</v>
      </c>
      <c r="R565" s="594">
        <f t="shared" si="472"/>
        <v>-0.55801481638870754</v>
      </c>
      <c r="S565" s="594">
        <f t="shared" si="473"/>
        <v>0.13920475902531493</v>
      </c>
      <c r="T565" s="594">
        <f t="shared" si="474"/>
        <v>0.1568821671078553</v>
      </c>
      <c r="U565" s="594">
        <f t="shared" si="475"/>
        <v>0</v>
      </c>
      <c r="V565" s="594">
        <f t="shared" si="476"/>
        <v>0</v>
      </c>
      <c r="W565" s="594">
        <f t="shared" si="477"/>
        <v>0</v>
      </c>
      <c r="X565" s="594">
        <f t="shared" si="478"/>
        <v>0</v>
      </c>
      <c r="Y565" s="594">
        <f t="shared" si="479"/>
        <v>0</v>
      </c>
      <c r="AA565" s="594">
        <f t="shared" si="480"/>
        <v>2.6943829393750269E-3</v>
      </c>
      <c r="AB565" s="594">
        <f t="shared" si="481"/>
        <v>3.5958831351415661E-3</v>
      </c>
      <c r="AC565" s="594">
        <f t="shared" si="482"/>
        <v>1.4814286317956947E-3</v>
      </c>
      <c r="AD565" s="594">
        <f t="shared" si="483"/>
        <v>1.4549082579221307E-3</v>
      </c>
      <c r="AE565" s="594">
        <f t="shared" si="484"/>
        <v>1.0273753106531988E-3</v>
      </c>
      <c r="AF565" s="594">
        <f t="shared" si="485"/>
        <v>8.0245959115878473E-4</v>
      </c>
      <c r="AG565" s="594">
        <f t="shared" si="486"/>
        <v>7.5502693554301546E-4</v>
      </c>
      <c r="AH565" s="594">
        <f t="shared" si="487"/>
        <v>7.2817428606225044E-4</v>
      </c>
      <c r="AI565" s="594">
        <f t="shared" si="488"/>
        <v>6.9731680384976075E-4</v>
      </c>
      <c r="AJ565" s="594">
        <f t="shared" si="489"/>
        <v>6.6776695392629774E-4</v>
      </c>
      <c r="AL565" s="594">
        <f t="shared" si="490"/>
        <v>2.0507956549775234E-3</v>
      </c>
    </row>
    <row r="566" spans="2:38" outlineLevel="1">
      <c r="B566" s="562" t="s">
        <v>2343</v>
      </c>
      <c r="C566" s="562" t="s">
        <v>369</v>
      </c>
      <c r="D566" s="572" t="s">
        <v>2188</v>
      </c>
      <c r="E566" s="664">
        <v>638</v>
      </c>
      <c r="F566" s="664">
        <v>48.86</v>
      </c>
      <c r="G566" s="665">
        <v>287.58999999999997</v>
      </c>
      <c r="H566" s="665">
        <v>16.39</v>
      </c>
      <c r="I566" s="665">
        <v>13.92</v>
      </c>
      <c r="J566" s="665">
        <v>1175</v>
      </c>
      <c r="K566" s="616">
        <f>+Costi!I71</f>
        <v>0</v>
      </c>
      <c r="L566" s="616">
        <f>+Costi!J71</f>
        <v>0</v>
      </c>
      <c r="M566" s="616">
        <f>+Costi!K71</f>
        <v>0</v>
      </c>
      <c r="N566" s="616">
        <f>+Costi!L71</f>
        <v>0</v>
      </c>
      <c r="O566" s="616">
        <f>+Costi!M71</f>
        <v>0</v>
      </c>
      <c r="Q566" s="594">
        <f t="shared" si="471"/>
        <v>-0.92341692789968655</v>
      </c>
      <c r="R566" s="594">
        <f t="shared" si="472"/>
        <v>4.8860008186655746</v>
      </c>
      <c r="S566" s="594">
        <f t="shared" si="473"/>
        <v>-0.94300914496331578</v>
      </c>
      <c r="T566" s="594">
        <f t="shared" si="474"/>
        <v>-0.15070164734594271</v>
      </c>
      <c r="U566" s="594">
        <f t="shared" si="475"/>
        <v>-1</v>
      </c>
      <c r="V566" s="594">
        <f t="shared" si="476"/>
        <v>0</v>
      </c>
      <c r="W566" s="594">
        <f t="shared" si="477"/>
        <v>0</v>
      </c>
      <c r="X566" s="594">
        <f t="shared" si="478"/>
        <v>0</v>
      </c>
      <c r="Y566" s="594">
        <f t="shared" si="479"/>
        <v>0</v>
      </c>
      <c r="AA566" s="594">
        <f t="shared" si="480"/>
        <v>2.4580931488650372E-5</v>
      </c>
      <c r="AB566" s="594">
        <f t="shared" si="481"/>
        <v>1.9524504914609393E-6</v>
      </c>
      <c r="AC566" s="594">
        <f t="shared" si="482"/>
        <v>1.0711931888665856E-5</v>
      </c>
      <c r="AD566" s="594">
        <f t="shared" si="483"/>
        <v>5.2629114094472453E-7</v>
      </c>
      <c r="AE566" s="594">
        <f t="shared" si="484"/>
        <v>2.7282912522788171E-7</v>
      </c>
      <c r="AF566" s="594">
        <f t="shared" si="485"/>
        <v>0</v>
      </c>
      <c r="AG566" s="594">
        <f t="shared" si="486"/>
        <v>0</v>
      </c>
      <c r="AH566" s="594">
        <f t="shared" si="487"/>
        <v>0</v>
      </c>
      <c r="AI566" s="594">
        <f t="shared" si="488"/>
        <v>0</v>
      </c>
      <c r="AJ566" s="594">
        <f t="shared" si="489"/>
        <v>0</v>
      </c>
      <c r="AL566" s="594">
        <f t="shared" si="490"/>
        <v>7.6088868269899532E-6</v>
      </c>
    </row>
    <row r="567" spans="2:38" outlineLevel="1">
      <c r="B567" s="562" t="s">
        <v>2343</v>
      </c>
      <c r="C567" s="562" t="s">
        <v>369</v>
      </c>
      <c r="D567" s="572" t="s">
        <v>2189</v>
      </c>
      <c r="E567" s="664">
        <v>25419.85</v>
      </c>
      <c r="F567" s="664">
        <v>21367.83</v>
      </c>
      <c r="G567" s="665">
        <v>21419.33</v>
      </c>
      <c r="H567" s="665">
        <v>13070.38</v>
      </c>
      <c r="I567" s="665">
        <v>3812</v>
      </c>
      <c r="J567" s="665">
        <v>2943.42</v>
      </c>
      <c r="K567" s="616">
        <f>+Costi!I72</f>
        <v>10000</v>
      </c>
      <c r="L567" s="616">
        <f>+Costi!J72</f>
        <v>10000</v>
      </c>
      <c r="M567" s="616">
        <f>+Costi!K72</f>
        <v>10000</v>
      </c>
      <c r="N567" s="616">
        <f>+Costi!L72</f>
        <v>10000</v>
      </c>
      <c r="O567" s="616">
        <f>+Costi!M72</f>
        <v>10000</v>
      </c>
      <c r="Q567" s="594">
        <f t="shared" si="471"/>
        <v>-0.15940377303563935</v>
      </c>
      <c r="R567" s="594">
        <f t="shared" si="472"/>
        <v>2.410165187574087E-3</v>
      </c>
      <c r="S567" s="594">
        <f t="shared" si="473"/>
        <v>-0.38978576827566513</v>
      </c>
      <c r="T567" s="594">
        <f t="shared" si="474"/>
        <v>-0.70834818880552819</v>
      </c>
      <c r="U567" s="594">
        <f t="shared" si="475"/>
        <v>1.6232948583420774</v>
      </c>
      <c r="V567" s="594">
        <f t="shared" si="476"/>
        <v>0</v>
      </c>
      <c r="W567" s="594">
        <f t="shared" si="477"/>
        <v>0</v>
      </c>
      <c r="X567" s="594">
        <f t="shared" si="478"/>
        <v>0</v>
      </c>
      <c r="Y567" s="594">
        <f t="shared" si="479"/>
        <v>0</v>
      </c>
      <c r="AA567" s="594">
        <f t="shared" si="480"/>
        <v>9.7937866975198926E-4</v>
      </c>
      <c r="AB567" s="594">
        <f t="shared" si="481"/>
        <v>8.5386062597121997E-4</v>
      </c>
      <c r="AC567" s="594">
        <f t="shared" si="482"/>
        <v>7.978107864002826E-4</v>
      </c>
      <c r="AD567" s="594">
        <f t="shared" si="483"/>
        <v>4.1969647362910973E-4</v>
      </c>
      <c r="AE567" s="594">
        <f t="shared" si="484"/>
        <v>7.4714412742003244E-5</v>
      </c>
      <c r="AF567" s="594">
        <f t="shared" si="485"/>
        <v>1.5308954866714476E-4</v>
      </c>
      <c r="AG567" s="594">
        <f t="shared" si="486"/>
        <v>1.4404056486745409E-4</v>
      </c>
      <c r="AH567" s="594">
        <f t="shared" si="487"/>
        <v>1.3891773994914125E-4</v>
      </c>
      <c r="AI567" s="594">
        <f t="shared" si="488"/>
        <v>1.3303089146859297E-4</v>
      </c>
      <c r="AJ567" s="594">
        <f t="shared" si="489"/>
        <v>1.2739350705970044E-4</v>
      </c>
      <c r="AL567" s="594">
        <f t="shared" si="490"/>
        <v>6.25092193698921E-4</v>
      </c>
    </row>
    <row r="568" spans="2:38" outlineLevel="1">
      <c r="B568" s="562" t="s">
        <v>2343</v>
      </c>
      <c r="C568" s="562" t="s">
        <v>369</v>
      </c>
      <c r="D568" s="572" t="s">
        <v>2190</v>
      </c>
      <c r="E568" s="664">
        <v>21178.53</v>
      </c>
      <c r="F568" s="664">
        <v>14591.65</v>
      </c>
      <c r="G568" s="665">
        <v>30109.78</v>
      </c>
      <c r="H568" s="665">
        <v>18343.689999999999</v>
      </c>
      <c r="I568" s="665">
        <v>93859.5</v>
      </c>
      <c r="J568" s="665">
        <v>125087.29</v>
      </c>
      <c r="K568" s="616">
        <f>+Costi!I73</f>
        <v>130000</v>
      </c>
      <c r="L568" s="616">
        <f>+Costi!J73</f>
        <v>130000</v>
      </c>
      <c r="M568" s="616">
        <f>+Costi!K73</f>
        <v>130000</v>
      </c>
      <c r="N568" s="616">
        <f>+Costi!L73</f>
        <v>130000</v>
      </c>
      <c r="O568" s="616">
        <f>+Costi!M73</f>
        <v>130000</v>
      </c>
      <c r="Q568" s="594">
        <f t="shared" si="471"/>
        <v>-0.31101686472101697</v>
      </c>
      <c r="R568" s="594">
        <f t="shared" si="472"/>
        <v>1.0634938475086777</v>
      </c>
      <c r="S568" s="594">
        <f t="shared" si="473"/>
        <v>-0.39077303122108498</v>
      </c>
      <c r="T568" s="594">
        <f t="shared" si="474"/>
        <v>4.1167186100506497</v>
      </c>
      <c r="U568" s="594">
        <f t="shared" si="475"/>
        <v>0.38504892951699077</v>
      </c>
      <c r="V568" s="594">
        <f t="shared" si="476"/>
        <v>0</v>
      </c>
      <c r="W568" s="594">
        <f t="shared" si="477"/>
        <v>0</v>
      </c>
      <c r="X568" s="594">
        <f t="shared" si="478"/>
        <v>0</v>
      </c>
      <c r="Y568" s="594">
        <f t="shared" si="479"/>
        <v>0</v>
      </c>
      <c r="AA568" s="594">
        <f t="shared" si="480"/>
        <v>8.1596864413844281E-4</v>
      </c>
      <c r="AB568" s="594">
        <f t="shared" si="481"/>
        <v>5.8308379479586603E-4</v>
      </c>
      <c r="AC568" s="594">
        <f t="shared" si="482"/>
        <v>1.1215060069637798E-3</v>
      </c>
      <c r="AD568" s="594">
        <f t="shared" si="483"/>
        <v>5.890251091663413E-4</v>
      </c>
      <c r="AE568" s="594">
        <f t="shared" si="484"/>
        <v>1.8396268160435607E-3</v>
      </c>
      <c r="AF568" s="594">
        <f t="shared" si="485"/>
        <v>1.9901641326728818E-3</v>
      </c>
      <c r="AG568" s="594">
        <f t="shared" si="486"/>
        <v>1.8725273432769033E-3</v>
      </c>
      <c r="AH568" s="594">
        <f t="shared" si="487"/>
        <v>1.8059306193388364E-3</v>
      </c>
      <c r="AI568" s="594">
        <f t="shared" si="488"/>
        <v>1.7294015890917088E-3</v>
      </c>
      <c r="AJ568" s="594">
        <f t="shared" si="489"/>
        <v>1.6561155917761057E-3</v>
      </c>
      <c r="AL568" s="594">
        <f t="shared" si="490"/>
        <v>9.8984207422159816E-4</v>
      </c>
    </row>
    <row r="569" spans="2:38" outlineLevel="1">
      <c r="B569" s="562" t="s">
        <v>2343</v>
      </c>
      <c r="C569" s="562" t="s">
        <v>369</v>
      </c>
      <c r="D569" s="572" t="s">
        <v>2191</v>
      </c>
      <c r="E569" s="664">
        <v>8283.18</v>
      </c>
      <c r="F569" s="664">
        <v>9098.1</v>
      </c>
      <c r="G569" s="665">
        <v>9057.26</v>
      </c>
      <c r="H569" s="665">
        <v>14354.92</v>
      </c>
      <c r="I569" s="665">
        <v>11974.9</v>
      </c>
      <c r="J569" s="665">
        <v>11513.93</v>
      </c>
      <c r="K569" s="616">
        <f>+Costi!I74</f>
        <v>11974.9</v>
      </c>
      <c r="L569" s="616">
        <f>+Costi!J74</f>
        <v>11974.9</v>
      </c>
      <c r="M569" s="616">
        <f>+Costi!K74</f>
        <v>11974.9</v>
      </c>
      <c r="N569" s="616">
        <f>+Costi!L74</f>
        <v>11974.9</v>
      </c>
      <c r="O569" s="616">
        <f>+Costi!M74</f>
        <v>11974.9</v>
      </c>
      <c r="Q569" s="594">
        <f t="shared" si="471"/>
        <v>9.838250526971537E-2</v>
      </c>
      <c r="R569" s="594">
        <f t="shared" si="472"/>
        <v>-4.4888493201877822E-3</v>
      </c>
      <c r="S569" s="594">
        <f t="shared" si="473"/>
        <v>0.58490757690515682</v>
      </c>
      <c r="T569" s="594">
        <f t="shared" si="474"/>
        <v>-0.16579820716520888</v>
      </c>
      <c r="U569" s="594">
        <f t="shared" si="475"/>
        <v>0</v>
      </c>
      <c r="V569" s="594">
        <f t="shared" si="476"/>
        <v>0</v>
      </c>
      <c r="W569" s="594">
        <f t="shared" si="477"/>
        <v>0</v>
      </c>
      <c r="X569" s="594">
        <f t="shared" si="478"/>
        <v>0</v>
      </c>
      <c r="Y569" s="594">
        <f t="shared" si="479"/>
        <v>0</v>
      </c>
      <c r="AA569" s="594">
        <f t="shared" si="480"/>
        <v>3.1913523524789811E-4</v>
      </c>
      <c r="AB569" s="594">
        <f t="shared" si="481"/>
        <v>3.6356098682686807E-4</v>
      </c>
      <c r="AC569" s="594">
        <f t="shared" si="482"/>
        <v>3.3735787829179638E-4</v>
      </c>
      <c r="AD569" s="594">
        <f t="shared" si="483"/>
        <v>4.6094369889995398E-4</v>
      </c>
      <c r="AE569" s="594">
        <f t="shared" si="484"/>
        <v>2.3470556693185062E-4</v>
      </c>
      <c r="AF569" s="594">
        <f t="shared" si="485"/>
        <v>1.8332320363341915E-4</v>
      </c>
      <c r="AG569" s="594">
        <f t="shared" si="486"/>
        <v>1.7248713602312761E-4</v>
      </c>
      <c r="AH569" s="594">
        <f t="shared" si="487"/>
        <v>1.6635260441169716E-4</v>
      </c>
      <c r="AI569" s="594">
        <f t="shared" si="488"/>
        <v>1.593031622247254E-4</v>
      </c>
      <c r="AJ569" s="594">
        <f t="shared" si="489"/>
        <v>1.5255245076892067E-4</v>
      </c>
      <c r="AL569" s="594">
        <f t="shared" si="490"/>
        <v>3.4314067323967345E-4</v>
      </c>
    </row>
    <row r="570" spans="2:38" outlineLevel="1">
      <c r="B570" s="562" t="s">
        <v>2343</v>
      </c>
      <c r="C570" s="562" t="s">
        <v>369</v>
      </c>
      <c r="D570" s="572" t="s">
        <v>2192</v>
      </c>
      <c r="E570" s="664">
        <v>0</v>
      </c>
      <c r="F570" s="664">
        <v>670</v>
      </c>
      <c r="G570" s="665">
        <v>198.03</v>
      </c>
      <c r="H570" s="665">
        <v>703.55</v>
      </c>
      <c r="I570" s="665">
        <v>26999.96</v>
      </c>
      <c r="J570" s="665">
        <v>15995.81</v>
      </c>
      <c r="K570" s="616">
        <f>+Costi!I75</f>
        <v>10000</v>
      </c>
      <c r="L570" s="616">
        <f>+Costi!J75</f>
        <v>10000</v>
      </c>
      <c r="M570" s="616">
        <f>+Costi!K75</f>
        <v>10000</v>
      </c>
      <c r="N570" s="616">
        <f>+Costi!L75</f>
        <v>10000</v>
      </c>
      <c r="O570" s="616">
        <f>+Costi!M75</f>
        <v>10000</v>
      </c>
      <c r="Q570" s="594">
        <f t="shared" si="471"/>
        <v>0</v>
      </c>
      <c r="R570" s="594">
        <f t="shared" si="472"/>
        <v>-0.70443283582089555</v>
      </c>
      <c r="S570" s="594">
        <f t="shared" si="473"/>
        <v>2.5527445336565164</v>
      </c>
      <c r="T570" s="594">
        <f t="shared" si="474"/>
        <v>37.3767464998934</v>
      </c>
      <c r="U570" s="594">
        <f t="shared" si="475"/>
        <v>-0.62962908093197179</v>
      </c>
      <c r="V570" s="594">
        <f t="shared" si="476"/>
        <v>0</v>
      </c>
      <c r="W570" s="594">
        <f t="shared" si="477"/>
        <v>0</v>
      </c>
      <c r="X570" s="594">
        <f t="shared" si="478"/>
        <v>0</v>
      </c>
      <c r="Y570" s="594">
        <f t="shared" si="479"/>
        <v>0</v>
      </c>
      <c r="AA570" s="594">
        <f t="shared" si="480"/>
        <v>0</v>
      </c>
      <c r="AB570" s="594">
        <f t="shared" si="481"/>
        <v>2.6773267074883943E-5</v>
      </c>
      <c r="AC570" s="594">
        <f t="shared" si="482"/>
        <v>7.3760696544125311E-6</v>
      </c>
      <c r="AD570" s="594">
        <f t="shared" si="483"/>
        <v>2.259134424720323E-5</v>
      </c>
      <c r="AE570" s="594">
        <f t="shared" si="484"/>
        <v>5.2919363994165204E-4</v>
      </c>
      <c r="AF570" s="594">
        <f t="shared" si="485"/>
        <v>1.5308954866714476E-4</v>
      </c>
      <c r="AG570" s="594">
        <f t="shared" si="486"/>
        <v>1.4404056486745409E-4</v>
      </c>
      <c r="AH570" s="594">
        <f t="shared" si="487"/>
        <v>1.3891773994914125E-4</v>
      </c>
      <c r="AI570" s="594">
        <f t="shared" si="488"/>
        <v>1.3303089146859297E-4</v>
      </c>
      <c r="AJ570" s="594">
        <f t="shared" si="489"/>
        <v>1.2739350705970044E-4</v>
      </c>
      <c r="AL570" s="594">
        <f t="shared" si="490"/>
        <v>1.1718686418363035E-4</v>
      </c>
    </row>
    <row r="571" spans="2:38" outlineLevel="1">
      <c r="B571" s="562" t="s">
        <v>2343</v>
      </c>
      <c r="C571" s="562" t="s">
        <v>369</v>
      </c>
      <c r="D571" s="572" t="s">
        <v>2193</v>
      </c>
      <c r="E571" s="664">
        <v>355884.2</v>
      </c>
      <c r="F571" s="664">
        <v>559125.25</v>
      </c>
      <c r="G571" s="665">
        <v>219947.98</v>
      </c>
      <c r="H571" s="665">
        <v>945325.8</v>
      </c>
      <c r="I571" s="665">
        <v>938939.98</v>
      </c>
      <c r="J571" s="665">
        <v>117865.5</v>
      </c>
      <c r="K571" s="616">
        <f>+Costi!I76</f>
        <v>1215035.4625798583</v>
      </c>
      <c r="L571" s="616">
        <f>+Costi!J76</f>
        <v>1291366.989237312</v>
      </c>
      <c r="M571" s="616">
        <f>+Costi!K76</f>
        <v>1338988.3153082191</v>
      </c>
      <c r="N571" s="616">
        <f>+Costi!L76</f>
        <v>1398240.8786972652</v>
      </c>
      <c r="O571" s="616">
        <f>+Costi!M76</f>
        <v>1460115.4711421551</v>
      </c>
      <c r="Q571" s="594">
        <f t="shared" si="471"/>
        <v>0.57108758972722029</v>
      </c>
      <c r="R571" s="594">
        <f t="shared" si="472"/>
        <v>-0.6066212713519914</v>
      </c>
      <c r="S571" s="594">
        <f t="shared" si="473"/>
        <v>3.2979517247669197</v>
      </c>
      <c r="T571" s="594">
        <f t="shared" si="474"/>
        <v>-6.7551525622172592E-3</v>
      </c>
      <c r="U571" s="594">
        <f t="shared" si="475"/>
        <v>0.29405019326140347</v>
      </c>
      <c r="V571" s="594">
        <f t="shared" si="476"/>
        <v>6.2822468156921607E-2</v>
      </c>
      <c r="W571" s="594">
        <f t="shared" si="477"/>
        <v>3.6876679106558674E-2</v>
      </c>
      <c r="X571" s="594">
        <f t="shared" si="478"/>
        <v>4.4251740445850674E-2</v>
      </c>
      <c r="Y571" s="594">
        <f t="shared" si="479"/>
        <v>4.4251740445850896E-2</v>
      </c>
      <c r="AA571" s="594">
        <f t="shared" si="480"/>
        <v>1.3711544103594273E-2</v>
      </c>
      <c r="AB571" s="594">
        <f t="shared" si="481"/>
        <v>2.2342700965016796E-2</v>
      </c>
      <c r="AC571" s="594">
        <f t="shared" si="482"/>
        <v>8.1924537738086878E-3</v>
      </c>
      <c r="AD571" s="594">
        <f t="shared" si="483"/>
        <v>3.0354886750853235E-2</v>
      </c>
      <c r="AE571" s="594">
        <f t="shared" si="484"/>
        <v>1.8403029697189995E-2</v>
      </c>
      <c r="AF571" s="594">
        <f t="shared" si="485"/>
        <v>1.8600923058092595E-2</v>
      </c>
      <c r="AG571" s="594">
        <f t="shared" si="486"/>
        <v>1.8600923058092595E-2</v>
      </c>
      <c r="AH571" s="594">
        <f t="shared" si="487"/>
        <v>1.8600923058092595E-2</v>
      </c>
      <c r="AI571" s="594">
        <f t="shared" si="488"/>
        <v>1.8600923058092595E-2</v>
      </c>
      <c r="AJ571" s="594">
        <f t="shared" si="489"/>
        <v>1.8600923058092595E-2</v>
      </c>
      <c r="AL571" s="594">
        <f t="shared" si="490"/>
        <v>1.8600923058092595E-2</v>
      </c>
    </row>
    <row r="572" spans="2:38" outlineLevel="1">
      <c r="B572" s="562" t="s">
        <v>2343</v>
      </c>
      <c r="C572" s="562" t="s">
        <v>369</v>
      </c>
      <c r="D572" s="572" t="s">
        <v>2194</v>
      </c>
      <c r="E572" s="664">
        <v>0</v>
      </c>
      <c r="F572" s="664"/>
      <c r="G572" s="665">
        <v>0</v>
      </c>
      <c r="H572" s="670"/>
      <c r="I572" s="665">
        <v>0</v>
      </c>
      <c r="J572" s="665">
        <v>0</v>
      </c>
      <c r="K572" s="616">
        <f>+Costi!I77</f>
        <v>0</v>
      </c>
      <c r="L572" s="616">
        <f>+Costi!J77</f>
        <v>0</v>
      </c>
      <c r="M572" s="616">
        <f>+Costi!K77</f>
        <v>0</v>
      </c>
      <c r="N572" s="616">
        <f>+Costi!L77</f>
        <v>0</v>
      </c>
      <c r="O572" s="616">
        <f>+Costi!M77</f>
        <v>0</v>
      </c>
      <c r="Q572" s="594">
        <f t="shared" si="471"/>
        <v>0</v>
      </c>
      <c r="R572" s="594">
        <f t="shared" si="472"/>
        <v>0</v>
      </c>
      <c r="S572" s="594">
        <f t="shared" si="473"/>
        <v>0</v>
      </c>
      <c r="T572" s="594">
        <f t="shared" si="474"/>
        <v>0</v>
      </c>
      <c r="U572" s="594">
        <f t="shared" si="475"/>
        <v>0</v>
      </c>
      <c r="V572" s="594">
        <f t="shared" si="476"/>
        <v>0</v>
      </c>
      <c r="W572" s="594">
        <f t="shared" si="477"/>
        <v>0</v>
      </c>
      <c r="X572" s="594">
        <f t="shared" si="478"/>
        <v>0</v>
      </c>
      <c r="Y572" s="594">
        <f t="shared" si="479"/>
        <v>0</v>
      </c>
      <c r="AA572" s="594">
        <f t="shared" si="480"/>
        <v>0</v>
      </c>
      <c r="AB572" s="594">
        <f t="shared" si="481"/>
        <v>0</v>
      </c>
      <c r="AC572" s="594">
        <f t="shared" si="482"/>
        <v>0</v>
      </c>
      <c r="AD572" s="594">
        <f t="shared" si="483"/>
        <v>0</v>
      </c>
      <c r="AE572" s="594">
        <f t="shared" si="484"/>
        <v>0</v>
      </c>
      <c r="AF572" s="594">
        <f t="shared" si="485"/>
        <v>0</v>
      </c>
      <c r="AG572" s="594">
        <f t="shared" si="486"/>
        <v>0</v>
      </c>
      <c r="AH572" s="594">
        <f t="shared" si="487"/>
        <v>0</v>
      </c>
      <c r="AI572" s="594">
        <f t="shared" si="488"/>
        <v>0</v>
      </c>
      <c r="AJ572" s="594">
        <f t="shared" si="489"/>
        <v>0</v>
      </c>
      <c r="AL572" s="594">
        <f t="shared" si="490"/>
        <v>0</v>
      </c>
    </row>
    <row r="573" spans="2:38" outlineLevel="1">
      <c r="B573" s="562" t="s">
        <v>2343</v>
      </c>
      <c r="C573" s="562" t="s">
        <v>369</v>
      </c>
      <c r="D573" s="572" t="s">
        <v>2195</v>
      </c>
      <c r="E573" s="664">
        <v>0</v>
      </c>
      <c r="F573" s="664"/>
      <c r="G573" s="665">
        <v>0</v>
      </c>
      <c r="H573" s="670"/>
      <c r="I573" s="665">
        <v>0</v>
      </c>
      <c r="J573" s="665">
        <v>0</v>
      </c>
      <c r="K573" s="616">
        <f>+Costi!I78</f>
        <v>0</v>
      </c>
      <c r="L573" s="616">
        <f>+Costi!J78</f>
        <v>0</v>
      </c>
      <c r="M573" s="616">
        <f>+Costi!K78</f>
        <v>0</v>
      </c>
      <c r="N573" s="616">
        <f>+Costi!L78</f>
        <v>0</v>
      </c>
      <c r="O573" s="616">
        <f>+Costi!M78</f>
        <v>0</v>
      </c>
      <c r="Q573" s="594">
        <f t="shared" si="471"/>
        <v>0</v>
      </c>
      <c r="R573" s="594">
        <f t="shared" si="472"/>
        <v>0</v>
      </c>
      <c r="S573" s="594">
        <f t="shared" si="473"/>
        <v>0</v>
      </c>
      <c r="T573" s="594">
        <f t="shared" si="474"/>
        <v>0</v>
      </c>
      <c r="U573" s="594">
        <f t="shared" si="475"/>
        <v>0</v>
      </c>
      <c r="V573" s="594">
        <f t="shared" si="476"/>
        <v>0</v>
      </c>
      <c r="W573" s="594">
        <f t="shared" si="477"/>
        <v>0</v>
      </c>
      <c r="X573" s="594">
        <f t="shared" si="478"/>
        <v>0</v>
      </c>
      <c r="Y573" s="594">
        <f t="shared" si="479"/>
        <v>0</v>
      </c>
      <c r="AA573" s="594">
        <f t="shared" si="480"/>
        <v>0</v>
      </c>
      <c r="AB573" s="594">
        <f t="shared" si="481"/>
        <v>0</v>
      </c>
      <c r="AC573" s="594">
        <f t="shared" si="482"/>
        <v>0</v>
      </c>
      <c r="AD573" s="594">
        <f t="shared" si="483"/>
        <v>0</v>
      </c>
      <c r="AE573" s="594">
        <f t="shared" si="484"/>
        <v>0</v>
      </c>
      <c r="AF573" s="594">
        <f t="shared" si="485"/>
        <v>0</v>
      </c>
      <c r="AG573" s="594">
        <f t="shared" si="486"/>
        <v>0</v>
      </c>
      <c r="AH573" s="594">
        <f t="shared" si="487"/>
        <v>0</v>
      </c>
      <c r="AI573" s="594">
        <f t="shared" si="488"/>
        <v>0</v>
      </c>
      <c r="AJ573" s="594">
        <f t="shared" si="489"/>
        <v>0</v>
      </c>
      <c r="AL573" s="594">
        <f t="shared" si="490"/>
        <v>0</v>
      </c>
    </row>
    <row r="574" spans="2:38" outlineLevel="1">
      <c r="B574" s="562" t="s">
        <v>2343</v>
      </c>
      <c r="C574" s="562" t="s">
        <v>369</v>
      </c>
      <c r="D574" s="572" t="s">
        <v>2196</v>
      </c>
      <c r="E574" s="664">
        <v>57777.22</v>
      </c>
      <c r="F574" s="664">
        <v>42954.51</v>
      </c>
      <c r="G574" s="665">
        <v>65956.160000000003</v>
      </c>
      <c r="H574" s="665">
        <v>67736.27</v>
      </c>
      <c r="I574" s="665">
        <v>132888.29</v>
      </c>
      <c r="J574" s="665">
        <v>64979.979999999996</v>
      </c>
      <c r="K574" s="616">
        <f>+Costi!I79</f>
        <v>136792.45716209081</v>
      </c>
      <c r="L574" s="616">
        <f>+Costi!J79</f>
        <v>138199.71192610584</v>
      </c>
      <c r="M574" s="616">
        <f>+Costi!K79</f>
        <v>140900.74567888267</v>
      </c>
      <c r="N574" s="616">
        <f>+Costi!L79</f>
        <v>144109.54838911991</v>
      </c>
      <c r="O574" s="616">
        <f>+Costi!M79</f>
        <v>147535.92815706271</v>
      </c>
      <c r="Q574" s="594">
        <f t="shared" si="471"/>
        <v>-0.25654938053440435</v>
      </c>
      <c r="R574" s="594">
        <f t="shared" si="472"/>
        <v>0.53548859013873051</v>
      </c>
      <c r="S574" s="594">
        <f t="shared" si="473"/>
        <v>2.6989291068491461E-2</v>
      </c>
      <c r="T574" s="594">
        <f t="shared" si="474"/>
        <v>0.96184835686996051</v>
      </c>
      <c r="U574" s="594">
        <f t="shared" si="475"/>
        <v>2.9379316733557204E-2</v>
      </c>
      <c r="V574" s="594">
        <f t="shared" si="476"/>
        <v>1.0287517259431223E-2</v>
      </c>
      <c r="W574" s="594">
        <f t="shared" si="477"/>
        <v>1.9544423900254237E-2</v>
      </c>
      <c r="X574" s="594">
        <f t="shared" si="478"/>
        <v>2.2773497008668819E-2</v>
      </c>
      <c r="Y574" s="594">
        <f t="shared" si="479"/>
        <v>2.3776216123382765E-2</v>
      </c>
      <c r="AA574" s="594">
        <f t="shared" si="480"/>
        <v>2.2260468439258309E-3</v>
      </c>
      <c r="AB574" s="594">
        <f t="shared" si="481"/>
        <v>1.7164665198519001E-3</v>
      </c>
      <c r="AC574" s="594">
        <f t="shared" si="482"/>
        <v>2.4566844937513386E-3</v>
      </c>
      <c r="AD574" s="594">
        <f t="shared" si="483"/>
        <v>2.1750456877144553E-3</v>
      </c>
      <c r="AE574" s="594">
        <f t="shared" si="484"/>
        <v>2.6045830397793865E-3</v>
      </c>
      <c r="AF574" s="594">
        <f t="shared" si="485"/>
        <v>2.0941495528014214E-3</v>
      </c>
      <c r="AG574" s="594">
        <f t="shared" si="486"/>
        <v>1.9906364570355718E-3</v>
      </c>
      <c r="AH574" s="594">
        <f t="shared" si="487"/>
        <v>1.9573613146859114E-3</v>
      </c>
      <c r="AI574" s="594">
        <f t="shared" si="488"/>
        <v>1.9171021691340958E-3</v>
      </c>
      <c r="AJ574" s="594">
        <f t="shared" si="489"/>
        <v>1.8795119305236223E-3</v>
      </c>
      <c r="AL574" s="594">
        <f t="shared" si="490"/>
        <v>2.2357653170045821E-3</v>
      </c>
    </row>
    <row r="575" spans="2:38" outlineLevel="1">
      <c r="B575" s="562" t="s">
        <v>2343</v>
      </c>
      <c r="C575" s="562" t="s">
        <v>369</v>
      </c>
      <c r="D575" s="572" t="s">
        <v>2197</v>
      </c>
      <c r="E575" s="664">
        <v>34917.96</v>
      </c>
      <c r="F575" s="664">
        <v>44595.360000000001</v>
      </c>
      <c r="G575" s="665">
        <v>40382.629999999997</v>
      </c>
      <c r="H575" s="665">
        <v>52642.79</v>
      </c>
      <c r="I575" s="665">
        <v>82564.490000000005</v>
      </c>
      <c r="J575" s="665">
        <v>7508.72</v>
      </c>
      <c r="K575" s="616">
        <f>+Costi!I80</f>
        <v>95918.003162740133</v>
      </c>
      <c r="L575" s="616">
        <f>+Costi!J80</f>
        <v>96904.761275766985</v>
      </c>
      <c r="M575" s="616">
        <f>+Costi!K80</f>
        <v>98798.709008093516</v>
      </c>
      <c r="N575" s="616">
        <f>+Costi!L80</f>
        <v>101048.70111214968</v>
      </c>
      <c r="O575" s="616">
        <f>+Costi!M80</f>
        <v>103451.25686877927</v>
      </c>
      <c r="Q575" s="594">
        <f t="shared" si="471"/>
        <v>0.27714677489750272</v>
      </c>
      <c r="R575" s="594">
        <f t="shared" si="472"/>
        <v>-9.4465657413686177E-2</v>
      </c>
      <c r="S575" s="594">
        <f t="shared" si="473"/>
        <v>0.30359983983212602</v>
      </c>
      <c r="T575" s="594">
        <f t="shared" si="474"/>
        <v>0.56839122698473998</v>
      </c>
      <c r="U575" s="594">
        <f t="shared" si="475"/>
        <v>0.16173433836677398</v>
      </c>
      <c r="V575" s="594">
        <f t="shared" si="476"/>
        <v>1.0287517259431E-2</v>
      </c>
      <c r="W575" s="594">
        <f t="shared" si="477"/>
        <v>1.9544423900254237E-2</v>
      </c>
      <c r="X575" s="594">
        <f t="shared" si="478"/>
        <v>2.2773497008668819E-2</v>
      </c>
      <c r="Y575" s="594">
        <f t="shared" si="479"/>
        <v>2.3776216123382765E-2</v>
      </c>
      <c r="AA575" s="594">
        <f t="shared" si="480"/>
        <v>1.3453228565571066E-3</v>
      </c>
      <c r="AB575" s="594">
        <f t="shared" si="481"/>
        <v>1.7820350501202931E-3</v>
      </c>
      <c r="AC575" s="594">
        <f t="shared" si="482"/>
        <v>1.5041412498528965E-3</v>
      </c>
      <c r="AD575" s="594">
        <f t="shared" si="483"/>
        <v>1.6903864558641571E-3</v>
      </c>
      <c r="AE575" s="594">
        <f t="shared" si="484"/>
        <v>1.6182469527001573E-3</v>
      </c>
      <c r="AF575" s="594">
        <f t="shared" si="485"/>
        <v>1.4684043813237649E-3</v>
      </c>
      <c r="AG575" s="594">
        <f t="shared" si="486"/>
        <v>1.3958216552507269E-3</v>
      </c>
      <c r="AH575" s="594">
        <f t="shared" si="487"/>
        <v>1.3724893365297216E-3</v>
      </c>
      <c r="AI575" s="594">
        <f t="shared" si="488"/>
        <v>1.3442598790692675E-3</v>
      </c>
      <c r="AJ575" s="594">
        <f t="shared" si="489"/>
        <v>1.3179018422247715E-3</v>
      </c>
      <c r="AL575" s="594">
        <f t="shared" si="490"/>
        <v>1.5880265130189222E-3</v>
      </c>
    </row>
    <row r="576" spans="2:38" outlineLevel="1">
      <c r="B576" s="562" t="s">
        <v>2343</v>
      </c>
      <c r="C576" s="562" t="s">
        <v>369</v>
      </c>
      <c r="D576" s="572" t="s">
        <v>2198</v>
      </c>
      <c r="E576" s="664">
        <v>0</v>
      </c>
      <c r="F576" s="664"/>
      <c r="G576" s="665">
        <v>0</v>
      </c>
      <c r="H576" s="670"/>
      <c r="I576" s="665">
        <v>12500</v>
      </c>
      <c r="J576" s="665">
        <v>0</v>
      </c>
      <c r="K576" s="616">
        <f>+Costi!I81</f>
        <v>12500</v>
      </c>
      <c r="L576" s="616">
        <f>+Costi!J81</f>
        <v>12500</v>
      </c>
      <c r="M576" s="616">
        <f>+Costi!K81</f>
        <v>12500</v>
      </c>
      <c r="N576" s="616">
        <f>+Costi!L81</f>
        <v>12500</v>
      </c>
      <c r="O576" s="616">
        <f>+Costi!M81</f>
        <v>12500</v>
      </c>
      <c r="Q576" s="594">
        <f t="shared" si="471"/>
        <v>0</v>
      </c>
      <c r="R576" s="594">
        <f t="shared" si="472"/>
        <v>0</v>
      </c>
      <c r="S576" s="594">
        <f t="shared" si="473"/>
        <v>0</v>
      </c>
      <c r="T576" s="594">
        <f t="shared" si="474"/>
        <v>0</v>
      </c>
      <c r="U576" s="594">
        <f t="shared" si="475"/>
        <v>0</v>
      </c>
      <c r="V576" s="594">
        <f t="shared" si="476"/>
        <v>0</v>
      </c>
      <c r="W576" s="594">
        <f t="shared" si="477"/>
        <v>0</v>
      </c>
      <c r="X576" s="594">
        <f t="shared" si="478"/>
        <v>0</v>
      </c>
      <c r="Y576" s="594">
        <f t="shared" si="479"/>
        <v>0</v>
      </c>
      <c r="AA576" s="594">
        <f t="shared" si="480"/>
        <v>0</v>
      </c>
      <c r="AB576" s="594">
        <f t="shared" si="481"/>
        <v>0</v>
      </c>
      <c r="AC576" s="594">
        <f t="shared" si="482"/>
        <v>0</v>
      </c>
      <c r="AD576" s="594">
        <f t="shared" si="483"/>
        <v>0</v>
      </c>
      <c r="AE576" s="594">
        <f t="shared" si="484"/>
        <v>2.4499741848768114E-4</v>
      </c>
      <c r="AF576" s="594">
        <f t="shared" si="485"/>
        <v>1.9136193583393094E-4</v>
      </c>
      <c r="AG576" s="594">
        <f t="shared" si="486"/>
        <v>1.8005070608431763E-4</v>
      </c>
      <c r="AH576" s="594">
        <f t="shared" si="487"/>
        <v>1.7364717493642656E-4</v>
      </c>
      <c r="AI576" s="594">
        <f t="shared" si="488"/>
        <v>1.6628861433574122E-4</v>
      </c>
      <c r="AJ576" s="594">
        <f t="shared" si="489"/>
        <v>1.5924188382462554E-4</v>
      </c>
      <c r="AL576" s="594">
        <f t="shared" si="490"/>
        <v>4.8999483697536231E-5</v>
      </c>
    </row>
    <row r="577" spans="1:38" outlineLevel="1">
      <c r="B577" s="562" t="s">
        <v>2343</v>
      </c>
      <c r="C577" s="562" t="s">
        <v>369</v>
      </c>
      <c r="D577" s="572" t="s">
        <v>2199</v>
      </c>
      <c r="E577" s="664">
        <v>6000</v>
      </c>
      <c r="F577" s="664">
        <v>6000</v>
      </c>
      <c r="G577" s="665">
        <v>6000</v>
      </c>
      <c r="H577" s="665">
        <v>6000</v>
      </c>
      <c r="I577" s="665">
        <v>6000</v>
      </c>
      <c r="J577" s="665">
        <v>0</v>
      </c>
      <c r="K577" s="616">
        <f>+Costi!I82</f>
        <v>26000</v>
      </c>
      <c r="L577" s="616">
        <f>+Costi!J82</f>
        <v>26000</v>
      </c>
      <c r="M577" s="616">
        <f>+Costi!K82</f>
        <v>26000</v>
      </c>
      <c r="N577" s="616">
        <f>+Costi!L82</f>
        <v>26000</v>
      </c>
      <c r="O577" s="616">
        <f>+Costi!M82</f>
        <v>26000</v>
      </c>
      <c r="Q577" s="594">
        <f t="shared" si="471"/>
        <v>0</v>
      </c>
      <c r="R577" s="594">
        <f t="shared" si="472"/>
        <v>0</v>
      </c>
      <c r="S577" s="594">
        <f t="shared" si="473"/>
        <v>0</v>
      </c>
      <c r="T577" s="594">
        <f t="shared" si="474"/>
        <v>0</v>
      </c>
      <c r="U577" s="594">
        <f t="shared" si="475"/>
        <v>3.333333333333333</v>
      </c>
      <c r="V577" s="594">
        <f t="shared" si="476"/>
        <v>0</v>
      </c>
      <c r="W577" s="594">
        <f t="shared" si="477"/>
        <v>0</v>
      </c>
      <c r="X577" s="594">
        <f t="shared" si="478"/>
        <v>0</v>
      </c>
      <c r="Y577" s="594">
        <f t="shared" si="479"/>
        <v>0</v>
      </c>
      <c r="AA577" s="594">
        <f t="shared" si="480"/>
        <v>2.3116863468950193E-4</v>
      </c>
      <c r="AB577" s="594">
        <f t="shared" si="481"/>
        <v>2.3976060067060247E-4</v>
      </c>
      <c r="AC577" s="594">
        <f t="shared" si="482"/>
        <v>2.234834011335413E-4</v>
      </c>
      <c r="AD577" s="594">
        <f t="shared" si="483"/>
        <v>1.9266301681930122E-4</v>
      </c>
      <c r="AE577" s="594">
        <f t="shared" si="484"/>
        <v>1.1759876087408694E-4</v>
      </c>
      <c r="AF577" s="594">
        <f t="shared" si="485"/>
        <v>3.9803282653457634E-4</v>
      </c>
      <c r="AG577" s="594">
        <f t="shared" si="486"/>
        <v>3.7450546865538064E-4</v>
      </c>
      <c r="AH577" s="594">
        <f t="shared" si="487"/>
        <v>3.6118612386776727E-4</v>
      </c>
      <c r="AI577" s="594">
        <f t="shared" si="488"/>
        <v>3.4588031781834176E-4</v>
      </c>
      <c r="AJ577" s="594">
        <f t="shared" si="489"/>
        <v>3.3122311835522114E-4</v>
      </c>
      <c r="AL577" s="594">
        <f t="shared" si="490"/>
        <v>2.0093488283740675E-4</v>
      </c>
    </row>
    <row r="578" spans="1:38" outlineLevel="1">
      <c r="B578" s="562" t="s">
        <v>2343</v>
      </c>
      <c r="C578" s="562" t="s">
        <v>369</v>
      </c>
      <c r="D578" s="572" t="s">
        <v>2200</v>
      </c>
      <c r="E578" s="664">
        <v>1369.2</v>
      </c>
      <c r="F578" s="664">
        <v>1369.2</v>
      </c>
      <c r="G578" s="665">
        <v>1369.43</v>
      </c>
      <c r="H578" s="665">
        <v>1369.2</v>
      </c>
      <c r="I578" s="665">
        <v>1401</v>
      </c>
      <c r="J578" s="665">
        <v>18265.5</v>
      </c>
      <c r="K578" s="616">
        <f>+Costi!I83</f>
        <v>1401</v>
      </c>
      <c r="L578" s="616">
        <f>+Costi!J83</f>
        <v>1401</v>
      </c>
      <c r="M578" s="616">
        <f>+Costi!K83</f>
        <v>1401</v>
      </c>
      <c r="N578" s="616">
        <f>+Costi!L83</f>
        <v>1401</v>
      </c>
      <c r="O578" s="616">
        <f>+Costi!M83</f>
        <v>1401</v>
      </c>
      <c r="Q578" s="594">
        <f t="shared" si="471"/>
        <v>0</v>
      </c>
      <c r="R578" s="594">
        <f t="shared" si="472"/>
        <v>1.6798130295070379E-4</v>
      </c>
      <c r="S578" s="594">
        <f t="shared" si="473"/>
        <v>-1.6795308997175074E-4</v>
      </c>
      <c r="T578" s="594">
        <f t="shared" si="474"/>
        <v>2.3225241016652021E-2</v>
      </c>
      <c r="U578" s="594">
        <f t="shared" si="475"/>
        <v>0</v>
      </c>
      <c r="V578" s="594">
        <f t="shared" si="476"/>
        <v>0</v>
      </c>
      <c r="W578" s="594">
        <f t="shared" si="477"/>
        <v>0</v>
      </c>
      <c r="X578" s="594">
        <f t="shared" si="478"/>
        <v>0</v>
      </c>
      <c r="Y578" s="594">
        <f t="shared" si="479"/>
        <v>0</v>
      </c>
      <c r="AA578" s="594">
        <f t="shared" si="480"/>
        <v>5.2752682436144337E-5</v>
      </c>
      <c r="AB578" s="594">
        <f t="shared" si="481"/>
        <v>5.4713369073031484E-5</v>
      </c>
      <c r="AC578" s="594">
        <f t="shared" si="482"/>
        <v>5.1007479002384247E-5</v>
      </c>
      <c r="AD578" s="594">
        <f t="shared" si="483"/>
        <v>4.3965700438164545E-5</v>
      </c>
      <c r="AE578" s="594">
        <f t="shared" si="484"/>
        <v>2.7459310664099303E-5</v>
      </c>
      <c r="AF578" s="594">
        <f t="shared" si="485"/>
        <v>2.1447845768266979E-5</v>
      </c>
      <c r="AG578" s="594">
        <f t="shared" si="486"/>
        <v>2.018008313793032E-5</v>
      </c>
      <c r="AH578" s="594">
        <f t="shared" si="487"/>
        <v>1.9462375366874689E-5</v>
      </c>
      <c r="AI578" s="594">
        <f t="shared" si="488"/>
        <v>1.8637627894749877E-5</v>
      </c>
      <c r="AJ578" s="594">
        <f t="shared" si="489"/>
        <v>1.784783033906403E-5</v>
      </c>
      <c r="AL578" s="594">
        <f t="shared" si="490"/>
        <v>4.5979708322764789E-5</v>
      </c>
    </row>
    <row r="579" spans="1:38" outlineLevel="1">
      <c r="B579" s="562" t="s">
        <v>2343</v>
      </c>
      <c r="C579" s="562" t="s">
        <v>369</v>
      </c>
      <c r="D579" s="572" t="s">
        <v>2201</v>
      </c>
      <c r="E579" s="664">
        <v>99517.43</v>
      </c>
      <c r="F579" s="664">
        <v>181635.61</v>
      </c>
      <c r="G579" s="665">
        <v>116362.95</v>
      </c>
      <c r="H579" s="665">
        <v>150756.43</v>
      </c>
      <c r="I579" s="665">
        <v>621233.06000000006</v>
      </c>
      <c r="J579" s="665">
        <v>127184.59</v>
      </c>
      <c r="K579" s="616">
        <f>+Costi!I84</f>
        <v>350000</v>
      </c>
      <c r="L579" s="616">
        <f>+Costi!J84</f>
        <v>150000</v>
      </c>
      <c r="M579" s="616">
        <f>+Costi!K84</f>
        <v>150000</v>
      </c>
      <c r="N579" s="616">
        <f>+Costi!L84</f>
        <v>150000</v>
      </c>
      <c r="O579" s="616">
        <f>+Costi!M84</f>
        <v>150000</v>
      </c>
      <c r="Q579" s="594">
        <f t="shared" si="471"/>
        <v>0.82516379291547226</v>
      </c>
      <c r="R579" s="594">
        <f t="shared" si="472"/>
        <v>-0.35936048002921894</v>
      </c>
      <c r="S579" s="594">
        <f t="shared" si="473"/>
        <v>0.29557071215537256</v>
      </c>
      <c r="T579" s="594">
        <f t="shared" si="474"/>
        <v>3.1207732234041368</v>
      </c>
      <c r="U579" s="594">
        <f t="shared" si="475"/>
        <v>-0.43660435585961899</v>
      </c>
      <c r="V579" s="594">
        <f t="shared" si="476"/>
        <v>-0.5714285714285714</v>
      </c>
      <c r="W579" s="594">
        <f t="shared" si="477"/>
        <v>0</v>
      </c>
      <c r="X579" s="594">
        <f t="shared" si="478"/>
        <v>0</v>
      </c>
      <c r="Y579" s="594">
        <f t="shared" si="479"/>
        <v>0</v>
      </c>
      <c r="AA579" s="594">
        <f t="shared" si="480"/>
        <v>3.834218070151346E-3</v>
      </c>
      <c r="AB579" s="594">
        <f t="shared" si="481"/>
        <v>7.2581771594618805E-3</v>
      </c>
      <c r="AC579" s="594">
        <f t="shared" si="482"/>
        <v>4.3341979719887019E-3</v>
      </c>
      <c r="AD579" s="594">
        <f t="shared" si="483"/>
        <v>4.8408647681179679E-3</v>
      </c>
      <c r="AE579" s="594">
        <f t="shared" si="484"/>
        <v>1.2176039678336218E-2</v>
      </c>
      <c r="AF579" s="594">
        <f t="shared" si="485"/>
        <v>5.3581342033500665E-3</v>
      </c>
      <c r="AG579" s="594">
        <f t="shared" si="486"/>
        <v>2.1606084730118116E-3</v>
      </c>
      <c r="AH579" s="594">
        <f t="shared" si="487"/>
        <v>2.0837660992371189E-3</v>
      </c>
      <c r="AI579" s="594">
        <f t="shared" si="488"/>
        <v>1.9954633720288945E-3</v>
      </c>
      <c r="AJ579" s="594">
        <f t="shared" si="489"/>
        <v>1.9109026058955064E-3</v>
      </c>
      <c r="AL579" s="594">
        <f t="shared" si="490"/>
        <v>6.4886995296112235E-3</v>
      </c>
    </row>
    <row r="580" spans="1:38" outlineLevel="1">
      <c r="A580" s="545">
        <v>1</v>
      </c>
      <c r="B580" s="562" t="s">
        <v>2343</v>
      </c>
      <c r="C580" s="562" t="s">
        <v>369</v>
      </c>
      <c r="D580" s="572" t="s">
        <v>2202</v>
      </c>
      <c r="E580" s="664">
        <v>0</v>
      </c>
      <c r="F580" s="664"/>
      <c r="G580" s="665">
        <v>0</v>
      </c>
      <c r="H580" s="665">
        <v>3732.17</v>
      </c>
      <c r="I580" s="665">
        <v>15722.49</v>
      </c>
      <c r="J580" s="665">
        <v>12958.2</v>
      </c>
      <c r="K580" s="616">
        <f>+Costi!I85</f>
        <v>25000</v>
      </c>
      <c r="L580" s="616">
        <f>+Costi!J85</f>
        <v>20000</v>
      </c>
      <c r="M580" s="616">
        <f>+Costi!K85</f>
        <v>15000</v>
      </c>
      <c r="N580" s="616">
        <f>+Costi!L85</f>
        <v>15000</v>
      </c>
      <c r="O580" s="616">
        <f>+Costi!M85</f>
        <v>15000</v>
      </c>
      <c r="Q580" s="594">
        <f t="shared" si="471"/>
        <v>0</v>
      </c>
      <c r="R580" s="594">
        <f t="shared" si="472"/>
        <v>0</v>
      </c>
      <c r="S580" s="594">
        <f t="shared" si="473"/>
        <v>0</v>
      </c>
      <c r="T580" s="594">
        <f t="shared" si="474"/>
        <v>3.2126939555272136</v>
      </c>
      <c r="U580" s="594">
        <f t="shared" si="475"/>
        <v>0.59007892515752913</v>
      </c>
      <c r="V580" s="594">
        <f t="shared" si="476"/>
        <v>-0.19999999999999996</v>
      </c>
      <c r="W580" s="594">
        <f t="shared" si="477"/>
        <v>-0.25</v>
      </c>
      <c r="X580" s="594">
        <f t="shared" si="478"/>
        <v>0</v>
      </c>
      <c r="Y580" s="594">
        <f t="shared" si="479"/>
        <v>0</v>
      </c>
      <c r="AA580" s="594">
        <f t="shared" si="480"/>
        <v>0</v>
      </c>
      <c r="AB580" s="594">
        <f t="shared" si="481"/>
        <v>0</v>
      </c>
      <c r="AC580" s="594">
        <f t="shared" si="482"/>
        <v>0</v>
      </c>
      <c r="AD580" s="594">
        <f t="shared" si="483"/>
        <v>1.1984185524708192E-4</v>
      </c>
      <c r="AE580" s="594">
        <f t="shared" si="484"/>
        <v>3.0815755697587052E-4</v>
      </c>
      <c r="AF580" s="594">
        <f t="shared" si="485"/>
        <v>3.8272387166786187E-4</v>
      </c>
      <c r="AG580" s="594">
        <f t="shared" si="486"/>
        <v>2.8808112973490818E-4</v>
      </c>
      <c r="AH580" s="594">
        <f t="shared" si="487"/>
        <v>2.083766099237119E-4</v>
      </c>
      <c r="AI580" s="594">
        <f t="shared" si="488"/>
        <v>1.9954633720288946E-4</v>
      </c>
      <c r="AJ580" s="594">
        <f t="shared" si="489"/>
        <v>1.9109026058955066E-4</v>
      </c>
      <c r="AL580" s="594">
        <f t="shared" si="490"/>
        <v>8.5599882444590481E-5</v>
      </c>
    </row>
    <row r="581" spans="1:38" outlineLevel="1">
      <c r="A581" s="545">
        <v>1</v>
      </c>
      <c r="B581" s="562" t="s">
        <v>2343</v>
      </c>
      <c r="C581" s="562" t="s">
        <v>369</v>
      </c>
      <c r="D581" s="572" t="s">
        <v>2203</v>
      </c>
      <c r="E581" s="664">
        <v>0</v>
      </c>
      <c r="F581" s="664"/>
      <c r="G581" s="665">
        <v>0</v>
      </c>
      <c r="H581" s="665">
        <v>679.5</v>
      </c>
      <c r="I581" s="665">
        <v>0</v>
      </c>
      <c r="J581" s="665">
        <v>0</v>
      </c>
      <c r="K581" s="616">
        <f>+Costi!I86</f>
        <v>0</v>
      </c>
      <c r="L581" s="616">
        <f>+Costi!J86</f>
        <v>0</v>
      </c>
      <c r="M581" s="616">
        <f>+Costi!K86</f>
        <v>0</v>
      </c>
      <c r="N581" s="616">
        <f>+Costi!L86</f>
        <v>0</v>
      </c>
      <c r="O581" s="616">
        <f>+Costi!M86</f>
        <v>0</v>
      </c>
      <c r="Q581" s="594">
        <f t="shared" si="471"/>
        <v>0</v>
      </c>
      <c r="R581" s="594">
        <f t="shared" si="472"/>
        <v>0</v>
      </c>
      <c r="S581" s="594">
        <f t="shared" si="473"/>
        <v>0</v>
      </c>
      <c r="T581" s="594">
        <f t="shared" si="474"/>
        <v>-1</v>
      </c>
      <c r="U581" s="594">
        <f t="shared" si="475"/>
        <v>0</v>
      </c>
      <c r="V581" s="594">
        <f t="shared" si="476"/>
        <v>0</v>
      </c>
      <c r="W581" s="594">
        <f t="shared" si="477"/>
        <v>0</v>
      </c>
      <c r="X581" s="594">
        <f t="shared" si="478"/>
        <v>0</v>
      </c>
      <c r="Y581" s="594">
        <f t="shared" si="479"/>
        <v>0</v>
      </c>
      <c r="AA581" s="594">
        <f t="shared" si="480"/>
        <v>0</v>
      </c>
      <c r="AB581" s="594">
        <f t="shared" si="481"/>
        <v>0</v>
      </c>
      <c r="AC581" s="594">
        <f t="shared" si="482"/>
        <v>0</v>
      </c>
      <c r="AD581" s="594">
        <f t="shared" si="483"/>
        <v>2.1819086654785865E-5</v>
      </c>
      <c r="AE581" s="594">
        <f t="shared" si="484"/>
        <v>0</v>
      </c>
      <c r="AF581" s="594">
        <f t="shared" si="485"/>
        <v>0</v>
      </c>
      <c r="AG581" s="594">
        <f t="shared" si="486"/>
        <v>0</v>
      </c>
      <c r="AH581" s="594">
        <f t="shared" si="487"/>
        <v>0</v>
      </c>
      <c r="AI581" s="594">
        <f t="shared" si="488"/>
        <v>0</v>
      </c>
      <c r="AJ581" s="594">
        <f t="shared" si="489"/>
        <v>0</v>
      </c>
      <c r="AL581" s="594">
        <f t="shared" si="490"/>
        <v>4.3638173309571731E-6</v>
      </c>
    </row>
    <row r="582" spans="1:38" outlineLevel="1">
      <c r="B582" s="562" t="s">
        <v>2343</v>
      </c>
      <c r="C582" s="562" t="s">
        <v>369</v>
      </c>
      <c r="D582" s="572" t="s">
        <v>2204</v>
      </c>
      <c r="E582" s="664">
        <v>2766.76</v>
      </c>
      <c r="F582" s="664">
        <v>2764.45</v>
      </c>
      <c r="G582" s="665">
        <v>3215.52</v>
      </c>
      <c r="H582" s="665">
        <v>1632.14</v>
      </c>
      <c r="I582" s="665">
        <v>6366.12</v>
      </c>
      <c r="J582" s="665">
        <v>821.17</v>
      </c>
      <c r="K582" s="616">
        <f>+Costi!I87</f>
        <v>6366.12</v>
      </c>
      <c r="L582" s="616">
        <f>+Costi!J87</f>
        <v>6366.12</v>
      </c>
      <c r="M582" s="616">
        <f>+Costi!K87</f>
        <v>6366.12</v>
      </c>
      <c r="N582" s="616">
        <f>+Costi!L87</f>
        <v>6366.12</v>
      </c>
      <c r="O582" s="616">
        <f>+Costi!M87</f>
        <v>6366.12</v>
      </c>
      <c r="Q582" s="594">
        <f t="shared" si="471"/>
        <v>-8.3491159334403431E-4</v>
      </c>
      <c r="R582" s="594">
        <f t="shared" si="472"/>
        <v>0.16316808044999909</v>
      </c>
      <c r="S582" s="594">
        <f t="shared" si="473"/>
        <v>-0.49241802259043632</v>
      </c>
      <c r="T582" s="594">
        <f t="shared" si="474"/>
        <v>2.9004742240248995</v>
      </c>
      <c r="U582" s="594">
        <f t="shared" si="475"/>
        <v>0</v>
      </c>
      <c r="V582" s="594">
        <f t="shared" si="476"/>
        <v>0</v>
      </c>
      <c r="W582" s="594">
        <f t="shared" si="477"/>
        <v>0</v>
      </c>
      <c r="X582" s="594">
        <f t="shared" si="478"/>
        <v>0</v>
      </c>
      <c r="Y582" s="594">
        <f t="shared" si="479"/>
        <v>0</v>
      </c>
      <c r="AA582" s="594">
        <f t="shared" si="480"/>
        <v>1.065980219522544E-4</v>
      </c>
      <c r="AB582" s="594">
        <f t="shared" si="481"/>
        <v>1.1046769875397449E-4</v>
      </c>
      <c r="AC582" s="594">
        <f t="shared" si="482"/>
        <v>1.1976922433548745E-4</v>
      </c>
      <c r="AD582" s="594">
        <f t="shared" si="483"/>
        <v>5.2408836045242392E-5</v>
      </c>
      <c r="AE582" s="594">
        <f t="shared" si="484"/>
        <v>1.2477463726262374E-4</v>
      </c>
      <c r="AF582" s="594">
        <f t="shared" si="485"/>
        <v>9.7458643756088355E-5</v>
      </c>
      <c r="AG582" s="594">
        <f t="shared" si="486"/>
        <v>9.1697952081399681E-5</v>
      </c>
      <c r="AH582" s="594">
        <f t="shared" si="487"/>
        <v>8.8436700264502721E-5</v>
      </c>
      <c r="AI582" s="594">
        <f t="shared" si="488"/>
        <v>8.4689061879603914E-5</v>
      </c>
      <c r="AJ582" s="594">
        <f t="shared" si="489"/>
        <v>8.1100235316290006E-5</v>
      </c>
      <c r="AL582" s="594">
        <f t="shared" si="490"/>
        <v>1.0280368366991649E-4</v>
      </c>
    </row>
    <row r="583" spans="1:38" outlineLevel="1">
      <c r="B583" s="562" t="s">
        <v>2343</v>
      </c>
      <c r="C583" s="562" t="s">
        <v>369</v>
      </c>
      <c r="D583" s="572" t="s">
        <v>2205</v>
      </c>
      <c r="E583" s="664">
        <v>545.05999999999995</v>
      </c>
      <c r="F583" s="664">
        <v>0</v>
      </c>
      <c r="G583" s="665">
        <v>0</v>
      </c>
      <c r="H583" s="670"/>
      <c r="I583" s="665">
        <v>0</v>
      </c>
      <c r="J583" s="665">
        <v>0</v>
      </c>
      <c r="K583" s="616">
        <f>+Costi!I88</f>
        <v>0</v>
      </c>
      <c r="L583" s="616">
        <f>+Costi!J88</f>
        <v>0</v>
      </c>
      <c r="M583" s="616">
        <f>+Costi!K88</f>
        <v>0</v>
      </c>
      <c r="N583" s="616">
        <f>+Costi!L88</f>
        <v>0</v>
      </c>
      <c r="O583" s="616">
        <f>+Costi!M88</f>
        <v>0</v>
      </c>
      <c r="Q583" s="594">
        <f t="shared" si="471"/>
        <v>-1</v>
      </c>
      <c r="R583" s="594">
        <f t="shared" si="472"/>
        <v>0</v>
      </c>
      <c r="S583" s="594">
        <f t="shared" si="473"/>
        <v>0</v>
      </c>
      <c r="T583" s="594">
        <f t="shared" si="474"/>
        <v>0</v>
      </c>
      <c r="U583" s="594">
        <f t="shared" si="475"/>
        <v>0</v>
      </c>
      <c r="V583" s="594">
        <f t="shared" si="476"/>
        <v>0</v>
      </c>
      <c r="W583" s="594">
        <f t="shared" si="477"/>
        <v>0</v>
      </c>
      <c r="X583" s="594">
        <f t="shared" si="478"/>
        <v>0</v>
      </c>
      <c r="Y583" s="594">
        <f t="shared" si="479"/>
        <v>0</v>
      </c>
      <c r="AA583" s="594">
        <f t="shared" si="480"/>
        <v>2.1000129337309985E-5</v>
      </c>
      <c r="AB583" s="594">
        <f t="shared" si="481"/>
        <v>0</v>
      </c>
      <c r="AC583" s="594">
        <f t="shared" si="482"/>
        <v>0</v>
      </c>
      <c r="AD583" s="594">
        <f t="shared" si="483"/>
        <v>0</v>
      </c>
      <c r="AE583" s="594">
        <f t="shared" si="484"/>
        <v>0</v>
      </c>
      <c r="AF583" s="594">
        <f t="shared" si="485"/>
        <v>0</v>
      </c>
      <c r="AG583" s="594">
        <f t="shared" si="486"/>
        <v>0</v>
      </c>
      <c r="AH583" s="594">
        <f t="shared" si="487"/>
        <v>0</v>
      </c>
      <c r="AI583" s="594">
        <f t="shared" si="488"/>
        <v>0</v>
      </c>
      <c r="AJ583" s="594">
        <f t="shared" si="489"/>
        <v>0</v>
      </c>
      <c r="AL583" s="594">
        <f t="shared" si="490"/>
        <v>4.2000258674619967E-6</v>
      </c>
    </row>
    <row r="584" spans="1:38" outlineLevel="1">
      <c r="B584" s="562" t="s">
        <v>2343</v>
      </c>
      <c r="C584" s="562" t="s">
        <v>369</v>
      </c>
      <c r="D584" s="572" t="s">
        <v>2206</v>
      </c>
      <c r="E584" s="664">
        <v>335169.09999999998</v>
      </c>
      <c r="F584" s="664">
        <v>411537.75</v>
      </c>
      <c r="G584" s="665">
        <v>362902.94</v>
      </c>
      <c r="H584" s="665">
        <v>467051.39</v>
      </c>
      <c r="I584" s="665">
        <v>735163.65</v>
      </c>
      <c r="J584" s="665">
        <v>236461.18</v>
      </c>
      <c r="K584" s="616">
        <f>+Costi!I89</f>
        <v>749866.92300000007</v>
      </c>
      <c r="L584" s="616">
        <f>+Costi!J89</f>
        <v>764864.26146000007</v>
      </c>
      <c r="M584" s="616">
        <f>+Costi!K89</f>
        <v>780161.5466892001</v>
      </c>
      <c r="N584" s="616">
        <f>+Costi!L89</f>
        <v>795764.77762298414</v>
      </c>
      <c r="O584" s="616">
        <f>+Costi!M89</f>
        <v>811680.0731754438</v>
      </c>
      <c r="Q584" s="594">
        <f t="shared" si="471"/>
        <v>0.22785110560609567</v>
      </c>
      <c r="R584" s="594">
        <f t="shared" si="472"/>
        <v>-0.11817824731753035</v>
      </c>
      <c r="S584" s="594">
        <f t="shared" si="473"/>
        <v>0.2869870660182583</v>
      </c>
      <c r="T584" s="594">
        <f t="shared" si="474"/>
        <v>0.57405301802013686</v>
      </c>
      <c r="U584" s="594">
        <f t="shared" si="475"/>
        <v>2.0000000000000018E-2</v>
      </c>
      <c r="V584" s="594">
        <f t="shared" si="476"/>
        <v>2.0000000000000018E-2</v>
      </c>
      <c r="W584" s="594">
        <f t="shared" si="477"/>
        <v>2.0000000000000018E-2</v>
      </c>
      <c r="X584" s="594">
        <f t="shared" si="478"/>
        <v>2.0000000000000018E-2</v>
      </c>
      <c r="Y584" s="594">
        <f t="shared" si="479"/>
        <v>2.0000000000000018E-2</v>
      </c>
      <c r="AA584" s="594">
        <f t="shared" si="480"/>
        <v>1.2913430539518189E-2</v>
      </c>
      <c r="AB584" s="594">
        <f t="shared" si="481"/>
        <v>1.6445089689771372E-2</v>
      </c>
      <c r="AC584" s="594">
        <f t="shared" si="482"/>
        <v>1.3517130552093578E-2</v>
      </c>
      <c r="AD584" s="594">
        <f t="shared" si="483"/>
        <v>1.4997254967841338E-2</v>
      </c>
      <c r="AE584" s="594">
        <f t="shared" si="484"/>
        <v>1.4409055713278492E-2</v>
      </c>
      <c r="AF584" s="594">
        <f t="shared" si="485"/>
        <v>1.147967888024906E-2</v>
      </c>
      <c r="AG584" s="594">
        <f t="shared" si="486"/>
        <v>1.101714802676265E-2</v>
      </c>
      <c r="AH584" s="594">
        <f t="shared" si="487"/>
        <v>1.0837827886129013E-2</v>
      </c>
      <c r="AI584" s="594">
        <f t="shared" si="488"/>
        <v>1.0586129776649224E-2</v>
      </c>
      <c r="AJ584" s="594">
        <f t="shared" si="489"/>
        <v>1.0340277113229407E-2</v>
      </c>
      <c r="AL584" s="594">
        <f t="shared" si="490"/>
        <v>1.4456392292500595E-2</v>
      </c>
    </row>
    <row r="585" spans="1:38" outlineLevel="1">
      <c r="B585" s="562" t="s">
        <v>2343</v>
      </c>
      <c r="C585" s="562" t="s">
        <v>369</v>
      </c>
      <c r="D585" s="572" t="s">
        <v>2207</v>
      </c>
      <c r="E585" s="664">
        <v>846.88</v>
      </c>
      <c r="F585" s="664">
        <v>422.38</v>
      </c>
      <c r="G585" s="665">
        <v>1404.27</v>
      </c>
      <c r="H585" s="665">
        <v>19169.53</v>
      </c>
      <c r="I585" s="665">
        <v>6289.7</v>
      </c>
      <c r="J585" s="665">
        <v>324.10000000000002</v>
      </c>
      <c r="K585" s="616">
        <f>+Costi!I90</f>
        <v>6289.7</v>
      </c>
      <c r="L585" s="616">
        <f>+Costi!J90</f>
        <v>6289.7</v>
      </c>
      <c r="M585" s="616">
        <f>+Costi!K90</f>
        <v>6289.7</v>
      </c>
      <c r="N585" s="616">
        <f>+Costi!L90</f>
        <v>6289.7</v>
      </c>
      <c r="O585" s="616">
        <f>+Costi!M90</f>
        <v>6289.7</v>
      </c>
      <c r="Q585" s="594">
        <f t="shared" si="471"/>
        <v>-0.50125165312677122</v>
      </c>
      <c r="R585" s="594">
        <f t="shared" si="472"/>
        <v>2.3246602585349687</v>
      </c>
      <c r="S585" s="594">
        <f t="shared" si="473"/>
        <v>12.650886225583399</v>
      </c>
      <c r="T585" s="594">
        <f t="shared" si="474"/>
        <v>-0.67189075579839463</v>
      </c>
      <c r="U585" s="594">
        <f t="shared" si="475"/>
        <v>0</v>
      </c>
      <c r="V585" s="594">
        <f t="shared" si="476"/>
        <v>0</v>
      </c>
      <c r="W585" s="594">
        <f t="shared" si="477"/>
        <v>0</v>
      </c>
      <c r="X585" s="594">
        <f t="shared" si="478"/>
        <v>0</v>
      </c>
      <c r="Y585" s="594">
        <f t="shared" si="479"/>
        <v>0</v>
      </c>
      <c r="AA585" s="594">
        <f t="shared" si="480"/>
        <v>3.2628682224307564E-5</v>
      </c>
      <c r="AB585" s="594">
        <f t="shared" si="481"/>
        <v>1.687834708520818E-5</v>
      </c>
      <c r="AC585" s="594">
        <f t="shared" si="482"/>
        <v>5.2305172618299674E-5</v>
      </c>
      <c r="AD585" s="594">
        <f t="shared" si="483"/>
        <v>6.1554324680134994E-4</v>
      </c>
      <c r="AE585" s="594">
        <f t="shared" si="484"/>
        <v>1.2327682104495744E-4</v>
      </c>
      <c r="AF585" s="594">
        <f t="shared" si="485"/>
        <v>9.6288733425174024E-5</v>
      </c>
      <c r="AG585" s="594">
        <f t="shared" si="486"/>
        <v>9.0597194084682597E-5</v>
      </c>
      <c r="AH585" s="594">
        <f t="shared" si="487"/>
        <v>8.7375090895811382E-5</v>
      </c>
      <c r="AI585" s="594">
        <f t="shared" si="488"/>
        <v>8.3672439807000925E-5</v>
      </c>
      <c r="AJ585" s="594">
        <f t="shared" si="489"/>
        <v>8.0126694135339782E-5</v>
      </c>
      <c r="AL585" s="594">
        <f t="shared" si="490"/>
        <v>1.6812645395482457E-4</v>
      </c>
    </row>
    <row r="586" spans="1:38" outlineLevel="1">
      <c r="B586" s="562" t="s">
        <v>2343</v>
      </c>
      <c r="C586" s="562" t="s">
        <v>369</v>
      </c>
      <c r="D586" s="572" t="s">
        <v>2208</v>
      </c>
      <c r="E586" s="664">
        <v>9003.81</v>
      </c>
      <c r="F586" s="664">
        <v>9805.33</v>
      </c>
      <c r="G586" s="665">
        <v>13454.36</v>
      </c>
      <c r="H586" s="665">
        <v>10646.28</v>
      </c>
      <c r="I586" s="665">
        <v>20731.23</v>
      </c>
      <c r="J586" s="665">
        <v>4213.3500000000004</v>
      </c>
      <c r="K586" s="616">
        <f>+Costi!I91</f>
        <v>21145.854599999999</v>
      </c>
      <c r="L586" s="616">
        <f>+Costi!J91</f>
        <v>21568.771691999998</v>
      </c>
      <c r="M586" s="616">
        <f>+Costi!K91</f>
        <v>22000.147125839998</v>
      </c>
      <c r="N586" s="616">
        <f>+Costi!L91</f>
        <v>22440.150068356797</v>
      </c>
      <c r="O586" s="616">
        <f>+Costi!M91</f>
        <v>22888.953069723935</v>
      </c>
      <c r="Q586" s="594">
        <f t="shared" si="471"/>
        <v>8.9020092605241574E-2</v>
      </c>
      <c r="R586" s="594">
        <f t="shared" si="472"/>
        <v>0.37214759727617541</v>
      </c>
      <c r="S586" s="594">
        <f t="shared" si="473"/>
        <v>-0.20871152548318905</v>
      </c>
      <c r="T586" s="594">
        <f t="shared" si="474"/>
        <v>0.94727454096642183</v>
      </c>
      <c r="U586" s="594">
        <f t="shared" si="475"/>
        <v>2.0000000000000018E-2</v>
      </c>
      <c r="V586" s="594">
        <f t="shared" si="476"/>
        <v>2.0000000000000018E-2</v>
      </c>
      <c r="W586" s="594">
        <f t="shared" si="477"/>
        <v>2.0000000000000018E-2</v>
      </c>
      <c r="X586" s="594">
        <f t="shared" si="478"/>
        <v>2.0000000000000018E-2</v>
      </c>
      <c r="Y586" s="594">
        <f t="shared" si="479"/>
        <v>2.0000000000000018E-2</v>
      </c>
      <c r="AA586" s="594">
        <f t="shared" si="480"/>
        <v>3.4689974411728067E-4</v>
      </c>
      <c r="AB586" s="594">
        <f t="shared" si="481"/>
        <v>3.9182196842891306E-4</v>
      </c>
      <c r="AC586" s="594">
        <f t="shared" si="482"/>
        <v>5.0113768881251215E-4</v>
      </c>
      <c r="AD586" s="594">
        <f t="shared" si="483"/>
        <v>3.4185740378383177E-4</v>
      </c>
      <c r="AE586" s="594">
        <f t="shared" si="484"/>
        <v>4.0632782656594958E-4</v>
      </c>
      <c r="AF586" s="594">
        <f t="shared" si="485"/>
        <v>3.2372093368950662E-4</v>
      </c>
      <c r="AG586" s="594">
        <f t="shared" si="486"/>
        <v>3.1067780580128337E-4</v>
      </c>
      <c r="AH586" s="594">
        <f t="shared" si="487"/>
        <v>3.0562107172702884E-4</v>
      </c>
      <c r="AI586" s="594">
        <f t="shared" si="488"/>
        <v>2.9852331682825122E-4</v>
      </c>
      <c r="AJ586" s="594">
        <f t="shared" si="489"/>
        <v>2.9159040044770282E-4</v>
      </c>
      <c r="AL586" s="594">
        <f t="shared" si="490"/>
        <v>3.9760892634169745E-4</v>
      </c>
    </row>
    <row r="587" spans="1:38" outlineLevel="1">
      <c r="B587" s="562" t="s">
        <v>2343</v>
      </c>
      <c r="C587" s="562" t="s">
        <v>369</v>
      </c>
      <c r="D587" s="572" t="s">
        <v>2209</v>
      </c>
      <c r="E587" s="664">
        <v>15104.74</v>
      </c>
      <c r="F587" s="664">
        <v>3956.41</v>
      </c>
      <c r="G587" s="665">
        <v>1120.76</v>
      </c>
      <c r="H587" s="665">
        <v>3506.39</v>
      </c>
      <c r="I587" s="665">
        <v>1242.18</v>
      </c>
      <c r="J587" s="665">
        <v>4062.03</v>
      </c>
      <c r="K587" s="616">
        <f>+Costi!I92</f>
        <v>1242.18</v>
      </c>
      <c r="L587" s="616">
        <f>+Costi!J92</f>
        <v>1242.18</v>
      </c>
      <c r="M587" s="616">
        <f>+Costi!K92</f>
        <v>1242.18</v>
      </c>
      <c r="N587" s="616">
        <f>+Costi!L92</f>
        <v>1242.18</v>
      </c>
      <c r="O587" s="616">
        <f>+Costi!M92</f>
        <v>1242.18</v>
      </c>
      <c r="Q587" s="594">
        <f t="shared" si="471"/>
        <v>-0.73806831497927139</v>
      </c>
      <c r="R587" s="594">
        <f t="shared" si="472"/>
        <v>-0.71672298877012242</v>
      </c>
      <c r="S587" s="594">
        <f t="shared" si="473"/>
        <v>2.1285823905207182</v>
      </c>
      <c r="T587" s="594">
        <f t="shared" si="474"/>
        <v>-0.64573820938343984</v>
      </c>
      <c r="U587" s="594">
        <f t="shared" si="475"/>
        <v>0</v>
      </c>
      <c r="V587" s="594">
        <f t="shared" si="476"/>
        <v>0</v>
      </c>
      <c r="W587" s="594">
        <f t="shared" si="477"/>
        <v>0</v>
      </c>
      <c r="X587" s="594">
        <f t="shared" si="478"/>
        <v>0</v>
      </c>
      <c r="Y587" s="594">
        <f t="shared" si="479"/>
        <v>0</v>
      </c>
      <c r="AA587" s="594">
        <f t="shared" si="480"/>
        <v>5.8195702052331788E-4</v>
      </c>
      <c r="AB587" s="594">
        <f t="shared" si="481"/>
        <v>1.5809853968319637E-4</v>
      </c>
      <c r="AC587" s="594">
        <f t="shared" si="482"/>
        <v>4.1745209442404623E-5</v>
      </c>
      <c r="AD587" s="594">
        <f t="shared" si="483"/>
        <v>1.1259194592417161E-4</v>
      </c>
      <c r="AE587" s="594">
        <f t="shared" si="484"/>
        <v>2.4346471463762223E-5</v>
      </c>
      <c r="AF587" s="594">
        <f t="shared" si="485"/>
        <v>1.9016477556335387E-5</v>
      </c>
      <c r="AG587" s="594">
        <f t="shared" si="486"/>
        <v>1.7892430886705413E-5</v>
      </c>
      <c r="AH587" s="594">
        <f t="shared" si="487"/>
        <v>1.7256083821002431E-5</v>
      </c>
      <c r="AI587" s="594">
        <f t="shared" si="488"/>
        <v>1.6524831276445682E-5</v>
      </c>
      <c r="AJ587" s="594">
        <f t="shared" si="489"/>
        <v>1.582456665994187E-5</v>
      </c>
      <c r="AL587" s="594">
        <f t="shared" si="490"/>
        <v>1.8374783740737055E-4</v>
      </c>
    </row>
    <row r="588" spans="1:38" outlineLevel="1">
      <c r="B588" s="562" t="s">
        <v>2343</v>
      </c>
      <c r="C588" s="562" t="s">
        <v>369</v>
      </c>
      <c r="D588" s="572" t="s">
        <v>2210</v>
      </c>
      <c r="E588" s="664">
        <v>127978.25</v>
      </c>
      <c r="F588" s="664">
        <v>156961.04999999999</v>
      </c>
      <c r="G588" s="665">
        <v>110817.33</v>
      </c>
      <c r="H588" s="665">
        <v>166432.84</v>
      </c>
      <c r="I588" s="665">
        <v>228945.66</v>
      </c>
      <c r="J588" s="665">
        <v>110990.83</v>
      </c>
      <c r="K588" s="616">
        <f>+Costi!I93</f>
        <v>228945.66</v>
      </c>
      <c r="L588" s="616">
        <f>+Costi!J93</f>
        <v>228945.66</v>
      </c>
      <c r="M588" s="616">
        <f>+Costi!K93</f>
        <v>228945.66</v>
      </c>
      <c r="N588" s="616">
        <f>+Costi!L93</f>
        <v>228945.66</v>
      </c>
      <c r="O588" s="616">
        <f>+Costi!M93</f>
        <v>228945.66</v>
      </c>
      <c r="Q588" s="594">
        <f t="shared" si="471"/>
        <v>0.22646660663042351</v>
      </c>
      <c r="R588" s="594">
        <f t="shared" si="472"/>
        <v>-0.29398197833156692</v>
      </c>
      <c r="S588" s="594">
        <f t="shared" si="473"/>
        <v>0.50186654018825383</v>
      </c>
      <c r="T588" s="594">
        <f t="shared" si="474"/>
        <v>0.37560387721557831</v>
      </c>
      <c r="U588" s="594">
        <f t="shared" si="475"/>
        <v>0</v>
      </c>
      <c r="V588" s="594">
        <f t="shared" si="476"/>
        <v>0</v>
      </c>
      <c r="W588" s="594">
        <f t="shared" si="477"/>
        <v>0</v>
      </c>
      <c r="X588" s="594">
        <f t="shared" si="478"/>
        <v>0</v>
      </c>
      <c r="Y588" s="594">
        <f t="shared" si="479"/>
        <v>0</v>
      </c>
      <c r="AA588" s="594">
        <f t="shared" si="480"/>
        <v>4.9307595537419584E-3</v>
      </c>
      <c r="AB588" s="594">
        <f t="shared" si="481"/>
        <v>6.2721792716480774E-3</v>
      </c>
      <c r="AC588" s="594">
        <f t="shared" si="482"/>
        <v>4.1276389688230039E-3</v>
      </c>
      <c r="AD588" s="594">
        <f t="shared" si="483"/>
        <v>5.3442421753673456E-3</v>
      </c>
      <c r="AE588" s="594">
        <f t="shared" si="484"/>
        <v>4.4872876539166686E-3</v>
      </c>
      <c r="AF588" s="594">
        <f t="shared" si="485"/>
        <v>3.5049187758701573E-3</v>
      </c>
      <c r="AG588" s="594">
        <f t="shared" si="486"/>
        <v>3.2977462190352091E-3</v>
      </c>
      <c r="AH588" s="594">
        <f t="shared" si="487"/>
        <v>3.1804613658364513E-3</v>
      </c>
      <c r="AI588" s="594">
        <f t="shared" si="488"/>
        <v>3.0456845247665387E-3</v>
      </c>
      <c r="AJ588" s="594">
        <f t="shared" si="489"/>
        <v>2.9166190553497773E-3</v>
      </c>
      <c r="AL588" s="594">
        <f t="shared" si="490"/>
        <v>5.0324215246994111E-3</v>
      </c>
    </row>
    <row r="589" spans="1:38" outlineLevel="1">
      <c r="B589" s="562" t="s">
        <v>2343</v>
      </c>
      <c r="C589" s="562" t="s">
        <v>369</v>
      </c>
      <c r="D589" s="572" t="s">
        <v>2211</v>
      </c>
      <c r="E589" s="664">
        <v>21418.51</v>
      </c>
      <c r="F589" s="664">
        <v>24624.28</v>
      </c>
      <c r="G589" s="665">
        <v>24784.05</v>
      </c>
      <c r="H589" s="665">
        <v>10949.2</v>
      </c>
      <c r="I589" s="665">
        <v>15803.22</v>
      </c>
      <c r="J589" s="665">
        <v>12549.23</v>
      </c>
      <c r="K589" s="616">
        <f>+Costi!I94</f>
        <v>15803.22</v>
      </c>
      <c r="L589" s="616">
        <f>+Costi!J94</f>
        <v>15803.22</v>
      </c>
      <c r="M589" s="616">
        <f>+Costi!K94</f>
        <v>15803.22</v>
      </c>
      <c r="N589" s="616">
        <f>+Costi!L94</f>
        <v>15803.22</v>
      </c>
      <c r="O589" s="616">
        <f>+Costi!M94</f>
        <v>15803.22</v>
      </c>
      <c r="Q589" s="594">
        <f t="shared" si="471"/>
        <v>0.14967287640456783</v>
      </c>
      <c r="R589" s="594">
        <f t="shared" si="472"/>
        <v>6.4883115364184896E-3</v>
      </c>
      <c r="S589" s="594">
        <f t="shared" si="473"/>
        <v>-0.55821586867360251</v>
      </c>
      <c r="T589" s="594">
        <f t="shared" si="474"/>
        <v>0.44332188653052262</v>
      </c>
      <c r="U589" s="594">
        <f t="shared" si="475"/>
        <v>0</v>
      </c>
      <c r="V589" s="594">
        <f t="shared" si="476"/>
        <v>0</v>
      </c>
      <c r="W589" s="594">
        <f t="shared" si="477"/>
        <v>0</v>
      </c>
      <c r="X589" s="594">
        <f t="shared" si="478"/>
        <v>0</v>
      </c>
      <c r="Y589" s="594">
        <f t="shared" si="479"/>
        <v>0</v>
      </c>
      <c r="AA589" s="594">
        <f t="shared" si="480"/>
        <v>8.2521461896390726E-4</v>
      </c>
      <c r="AB589" s="594">
        <f t="shared" si="481"/>
        <v>9.8398869398018374E-4</v>
      </c>
      <c r="AC589" s="594">
        <f t="shared" si="482"/>
        <v>9.2313729797729072E-4</v>
      </c>
      <c r="AD589" s="594">
        <f t="shared" si="483"/>
        <v>3.515843172929822E-4</v>
      </c>
      <c r="AE589" s="594">
        <f t="shared" si="484"/>
        <v>3.0973984830343136E-4</v>
      </c>
      <c r="AF589" s="594">
        <f t="shared" si="485"/>
        <v>2.4193078172875951E-4</v>
      </c>
      <c r="AG589" s="594">
        <f t="shared" si="486"/>
        <v>2.2763047355246478E-4</v>
      </c>
      <c r="AH589" s="594">
        <f t="shared" si="487"/>
        <v>2.1953476063190681E-4</v>
      </c>
      <c r="AI589" s="594">
        <f t="shared" si="488"/>
        <v>2.1023164446742979E-4</v>
      </c>
      <c r="AJ589" s="594">
        <f t="shared" si="489"/>
        <v>2.0132276186359988E-4</v>
      </c>
      <c r="AL589" s="594">
        <f t="shared" si="490"/>
        <v>6.7873295530355906E-4</v>
      </c>
    </row>
    <row r="590" spans="1:38" outlineLevel="1">
      <c r="B590" s="562" t="s">
        <v>2343</v>
      </c>
      <c r="C590" s="562" t="s">
        <v>369</v>
      </c>
      <c r="D590" s="572" t="s">
        <v>2403</v>
      </c>
      <c r="E590" s="664">
        <v>459539.35</v>
      </c>
      <c r="F590" s="664">
        <v>507045.84</v>
      </c>
      <c r="G590" s="665">
        <v>727033.73</v>
      </c>
      <c r="H590" s="665"/>
      <c r="I590" s="665">
        <v>0</v>
      </c>
      <c r="J590" s="665">
        <v>0</v>
      </c>
      <c r="K590" s="616">
        <f>+Costi!I95</f>
        <v>0</v>
      </c>
      <c r="L590" s="616">
        <f>+Costi!J95</f>
        <v>0</v>
      </c>
      <c r="M590" s="616">
        <f>+Costi!K95</f>
        <v>0</v>
      </c>
      <c r="N590" s="616">
        <f>+Costi!L95</f>
        <v>0</v>
      </c>
      <c r="O590" s="616">
        <f>+Costi!M95</f>
        <v>0</v>
      </c>
      <c r="Q590" s="594">
        <f t="shared" si="471"/>
        <v>0.10337850284203087</v>
      </c>
      <c r="R590" s="594">
        <f t="shared" si="472"/>
        <v>0.43386193642768056</v>
      </c>
      <c r="S590" s="594">
        <f t="shared" si="473"/>
        <v>-1</v>
      </c>
      <c r="T590" s="594">
        <f t="shared" si="474"/>
        <v>0</v>
      </c>
      <c r="U590" s="594">
        <f t="shared" si="475"/>
        <v>0</v>
      </c>
      <c r="V590" s="594">
        <f t="shared" si="476"/>
        <v>0</v>
      </c>
      <c r="W590" s="594">
        <f t="shared" si="477"/>
        <v>0</v>
      </c>
      <c r="X590" s="594">
        <f t="shared" si="478"/>
        <v>0</v>
      </c>
      <c r="Y590" s="594">
        <f t="shared" si="479"/>
        <v>0</v>
      </c>
      <c r="AA590" s="594">
        <f t="shared" si="480"/>
        <v>1.7705180687600193E-2</v>
      </c>
      <c r="AB590" s="594">
        <f t="shared" si="481"/>
        <v>2.0261602527655034E-2</v>
      </c>
      <c r="AC590" s="594">
        <f t="shared" si="482"/>
        <v>2.7079995119867459E-2</v>
      </c>
      <c r="AD590" s="594">
        <f t="shared" si="483"/>
        <v>0</v>
      </c>
      <c r="AE590" s="594">
        <f t="shared" si="484"/>
        <v>0</v>
      </c>
      <c r="AF590" s="594">
        <f t="shared" si="485"/>
        <v>0</v>
      </c>
      <c r="AG590" s="594">
        <f t="shared" si="486"/>
        <v>0</v>
      </c>
      <c r="AH590" s="594">
        <f t="shared" si="487"/>
        <v>0</v>
      </c>
      <c r="AI590" s="594">
        <f t="shared" si="488"/>
        <v>0</v>
      </c>
      <c r="AJ590" s="594">
        <f t="shared" si="489"/>
        <v>0</v>
      </c>
      <c r="AL590" s="594">
        <f t="shared" si="490"/>
        <v>1.3009355667024537E-2</v>
      </c>
    </row>
    <row r="591" spans="1:38" outlineLevel="1">
      <c r="B591" s="562" t="s">
        <v>2343</v>
      </c>
      <c r="C591" s="562" t="s">
        <v>369</v>
      </c>
      <c r="D591" s="572" t="s">
        <v>2404</v>
      </c>
      <c r="E591" s="664">
        <v>0</v>
      </c>
      <c r="F591" s="664">
        <v>4.5199999999999996</v>
      </c>
      <c r="G591" s="665">
        <v>0</v>
      </c>
      <c r="H591" s="665"/>
      <c r="I591" s="665">
        <v>0</v>
      </c>
      <c r="J591" s="665">
        <v>0</v>
      </c>
      <c r="K591" s="616">
        <f>+Costi!I96</f>
        <v>0</v>
      </c>
      <c r="L591" s="616">
        <f>+Costi!J96</f>
        <v>0</v>
      </c>
      <c r="M591" s="616">
        <f>+Costi!K96</f>
        <v>0</v>
      </c>
      <c r="N591" s="616">
        <f>+Costi!L96</f>
        <v>0</v>
      </c>
      <c r="O591" s="616">
        <f>+Costi!M96</f>
        <v>0</v>
      </c>
      <c r="Q591" s="594">
        <f t="shared" si="471"/>
        <v>0</v>
      </c>
      <c r="R591" s="594">
        <f t="shared" si="472"/>
        <v>-1</v>
      </c>
      <c r="S591" s="594">
        <f t="shared" si="473"/>
        <v>0</v>
      </c>
      <c r="T591" s="594">
        <f t="shared" si="474"/>
        <v>0</v>
      </c>
      <c r="U591" s="594">
        <f t="shared" si="475"/>
        <v>0</v>
      </c>
      <c r="V591" s="594">
        <f t="shared" si="476"/>
        <v>0</v>
      </c>
      <c r="W591" s="594">
        <f t="shared" si="477"/>
        <v>0</v>
      </c>
      <c r="X591" s="594">
        <f t="shared" si="478"/>
        <v>0</v>
      </c>
      <c r="Y591" s="594">
        <f t="shared" si="479"/>
        <v>0</v>
      </c>
      <c r="AA591" s="594">
        <f t="shared" si="480"/>
        <v>0</v>
      </c>
      <c r="AB591" s="594">
        <f t="shared" si="481"/>
        <v>1.8061965250518717E-7</v>
      </c>
      <c r="AC591" s="594">
        <f t="shared" si="482"/>
        <v>0</v>
      </c>
      <c r="AD591" s="594">
        <f t="shared" si="483"/>
        <v>0</v>
      </c>
      <c r="AE591" s="594">
        <f t="shared" si="484"/>
        <v>0</v>
      </c>
      <c r="AF591" s="594">
        <f t="shared" si="485"/>
        <v>0</v>
      </c>
      <c r="AG591" s="594">
        <f t="shared" si="486"/>
        <v>0</v>
      </c>
      <c r="AH591" s="594">
        <f t="shared" si="487"/>
        <v>0</v>
      </c>
      <c r="AI591" s="594">
        <f t="shared" si="488"/>
        <v>0</v>
      </c>
      <c r="AJ591" s="594">
        <f t="shared" si="489"/>
        <v>0</v>
      </c>
      <c r="AL591" s="594">
        <f t="shared" si="490"/>
        <v>3.6123930501037436E-8</v>
      </c>
    </row>
    <row r="592" spans="1:38" outlineLevel="1">
      <c r="B592" s="562" t="s">
        <v>2343</v>
      </c>
      <c r="C592" s="562" t="s">
        <v>369</v>
      </c>
      <c r="D592" s="572" t="s">
        <v>2405</v>
      </c>
      <c r="E592" s="664">
        <v>250</v>
      </c>
      <c r="F592" s="664">
        <v>2000</v>
      </c>
      <c r="G592" s="665">
        <v>0</v>
      </c>
      <c r="H592" s="665"/>
      <c r="I592" s="665">
        <v>0</v>
      </c>
      <c r="J592" s="665">
        <v>0</v>
      </c>
      <c r="K592" s="616">
        <f>+Costi!I97</f>
        <v>0</v>
      </c>
      <c r="L592" s="616">
        <f>+Costi!J97</f>
        <v>0</v>
      </c>
      <c r="M592" s="616">
        <f>+Costi!K97</f>
        <v>0</v>
      </c>
      <c r="N592" s="616">
        <f>+Costi!L97</f>
        <v>0</v>
      </c>
      <c r="O592" s="616">
        <f>+Costi!M97</f>
        <v>0</v>
      </c>
      <c r="Q592" s="594">
        <f t="shared" si="471"/>
        <v>7</v>
      </c>
      <c r="R592" s="594">
        <f t="shared" si="472"/>
        <v>-1</v>
      </c>
      <c r="S592" s="594">
        <f t="shared" si="473"/>
        <v>0</v>
      </c>
      <c r="T592" s="594">
        <f t="shared" si="474"/>
        <v>0</v>
      </c>
      <c r="U592" s="594">
        <f t="shared" si="475"/>
        <v>0</v>
      </c>
      <c r="V592" s="594">
        <f t="shared" si="476"/>
        <v>0</v>
      </c>
      <c r="W592" s="594">
        <f t="shared" si="477"/>
        <v>0</v>
      </c>
      <c r="X592" s="594">
        <f t="shared" si="478"/>
        <v>0</v>
      </c>
      <c r="Y592" s="594">
        <f t="shared" si="479"/>
        <v>0</v>
      </c>
      <c r="AA592" s="594">
        <f t="shared" si="480"/>
        <v>9.6320264453959137E-6</v>
      </c>
      <c r="AB592" s="594">
        <f t="shared" si="481"/>
        <v>7.9920200223534157E-5</v>
      </c>
      <c r="AC592" s="594">
        <f t="shared" si="482"/>
        <v>0</v>
      </c>
      <c r="AD592" s="594">
        <f t="shared" si="483"/>
        <v>0</v>
      </c>
      <c r="AE592" s="594">
        <f t="shared" si="484"/>
        <v>0</v>
      </c>
      <c r="AF592" s="594">
        <f t="shared" si="485"/>
        <v>0</v>
      </c>
      <c r="AG592" s="594">
        <f t="shared" si="486"/>
        <v>0</v>
      </c>
      <c r="AH592" s="594">
        <f t="shared" si="487"/>
        <v>0</v>
      </c>
      <c r="AI592" s="594">
        <f t="shared" si="488"/>
        <v>0</v>
      </c>
      <c r="AJ592" s="594">
        <f t="shared" si="489"/>
        <v>0</v>
      </c>
      <c r="AL592" s="594">
        <f t="shared" si="490"/>
        <v>1.7910445333786015E-5</v>
      </c>
    </row>
    <row r="593" spans="2:38" outlineLevel="1">
      <c r="B593" s="562" t="s">
        <v>2343</v>
      </c>
      <c r="C593" s="562" t="s">
        <v>369</v>
      </c>
      <c r="D593" s="572" t="s">
        <v>2406</v>
      </c>
      <c r="E593" s="664">
        <v>7537</v>
      </c>
      <c r="F593" s="664">
        <v>763.42</v>
      </c>
      <c r="G593" s="665">
        <v>324.68</v>
      </c>
      <c r="H593" s="665"/>
      <c r="I593" s="665">
        <v>0</v>
      </c>
      <c r="J593" s="665">
        <v>0</v>
      </c>
      <c r="K593" s="616">
        <f>+Costi!I98</f>
        <v>0</v>
      </c>
      <c r="L593" s="616">
        <f>+Costi!J98</f>
        <v>0</v>
      </c>
      <c r="M593" s="616">
        <f>+Costi!K98</f>
        <v>0</v>
      </c>
      <c r="N593" s="616">
        <f>+Costi!L98</f>
        <v>0</v>
      </c>
      <c r="O593" s="616">
        <f>+Costi!M98</f>
        <v>0</v>
      </c>
      <c r="Q593" s="594">
        <f t="shared" si="471"/>
        <v>-0.89871036221308209</v>
      </c>
      <c r="R593" s="594">
        <f t="shared" si="472"/>
        <v>-0.57470330879463472</v>
      </c>
      <c r="S593" s="594">
        <f t="shared" si="473"/>
        <v>-1</v>
      </c>
      <c r="T593" s="594">
        <f t="shared" si="474"/>
        <v>0</v>
      </c>
      <c r="U593" s="594">
        <f t="shared" si="475"/>
        <v>0</v>
      </c>
      <c r="V593" s="594">
        <f t="shared" si="476"/>
        <v>0</v>
      </c>
      <c r="W593" s="594">
        <f t="shared" si="477"/>
        <v>0</v>
      </c>
      <c r="X593" s="594">
        <f t="shared" si="478"/>
        <v>0</v>
      </c>
      <c r="Y593" s="594">
        <f t="shared" si="479"/>
        <v>0</v>
      </c>
      <c r="AA593" s="594">
        <f t="shared" si="480"/>
        <v>2.9038633327579597E-4</v>
      </c>
      <c r="AB593" s="594">
        <f t="shared" si="481"/>
        <v>3.0506339627325221E-5</v>
      </c>
      <c r="AC593" s="594">
        <f t="shared" si="482"/>
        <v>1.2093431780006366E-5</v>
      </c>
      <c r="AD593" s="594">
        <f t="shared" si="483"/>
        <v>0</v>
      </c>
      <c r="AE593" s="594">
        <f t="shared" si="484"/>
        <v>0</v>
      </c>
      <c r="AF593" s="594">
        <f t="shared" si="485"/>
        <v>0</v>
      </c>
      <c r="AG593" s="594">
        <f t="shared" si="486"/>
        <v>0</v>
      </c>
      <c r="AH593" s="594">
        <f t="shared" si="487"/>
        <v>0</v>
      </c>
      <c r="AI593" s="594">
        <f t="shared" si="488"/>
        <v>0</v>
      </c>
      <c r="AJ593" s="594">
        <f t="shared" si="489"/>
        <v>0</v>
      </c>
      <c r="AL593" s="594">
        <f t="shared" si="490"/>
        <v>6.6597220936625507E-5</v>
      </c>
    </row>
    <row r="594" spans="2:38" outlineLevel="1">
      <c r="B594" s="562" t="s">
        <v>2343</v>
      </c>
      <c r="C594" s="562" t="s">
        <v>369</v>
      </c>
      <c r="D594" s="572" t="s">
        <v>2407</v>
      </c>
      <c r="E594" s="664">
        <v>6000</v>
      </c>
      <c r="F594" s="664">
        <v>14850</v>
      </c>
      <c r="G594" s="665">
        <v>18000</v>
      </c>
      <c r="H594" s="665"/>
      <c r="I594" s="665">
        <v>0</v>
      </c>
      <c r="J594" s="665">
        <v>0</v>
      </c>
      <c r="K594" s="616">
        <f>+Costi!I99</f>
        <v>0</v>
      </c>
      <c r="L594" s="616">
        <f>+Costi!J99</f>
        <v>0</v>
      </c>
      <c r="M594" s="616">
        <f>+Costi!K99</f>
        <v>0</v>
      </c>
      <c r="N594" s="616">
        <f>+Costi!L99</f>
        <v>0</v>
      </c>
      <c r="O594" s="616">
        <f>+Costi!M99</f>
        <v>0</v>
      </c>
      <c r="Q594" s="594">
        <f t="shared" si="471"/>
        <v>1.4750000000000001</v>
      </c>
      <c r="R594" s="594">
        <f t="shared" si="472"/>
        <v>0.21212121212121215</v>
      </c>
      <c r="S594" s="594">
        <f t="shared" si="473"/>
        <v>-1</v>
      </c>
      <c r="T594" s="594">
        <f t="shared" si="474"/>
        <v>0</v>
      </c>
      <c r="U594" s="594">
        <f t="shared" si="475"/>
        <v>0</v>
      </c>
      <c r="V594" s="594">
        <f t="shared" si="476"/>
        <v>0</v>
      </c>
      <c r="W594" s="594">
        <f t="shared" si="477"/>
        <v>0</v>
      </c>
      <c r="X594" s="594">
        <f t="shared" si="478"/>
        <v>0</v>
      </c>
      <c r="Y594" s="594">
        <f t="shared" si="479"/>
        <v>0</v>
      </c>
      <c r="AA594" s="594">
        <f t="shared" si="480"/>
        <v>2.3116863468950193E-4</v>
      </c>
      <c r="AB594" s="594">
        <f t="shared" si="481"/>
        <v>5.9340748665974116E-4</v>
      </c>
      <c r="AC594" s="594">
        <f t="shared" si="482"/>
        <v>6.7045020340062388E-4</v>
      </c>
      <c r="AD594" s="594">
        <f t="shared" si="483"/>
        <v>0</v>
      </c>
      <c r="AE594" s="594">
        <f t="shared" si="484"/>
        <v>0</v>
      </c>
      <c r="AF594" s="594">
        <f t="shared" si="485"/>
        <v>0</v>
      </c>
      <c r="AG594" s="594">
        <f t="shared" si="486"/>
        <v>0</v>
      </c>
      <c r="AH594" s="594">
        <f t="shared" si="487"/>
        <v>0</v>
      </c>
      <c r="AI594" s="594">
        <f t="shared" si="488"/>
        <v>0</v>
      </c>
      <c r="AJ594" s="594">
        <f t="shared" si="489"/>
        <v>0</v>
      </c>
      <c r="AL594" s="594">
        <f t="shared" si="490"/>
        <v>2.9900526494997339E-4</v>
      </c>
    </row>
    <row r="595" spans="2:38" outlineLevel="1">
      <c r="B595" s="562" t="s">
        <v>2343</v>
      </c>
      <c r="C595" s="562" t="s">
        <v>369</v>
      </c>
      <c r="D595" s="572" t="s">
        <v>2408</v>
      </c>
      <c r="E595" s="664">
        <v>700158.8</v>
      </c>
      <c r="F595" s="664">
        <v>691742.27</v>
      </c>
      <c r="G595" s="665">
        <v>0</v>
      </c>
      <c r="H595" s="665"/>
      <c r="I595" s="665">
        <v>0</v>
      </c>
      <c r="J595" s="665">
        <v>0</v>
      </c>
      <c r="K595" s="616">
        <f>+Costi!I100</f>
        <v>0</v>
      </c>
      <c r="L595" s="616">
        <f>+Costi!J100</f>
        <v>0</v>
      </c>
      <c r="M595" s="616">
        <f>+Costi!K100</f>
        <v>0</v>
      </c>
      <c r="N595" s="616">
        <f>+Costi!L100</f>
        <v>0</v>
      </c>
      <c r="O595" s="616">
        <f>+Costi!M100</f>
        <v>0</v>
      </c>
      <c r="Q595" s="594">
        <f t="shared" si="471"/>
        <v>-1.2020887261575575E-2</v>
      </c>
      <c r="R595" s="594">
        <f t="shared" si="472"/>
        <v>-1</v>
      </c>
      <c r="S595" s="594">
        <f t="shared" si="473"/>
        <v>0</v>
      </c>
      <c r="T595" s="594">
        <f t="shared" si="474"/>
        <v>0</v>
      </c>
      <c r="U595" s="594">
        <f t="shared" si="475"/>
        <v>0</v>
      </c>
      <c r="V595" s="594">
        <f t="shared" si="476"/>
        <v>0</v>
      </c>
      <c r="W595" s="594">
        <f t="shared" si="477"/>
        <v>0</v>
      </c>
      <c r="X595" s="594">
        <f t="shared" si="478"/>
        <v>0</v>
      </c>
      <c r="Y595" s="594">
        <f t="shared" si="479"/>
        <v>0</v>
      </c>
      <c r="AA595" s="594">
        <f t="shared" si="480"/>
        <v>2.6975792310306675E-2</v>
      </c>
      <c r="AB595" s="594">
        <f t="shared" si="481"/>
        <v>2.7642090360741015E-2</v>
      </c>
      <c r="AC595" s="594">
        <f t="shared" si="482"/>
        <v>0</v>
      </c>
      <c r="AD595" s="594">
        <f t="shared" si="483"/>
        <v>0</v>
      </c>
      <c r="AE595" s="594">
        <f t="shared" si="484"/>
        <v>0</v>
      </c>
      <c r="AF595" s="594">
        <f t="shared" si="485"/>
        <v>0</v>
      </c>
      <c r="AG595" s="594">
        <f t="shared" si="486"/>
        <v>0</v>
      </c>
      <c r="AH595" s="594">
        <f t="shared" si="487"/>
        <v>0</v>
      </c>
      <c r="AI595" s="594">
        <f t="shared" si="488"/>
        <v>0</v>
      </c>
      <c r="AJ595" s="594">
        <f t="shared" si="489"/>
        <v>0</v>
      </c>
      <c r="AL595" s="594">
        <f t="shared" si="490"/>
        <v>1.0923576534209539E-2</v>
      </c>
    </row>
    <row r="596" spans="2:38" outlineLevel="1">
      <c r="B596" s="562" t="s">
        <v>2343</v>
      </c>
      <c r="C596" s="562" t="s">
        <v>369</v>
      </c>
      <c r="D596" s="572" t="s">
        <v>2212</v>
      </c>
      <c r="E596" s="664">
        <v>1000</v>
      </c>
      <c r="F596" s="664">
        <v>3081.25</v>
      </c>
      <c r="G596" s="665">
        <v>7136</v>
      </c>
      <c r="H596" s="665">
        <v>6179</v>
      </c>
      <c r="I596" s="665">
        <v>20850</v>
      </c>
      <c r="J596" s="665">
        <v>1593.9</v>
      </c>
      <c r="K596" s="616">
        <f>+Costi!I101</f>
        <v>20850</v>
      </c>
      <c r="L596" s="616">
        <f>+Costi!J101</f>
        <v>20850</v>
      </c>
      <c r="M596" s="616">
        <f>+Costi!K101</f>
        <v>20850</v>
      </c>
      <c r="N596" s="616">
        <f>+Costi!L101</f>
        <v>20850</v>
      </c>
      <c r="O596" s="616">
        <f>+Costi!M101</f>
        <v>20850</v>
      </c>
      <c r="Q596" s="594">
        <f t="shared" si="471"/>
        <v>2.0812499999999998</v>
      </c>
      <c r="R596" s="594">
        <f t="shared" si="472"/>
        <v>1.3159432048681543</v>
      </c>
      <c r="S596" s="594">
        <f t="shared" si="473"/>
        <v>-0.13410874439461884</v>
      </c>
      <c r="T596" s="594">
        <f t="shared" si="474"/>
        <v>2.3743324162485839</v>
      </c>
      <c r="U596" s="594">
        <f t="shared" si="475"/>
        <v>0</v>
      </c>
      <c r="V596" s="594">
        <f t="shared" si="476"/>
        <v>0</v>
      </c>
      <c r="W596" s="594">
        <f t="shared" si="477"/>
        <v>0</v>
      </c>
      <c r="X596" s="594">
        <f t="shared" si="478"/>
        <v>0</v>
      </c>
      <c r="Y596" s="594">
        <f t="shared" si="479"/>
        <v>0</v>
      </c>
      <c r="AA596" s="594">
        <f t="shared" si="480"/>
        <v>3.8528105781583655E-5</v>
      </c>
      <c r="AB596" s="594">
        <f t="shared" si="481"/>
        <v>1.2312705846938231E-4</v>
      </c>
      <c r="AC596" s="594">
        <f t="shared" si="482"/>
        <v>2.6579625841482513E-4</v>
      </c>
      <c r="AD596" s="594">
        <f t="shared" si="483"/>
        <v>1.9841079682107705E-4</v>
      </c>
      <c r="AE596" s="594">
        <f t="shared" si="484"/>
        <v>4.0865569403745214E-4</v>
      </c>
      <c r="AF596" s="594">
        <f t="shared" si="485"/>
        <v>3.1919170897099679E-4</v>
      </c>
      <c r="AG596" s="594">
        <f t="shared" si="486"/>
        <v>3.0032457774864177E-4</v>
      </c>
      <c r="AH596" s="594">
        <f t="shared" si="487"/>
        <v>2.8964348779395954E-4</v>
      </c>
      <c r="AI596" s="594">
        <f t="shared" si="488"/>
        <v>2.7736940871201635E-4</v>
      </c>
      <c r="AJ596" s="594">
        <f t="shared" si="489"/>
        <v>2.6561546221947539E-4</v>
      </c>
      <c r="AL596" s="594">
        <f t="shared" si="490"/>
        <v>2.0690358270486408E-4</v>
      </c>
    </row>
    <row r="597" spans="2:38" outlineLevel="1">
      <c r="B597" s="562" t="s">
        <v>2343</v>
      </c>
      <c r="C597" s="562" t="s">
        <v>369</v>
      </c>
      <c r="D597" s="572" t="s">
        <v>4162</v>
      </c>
      <c r="E597" s="664"/>
      <c r="F597" s="664"/>
      <c r="G597" s="665"/>
      <c r="H597" s="665"/>
      <c r="I597" s="665"/>
      <c r="J597" s="665">
        <v>200</v>
      </c>
      <c r="K597" s="616"/>
      <c r="L597" s="616"/>
      <c r="M597" s="616"/>
      <c r="N597" s="616"/>
      <c r="O597" s="616"/>
      <c r="Q597" s="1034"/>
      <c r="R597" s="1034"/>
      <c r="S597" s="1034"/>
      <c r="T597" s="1034"/>
      <c r="U597" s="1034"/>
      <c r="V597" s="1034"/>
      <c r="W597" s="1034"/>
      <c r="X597" s="1034"/>
      <c r="Y597" s="1034"/>
      <c r="AA597" s="1034"/>
      <c r="AB597" s="1034"/>
      <c r="AC597" s="1034"/>
      <c r="AD597" s="1034"/>
      <c r="AE597" s="1034"/>
      <c r="AF597" s="1034"/>
      <c r="AG597" s="1034"/>
      <c r="AH597" s="1034"/>
      <c r="AI597" s="1034"/>
      <c r="AJ597" s="1034"/>
      <c r="AL597" s="1034"/>
    </row>
    <row r="598" spans="2:38" outlineLevel="1">
      <c r="B598" s="562" t="s">
        <v>2343</v>
      </c>
      <c r="C598" s="562" t="s">
        <v>369</v>
      </c>
      <c r="D598" s="572" t="s">
        <v>4166</v>
      </c>
      <c r="E598" s="664"/>
      <c r="F598" s="664"/>
      <c r="G598" s="665"/>
      <c r="H598" s="665"/>
      <c r="I598" s="665"/>
      <c r="J598" s="665">
        <v>6731.86</v>
      </c>
      <c r="K598" s="616"/>
      <c r="L598" s="616"/>
      <c r="M598" s="616"/>
      <c r="N598" s="616"/>
      <c r="O598" s="616"/>
      <c r="Q598" s="1034"/>
      <c r="R598" s="1034"/>
      <c r="S598" s="1034"/>
      <c r="T598" s="1034"/>
      <c r="U598" s="1034"/>
      <c r="V598" s="1034"/>
      <c r="W598" s="1034"/>
      <c r="X598" s="1034"/>
      <c r="Y598" s="1034"/>
      <c r="AA598" s="1034"/>
      <c r="AB598" s="1034"/>
      <c r="AC598" s="1034"/>
      <c r="AD598" s="1034"/>
      <c r="AE598" s="1034"/>
      <c r="AF598" s="1034"/>
      <c r="AG598" s="1034"/>
      <c r="AH598" s="1034"/>
      <c r="AI598" s="1034"/>
      <c r="AJ598" s="1034"/>
      <c r="AL598" s="1034"/>
    </row>
    <row r="599" spans="2:38" outlineLevel="1">
      <c r="B599" s="562" t="s">
        <v>2343</v>
      </c>
      <c r="C599" s="562" t="s">
        <v>369</v>
      </c>
      <c r="D599" s="572" t="s">
        <v>4168</v>
      </c>
      <c r="E599" s="664"/>
      <c r="F599" s="664"/>
      <c r="G599" s="665"/>
      <c r="H599" s="665"/>
      <c r="I599" s="665"/>
      <c r="J599" s="665">
        <v>99000.46</v>
      </c>
      <c r="K599" s="616"/>
      <c r="L599" s="616"/>
      <c r="M599" s="616"/>
      <c r="N599" s="616"/>
      <c r="O599" s="616"/>
      <c r="Q599" s="1034"/>
      <c r="R599" s="1034"/>
      <c r="S599" s="1034"/>
      <c r="T599" s="1034"/>
      <c r="U599" s="1034"/>
      <c r="V599" s="1034"/>
      <c r="W599" s="1034"/>
      <c r="X599" s="1034"/>
      <c r="Y599" s="1034"/>
      <c r="AA599" s="1034"/>
      <c r="AB599" s="1034"/>
      <c r="AC599" s="1034"/>
      <c r="AD599" s="1034"/>
      <c r="AE599" s="1034"/>
      <c r="AF599" s="1034"/>
      <c r="AG599" s="1034"/>
      <c r="AH599" s="1034"/>
      <c r="AI599" s="1034"/>
      <c r="AJ599" s="1034"/>
      <c r="AL599" s="1034"/>
    </row>
    <row r="600" spans="2:38" outlineLevel="1">
      <c r="B600" s="562" t="s">
        <v>2343</v>
      </c>
      <c r="C600" s="562" t="s">
        <v>369</v>
      </c>
      <c r="D600" s="572" t="s">
        <v>4169</v>
      </c>
      <c r="E600" s="664"/>
      <c r="F600" s="664"/>
      <c r="G600" s="665"/>
      <c r="H600" s="665"/>
      <c r="I600" s="665"/>
      <c r="J600" s="665">
        <v>5438.16</v>
      </c>
      <c r="K600" s="616"/>
      <c r="L600" s="616"/>
      <c r="M600" s="616"/>
      <c r="N600" s="616"/>
      <c r="O600" s="616"/>
      <c r="Q600" s="1034"/>
      <c r="R600" s="1034"/>
      <c r="S600" s="1034"/>
      <c r="T600" s="1034"/>
      <c r="U600" s="1034"/>
      <c r="V600" s="1034"/>
      <c r="W600" s="1034"/>
      <c r="X600" s="1034"/>
      <c r="Y600" s="1034"/>
      <c r="AA600" s="1034"/>
      <c r="AB600" s="1034"/>
      <c r="AC600" s="1034"/>
      <c r="AD600" s="1034"/>
      <c r="AE600" s="1034"/>
      <c r="AF600" s="1034"/>
      <c r="AG600" s="1034"/>
      <c r="AH600" s="1034"/>
      <c r="AI600" s="1034"/>
      <c r="AJ600" s="1034"/>
      <c r="AL600" s="1034"/>
    </row>
    <row r="601" spans="2:38" outlineLevel="1">
      <c r="B601" s="562" t="s">
        <v>2343</v>
      </c>
      <c r="C601" s="562" t="s">
        <v>369</v>
      </c>
      <c r="D601" s="572" t="s">
        <v>4164</v>
      </c>
      <c r="E601" s="664"/>
      <c r="F601" s="664"/>
      <c r="G601" s="665"/>
      <c r="H601" s="665"/>
      <c r="I601" s="665"/>
      <c r="J601" s="665">
        <v>1995.43</v>
      </c>
      <c r="K601" s="616"/>
      <c r="L601" s="616"/>
      <c r="M601" s="616"/>
      <c r="N601" s="616"/>
      <c r="O601" s="616"/>
      <c r="Q601" s="1034"/>
      <c r="R601" s="1034"/>
      <c r="S601" s="1034"/>
      <c r="T601" s="1034"/>
      <c r="U601" s="1034"/>
      <c r="V601" s="1034"/>
      <c r="W601" s="1034"/>
      <c r="X601" s="1034"/>
      <c r="Y601" s="1034"/>
      <c r="AA601" s="1034"/>
      <c r="AB601" s="1034"/>
      <c r="AC601" s="1034"/>
      <c r="AD601" s="1034"/>
      <c r="AE601" s="1034"/>
      <c r="AF601" s="1034"/>
      <c r="AG601" s="1034"/>
      <c r="AH601" s="1034"/>
      <c r="AI601" s="1034"/>
      <c r="AJ601" s="1034"/>
      <c r="AL601" s="1034"/>
    </row>
    <row r="602" spans="2:38" outlineLevel="1">
      <c r="B602" s="562" t="s">
        <v>2343</v>
      </c>
      <c r="C602" s="562" t="s">
        <v>369</v>
      </c>
      <c r="D602" s="572" t="s">
        <v>4163</v>
      </c>
      <c r="E602" s="664"/>
      <c r="F602" s="664"/>
      <c r="G602" s="665"/>
      <c r="H602" s="665"/>
      <c r="I602" s="665"/>
      <c r="J602" s="665">
        <v>-223.86</v>
      </c>
      <c r="K602" s="616"/>
      <c r="L602" s="616"/>
      <c r="M602" s="616"/>
      <c r="N602" s="616"/>
      <c r="O602" s="616"/>
      <c r="Q602" s="1034"/>
      <c r="R602" s="1034"/>
      <c r="S602" s="1034"/>
      <c r="T602" s="1034"/>
      <c r="U602" s="1034"/>
      <c r="V602" s="1034"/>
      <c r="W602" s="1034"/>
      <c r="X602" s="1034"/>
      <c r="Y602" s="1034"/>
      <c r="AA602" s="1034"/>
      <c r="AB602" s="1034"/>
      <c r="AC602" s="1034"/>
      <c r="AD602" s="1034"/>
      <c r="AE602" s="1034"/>
      <c r="AF602" s="1034"/>
      <c r="AG602" s="1034"/>
      <c r="AH602" s="1034"/>
      <c r="AI602" s="1034"/>
      <c r="AJ602" s="1034"/>
      <c r="AL602" s="1034"/>
    </row>
    <row r="603" spans="2:38" outlineLevel="1">
      <c r="D603" s="578" t="s">
        <v>2213</v>
      </c>
      <c r="E603" s="685"/>
      <c r="F603" s="690">
        <f t="shared" ref="F603:H603" si="491">+SUM(F535:F602)</f>
        <v>4838388.0399999991</v>
      </c>
      <c r="G603" s="690">
        <f t="shared" si="491"/>
        <v>4493719.9799999986</v>
      </c>
      <c r="H603" s="690">
        <f t="shared" si="491"/>
        <v>5490719.7299999986</v>
      </c>
      <c r="I603" s="690">
        <v>7747001.9200000027</v>
      </c>
      <c r="J603" s="690">
        <v>3538771.8200000008</v>
      </c>
      <c r="K603" s="617"/>
      <c r="L603" s="617"/>
      <c r="M603" s="617"/>
      <c r="N603" s="617"/>
      <c r="O603" s="617"/>
    </row>
    <row r="604" spans="2:38" outlineLevel="1">
      <c r="B604" s="562" t="s">
        <v>2343</v>
      </c>
      <c r="C604" s="562" t="s">
        <v>370</v>
      </c>
      <c r="D604" s="572" t="s">
        <v>2214</v>
      </c>
      <c r="E604" s="664">
        <v>254000</v>
      </c>
      <c r="F604" s="664">
        <v>214000</v>
      </c>
      <c r="G604" s="665">
        <v>174000</v>
      </c>
      <c r="H604" s="665">
        <v>174000</v>
      </c>
      <c r="I604" s="665">
        <v>174000</v>
      </c>
      <c r="J604" s="665">
        <v>6000</v>
      </c>
      <c r="K604" s="616">
        <f>+Costi!I109</f>
        <v>174000</v>
      </c>
      <c r="L604" s="616">
        <f>+Costi!J109</f>
        <v>174000</v>
      </c>
      <c r="M604" s="616">
        <f>+Costi!K109</f>
        <v>174000</v>
      </c>
      <c r="N604" s="616">
        <f>+Costi!L109</f>
        <v>174000</v>
      </c>
      <c r="O604" s="616">
        <f>+Costi!M109</f>
        <v>174000</v>
      </c>
      <c r="Q604" s="594">
        <f t="shared" ref="Q604:Q615" si="492">+IFERROR(F604/E604-1,0)</f>
        <v>-0.15748031496062997</v>
      </c>
      <c r="R604" s="594">
        <f t="shared" ref="R604:R615" si="493">+IFERROR(G604/F604-1,0)</f>
        <v>-0.18691588785046731</v>
      </c>
      <c r="S604" s="594">
        <f t="shared" ref="S604:S615" si="494">+IFERROR(H604/G604-1,0)</f>
        <v>0</v>
      </c>
      <c r="T604" s="594">
        <f t="shared" ref="T604:T615" si="495">+IFERROR(I604/H604-1,0)</f>
        <v>0</v>
      </c>
      <c r="U604" s="594">
        <f t="shared" ref="U604:U615" si="496">+IFERROR(K604/I604-1,0)</f>
        <v>0</v>
      </c>
      <c r="V604" s="594">
        <f t="shared" ref="V604:V615" si="497">+IFERROR(L604/K604-1,0)</f>
        <v>0</v>
      </c>
      <c r="W604" s="594">
        <f t="shared" ref="W604:W615" si="498">+IFERROR(M604/L604-1,0)</f>
        <v>0</v>
      </c>
      <c r="X604" s="594">
        <f t="shared" ref="X604:X615" si="499">+IFERROR(N604/M604-1,0)</f>
        <v>0</v>
      </c>
      <c r="Y604" s="594">
        <f t="shared" ref="Y604:Y615" si="500">+IFERROR(O604/N604-1,0)</f>
        <v>0</v>
      </c>
      <c r="AA604" s="594">
        <f t="shared" ref="AA604:AA615" si="501">+IFERROR(E604/E$454,0)</f>
        <v>9.7861388685222487E-3</v>
      </c>
      <c r="AB604" s="594">
        <f t="shared" ref="AB604:AB615" si="502">+IFERROR(F604/F$454,0)</f>
        <v>8.5514614239181556E-3</v>
      </c>
      <c r="AC604" s="594">
        <f t="shared" ref="AC604:AC615" si="503">+IFERROR(G604/G$454,0)</f>
        <v>6.4810186328726977E-3</v>
      </c>
      <c r="AD604" s="594">
        <f t="shared" ref="AD604:AD615" si="504">+IFERROR(H604/H$454,0)</f>
        <v>5.5872274877597355E-3</v>
      </c>
      <c r="AE604" s="594">
        <f t="shared" ref="AE604:AE615" si="505">+IFERROR(I604/I$454,0)</f>
        <v>3.4103640653485212E-3</v>
      </c>
      <c r="AF604" s="594">
        <f t="shared" ref="AF604:AF615" si="506">+IFERROR(K604/K$454,0)</f>
        <v>2.6637581468083186E-3</v>
      </c>
      <c r="AG604" s="594">
        <f t="shared" ref="AG604:AG615" si="507">+IFERROR(L604/L$454,0)</f>
        <v>2.5063058286937012E-3</v>
      </c>
      <c r="AH604" s="594">
        <f t="shared" ref="AH604:AH615" si="508">+IFERROR(M604/M$454,0)</f>
        <v>2.417168675115058E-3</v>
      </c>
      <c r="AI604" s="594">
        <f t="shared" ref="AI604:AI615" si="509">+IFERROR(N604/N$454,0)</f>
        <v>2.3147375115535177E-3</v>
      </c>
      <c r="AJ604" s="594">
        <f t="shared" ref="AJ604:AJ615" si="510">+IFERROR(O604/O$454,0)</f>
        <v>2.2166470228387877E-3</v>
      </c>
      <c r="AL604" s="594">
        <f t="shared" ref="AL604:AL615" si="511">+AVERAGE(AA604:AE604)</f>
        <v>6.7632420956842713E-3</v>
      </c>
    </row>
    <row r="605" spans="2:38" outlineLevel="1">
      <c r="B605" s="562" t="s">
        <v>2343</v>
      </c>
      <c r="C605" s="562" t="s">
        <v>370</v>
      </c>
      <c r="D605" s="572" t="s">
        <v>2215</v>
      </c>
      <c r="E605" s="664">
        <v>16468</v>
      </c>
      <c r="F605" s="664">
        <v>5798</v>
      </c>
      <c r="G605" s="665">
        <v>4848</v>
      </c>
      <c r="H605" s="665">
        <v>4800</v>
      </c>
      <c r="I605" s="665">
        <v>15824.79</v>
      </c>
      <c r="J605" s="665">
        <v>8505.9699999999993</v>
      </c>
      <c r="K605" s="616">
        <f>+Costi!I110</f>
        <v>0</v>
      </c>
      <c r="L605" s="616">
        <f>+Costi!J110</f>
        <v>0</v>
      </c>
      <c r="M605" s="616">
        <f>+Costi!K110</f>
        <v>0</v>
      </c>
      <c r="N605" s="616">
        <f>+Costi!L110</f>
        <v>0</v>
      </c>
      <c r="O605" s="616">
        <f>+Costi!M110</f>
        <v>0</v>
      </c>
      <c r="Q605" s="594">
        <f t="shared" si="492"/>
        <v>-0.64792324508136989</v>
      </c>
      <c r="R605" s="594">
        <f t="shared" si="493"/>
        <v>-0.16384960331148668</v>
      </c>
      <c r="S605" s="594">
        <f t="shared" si="494"/>
        <v>-9.9009900990099098E-3</v>
      </c>
      <c r="T605" s="594">
        <f t="shared" si="495"/>
        <v>2.2968312500000003</v>
      </c>
      <c r="U605" s="594">
        <f t="shared" si="496"/>
        <v>-1</v>
      </c>
      <c r="V605" s="594">
        <f t="shared" si="497"/>
        <v>0</v>
      </c>
      <c r="W605" s="594">
        <f t="shared" si="498"/>
        <v>0</v>
      </c>
      <c r="X605" s="594">
        <f t="shared" si="499"/>
        <v>0</v>
      </c>
      <c r="Y605" s="594">
        <f t="shared" si="500"/>
        <v>0</v>
      </c>
      <c r="AA605" s="594">
        <f t="shared" si="501"/>
        <v>6.3448084601111965E-4</v>
      </c>
      <c r="AB605" s="594">
        <f t="shared" si="502"/>
        <v>2.3168866044802553E-4</v>
      </c>
      <c r="AC605" s="594">
        <f t="shared" si="503"/>
        <v>1.8057458811590138E-4</v>
      </c>
      <c r="AD605" s="594">
        <f t="shared" si="504"/>
        <v>1.5413041345544099E-4</v>
      </c>
      <c r="AE605" s="594">
        <f t="shared" si="505"/>
        <v>3.1016261584877373E-4</v>
      </c>
      <c r="AF605" s="594">
        <f t="shared" si="506"/>
        <v>0</v>
      </c>
      <c r="AG605" s="594">
        <f t="shared" si="507"/>
        <v>0</v>
      </c>
      <c r="AH605" s="594">
        <f t="shared" si="508"/>
        <v>0</v>
      </c>
      <c r="AI605" s="594">
        <f t="shared" si="509"/>
        <v>0</v>
      </c>
      <c r="AJ605" s="594">
        <f t="shared" si="510"/>
        <v>0</v>
      </c>
      <c r="AL605" s="594">
        <f t="shared" si="511"/>
        <v>3.0220742477585227E-4</v>
      </c>
    </row>
    <row r="606" spans="2:38" outlineLevel="1">
      <c r="B606" s="562" t="s">
        <v>2343</v>
      </c>
      <c r="C606" s="562" t="s">
        <v>370</v>
      </c>
      <c r="D606" s="572" t="s">
        <v>2216</v>
      </c>
      <c r="E606" s="664">
        <v>872313.57</v>
      </c>
      <c r="F606" s="664">
        <v>1057125.1299999999</v>
      </c>
      <c r="G606" s="665">
        <v>1134345.8</v>
      </c>
      <c r="H606" s="665">
        <v>784682.9</v>
      </c>
      <c r="I606" s="665">
        <v>1123712.01</v>
      </c>
      <c r="J606" s="665">
        <v>617746.75</v>
      </c>
      <c r="K606" s="616">
        <f>+Costi!I111</f>
        <v>1151658.6100000001</v>
      </c>
      <c r="L606" s="616">
        <f>+Costi!J111</f>
        <v>1073369.3733820003</v>
      </c>
      <c r="M606" s="616">
        <f>+Costi!K111</f>
        <v>793046.87560000003</v>
      </c>
      <c r="N606" s="616">
        <f>+Costi!L111</f>
        <v>496114.78359999997</v>
      </c>
      <c r="O606" s="616">
        <f>+Costi!M111</f>
        <v>247950.913</v>
      </c>
      <c r="Q606" s="594">
        <f t="shared" si="492"/>
        <v>0.21186367649880755</v>
      </c>
      <c r="R606" s="594">
        <f t="shared" si="493"/>
        <v>7.3047804662443427E-2</v>
      </c>
      <c r="S606" s="594">
        <f t="shared" si="494"/>
        <v>-0.30825071155550632</v>
      </c>
      <c r="T606" s="594">
        <f t="shared" si="495"/>
        <v>0.43205874627827368</v>
      </c>
      <c r="U606" s="594">
        <f t="shared" si="496"/>
        <v>2.486989526791672E-2</v>
      </c>
      <c r="V606" s="594">
        <f t="shared" si="497"/>
        <v>-6.797955221990637E-2</v>
      </c>
      <c r="W606" s="594">
        <f t="shared" si="498"/>
        <v>-0.26116125979890104</v>
      </c>
      <c r="X606" s="594">
        <f t="shared" si="499"/>
        <v>-0.37441934535754706</v>
      </c>
      <c r="Y606" s="594">
        <f t="shared" si="500"/>
        <v>-0.50021462533171723</v>
      </c>
      <c r="AA606" s="594">
        <f t="shared" si="501"/>
        <v>3.3608589499670875E-2</v>
      </c>
      <c r="AB606" s="594">
        <f t="shared" si="502"/>
        <v>4.224282602546478E-2</v>
      </c>
      <c r="AC606" s="594">
        <f t="shared" si="503"/>
        <v>4.2251242907591302E-2</v>
      </c>
      <c r="AD606" s="594">
        <f t="shared" si="504"/>
        <v>2.5196562460086346E-2</v>
      </c>
      <c r="AE606" s="594">
        <f t="shared" si="505"/>
        <v>2.2024523325888265E-2</v>
      </c>
      <c r="AF606" s="594">
        <f t="shared" si="506"/>
        <v>1.763068968235313E-2</v>
      </c>
      <c r="AG606" s="594">
        <f t="shared" si="507"/>
        <v>1.5460873085336857E-2</v>
      </c>
      <c r="AH606" s="594">
        <f t="shared" si="508"/>
        <v>1.1016827963207979E-2</v>
      </c>
      <c r="AI606" s="594">
        <f t="shared" si="509"/>
        <v>6.599859193305609E-3</v>
      </c>
      <c r="AJ606" s="594">
        <f t="shared" si="510"/>
        <v>3.1587336385724665E-3</v>
      </c>
      <c r="AL606" s="594">
        <f t="shared" si="511"/>
        <v>3.3064748843740312E-2</v>
      </c>
    </row>
    <row r="607" spans="2:38" outlineLevel="1">
      <c r="B607" s="562" t="s">
        <v>2343</v>
      </c>
      <c r="C607" s="562" t="s">
        <v>370</v>
      </c>
      <c r="D607" s="572" t="s">
        <v>2217</v>
      </c>
      <c r="E607" s="664">
        <v>69539.360000000001</v>
      </c>
      <c r="F607" s="664">
        <v>72178.69</v>
      </c>
      <c r="G607" s="665">
        <v>72272.179999999993</v>
      </c>
      <c r="H607" s="665">
        <v>80879.179999999993</v>
      </c>
      <c r="I607" s="665">
        <v>93476.72</v>
      </c>
      <c r="J607" s="665">
        <v>95109.47</v>
      </c>
      <c r="K607" s="616">
        <f>+Costi!I112</f>
        <v>0</v>
      </c>
      <c r="L607" s="616">
        <f>+Costi!J112</f>
        <v>0</v>
      </c>
      <c r="M607" s="616">
        <f>+Costi!K112</f>
        <v>0</v>
      </c>
      <c r="N607" s="616">
        <f>+Costi!L112</f>
        <v>0</v>
      </c>
      <c r="O607" s="616">
        <f>+Costi!M112</f>
        <v>0</v>
      </c>
      <c r="Q607" s="594">
        <f t="shared" si="492"/>
        <v>3.7954476428888606E-2</v>
      </c>
      <c r="R607" s="594">
        <f t="shared" si="493"/>
        <v>1.2952576446039199E-3</v>
      </c>
      <c r="S607" s="594">
        <f t="shared" si="494"/>
        <v>0.11909146783727853</v>
      </c>
      <c r="T607" s="594">
        <f t="shared" si="495"/>
        <v>0.15575751386203485</v>
      </c>
      <c r="U607" s="594">
        <f t="shared" si="496"/>
        <v>-1</v>
      </c>
      <c r="V607" s="594">
        <f t="shared" si="497"/>
        <v>0</v>
      </c>
      <c r="W607" s="594">
        <f t="shared" si="498"/>
        <v>0</v>
      </c>
      <c r="X607" s="594">
        <f t="shared" si="499"/>
        <v>0</v>
      </c>
      <c r="Y607" s="594">
        <f t="shared" si="500"/>
        <v>0</v>
      </c>
      <c r="AA607" s="594">
        <f t="shared" si="501"/>
        <v>2.6792198180636269E-3</v>
      </c>
      <c r="AB607" s="594">
        <f t="shared" si="502"/>
        <v>2.8842676783362013E-3</v>
      </c>
      <c r="AC607" s="594">
        <f t="shared" si="503"/>
        <v>2.6919387656225832E-3</v>
      </c>
      <c r="AD607" s="594">
        <f t="shared" si="504"/>
        <v>2.5970711361118816E-3</v>
      </c>
      <c r="AE607" s="594">
        <f t="shared" si="505"/>
        <v>1.8321244070956635E-3</v>
      </c>
      <c r="AF607" s="594">
        <f t="shared" si="506"/>
        <v>0</v>
      </c>
      <c r="AG607" s="594">
        <f t="shared" si="507"/>
        <v>0</v>
      </c>
      <c r="AH607" s="594">
        <f t="shared" si="508"/>
        <v>0</v>
      </c>
      <c r="AI607" s="594">
        <f t="shared" si="509"/>
        <v>0</v>
      </c>
      <c r="AJ607" s="594">
        <f t="shared" si="510"/>
        <v>0</v>
      </c>
      <c r="AL607" s="594">
        <f t="shared" si="511"/>
        <v>2.5369243610459911E-3</v>
      </c>
    </row>
    <row r="608" spans="2:38" outlineLevel="1">
      <c r="B608" s="562" t="s">
        <v>2343</v>
      </c>
      <c r="C608" s="562" t="s">
        <v>370</v>
      </c>
      <c r="D608" s="572" t="s">
        <v>2218</v>
      </c>
      <c r="E608" s="664">
        <v>1454.95</v>
      </c>
      <c r="F608" s="664">
        <v>23911.9</v>
      </c>
      <c r="G608" s="665">
        <v>61870.12</v>
      </c>
      <c r="H608" s="665">
        <v>107470.55</v>
      </c>
      <c r="I608" s="665">
        <v>100829.51</v>
      </c>
      <c r="J608" s="665">
        <v>59095.93</v>
      </c>
      <c r="K608" s="616">
        <f>+Costi!I113</f>
        <v>112132.56000000001</v>
      </c>
      <c r="L608" s="616">
        <f>+Costi!J113</f>
        <v>104673.88</v>
      </c>
      <c r="M608" s="616">
        <f>+Costi!K113</f>
        <v>89691.959999999992</v>
      </c>
      <c r="N608" s="616">
        <f>+Costi!L113</f>
        <v>28446.32</v>
      </c>
      <c r="O608" s="616">
        <f>+Costi!M113</f>
        <v>0</v>
      </c>
      <c r="Q608" s="594">
        <f t="shared" si="492"/>
        <v>15.434860304477816</v>
      </c>
      <c r="R608" s="594">
        <f t="shared" si="493"/>
        <v>1.5874196529761333</v>
      </c>
      <c r="S608" s="594">
        <f t="shared" si="494"/>
        <v>0.7370347754295612</v>
      </c>
      <c r="T608" s="594">
        <f t="shared" si="495"/>
        <v>-6.1794044973250917E-2</v>
      </c>
      <c r="U608" s="594">
        <f t="shared" si="496"/>
        <v>0.11210061419518969</v>
      </c>
      <c r="V608" s="594">
        <f t="shared" si="497"/>
        <v>-6.651662996011154E-2</v>
      </c>
      <c r="W608" s="594">
        <f t="shared" si="498"/>
        <v>-0.14312949897338301</v>
      </c>
      <c r="X608" s="594">
        <f t="shared" si="499"/>
        <v>-0.68284425939627136</v>
      </c>
      <c r="Y608" s="594">
        <f t="shared" si="500"/>
        <v>-1</v>
      </c>
      <c r="AA608" s="594">
        <f t="shared" si="501"/>
        <v>5.6056467506915139E-5</v>
      </c>
      <c r="AB608" s="594">
        <f t="shared" si="502"/>
        <v>9.5552191786256327E-4</v>
      </c>
      <c r="AC608" s="594">
        <f t="shared" si="503"/>
        <v>2.3044908076900561E-3</v>
      </c>
      <c r="AD608" s="594">
        <f t="shared" si="504"/>
        <v>3.4509333970382593E-3</v>
      </c>
      <c r="AE608" s="594">
        <f t="shared" si="505"/>
        <v>1.9762375725902261E-3</v>
      </c>
      <c r="AF608" s="594">
        <f t="shared" si="506"/>
        <v>1.7166323001291529E-3</v>
      </c>
      <c r="AG608" s="594">
        <f t="shared" si="507"/>
        <v>1.5077284802068106E-3</v>
      </c>
      <c r="AH608" s="594">
        <f t="shared" si="508"/>
        <v>1.245980437480878E-3</v>
      </c>
      <c r="AI608" s="594">
        <f t="shared" si="509"/>
        <v>3.7842393086008657E-4</v>
      </c>
      <c r="AJ608" s="594">
        <f t="shared" si="510"/>
        <v>0</v>
      </c>
      <c r="AL608" s="594">
        <f t="shared" si="511"/>
        <v>1.7486480325376041E-3</v>
      </c>
    </row>
    <row r="609" spans="2:38" outlineLevel="1">
      <c r="B609" s="562" t="s">
        <v>2343</v>
      </c>
      <c r="C609" s="562" t="s">
        <v>370</v>
      </c>
      <c r="D609" s="572" t="s">
        <v>2219</v>
      </c>
      <c r="E609" s="664">
        <v>694995.36</v>
      </c>
      <c r="F609" s="664">
        <v>427487.93</v>
      </c>
      <c r="G609" s="665">
        <v>214630.33</v>
      </c>
      <c r="H609" s="665">
        <v>553529.11</v>
      </c>
      <c r="I609" s="665">
        <v>2471141.34</v>
      </c>
      <c r="J609" s="665">
        <v>1400039.2</v>
      </c>
      <c r="K609" s="616">
        <f>+Costi!I114</f>
        <v>2029808.8353529584</v>
      </c>
      <c r="L609" s="616">
        <f>+Costi!J114</f>
        <v>2157326.4362765579</v>
      </c>
      <c r="M609" s="616">
        <f>+Costi!K114</f>
        <v>2236881.4709952241</v>
      </c>
      <c r="N609" s="616">
        <f>+Costi!L114</f>
        <v>2335867.3692578375</v>
      </c>
      <c r="O609" s="616">
        <f>+Costi!M114</f>
        <v>2439233.5657981671</v>
      </c>
      <c r="Q609" s="594">
        <f t="shared" si="492"/>
        <v>-0.38490534670619958</v>
      </c>
      <c r="R609" s="594">
        <f t="shared" si="493"/>
        <v>-0.49792657303798027</v>
      </c>
      <c r="S609" s="594">
        <f t="shared" si="494"/>
        <v>1.5789883004885659</v>
      </c>
      <c r="T609" s="594">
        <f t="shared" si="495"/>
        <v>3.464338542195188</v>
      </c>
      <c r="U609" s="594">
        <f t="shared" si="496"/>
        <v>-0.17859460222013912</v>
      </c>
      <c r="V609" s="594">
        <f t="shared" si="497"/>
        <v>6.2822468156921607E-2</v>
      </c>
      <c r="W609" s="594">
        <f t="shared" si="498"/>
        <v>3.6876679106558674E-2</v>
      </c>
      <c r="X609" s="594">
        <f t="shared" si="499"/>
        <v>4.4251740445850674E-2</v>
      </c>
      <c r="Y609" s="594">
        <f t="shared" si="500"/>
        <v>4.4251740445850674E-2</v>
      </c>
      <c r="AA609" s="594">
        <f t="shared" si="501"/>
        <v>2.6776854747789812E-2</v>
      </c>
      <c r="AB609" s="594">
        <f t="shared" si="502"/>
        <v>1.7082460479372077E-2</v>
      </c>
      <c r="AC609" s="594">
        <f t="shared" si="503"/>
        <v>7.994386022469057E-3</v>
      </c>
      <c r="AD609" s="594">
        <f t="shared" si="504"/>
        <v>1.777409803831714E-2</v>
      </c>
      <c r="AE609" s="594">
        <f t="shared" si="505"/>
        <v>4.843385992145513E-2</v>
      </c>
      <c r="AF609" s="594">
        <f t="shared" si="506"/>
        <v>3.1074251848476713E-2</v>
      </c>
      <c r="AG609" s="594">
        <f t="shared" si="507"/>
        <v>3.107425184847671E-2</v>
      </c>
      <c r="AH609" s="594">
        <f t="shared" si="508"/>
        <v>3.107425184847671E-2</v>
      </c>
      <c r="AI609" s="594">
        <f t="shared" si="509"/>
        <v>3.1074251848476717E-2</v>
      </c>
      <c r="AJ609" s="594">
        <f t="shared" si="510"/>
        <v>3.1074251848476706E-2</v>
      </c>
      <c r="AL609" s="594">
        <f t="shared" si="511"/>
        <v>2.3612331841880642E-2</v>
      </c>
    </row>
    <row r="610" spans="2:38" outlineLevel="1">
      <c r="B610" s="562" t="s">
        <v>2343</v>
      </c>
      <c r="C610" s="562" t="s">
        <v>370</v>
      </c>
      <c r="D610" s="572" t="s">
        <v>2220</v>
      </c>
      <c r="E610" s="664">
        <v>6065.23</v>
      </c>
      <c r="F610" s="664">
        <v>0</v>
      </c>
      <c r="G610" s="665">
        <v>507.69</v>
      </c>
      <c r="H610" s="665">
        <v>33.96</v>
      </c>
      <c r="I610" s="665">
        <v>71</v>
      </c>
      <c r="J610" s="665">
        <v>47.13</v>
      </c>
      <c r="K610" s="616">
        <f>+Costi!I115</f>
        <v>0</v>
      </c>
      <c r="L610" s="616">
        <f>+Costi!J115</f>
        <v>0</v>
      </c>
      <c r="M610" s="616">
        <f>+Costi!K115</f>
        <v>0</v>
      </c>
      <c r="N610" s="616">
        <f>+Costi!L115</f>
        <v>0</v>
      </c>
      <c r="O610" s="616">
        <f>+Costi!M115</f>
        <v>0</v>
      </c>
      <c r="Q610" s="594">
        <f t="shared" si="492"/>
        <v>-1</v>
      </c>
      <c r="R610" s="594">
        <f t="shared" si="493"/>
        <v>0</v>
      </c>
      <c r="S610" s="594">
        <f t="shared" si="494"/>
        <v>-0.93310878685812204</v>
      </c>
      <c r="T610" s="594">
        <f t="shared" si="495"/>
        <v>1.0906949352179032</v>
      </c>
      <c r="U610" s="594">
        <f t="shared" si="496"/>
        <v>-1</v>
      </c>
      <c r="V610" s="594">
        <f t="shared" si="497"/>
        <v>0</v>
      </c>
      <c r="W610" s="594">
        <f t="shared" si="498"/>
        <v>0</v>
      </c>
      <c r="X610" s="594">
        <f t="shared" si="499"/>
        <v>0</v>
      </c>
      <c r="Y610" s="594">
        <f t="shared" si="500"/>
        <v>0</v>
      </c>
      <c r="AA610" s="594">
        <f t="shared" si="501"/>
        <v>2.3368182302963461E-4</v>
      </c>
      <c r="AB610" s="594">
        <f t="shared" si="502"/>
        <v>0</v>
      </c>
      <c r="AC610" s="594">
        <f t="shared" si="503"/>
        <v>1.8910047986914596E-5</v>
      </c>
      <c r="AD610" s="594">
        <f t="shared" si="504"/>
        <v>1.090472675197245E-6</v>
      </c>
      <c r="AE610" s="594">
        <f t="shared" si="505"/>
        <v>1.3915853370100289E-6</v>
      </c>
      <c r="AF610" s="594">
        <f t="shared" si="506"/>
        <v>0</v>
      </c>
      <c r="AG610" s="594">
        <f t="shared" si="507"/>
        <v>0</v>
      </c>
      <c r="AH610" s="594">
        <f t="shared" si="508"/>
        <v>0</v>
      </c>
      <c r="AI610" s="594">
        <f t="shared" si="509"/>
        <v>0</v>
      </c>
      <c r="AJ610" s="594">
        <f t="shared" si="510"/>
        <v>0</v>
      </c>
      <c r="AL610" s="594">
        <f t="shared" si="511"/>
        <v>5.1014785805751303E-5</v>
      </c>
    </row>
    <row r="611" spans="2:38" outlineLevel="1">
      <c r="B611" s="562" t="s">
        <v>2343</v>
      </c>
      <c r="C611" s="562" t="s">
        <v>370</v>
      </c>
      <c r="D611" s="572" t="s">
        <v>2221</v>
      </c>
      <c r="E611" s="664">
        <v>0</v>
      </c>
      <c r="F611" s="664">
        <v>3205.32</v>
      </c>
      <c r="G611" s="665">
        <v>3102.97</v>
      </c>
      <c r="H611" s="665">
        <v>3469.64</v>
      </c>
      <c r="I611" s="665">
        <v>521.23</v>
      </c>
      <c r="J611" s="665">
        <v>306.83999999999997</v>
      </c>
      <c r="K611" s="616">
        <f>+Costi!I116</f>
        <v>0</v>
      </c>
      <c r="L611" s="616">
        <f>+Costi!J116</f>
        <v>0</v>
      </c>
      <c r="M611" s="616">
        <f>+Costi!K116</f>
        <v>0</v>
      </c>
      <c r="N611" s="616">
        <f>+Costi!L116</f>
        <v>0</v>
      </c>
      <c r="O611" s="616">
        <f>+Costi!M116</f>
        <v>0</v>
      </c>
      <c r="Q611" s="594">
        <f t="shared" si="492"/>
        <v>0</v>
      </c>
      <c r="R611" s="594">
        <f t="shared" si="493"/>
        <v>-3.1931289231652449E-2</v>
      </c>
      <c r="S611" s="594">
        <f t="shared" si="494"/>
        <v>0.11816743313664002</v>
      </c>
      <c r="T611" s="594">
        <f t="shared" si="495"/>
        <v>-0.84977403995803602</v>
      </c>
      <c r="U611" s="594">
        <f t="shared" si="496"/>
        <v>-1</v>
      </c>
      <c r="V611" s="594">
        <f t="shared" si="497"/>
        <v>0</v>
      </c>
      <c r="W611" s="594">
        <f t="shared" si="498"/>
        <v>0</v>
      </c>
      <c r="X611" s="594">
        <f t="shared" si="499"/>
        <v>0</v>
      </c>
      <c r="Y611" s="594">
        <f t="shared" si="500"/>
        <v>0</v>
      </c>
      <c r="AA611" s="594">
        <f t="shared" si="501"/>
        <v>0</v>
      </c>
      <c r="AB611" s="594">
        <f t="shared" si="502"/>
        <v>1.2808490809024925E-4</v>
      </c>
      <c r="AC611" s="594">
        <f t="shared" si="503"/>
        <v>1.1557704820255743E-4</v>
      </c>
      <c r="AD611" s="594">
        <f t="shared" si="504"/>
        <v>1.1141188494615339E-4</v>
      </c>
      <c r="AE611" s="594">
        <f t="shared" si="505"/>
        <v>1.0216000355066723E-5</v>
      </c>
      <c r="AF611" s="594">
        <f t="shared" si="506"/>
        <v>0</v>
      </c>
      <c r="AG611" s="594">
        <f t="shared" si="507"/>
        <v>0</v>
      </c>
      <c r="AH611" s="594">
        <f t="shared" si="508"/>
        <v>0</v>
      </c>
      <c r="AI611" s="594">
        <f t="shared" si="509"/>
        <v>0</v>
      </c>
      <c r="AJ611" s="594">
        <f t="shared" si="510"/>
        <v>0</v>
      </c>
      <c r="AL611" s="594">
        <f t="shared" si="511"/>
        <v>7.3057968318805363E-5</v>
      </c>
    </row>
    <row r="612" spans="2:38" outlineLevel="1">
      <c r="B612" s="562" t="s">
        <v>2343</v>
      </c>
      <c r="C612" s="562" t="s">
        <v>370</v>
      </c>
      <c r="D612" s="572" t="s">
        <v>2222</v>
      </c>
      <c r="E612" s="664">
        <v>2793.22</v>
      </c>
      <c r="F612" s="664">
        <v>566.24</v>
      </c>
      <c r="G612" s="665">
        <v>597.63</v>
      </c>
      <c r="H612" s="665">
        <v>6091.9</v>
      </c>
      <c r="I612" s="665">
        <v>9851.66</v>
      </c>
      <c r="J612" s="665">
        <v>13859.45</v>
      </c>
      <c r="K612" s="616">
        <f>+Costi!I117</f>
        <v>0</v>
      </c>
      <c r="L612" s="616">
        <f>+Costi!J117</f>
        <v>0</v>
      </c>
      <c r="M612" s="616">
        <f>+Costi!K117</f>
        <v>0</v>
      </c>
      <c r="N612" s="616">
        <f>+Costi!L117</f>
        <v>0</v>
      </c>
      <c r="O612" s="616">
        <f>+Costi!M117</f>
        <v>0</v>
      </c>
      <c r="Q612" s="594">
        <f t="shared" si="492"/>
        <v>-0.79728055792239783</v>
      </c>
      <c r="R612" s="594">
        <f t="shared" si="493"/>
        <v>5.5435857586888959E-2</v>
      </c>
      <c r="S612" s="594">
        <f t="shared" si="494"/>
        <v>9.1934307180027766</v>
      </c>
      <c r="T612" s="594">
        <f t="shared" si="495"/>
        <v>0.61717362399251474</v>
      </c>
      <c r="U612" s="594">
        <f t="shared" si="496"/>
        <v>-1</v>
      </c>
      <c r="V612" s="594">
        <f t="shared" si="497"/>
        <v>0</v>
      </c>
      <c r="W612" s="594">
        <f t="shared" si="498"/>
        <v>0</v>
      </c>
      <c r="X612" s="594">
        <f t="shared" si="499"/>
        <v>0</v>
      </c>
      <c r="Y612" s="594">
        <f t="shared" si="500"/>
        <v>0</v>
      </c>
      <c r="AA612" s="594">
        <f t="shared" si="501"/>
        <v>1.0761747563123508E-4</v>
      </c>
      <c r="AB612" s="594">
        <f t="shared" si="502"/>
        <v>2.262700708728699E-5</v>
      </c>
      <c r="AC612" s="594">
        <f t="shared" si="503"/>
        <v>2.2260064169906382E-5</v>
      </c>
      <c r="AD612" s="594">
        <f t="shared" si="504"/>
        <v>1.9561397202691685E-4</v>
      </c>
      <c r="AE612" s="594">
        <f t="shared" si="505"/>
        <v>1.9309050142546789E-4</v>
      </c>
      <c r="AF612" s="594">
        <f t="shared" si="506"/>
        <v>0</v>
      </c>
      <c r="AG612" s="594">
        <f t="shared" si="507"/>
        <v>0</v>
      </c>
      <c r="AH612" s="594">
        <f t="shared" si="508"/>
        <v>0</v>
      </c>
      <c r="AI612" s="594">
        <f t="shared" si="509"/>
        <v>0</v>
      </c>
      <c r="AJ612" s="594">
        <f t="shared" si="510"/>
        <v>0</v>
      </c>
      <c r="AL612" s="594">
        <f t="shared" si="511"/>
        <v>1.0824180406816263E-4</v>
      </c>
    </row>
    <row r="613" spans="2:38" outlineLevel="1">
      <c r="B613" s="562" t="s">
        <v>2343</v>
      </c>
      <c r="C613" s="562" t="s">
        <v>370</v>
      </c>
      <c r="D613" s="572" t="s">
        <v>2223</v>
      </c>
      <c r="E613" s="664">
        <v>0</v>
      </c>
      <c r="F613" s="664"/>
      <c r="G613" s="665">
        <v>0</v>
      </c>
      <c r="H613" s="670"/>
      <c r="I613" s="665">
        <v>2579.54</v>
      </c>
      <c r="J613" s="665">
        <v>0</v>
      </c>
      <c r="K613" s="616">
        <f>+Costi!I118</f>
        <v>0</v>
      </c>
      <c r="L613" s="616">
        <f>+Costi!J118</f>
        <v>0</v>
      </c>
      <c r="M613" s="616">
        <f>+Costi!K118</f>
        <v>0</v>
      </c>
      <c r="N613" s="616">
        <f>+Costi!L118</f>
        <v>0</v>
      </c>
      <c r="O613" s="616">
        <f>+Costi!M118</f>
        <v>0</v>
      </c>
      <c r="Q613" s="594">
        <f t="shared" si="492"/>
        <v>0</v>
      </c>
      <c r="R613" s="594">
        <f t="shared" si="493"/>
        <v>0</v>
      </c>
      <c r="S613" s="594">
        <f t="shared" si="494"/>
        <v>0</v>
      </c>
      <c r="T613" s="594">
        <f t="shared" si="495"/>
        <v>0</v>
      </c>
      <c r="U613" s="594">
        <f t="shared" si="496"/>
        <v>-1</v>
      </c>
      <c r="V613" s="594">
        <f t="shared" si="497"/>
        <v>0</v>
      </c>
      <c r="W613" s="594">
        <f t="shared" si="498"/>
        <v>0</v>
      </c>
      <c r="X613" s="594">
        <f t="shared" si="499"/>
        <v>0</v>
      </c>
      <c r="Y613" s="594">
        <f t="shared" si="500"/>
        <v>0</v>
      </c>
      <c r="AA613" s="594">
        <f t="shared" si="501"/>
        <v>0</v>
      </c>
      <c r="AB613" s="594">
        <f t="shared" si="502"/>
        <v>0</v>
      </c>
      <c r="AC613" s="594">
        <f t="shared" si="503"/>
        <v>0</v>
      </c>
      <c r="AD613" s="594">
        <f t="shared" si="504"/>
        <v>0</v>
      </c>
      <c r="AE613" s="594">
        <f t="shared" si="505"/>
        <v>5.055845127085704E-5</v>
      </c>
      <c r="AF613" s="594">
        <f t="shared" si="506"/>
        <v>0</v>
      </c>
      <c r="AG613" s="594">
        <f t="shared" si="507"/>
        <v>0</v>
      </c>
      <c r="AH613" s="594">
        <f t="shared" si="508"/>
        <v>0</v>
      </c>
      <c r="AI613" s="594">
        <f t="shared" si="509"/>
        <v>0</v>
      </c>
      <c r="AJ613" s="594">
        <f t="shared" si="510"/>
        <v>0</v>
      </c>
      <c r="AL613" s="594">
        <f t="shared" si="511"/>
        <v>1.0111690254171409E-5</v>
      </c>
    </row>
    <row r="614" spans="2:38" outlineLevel="1">
      <c r="B614" s="562" t="s">
        <v>2343</v>
      </c>
      <c r="C614" s="562" t="s">
        <v>370</v>
      </c>
      <c r="D614" s="572" t="s">
        <v>2409</v>
      </c>
      <c r="E614" s="664">
        <v>1000</v>
      </c>
      <c r="F614" s="664"/>
      <c r="G614" s="665"/>
      <c r="H614" s="670"/>
      <c r="I614" s="665">
        <v>0</v>
      </c>
      <c r="J614" s="665">
        <v>0</v>
      </c>
      <c r="K614" s="616">
        <f>+Costi!I119</f>
        <v>0</v>
      </c>
      <c r="L614" s="616">
        <f>+Costi!J119</f>
        <v>0</v>
      </c>
      <c r="M614" s="616">
        <f>+Costi!K119</f>
        <v>0</v>
      </c>
      <c r="N614" s="616">
        <f>+Costi!L119</f>
        <v>0</v>
      </c>
      <c r="O614" s="616">
        <f>+Costi!M119</f>
        <v>0</v>
      </c>
      <c r="Q614" s="594">
        <f t="shared" si="492"/>
        <v>-1</v>
      </c>
      <c r="R614" s="594">
        <f t="shared" si="493"/>
        <v>0</v>
      </c>
      <c r="S614" s="594">
        <f t="shared" si="494"/>
        <v>0</v>
      </c>
      <c r="T614" s="594">
        <f t="shared" si="495"/>
        <v>0</v>
      </c>
      <c r="U614" s="594">
        <f t="shared" si="496"/>
        <v>0</v>
      </c>
      <c r="V614" s="594">
        <f t="shared" si="497"/>
        <v>0</v>
      </c>
      <c r="W614" s="594">
        <f t="shared" si="498"/>
        <v>0</v>
      </c>
      <c r="X614" s="594">
        <f t="shared" si="499"/>
        <v>0</v>
      </c>
      <c r="Y614" s="594">
        <f t="shared" si="500"/>
        <v>0</v>
      </c>
      <c r="AA614" s="594">
        <f t="shared" si="501"/>
        <v>3.8528105781583655E-5</v>
      </c>
      <c r="AB614" s="594">
        <f t="shared" si="502"/>
        <v>0</v>
      </c>
      <c r="AC614" s="594">
        <f t="shared" si="503"/>
        <v>0</v>
      </c>
      <c r="AD614" s="594">
        <f t="shared" si="504"/>
        <v>0</v>
      </c>
      <c r="AE614" s="594">
        <f t="shared" si="505"/>
        <v>0</v>
      </c>
      <c r="AF614" s="594">
        <f t="shared" si="506"/>
        <v>0</v>
      </c>
      <c r="AG614" s="594">
        <f t="shared" si="507"/>
        <v>0</v>
      </c>
      <c r="AH614" s="594">
        <f t="shared" si="508"/>
        <v>0</v>
      </c>
      <c r="AI614" s="594">
        <f t="shared" si="509"/>
        <v>0</v>
      </c>
      <c r="AJ614" s="594">
        <f t="shared" si="510"/>
        <v>0</v>
      </c>
      <c r="AL614" s="594">
        <f t="shared" si="511"/>
        <v>7.7056211563167307E-6</v>
      </c>
    </row>
    <row r="615" spans="2:38" outlineLevel="1">
      <c r="B615" s="562" t="s">
        <v>2343</v>
      </c>
      <c r="C615" s="562" t="s">
        <v>370</v>
      </c>
      <c r="D615" s="572" t="s">
        <v>2224</v>
      </c>
      <c r="E615" s="664">
        <v>0</v>
      </c>
      <c r="F615" s="664"/>
      <c r="G615" s="665">
        <v>0</v>
      </c>
      <c r="H615" s="670"/>
      <c r="I615" s="665">
        <v>84.49</v>
      </c>
      <c r="J615" s="665">
        <v>102.67</v>
      </c>
      <c r="K615" s="616">
        <f>+Costi!I120</f>
        <v>0</v>
      </c>
      <c r="L615" s="616">
        <f>+Costi!J120</f>
        <v>0</v>
      </c>
      <c r="M615" s="616">
        <f>+Costi!K120</f>
        <v>0</v>
      </c>
      <c r="N615" s="616">
        <f>+Costi!L120</f>
        <v>0</v>
      </c>
      <c r="O615" s="616">
        <f>+Costi!M120</f>
        <v>0</v>
      </c>
      <c r="Q615" s="594">
        <f t="shared" si="492"/>
        <v>0</v>
      </c>
      <c r="R615" s="594">
        <f t="shared" si="493"/>
        <v>0</v>
      </c>
      <c r="S615" s="594">
        <f t="shared" si="494"/>
        <v>0</v>
      </c>
      <c r="T615" s="594">
        <f t="shared" si="495"/>
        <v>0</v>
      </c>
      <c r="U615" s="594">
        <f t="shared" si="496"/>
        <v>-1</v>
      </c>
      <c r="V615" s="594">
        <f t="shared" si="497"/>
        <v>0</v>
      </c>
      <c r="W615" s="594">
        <f t="shared" si="498"/>
        <v>0</v>
      </c>
      <c r="X615" s="594">
        <f t="shared" si="499"/>
        <v>0</v>
      </c>
      <c r="Y615" s="594">
        <f t="shared" si="500"/>
        <v>0</v>
      </c>
      <c r="AA615" s="594">
        <f t="shared" si="501"/>
        <v>0</v>
      </c>
      <c r="AB615" s="594">
        <f t="shared" si="502"/>
        <v>0</v>
      </c>
      <c r="AC615" s="594">
        <f t="shared" si="503"/>
        <v>0</v>
      </c>
      <c r="AD615" s="594">
        <f t="shared" si="504"/>
        <v>0</v>
      </c>
      <c r="AE615" s="594">
        <f t="shared" si="505"/>
        <v>1.6559865510419342E-6</v>
      </c>
      <c r="AF615" s="594">
        <f t="shared" si="506"/>
        <v>0</v>
      </c>
      <c r="AG615" s="594">
        <f t="shared" si="507"/>
        <v>0</v>
      </c>
      <c r="AH615" s="594">
        <f t="shared" si="508"/>
        <v>0</v>
      </c>
      <c r="AI615" s="594">
        <f t="shared" si="509"/>
        <v>0</v>
      </c>
      <c r="AJ615" s="594">
        <f t="shared" si="510"/>
        <v>0</v>
      </c>
      <c r="AL615" s="594">
        <f t="shared" si="511"/>
        <v>3.3119731020838682E-7</v>
      </c>
    </row>
    <row r="616" spans="2:38" outlineLevel="1">
      <c r="D616" s="578" t="s">
        <v>2225</v>
      </c>
      <c r="E616" s="685"/>
      <c r="F616" s="685"/>
      <c r="G616" s="690"/>
      <c r="H616" s="690">
        <v>1714957.24</v>
      </c>
      <c r="I616" s="690">
        <v>3992092.2900000005</v>
      </c>
      <c r="J616" s="690">
        <v>2200813.4099999997</v>
      </c>
      <c r="K616" s="617"/>
      <c r="L616" s="617"/>
      <c r="M616" s="617"/>
      <c r="N616" s="617"/>
      <c r="O616" s="617"/>
    </row>
    <row r="617" spans="2:38" outlineLevel="1">
      <c r="D617" s="569" t="s">
        <v>2226</v>
      </c>
      <c r="E617" s="662"/>
      <c r="F617" s="662"/>
      <c r="G617" s="654"/>
      <c r="H617" s="654"/>
      <c r="I617" s="654"/>
      <c r="J617" s="654"/>
      <c r="K617" s="618"/>
      <c r="L617" s="618"/>
      <c r="M617" s="618"/>
      <c r="N617" s="618"/>
      <c r="O617" s="618"/>
    </row>
    <row r="618" spans="2:38" outlineLevel="1">
      <c r="B618" s="562" t="s">
        <v>2343</v>
      </c>
      <c r="C618" s="562" t="s">
        <v>368</v>
      </c>
      <c r="D618" s="572" t="s">
        <v>2227</v>
      </c>
      <c r="E618" s="664">
        <v>4060754.58</v>
      </c>
      <c r="F618" s="664">
        <v>4431507.45</v>
      </c>
      <c r="G618" s="665">
        <v>4572560.2300000004</v>
      </c>
      <c r="H618" s="665">
        <v>5572148.3799999999</v>
      </c>
      <c r="I618" s="665">
        <v>6507980.5700000003</v>
      </c>
      <c r="J618" s="665">
        <v>3738937.41</v>
      </c>
      <c r="K618" s="616">
        <f>+Personale!J5</f>
        <v>9672192.9668763448</v>
      </c>
      <c r="L618" s="616">
        <f>+Personale!K5</f>
        <v>10279824.001545534</v>
      </c>
      <c r="M618" s="616">
        <f>+Personale!L5</f>
        <v>10658909.772522427</v>
      </c>
      <c r="N618" s="616">
        <f>+Personale!M5</f>
        <v>11130585.081211831</v>
      </c>
      <c r="O618" s="616">
        <f>+Personale!N5</f>
        <v>11623132.843236074</v>
      </c>
      <c r="Q618" s="594">
        <f t="shared" ref="Q618:Q619" si="512">+IFERROR(F618/E618-1,0)</f>
        <v>9.1301471856001681E-2</v>
      </c>
      <c r="R618" s="594">
        <f t="shared" ref="R618:R619" si="513">+IFERROR(G618/F618-1,0)</f>
        <v>3.1829525639181844E-2</v>
      </c>
      <c r="S618" s="594">
        <f t="shared" ref="S618:S619" si="514">+IFERROR(H618/G618-1,0)</f>
        <v>0.21860579188040563</v>
      </c>
      <c r="T618" s="594">
        <f t="shared" ref="T618:T619" si="515">+IFERROR(I618/H618-1,0)</f>
        <v>0.16794818195419281</v>
      </c>
      <c r="U618" s="594">
        <f t="shared" ref="U618:U619" si="516">+IFERROR(K618/I618-1,0)</f>
        <v>0.48620495449271828</v>
      </c>
      <c r="V618" s="594">
        <f t="shared" ref="V618:V619" si="517">+IFERROR(L618/K618-1,0)</f>
        <v>6.2822468156921385E-2</v>
      </c>
      <c r="W618" s="594">
        <f t="shared" ref="W618:W619" si="518">+IFERROR(M618/L618-1,0)</f>
        <v>3.6876679106558674E-2</v>
      </c>
      <c r="X618" s="594">
        <f t="shared" ref="X618:X619" si="519">+IFERROR(N618/M618-1,0)</f>
        <v>4.4251740445850674E-2</v>
      </c>
      <c r="Y618" s="594">
        <f t="shared" ref="Y618:Y619" si="520">+IFERROR(O618/N618-1,0)</f>
        <v>4.4251740445850452E-2</v>
      </c>
      <c r="AA618" s="594">
        <f t="shared" ref="AA618:AA619" si="521">+IFERROR(E618/E$454,0)</f>
        <v>0.1564531820112903</v>
      </c>
      <c r="AB618" s="594">
        <f t="shared" ref="AB618:AB619" si="522">+IFERROR(F618/F$454,0)</f>
        <v>0.17708348134804164</v>
      </c>
      <c r="AC618" s="594">
        <f t="shared" ref="AC618:AC619" si="523">+IFERROR(G618/G$454,0)</f>
        <v>0.17031521868139465</v>
      </c>
      <c r="AD618" s="594">
        <f t="shared" ref="AD618:AD619" si="524">+IFERROR(H618/H$454,0)</f>
        <v>0.17892448617593035</v>
      </c>
      <c r="AE618" s="594">
        <f t="shared" ref="AE618:AE619" si="525">+IFERROR(I618/I$454,0)</f>
        <v>0.12755507513743902</v>
      </c>
      <c r="AF618" s="594">
        <f t="shared" ref="AF618:AF619" si="526">+IFERROR(K618/K$454,0)</f>
        <v>0.14807116559206313</v>
      </c>
      <c r="AG618" s="594">
        <f t="shared" ref="AG618:AG619" si="527">+IFERROR(L618/L$454,0)</f>
        <v>0.1480711655920631</v>
      </c>
      <c r="AH618" s="594">
        <f t="shared" ref="AH618:AH619" si="528">+IFERROR(M618/M$454,0)</f>
        <v>0.1480711655920631</v>
      </c>
      <c r="AI618" s="594">
        <f t="shared" ref="AI618:AI619" si="529">+IFERROR(N618/N$454,0)</f>
        <v>0.14807116559206313</v>
      </c>
      <c r="AJ618" s="594">
        <f t="shared" ref="AJ618:AJ619" si="530">+IFERROR(O618/O$454,0)</f>
        <v>0.14807116559206307</v>
      </c>
      <c r="AL618" s="594">
        <f t="shared" ref="AL618:AL619" si="531">+AVERAGE(AA618:AE618)</f>
        <v>0.16206628867081921</v>
      </c>
    </row>
    <row r="619" spans="2:38" outlineLevel="1">
      <c r="B619" s="562" t="s">
        <v>2343</v>
      </c>
      <c r="C619" s="562" t="s">
        <v>368</v>
      </c>
      <c r="D619" s="572" t="s">
        <v>2228</v>
      </c>
      <c r="E619" s="664">
        <v>536257.64</v>
      </c>
      <c r="F619" s="664">
        <v>596665.31000000006</v>
      </c>
      <c r="G619" s="665">
        <v>633168.91</v>
      </c>
      <c r="H619" s="665">
        <v>768433.27</v>
      </c>
      <c r="I619" s="665">
        <v>864792.54</v>
      </c>
      <c r="J619" s="665">
        <v>495458.9</v>
      </c>
      <c r="K619" s="616">
        <f>+Personale!J6</f>
        <v>1302360.4400235738</v>
      </c>
      <c r="L619" s="616">
        <f>+Personale!K6</f>
        <v>1384177.9372957889</v>
      </c>
      <c r="M619" s="616">
        <f>+Personale!L6</f>
        <v>1435221.8229158239</v>
      </c>
      <c r="N619" s="616">
        <f>+Personale!M6</f>
        <v>1498732.8865057158</v>
      </c>
      <c r="O619" s="616">
        <f>+Personale!N6</f>
        <v>1565054.4251970269</v>
      </c>
      <c r="Q619" s="594">
        <f t="shared" si="512"/>
        <v>0.112646730776647</v>
      </c>
      <c r="R619" s="594">
        <f t="shared" si="513"/>
        <v>6.1179356983230626E-2</v>
      </c>
      <c r="S619" s="594">
        <f t="shared" si="514"/>
        <v>0.2136307671834361</v>
      </c>
      <c r="T619" s="594">
        <f t="shared" si="515"/>
        <v>0.1253970562726936</v>
      </c>
      <c r="U619" s="594">
        <f t="shared" si="516"/>
        <v>0.50598019731249511</v>
      </c>
      <c r="V619" s="594">
        <f t="shared" si="517"/>
        <v>6.2822468156921385E-2</v>
      </c>
      <c r="W619" s="594">
        <f t="shared" si="518"/>
        <v>3.6876679106558674E-2</v>
      </c>
      <c r="X619" s="594">
        <f t="shared" si="519"/>
        <v>4.4251740445850896E-2</v>
      </c>
      <c r="Y619" s="594">
        <f t="shared" si="520"/>
        <v>4.4251740445850452E-2</v>
      </c>
      <c r="AA619" s="594">
        <f t="shared" si="521"/>
        <v>2.0660991080102407E-2</v>
      </c>
      <c r="AB619" s="594">
        <f t="shared" si="522"/>
        <v>2.3842805520818539E-2</v>
      </c>
      <c r="AC619" s="594">
        <f t="shared" si="523"/>
        <v>2.3583790249802852E-2</v>
      </c>
      <c r="AD619" s="594">
        <f t="shared" si="524"/>
        <v>2.467477867042011E-2</v>
      </c>
      <c r="AE619" s="594">
        <f t="shared" si="525"/>
        <v>1.6949755186192378E-2</v>
      </c>
      <c r="AF619" s="594">
        <f t="shared" si="526"/>
        <v>1.9937777196515294E-2</v>
      </c>
      <c r="AG619" s="594">
        <f t="shared" si="527"/>
        <v>1.993777719651529E-2</v>
      </c>
      <c r="AH619" s="594">
        <f t="shared" si="528"/>
        <v>1.993777719651529E-2</v>
      </c>
      <c r="AI619" s="594">
        <f t="shared" si="529"/>
        <v>1.9937777196515294E-2</v>
      </c>
      <c r="AJ619" s="594">
        <f t="shared" si="530"/>
        <v>1.9937777196515283E-2</v>
      </c>
      <c r="AL619" s="594">
        <f t="shared" si="531"/>
        <v>2.194242414146726E-2</v>
      </c>
    </row>
    <row r="620" spans="2:38" outlineLevel="1">
      <c r="D620" s="580" t="s">
        <v>2229</v>
      </c>
      <c r="E620" s="693"/>
      <c r="F620" s="693"/>
      <c r="G620" s="690"/>
      <c r="H620" s="690">
        <v>6340581.6500000004</v>
      </c>
      <c r="I620" s="690">
        <v>7372773.1100000003</v>
      </c>
      <c r="J620" s="690">
        <v>4234396.3100000005</v>
      </c>
      <c r="K620" s="617"/>
      <c r="L620" s="617"/>
      <c r="M620" s="617"/>
      <c r="N620" s="617"/>
      <c r="O620" s="617"/>
    </row>
    <row r="621" spans="2:38" outlineLevel="1">
      <c r="B621" s="562" t="s">
        <v>2343</v>
      </c>
      <c r="C621" s="562" t="s">
        <v>368</v>
      </c>
      <c r="D621" s="572" t="s">
        <v>2230</v>
      </c>
      <c r="E621" s="664">
        <v>1221002.6299999999</v>
      </c>
      <c r="F621" s="664">
        <v>1360151.8</v>
      </c>
      <c r="G621" s="665">
        <v>1401557.23</v>
      </c>
      <c r="H621" s="665">
        <v>1740246.08</v>
      </c>
      <c r="I621" s="665">
        <v>1976563.85</v>
      </c>
      <c r="J621" s="665">
        <v>1178538.8700000001</v>
      </c>
      <c r="K621" s="616">
        <f>+Personale!J8</f>
        <v>2958517.578010228</v>
      </c>
      <c r="L621" s="616">
        <f>+Personale!K8</f>
        <v>3144378.9543464677</v>
      </c>
      <c r="M621" s="616">
        <f>+Personale!L8</f>
        <v>3260333.2080353191</v>
      </c>
      <c r="N621" s="616">
        <f>+Personale!M8</f>
        <v>3404608.6269242857</v>
      </c>
      <c r="O621" s="616">
        <f>+Personale!N8</f>
        <v>3555268.4842026429</v>
      </c>
      <c r="Q621" s="594">
        <f t="shared" ref="Q621:Q624" si="532">+IFERROR(F621/E621-1,0)</f>
        <v>0.1139630387200723</v>
      </c>
      <c r="R621" s="594">
        <f t="shared" ref="R621:R624" si="533">+IFERROR(G621/F621-1,0)</f>
        <v>3.0441771278764573E-2</v>
      </c>
      <c r="S621" s="594">
        <f t="shared" ref="S621:S624" si="534">+IFERROR(H621/G621-1,0)</f>
        <v>0.24165181610172293</v>
      </c>
      <c r="T621" s="594">
        <f t="shared" ref="T621:T624" si="535">+IFERROR(I621/H621-1,0)</f>
        <v>0.13579560541231039</v>
      </c>
      <c r="U621" s="594">
        <f t="shared" ref="U621:U624" si="536">+IFERROR(K621/I621-1,0)</f>
        <v>0.49679838473734494</v>
      </c>
      <c r="V621" s="594">
        <f t="shared" ref="V621:V624" si="537">+IFERROR(L621/K621-1,0)</f>
        <v>6.2822468156921385E-2</v>
      </c>
      <c r="W621" s="594">
        <f t="shared" ref="W621:W624" si="538">+IFERROR(M621/L621-1,0)</f>
        <v>3.6876679106558674E-2</v>
      </c>
      <c r="X621" s="594">
        <f t="shared" ref="X621:X624" si="539">+IFERROR(N621/M621-1,0)</f>
        <v>4.4251740445850674E-2</v>
      </c>
      <c r="Y621" s="594">
        <f t="shared" ref="Y621:Y624" si="540">+IFERROR(O621/N621-1,0)</f>
        <v>4.4251740445850674E-2</v>
      </c>
      <c r="AA621" s="594">
        <f t="shared" ref="AA621:AA624" si="541">+IFERROR(E621/E$454,0)</f>
        <v>4.704291848823184E-2</v>
      </c>
      <c r="AB621" s="594">
        <f t="shared" ref="AB621:AB624" si="542">+IFERROR(F621/F$454,0)</f>
        <v>5.4351802095200193E-2</v>
      </c>
      <c r="AC621" s="594">
        <f t="shared" ref="AC621:AC624" si="543">+IFERROR(G621/G$454,0)</f>
        <v>5.2204129440617503E-2</v>
      </c>
      <c r="AD621" s="594">
        <f t="shared" ref="AD621:AD624" si="544">+IFERROR(H621/H$454,0)</f>
        <v>5.5880176630127176E-2</v>
      </c>
      <c r="AE621" s="594">
        <f t="shared" ref="AE621:AE624" si="545">+IFERROR(I621/I$454,0)</f>
        <v>3.8740243258085776E-2</v>
      </c>
      <c r="AF621" s="594">
        <f t="shared" ref="AF621:AF624" si="546">+IFERROR(K621/K$454,0)</f>
        <v>4.529181207414E-2</v>
      </c>
      <c r="AG621" s="594">
        <f t="shared" ref="AG621:AG624" si="547">+IFERROR(L621/L$454,0)</f>
        <v>4.5291812074139987E-2</v>
      </c>
      <c r="AH621" s="594">
        <f t="shared" ref="AH621:AH624" si="548">+IFERROR(M621/M$454,0)</f>
        <v>4.5291812074139993E-2</v>
      </c>
      <c r="AI621" s="594">
        <f t="shared" ref="AI621:AI624" si="549">+IFERROR(N621/N$454,0)</f>
        <v>4.529181207414E-2</v>
      </c>
      <c r="AJ621" s="594">
        <f t="shared" ref="AJ621:AJ624" si="550">+IFERROR(O621/O$454,0)</f>
        <v>4.5291812074139987E-2</v>
      </c>
      <c r="AL621" s="594">
        <f t="shared" ref="AL621:AL624" si="551">+AVERAGE(AA621:AE621)</f>
        <v>4.9643853982452503E-2</v>
      </c>
    </row>
    <row r="622" spans="2:38" outlineLevel="1">
      <c r="B622" s="562" t="s">
        <v>2343</v>
      </c>
      <c r="C622" s="562" t="s">
        <v>368</v>
      </c>
      <c r="D622" s="572" t="s">
        <v>2231</v>
      </c>
      <c r="E622" s="664">
        <v>157567.59</v>
      </c>
      <c r="F622" s="664">
        <v>185379.52</v>
      </c>
      <c r="G622" s="665">
        <v>180707.96</v>
      </c>
      <c r="H622" s="665">
        <v>208623.49</v>
      </c>
      <c r="I622" s="665">
        <v>239985.63</v>
      </c>
      <c r="J622" s="665">
        <v>131466.07999999999</v>
      </c>
      <c r="K622" s="616">
        <f>+Personale!J9</f>
        <v>376011.65890901699</v>
      </c>
      <c r="L622" s="616">
        <f>+Personale!K9</f>
        <v>399633.63937745994</v>
      </c>
      <c r="M622" s="616">
        <f>+Personale!L9</f>
        <v>414370.80085696874</v>
      </c>
      <c r="N622" s="616">
        <f>+Personale!M9</f>
        <v>432707.42998483061</v>
      </c>
      <c r="O622" s="616">
        <f>+Personale!N9</f>
        <v>451855.48686551041</v>
      </c>
      <c r="Q622" s="594">
        <f t="shared" si="532"/>
        <v>0.1765079354199679</v>
      </c>
      <c r="R622" s="594">
        <f t="shared" si="533"/>
        <v>-2.5199978940499967E-2</v>
      </c>
      <c r="S622" s="594">
        <f t="shared" si="534"/>
        <v>0.15447869590249375</v>
      </c>
      <c r="T622" s="594">
        <f t="shared" si="535"/>
        <v>0.15032890112230413</v>
      </c>
      <c r="U622" s="594">
        <f t="shared" si="536"/>
        <v>0.56680905814659388</v>
      </c>
      <c r="V622" s="594">
        <f t="shared" si="537"/>
        <v>6.2822468156921607E-2</v>
      </c>
      <c r="W622" s="594">
        <f t="shared" si="538"/>
        <v>3.6876679106558674E-2</v>
      </c>
      <c r="X622" s="594">
        <f t="shared" si="539"/>
        <v>4.4251740445850674E-2</v>
      </c>
      <c r="Y622" s="594">
        <f t="shared" si="540"/>
        <v>4.4251740445850674E-2</v>
      </c>
      <c r="AA622" s="594">
        <f t="shared" si="541"/>
        <v>6.0707807752692026E-3</v>
      </c>
      <c r="AB622" s="594">
        <f t="shared" si="542"/>
        <v>7.4077841778713268E-3</v>
      </c>
      <c r="AC622" s="594">
        <f t="shared" si="543"/>
        <v>6.7308715854506561E-3</v>
      </c>
      <c r="AD622" s="594">
        <f t="shared" si="544"/>
        <v>6.6990051604618869E-3</v>
      </c>
      <c r="AE622" s="594">
        <f t="shared" si="545"/>
        <v>4.7036687859311841E-3</v>
      </c>
      <c r="AF622" s="594">
        <f t="shared" si="546"/>
        <v>5.7563455155965788E-3</v>
      </c>
      <c r="AG622" s="594">
        <f t="shared" si="547"/>
        <v>5.756345515596578E-3</v>
      </c>
      <c r="AH622" s="594">
        <f t="shared" si="548"/>
        <v>5.756345515596578E-3</v>
      </c>
      <c r="AI622" s="594">
        <f t="shared" si="549"/>
        <v>5.7563455155965797E-3</v>
      </c>
      <c r="AJ622" s="594">
        <f t="shared" si="550"/>
        <v>5.756345515596578E-3</v>
      </c>
      <c r="AL622" s="594">
        <f t="shared" si="551"/>
        <v>6.3224220969968518E-3</v>
      </c>
    </row>
    <row r="623" spans="2:38" outlineLevel="1">
      <c r="B623" s="562" t="s">
        <v>2343</v>
      </c>
      <c r="C623" s="562" t="s">
        <v>368</v>
      </c>
      <c r="D623" s="572" t="s">
        <v>2232</v>
      </c>
      <c r="E623" s="664">
        <v>361003</v>
      </c>
      <c r="F623" s="664">
        <v>319767.59000000003</v>
      </c>
      <c r="G623" s="665">
        <v>325497</v>
      </c>
      <c r="H623" s="665">
        <v>484523.99</v>
      </c>
      <c r="I623" s="665">
        <v>605638.06999999995</v>
      </c>
      <c r="J623" s="665">
        <v>371914.17</v>
      </c>
      <c r="K623" s="616">
        <f>+Personale!J10</f>
        <v>797220.85406672442</v>
      </c>
      <c r="L623" s="616">
        <f>+Personale!K10</f>
        <v>847304.2357853651</v>
      </c>
      <c r="M623" s="616">
        <f>+Personale!L10</f>
        <v>878550.00219404977</v>
      </c>
      <c r="N623" s="616">
        <f>+Personale!M10</f>
        <v>917427.36885984254</v>
      </c>
      <c r="O623" s="616">
        <f>+Personale!N10</f>
        <v>958025.12666454783</v>
      </c>
      <c r="Q623" s="594">
        <f t="shared" si="532"/>
        <v>-0.11422456323077645</v>
      </c>
      <c r="R623" s="594">
        <f t="shared" si="533"/>
        <v>1.7917419335711893E-2</v>
      </c>
      <c r="S623" s="594">
        <f t="shared" si="534"/>
        <v>0.4885666841783487</v>
      </c>
      <c r="T623" s="594">
        <f t="shared" si="535"/>
        <v>0.24996508428818975</v>
      </c>
      <c r="U623" s="594">
        <f t="shared" si="536"/>
        <v>0.31633213557186801</v>
      </c>
      <c r="V623" s="594">
        <f t="shared" si="537"/>
        <v>6.2822468156921607E-2</v>
      </c>
      <c r="W623" s="594">
        <f t="shared" si="538"/>
        <v>3.6876679106558452E-2</v>
      </c>
      <c r="X623" s="594">
        <f t="shared" si="539"/>
        <v>4.4251740445850896E-2</v>
      </c>
      <c r="Y623" s="594">
        <f t="shared" si="540"/>
        <v>4.4251740445850452E-2</v>
      </c>
      <c r="AA623" s="594">
        <f t="shared" si="541"/>
        <v>1.3908761771469044E-2</v>
      </c>
      <c r="AB623" s="594">
        <f t="shared" si="542"/>
        <v>1.2777944908898491E-2</v>
      </c>
      <c r="AC623" s="594">
        <f t="shared" si="543"/>
        <v>1.2123862769794049E-2</v>
      </c>
      <c r="AD623" s="594">
        <f t="shared" si="544"/>
        <v>1.5558308939120824E-2</v>
      </c>
      <c r="AE623" s="594">
        <f t="shared" si="545"/>
        <v>1.1870381095028922E-2</v>
      </c>
      <c r="AF623" s="594">
        <f t="shared" si="546"/>
        <v>1.2204618073711052E-2</v>
      </c>
      <c r="AG623" s="594">
        <f t="shared" si="547"/>
        <v>1.220461807371105E-2</v>
      </c>
      <c r="AH623" s="594">
        <f t="shared" si="548"/>
        <v>1.2204618073711048E-2</v>
      </c>
      <c r="AI623" s="594">
        <f t="shared" si="549"/>
        <v>1.2204618073711053E-2</v>
      </c>
      <c r="AJ623" s="594">
        <f t="shared" si="550"/>
        <v>1.2204618073711048E-2</v>
      </c>
      <c r="AL623" s="594">
        <f t="shared" si="551"/>
        <v>1.3247851896862266E-2</v>
      </c>
    </row>
    <row r="624" spans="2:38" outlineLevel="1">
      <c r="B624" s="562" t="s">
        <v>2343</v>
      </c>
      <c r="C624" s="562" t="s">
        <v>368</v>
      </c>
      <c r="D624" s="572" t="s">
        <v>2233</v>
      </c>
      <c r="E624" s="664">
        <v>0</v>
      </c>
      <c r="F624" s="664">
        <v>2308.77</v>
      </c>
      <c r="G624" s="665">
        <v>3266.87</v>
      </c>
      <c r="H624" s="665">
        <v>3775.58</v>
      </c>
      <c r="I624" s="665">
        <v>4662.0600000000004</v>
      </c>
      <c r="J624" s="665">
        <v>2680.4</v>
      </c>
      <c r="K624" s="616">
        <f>+Personale!J11</f>
        <v>5080.1580945391888</v>
      </c>
      <c r="L624" s="616">
        <f>+Personale!K11</f>
        <v>5399.3061646655042</v>
      </c>
      <c r="M624" s="616">
        <f>+Personale!L11</f>
        <v>5598.4146454979382</v>
      </c>
      <c r="N624" s="616">
        <f>+Personale!M11</f>
        <v>5846.1542372987615</v>
      </c>
      <c r="O624" s="616">
        <f>+Personale!N11</f>
        <v>6104.8567372141169</v>
      </c>
      <c r="Q624" s="594">
        <f t="shared" si="532"/>
        <v>0</v>
      </c>
      <c r="R624" s="594">
        <f t="shared" si="533"/>
        <v>0.41498286966653231</v>
      </c>
      <c r="S624" s="594">
        <f t="shared" si="534"/>
        <v>0.15571785837820307</v>
      </c>
      <c r="T624" s="594">
        <f t="shared" si="535"/>
        <v>0.23479306490658391</v>
      </c>
      <c r="U624" s="594">
        <f t="shared" si="536"/>
        <v>8.9680976765461606E-2</v>
      </c>
      <c r="V624" s="594">
        <f t="shared" si="537"/>
        <v>6.2822468156921607E-2</v>
      </c>
      <c r="W624" s="594">
        <f t="shared" si="538"/>
        <v>3.6876679106558674E-2</v>
      </c>
      <c r="X624" s="594">
        <f t="shared" si="539"/>
        <v>4.4251740445850674E-2</v>
      </c>
      <c r="Y624" s="594">
        <f t="shared" si="540"/>
        <v>4.4251740445850674E-2</v>
      </c>
      <c r="AA624" s="594">
        <f t="shared" si="541"/>
        <v>0</v>
      </c>
      <c r="AB624" s="594">
        <f t="shared" si="542"/>
        <v>9.2258680335044482E-5</v>
      </c>
      <c r="AC624" s="594">
        <f t="shared" si="543"/>
        <v>1.2168186977685535E-4</v>
      </c>
      <c r="AD624" s="594">
        <f t="shared" si="544"/>
        <v>1.2123577217376956E-4</v>
      </c>
      <c r="AE624" s="594">
        <f t="shared" si="545"/>
        <v>9.1375413186774304E-5</v>
      </c>
      <c r="AF624" s="594">
        <f t="shared" si="546"/>
        <v>7.7771910985074646E-5</v>
      </c>
      <c r="AG624" s="594">
        <f t="shared" si="547"/>
        <v>7.7771910985074632E-5</v>
      </c>
      <c r="AH624" s="594">
        <f t="shared" si="548"/>
        <v>7.7771910985074646E-5</v>
      </c>
      <c r="AI624" s="594">
        <f t="shared" si="549"/>
        <v>7.7771910985074646E-5</v>
      </c>
      <c r="AJ624" s="594">
        <f t="shared" si="550"/>
        <v>7.7771910985074632E-5</v>
      </c>
      <c r="AL624" s="594">
        <f t="shared" si="551"/>
        <v>8.5310347094488725E-5</v>
      </c>
    </row>
    <row r="625" spans="2:38" outlineLevel="1">
      <c r="D625" s="580" t="s">
        <v>2234</v>
      </c>
      <c r="E625" s="693"/>
      <c r="F625" s="693"/>
      <c r="G625" s="690"/>
      <c r="H625" s="690">
        <v>2437169.14</v>
      </c>
      <c r="I625" s="690">
        <v>2826849.61</v>
      </c>
      <c r="J625" s="690">
        <v>1684599.52</v>
      </c>
      <c r="K625" s="617"/>
      <c r="L625" s="617"/>
      <c r="M625" s="617"/>
      <c r="N625" s="617"/>
      <c r="O625" s="617"/>
    </row>
    <row r="626" spans="2:38" outlineLevel="1">
      <c r="B626" s="562" t="s">
        <v>2343</v>
      </c>
      <c r="C626" s="562" t="s">
        <v>368</v>
      </c>
      <c r="D626" s="572" t="s">
        <v>2235</v>
      </c>
      <c r="E626" s="664">
        <v>298606.05</v>
      </c>
      <c r="F626" s="664">
        <v>325959.40000000002</v>
      </c>
      <c r="G626" s="665">
        <v>346566.52</v>
      </c>
      <c r="H626" s="665">
        <v>401329.54</v>
      </c>
      <c r="I626" s="665">
        <v>545778.51</v>
      </c>
      <c r="J626" s="665">
        <v>250193.97</v>
      </c>
      <c r="K626" s="616">
        <f>+Personale!J13</f>
        <v>732395.20582308085</v>
      </c>
      <c r="L626" s="616">
        <f>+Personale!K13</f>
        <v>778406.08031918341</v>
      </c>
      <c r="M626" s="616">
        <f>+Personale!L13</f>
        <v>807111.11155770801</v>
      </c>
      <c r="N626" s="616">
        <f>+Personale!M13</f>
        <v>842827.18297732167</v>
      </c>
      <c r="O626" s="616">
        <f>+Personale!N13</f>
        <v>880123.75271914154</v>
      </c>
      <c r="Q626" s="594">
        <f t="shared" ref="Q626:Q627" si="552">+IFERROR(F626/E626-1,0)</f>
        <v>9.1603468851351177E-2</v>
      </c>
      <c r="R626" s="594">
        <f t="shared" ref="R626:R627" si="553">+IFERROR(G626/F626-1,0)</f>
        <v>6.3219897938209479E-2</v>
      </c>
      <c r="S626" s="594">
        <f t="shared" ref="S626:S627" si="554">+IFERROR(H626/G626-1,0)</f>
        <v>0.15801589836202279</v>
      </c>
      <c r="T626" s="594">
        <f t="shared" ref="T626:T627" si="555">+IFERROR(I626/H626-1,0)</f>
        <v>0.35992608468342513</v>
      </c>
      <c r="U626" s="594">
        <f t="shared" ref="U626:U627" si="556">+IFERROR(K626/I626-1,0)</f>
        <v>0.3419275262836583</v>
      </c>
      <c r="V626" s="594">
        <f t="shared" ref="V626:V627" si="557">+IFERROR(L626/K626-1,0)</f>
        <v>6.2822468156921607E-2</v>
      </c>
      <c r="W626" s="594">
        <f t="shared" ref="W626:W627" si="558">+IFERROR(M626/L626-1,0)</f>
        <v>3.6876679106558674E-2</v>
      </c>
      <c r="X626" s="594">
        <f t="shared" ref="X626:X627" si="559">+IFERROR(N626/M626-1,0)</f>
        <v>4.4251740445850674E-2</v>
      </c>
      <c r="Y626" s="594">
        <f t="shared" ref="Y626:Y627" si="560">+IFERROR(O626/N626-1,0)</f>
        <v>4.4251740445850674E-2</v>
      </c>
      <c r="AA626" s="594">
        <f t="shared" ref="AA626:AA627" si="561">+IFERROR(E626/E$454,0)</f>
        <v>1.1504725481420857E-2</v>
      </c>
      <c r="AB626" s="594">
        <f t="shared" ref="AB626:AB627" si="562">+IFERROR(F626/F$454,0)</f>
        <v>1.3025370256371531E-2</v>
      </c>
      <c r="AC626" s="594">
        <f t="shared" ref="AC626:AC627" si="563">+IFERROR(G626/G$454,0)</f>
        <v>1.2908644101435912E-2</v>
      </c>
      <c r="AD626" s="594">
        <f t="shared" ref="AD626:AD627" si="564">+IFERROR(H626/H$454,0)</f>
        <v>1.2886893319183737E-2</v>
      </c>
      <c r="AE626" s="594">
        <f t="shared" ref="AE626:AE627" si="565">+IFERROR(I626/I$454,0)</f>
        <v>1.0697146081284246E-2</v>
      </c>
      <c r="AF626" s="594">
        <f t="shared" ref="AF626:AF627" si="566">+IFERROR(K626/K$454,0)</f>
        <v>1.1212205150543603E-2</v>
      </c>
      <c r="AG626" s="594">
        <f t="shared" ref="AG626:AG627" si="567">+IFERROR(L626/L$454,0)</f>
        <v>1.1212205150543603E-2</v>
      </c>
      <c r="AH626" s="594">
        <f t="shared" ref="AH626:AH627" si="568">+IFERROR(M626/M$454,0)</f>
        <v>1.1212205150543603E-2</v>
      </c>
      <c r="AI626" s="594">
        <f t="shared" ref="AI626:AI627" si="569">+IFERROR(N626/N$454,0)</f>
        <v>1.1212205150543603E-2</v>
      </c>
      <c r="AJ626" s="594">
        <f t="shared" ref="AJ626:AJ627" si="570">+IFERROR(O626/O$454,0)</f>
        <v>1.12122051505436E-2</v>
      </c>
      <c r="AL626" s="594">
        <f t="shared" ref="AL626:AL627" si="571">+AVERAGE(AA626:AE626)</f>
        <v>1.2204555847939256E-2</v>
      </c>
    </row>
    <row r="627" spans="2:38" outlineLevel="1">
      <c r="B627" s="562" t="s">
        <v>2343</v>
      </c>
      <c r="C627" s="562" t="s">
        <v>368</v>
      </c>
      <c r="D627" s="572" t="s">
        <v>2236</v>
      </c>
      <c r="E627" s="664">
        <v>10098.44</v>
      </c>
      <c r="F627" s="664">
        <v>13946.15</v>
      </c>
      <c r="G627" s="665">
        <v>24259.42</v>
      </c>
      <c r="H627" s="665">
        <v>48876.37</v>
      </c>
      <c r="I627" s="665">
        <v>48271.63</v>
      </c>
      <c r="J627" s="665">
        <v>25721.24</v>
      </c>
      <c r="K627" s="616">
        <f>+Personale!J14</f>
        <v>52428.213225781888</v>
      </c>
      <c r="L627" s="616">
        <f>+Personale!K14</f>
        <v>55721.882981682858</v>
      </c>
      <c r="M627" s="616">
        <f>+Personale!L14</f>
        <v>57776.720979611586</v>
      </c>
      <c r="N627" s="616">
        <f>+Personale!M14</f>
        <v>60333.441440213697</v>
      </c>
      <c r="O627" s="616">
        <f>+Personale!N14</f>
        <v>63003.301231030964</v>
      </c>
      <c r="Q627" s="594">
        <f t="shared" si="552"/>
        <v>0.38102023678904851</v>
      </c>
      <c r="R627" s="594">
        <f t="shared" si="553"/>
        <v>0.7395066021805301</v>
      </c>
      <c r="S627" s="594">
        <f t="shared" si="554"/>
        <v>1.0147377802107389</v>
      </c>
      <c r="T627" s="594">
        <f t="shared" si="555"/>
        <v>-1.2372850111413869E-2</v>
      </c>
      <c r="U627" s="594">
        <f t="shared" si="556"/>
        <v>8.6108201148001218E-2</v>
      </c>
      <c r="V627" s="594">
        <f t="shared" si="557"/>
        <v>6.2822468156921385E-2</v>
      </c>
      <c r="W627" s="594">
        <f t="shared" si="558"/>
        <v>3.6876679106558674E-2</v>
      </c>
      <c r="X627" s="594">
        <f t="shared" si="559"/>
        <v>4.4251740445850674E-2</v>
      </c>
      <c r="Y627" s="594">
        <f t="shared" si="560"/>
        <v>4.4251740445850674E-2</v>
      </c>
      <c r="AA627" s="594">
        <f t="shared" si="561"/>
        <v>3.8907376454897565E-4</v>
      </c>
      <c r="AB627" s="594">
        <f t="shared" si="562"/>
        <v>5.5728955017372048E-4</v>
      </c>
      <c r="AC627" s="594">
        <f t="shared" si="563"/>
        <v>9.0359628185450902E-4</v>
      </c>
      <c r="AD627" s="594">
        <f t="shared" si="564"/>
        <v>1.569444815896065E-3</v>
      </c>
      <c r="AE627" s="594">
        <f t="shared" si="565"/>
        <v>9.4611397889540023E-4</v>
      </c>
      <c r="AF627" s="594">
        <f t="shared" si="566"/>
        <v>8.0262115001597783E-4</v>
      </c>
      <c r="AG627" s="594">
        <f t="shared" si="567"/>
        <v>8.0262115001597761E-4</v>
      </c>
      <c r="AH627" s="594">
        <f t="shared" si="568"/>
        <v>8.0262115001597761E-4</v>
      </c>
      <c r="AI627" s="594">
        <f t="shared" si="569"/>
        <v>8.0262115001597783E-4</v>
      </c>
      <c r="AJ627" s="594">
        <f t="shared" si="570"/>
        <v>8.0262115001597761E-4</v>
      </c>
      <c r="AL627" s="594">
        <f t="shared" si="571"/>
        <v>8.7310367827373413E-4</v>
      </c>
    </row>
    <row r="628" spans="2:38" outlineLevel="1">
      <c r="D628" s="580" t="s">
        <v>2237</v>
      </c>
      <c r="E628" s="693"/>
      <c r="F628" s="693"/>
      <c r="G628" s="690"/>
      <c r="H628" s="690">
        <v>450205.91</v>
      </c>
      <c r="I628" s="690">
        <v>594050.14</v>
      </c>
      <c r="J628" s="690">
        <v>275915.21000000002</v>
      </c>
      <c r="K628" s="617"/>
      <c r="L628" s="617"/>
      <c r="M628" s="617"/>
      <c r="N628" s="617"/>
      <c r="O628" s="617"/>
    </row>
    <row r="629" spans="2:38" outlineLevel="1">
      <c r="B629" s="562" t="s">
        <v>2343</v>
      </c>
      <c r="C629" s="562" t="s">
        <v>368</v>
      </c>
      <c r="D629" s="572" t="s">
        <v>2238</v>
      </c>
      <c r="E629" s="664">
        <v>17549.68</v>
      </c>
      <c r="F629" s="664">
        <v>20383.64</v>
      </c>
      <c r="G629" s="665">
        <v>25288.55</v>
      </c>
      <c r="H629" s="665">
        <v>30947.32</v>
      </c>
      <c r="I629" s="665">
        <v>35707.24</v>
      </c>
      <c r="J629" s="665">
        <v>21309.02</v>
      </c>
      <c r="K629" s="616">
        <f>+Personale!J16</f>
        <v>49282.986184872221</v>
      </c>
      <c r="L629" s="616">
        <f>+Personale!K16</f>
        <v>52379.065015149354</v>
      </c>
      <c r="M629" s="616">
        <f>+Personale!L16</f>
        <v>54310.63098761459</v>
      </c>
      <c r="N629" s="616">
        <f>+Personale!M16</f>
        <v>56713.970933528886</v>
      </c>
      <c r="O629" s="616">
        <f>+Personale!N16</f>
        <v>59223.662854932925</v>
      </c>
      <c r="Q629" s="594">
        <f t="shared" ref="Q629" si="572">+IFERROR(F629/E629-1,0)</f>
        <v>0.1614821466830163</v>
      </c>
      <c r="R629" s="594">
        <f t="shared" ref="R629" si="573">+IFERROR(G629/F629-1,0)</f>
        <v>0.24062974032115947</v>
      </c>
      <c r="S629" s="594">
        <f t="shared" ref="S629" si="574">+IFERROR(H629/G629-1,0)</f>
        <v>0.22376806894820001</v>
      </c>
      <c r="T629" s="594">
        <f t="shared" ref="T629" si="575">+IFERROR(I629/H629-1,0)</f>
        <v>0.15380717942619904</v>
      </c>
      <c r="U629" s="594">
        <f t="shared" ref="U629" si="576">+IFERROR(K629/I629-1,0)</f>
        <v>0.38019589822322386</v>
      </c>
      <c r="V629" s="594">
        <f t="shared" ref="V629" si="577">+IFERROR(L629/K629-1,0)</f>
        <v>6.2822468156921385E-2</v>
      </c>
      <c r="W629" s="594">
        <f t="shared" ref="W629" si="578">+IFERROR(M629/L629-1,0)</f>
        <v>3.6876679106558674E-2</v>
      </c>
      <c r="X629" s="594">
        <f t="shared" ref="X629" si="579">+IFERROR(N629/M629-1,0)</f>
        <v>4.4251740445850674E-2</v>
      </c>
      <c r="Y629" s="594">
        <f t="shared" ref="Y629" si="580">+IFERROR(O629/N629-1,0)</f>
        <v>4.4251740445850674E-2</v>
      </c>
      <c r="AA629" s="594">
        <f t="shared" ref="AA629" si="581">+IFERROR(E629/E$454,0)</f>
        <v>6.7615592747294296E-4</v>
      </c>
      <c r="AB629" s="594">
        <f t="shared" ref="AB629" si="582">+IFERROR(F629/F$454,0)</f>
        <v>8.145322950422199E-4</v>
      </c>
      <c r="AC629" s="594">
        <f t="shared" ref="AC629" si="583">+IFERROR(G629/G$454,0)</f>
        <v>9.4192852728926929E-4</v>
      </c>
      <c r="AD629" s="594">
        <f t="shared" ref="AD629" si="584">+IFERROR(H629/H$454,0)</f>
        <v>9.9373400561204948E-4</v>
      </c>
      <c r="AE629" s="594">
        <f t="shared" ref="AE629" si="585">+IFERROR(I629/I$454,0)</f>
        <v>6.998545297056053E-4</v>
      </c>
      <c r="AF629" s="594">
        <f t="shared" ref="AF629" si="586">+IFERROR(K629/K$454,0)</f>
        <v>7.5447101120112178E-4</v>
      </c>
      <c r="AG629" s="594">
        <f t="shared" ref="AG629" si="587">+IFERROR(L629/L$454,0)</f>
        <v>7.5447101120112157E-4</v>
      </c>
      <c r="AH629" s="594">
        <f t="shared" ref="AH629" si="588">+IFERROR(M629/M$454,0)</f>
        <v>7.5447101120112168E-4</v>
      </c>
      <c r="AI629" s="594">
        <f t="shared" ref="AI629" si="589">+IFERROR(N629/N$454,0)</f>
        <v>7.5447101120112178E-4</v>
      </c>
      <c r="AJ629" s="594">
        <f t="shared" ref="AJ629" si="590">+IFERROR(O629/O$454,0)</f>
        <v>7.5447101120112157E-4</v>
      </c>
      <c r="AL629" s="594">
        <f>+AVERAGE(AA629:AE629)</f>
        <v>8.2524105702441752E-4</v>
      </c>
    </row>
    <row r="630" spans="2:38" outlineLevel="1">
      <c r="D630" s="580" t="s">
        <v>2239</v>
      </c>
      <c r="E630" s="693"/>
      <c r="F630" s="693"/>
      <c r="G630" s="690"/>
      <c r="H630" s="690">
        <v>30947.32</v>
      </c>
      <c r="I630" s="690">
        <v>35707.24</v>
      </c>
      <c r="J630" s="690">
        <v>21309.02</v>
      </c>
      <c r="K630" s="617"/>
      <c r="L630" s="617"/>
      <c r="M630" s="617"/>
      <c r="N630" s="617"/>
      <c r="O630" s="617"/>
    </row>
    <row r="631" spans="2:38" outlineLevel="1">
      <c r="B631" s="562" t="s">
        <v>2343</v>
      </c>
      <c r="C631" s="1518" t="s">
        <v>368</v>
      </c>
      <c r="D631" s="572" t="s">
        <v>2240</v>
      </c>
      <c r="E631" s="664">
        <v>161153.22</v>
      </c>
      <c r="F631" s="664">
        <v>77257.97</v>
      </c>
      <c r="G631" s="665">
        <v>92589.759999999995</v>
      </c>
      <c r="H631" s="665">
        <v>98441.09</v>
      </c>
      <c r="I631" s="665">
        <v>264666.55</v>
      </c>
      <c r="J631" s="665">
        <v>150716.48000000001</v>
      </c>
      <c r="K631" s="616">
        <f>+Personale!J18</f>
        <v>262578.5146202856</v>
      </c>
      <c r="L631" s="616">
        <f>+Personale!K18</f>
        <v>279074.34499371023</v>
      </c>
      <c r="M631" s="616">
        <f>+Personale!L18</f>
        <v>289365.68006091635</v>
      </c>
      <c r="N631" s="616">
        <f>+Personale!M18</f>
        <v>302170.61502890906</v>
      </c>
      <c r="O631" s="616">
        <f>+Personale!N18</f>
        <v>315542.19065553142</v>
      </c>
      <c r="Q631" s="594">
        <f t="shared" ref="Q631" si="591">+IFERROR(F631/E631-1,0)</f>
        <v>-0.52059307285327594</v>
      </c>
      <c r="R631" s="594">
        <f t="shared" ref="R631" si="592">+IFERROR(G631/F631-1,0)</f>
        <v>0.1984492991467417</v>
      </c>
      <c r="S631" s="594">
        <f t="shared" ref="S631" si="593">+IFERROR(H631/G631-1,0)</f>
        <v>6.319629730112708E-2</v>
      </c>
      <c r="T631" s="594">
        <f t="shared" ref="T631" si="594">+IFERROR(I631/H631-1,0)</f>
        <v>1.6885780114787434</v>
      </c>
      <c r="U631" s="594">
        <f t="shared" ref="U631" si="595">+IFERROR(K631/I631-1,0)</f>
        <v>-7.8893059198995585E-3</v>
      </c>
      <c r="V631" s="594">
        <f t="shared" ref="V631" si="596">+IFERROR(L631/K631-1,0)</f>
        <v>6.2822468156921385E-2</v>
      </c>
      <c r="W631" s="594">
        <f t="shared" ref="W631" si="597">+IFERROR(M631/L631-1,0)</f>
        <v>3.6876679106558674E-2</v>
      </c>
      <c r="X631" s="594">
        <f t="shared" ref="X631" si="598">+IFERROR(N631/M631-1,0)</f>
        <v>4.4251740445850674E-2</v>
      </c>
      <c r="Y631" s="594">
        <f t="shared" ref="Y631" si="599">+IFERROR(O631/N631-1,0)</f>
        <v>4.4251740445850674E-2</v>
      </c>
      <c r="AA631" s="594">
        <f t="shared" ref="AA631" si="600">+IFERROR(E631/E$454,0)</f>
        <v>6.2089283072028221E-3</v>
      </c>
      <c r="AB631" s="594">
        <f t="shared" ref="AB631" si="601">+IFERROR(F631/F$454,0)</f>
        <v>3.0872362156318975E-3</v>
      </c>
      <c r="AC631" s="594">
        <f t="shared" ref="AC631" si="602">+IFERROR(G631/G$454,0)</f>
        <v>3.4487124124897195E-3</v>
      </c>
      <c r="AD631" s="594">
        <f t="shared" ref="AD631" si="603">+IFERROR(H631/H$454,0)</f>
        <v>3.1609928963967243E-3</v>
      </c>
      <c r="AE631" s="594">
        <f t="shared" ref="AE631" si="604">+IFERROR(I631/I$454,0)</f>
        <v>5.1874097208032622E-3</v>
      </c>
      <c r="AF631" s="594">
        <f t="shared" ref="AF631" si="605">+IFERROR(K631/K$454,0)</f>
        <v>4.0198026292908792E-3</v>
      </c>
      <c r="AG631" s="594">
        <f t="shared" ref="AG631" si="606">+IFERROR(L631/L$454,0)</f>
        <v>4.0198026292908784E-3</v>
      </c>
      <c r="AH631" s="594">
        <f t="shared" ref="AH631" si="607">+IFERROR(M631/M$454,0)</f>
        <v>4.0198026292908784E-3</v>
      </c>
      <c r="AI631" s="594">
        <f t="shared" ref="AI631" si="608">+IFERROR(N631/N$454,0)</f>
        <v>4.0198026292908792E-3</v>
      </c>
      <c r="AJ631" s="594">
        <f t="shared" ref="AJ631" si="609">+IFERROR(O631/O$454,0)</f>
        <v>4.0198026292908784E-3</v>
      </c>
      <c r="AL631" s="594">
        <f>+AVERAGE(AA631:AE631)</f>
        <v>4.218655910504885E-3</v>
      </c>
    </row>
    <row r="632" spans="2:38" outlineLevel="1">
      <c r="D632" s="580" t="s">
        <v>2241</v>
      </c>
      <c r="E632" s="693"/>
      <c r="F632" s="693"/>
      <c r="G632" s="690"/>
      <c r="H632" s="690">
        <v>98441.09</v>
      </c>
      <c r="I632" s="690">
        <v>264666.55</v>
      </c>
      <c r="J632" s="690">
        <v>150716.48000000001</v>
      </c>
      <c r="K632" s="617"/>
      <c r="L632" s="617"/>
      <c r="M632" s="617"/>
      <c r="N632" s="617"/>
      <c r="O632" s="617"/>
    </row>
    <row r="633" spans="2:38" outlineLevel="1">
      <c r="D633" s="576" t="s">
        <v>2242</v>
      </c>
      <c r="E633" s="678">
        <f t="shared" ref="E633:H633" si="610">+E632+E630+E628+E625+E620</f>
        <v>0</v>
      </c>
      <c r="F633" s="678">
        <f t="shared" si="610"/>
        <v>0</v>
      </c>
      <c r="G633" s="678">
        <f t="shared" si="610"/>
        <v>0</v>
      </c>
      <c r="H633" s="678">
        <f t="shared" si="610"/>
        <v>9357345.1099999994</v>
      </c>
      <c r="I633" s="678">
        <v>11094046.65</v>
      </c>
      <c r="J633" s="678">
        <v>6366936.540000001</v>
      </c>
      <c r="K633" s="625"/>
      <c r="L633" s="625"/>
      <c r="M633" s="625"/>
      <c r="N633" s="625"/>
      <c r="O633" s="625"/>
    </row>
    <row r="634" spans="2:38" outlineLevel="1">
      <c r="D634" s="568" t="s">
        <v>2243</v>
      </c>
      <c r="E634" s="660"/>
      <c r="F634" s="660"/>
      <c r="G634" s="657"/>
      <c r="H634" s="657"/>
      <c r="I634" s="657"/>
      <c r="J634" s="657"/>
      <c r="K634" s="626"/>
      <c r="L634" s="626"/>
      <c r="M634" s="626"/>
      <c r="N634" s="626"/>
      <c r="O634" s="626"/>
    </row>
    <row r="635" spans="2:38" outlineLevel="1">
      <c r="B635" s="562" t="s">
        <v>2343</v>
      </c>
      <c r="C635" s="562" t="s">
        <v>374</v>
      </c>
      <c r="D635" s="572" t="s">
        <v>2244</v>
      </c>
      <c r="E635" s="664">
        <v>0</v>
      </c>
      <c r="F635" s="664"/>
      <c r="G635" s="665">
        <v>0</v>
      </c>
      <c r="H635" s="665">
        <v>160000</v>
      </c>
      <c r="I635" s="665">
        <v>400000</v>
      </c>
      <c r="J635" s="665">
        <v>198356.16</v>
      </c>
      <c r="K635" s="616"/>
      <c r="L635" s="616"/>
      <c r="M635" s="616"/>
      <c r="N635" s="616"/>
      <c r="O635" s="616"/>
      <c r="Q635" s="594">
        <f t="shared" ref="Q635:Q636" si="611">+IFERROR(F635/E635-1,0)</f>
        <v>0</v>
      </c>
      <c r="R635" s="594">
        <f t="shared" ref="R635:R636" si="612">+IFERROR(G635/F635-1,0)</f>
        <v>0</v>
      </c>
      <c r="S635" s="594">
        <f t="shared" ref="S635:S636" si="613">+IFERROR(H635/G635-1,0)</f>
        <v>0</v>
      </c>
      <c r="T635" s="594">
        <f t="shared" ref="T635:T636" si="614">+IFERROR(I635/H635-1,0)</f>
        <v>1.5</v>
      </c>
      <c r="U635" s="594">
        <f t="shared" ref="U635:U636" si="615">+IFERROR(K635/I635-1,0)</f>
        <v>-1</v>
      </c>
      <c r="V635" s="594">
        <f t="shared" ref="V635:V636" si="616">+IFERROR(L635/K635-1,0)</f>
        <v>0</v>
      </c>
      <c r="W635" s="594">
        <f t="shared" ref="W635:W636" si="617">+IFERROR(M635/L635-1,0)</f>
        <v>0</v>
      </c>
      <c r="X635" s="594">
        <f t="shared" ref="X635:X636" si="618">+IFERROR(N635/M635-1,0)</f>
        <v>0</v>
      </c>
      <c r="Y635" s="594">
        <f t="shared" ref="Y635:Y636" si="619">+IFERROR(O635/N635-1,0)</f>
        <v>0</v>
      </c>
      <c r="AA635" s="594">
        <f t="shared" ref="AA635:AA636" si="620">+IFERROR(E635/E$454,0)</f>
        <v>0</v>
      </c>
      <c r="AB635" s="594">
        <f t="shared" ref="AB635:AB636" si="621">+IFERROR(F635/F$454,0)</f>
        <v>0</v>
      </c>
      <c r="AC635" s="594">
        <f t="shared" ref="AC635:AC636" si="622">+IFERROR(G635/G$454,0)</f>
        <v>0</v>
      </c>
      <c r="AD635" s="594">
        <f t="shared" ref="AD635:AD636" si="623">+IFERROR(H635/H$454,0)</f>
        <v>5.1376804485146997E-3</v>
      </c>
      <c r="AE635" s="594">
        <f t="shared" ref="AE635:AE636" si="624">+IFERROR(I635/I$454,0)</f>
        <v>7.8399173916057965E-3</v>
      </c>
      <c r="AF635" s="594">
        <f t="shared" ref="AF635:AF636" si="625">+IFERROR(K635/K$454,0)</f>
        <v>0</v>
      </c>
      <c r="AG635" s="594">
        <f t="shared" ref="AG635:AG636" si="626">+IFERROR(L635/L$454,0)</f>
        <v>0</v>
      </c>
      <c r="AH635" s="594">
        <f t="shared" ref="AH635:AH636" si="627">+IFERROR(M635/M$454,0)</f>
        <v>0</v>
      </c>
      <c r="AI635" s="594">
        <f t="shared" ref="AI635:AI636" si="628">+IFERROR(N635/N$454,0)</f>
        <v>0</v>
      </c>
      <c r="AJ635" s="594">
        <f t="shared" ref="AJ635:AJ636" si="629">+IFERROR(O635/O$454,0)</f>
        <v>0</v>
      </c>
      <c r="AL635" s="594">
        <f t="shared" ref="AL635:AL636" si="630">+AVERAGE(AA635:AE635)</f>
        <v>2.5955195680240992E-3</v>
      </c>
    </row>
    <row r="636" spans="2:38" outlineLevel="1">
      <c r="B636" s="562" t="s">
        <v>2343</v>
      </c>
      <c r="C636" s="562" t="s">
        <v>374</v>
      </c>
      <c r="D636" s="572" t="s">
        <v>2245</v>
      </c>
      <c r="E636" s="664">
        <v>66597.59</v>
      </c>
      <c r="F636" s="664">
        <v>66735.59</v>
      </c>
      <c r="G636" s="665">
        <v>68667.59</v>
      </c>
      <c r="H636" s="665">
        <v>74867.59</v>
      </c>
      <c r="I636" s="665">
        <v>63743</v>
      </c>
      <c r="J636" s="665">
        <v>7869.78</v>
      </c>
      <c r="K636" s="616"/>
      <c r="L636" s="616"/>
      <c r="M636" s="616"/>
      <c r="N636" s="616"/>
      <c r="O636" s="616"/>
      <c r="Q636" s="594">
        <f t="shared" si="611"/>
        <v>2.0721470551712251E-3</v>
      </c>
      <c r="R636" s="594">
        <f t="shared" si="612"/>
        <v>2.8950069970161252E-2</v>
      </c>
      <c r="S636" s="594">
        <f t="shared" si="613"/>
        <v>9.0290048041586912E-2</v>
      </c>
      <c r="T636" s="594">
        <f t="shared" si="614"/>
        <v>-0.14859019770771298</v>
      </c>
      <c r="U636" s="594">
        <f t="shared" si="615"/>
        <v>-1</v>
      </c>
      <c r="V636" s="594">
        <f t="shared" si="616"/>
        <v>0</v>
      </c>
      <c r="W636" s="594">
        <f t="shared" si="617"/>
        <v>0</v>
      </c>
      <c r="X636" s="594">
        <f t="shared" si="618"/>
        <v>0</v>
      </c>
      <c r="Y636" s="594">
        <f t="shared" si="619"/>
        <v>0</v>
      </c>
      <c r="AA636" s="594">
        <f t="shared" si="620"/>
        <v>2.5658789923185374E-3</v>
      </c>
      <c r="AB636" s="594">
        <f t="shared" si="621"/>
        <v>2.6667608574178418E-3</v>
      </c>
      <c r="AC636" s="594">
        <f t="shared" si="622"/>
        <v>2.5576777601405915E-3</v>
      </c>
      <c r="AD636" s="594">
        <f t="shared" si="623"/>
        <v>2.4040359585650916E-3</v>
      </c>
      <c r="AE636" s="594">
        <f t="shared" si="624"/>
        <v>1.2493496357328206E-3</v>
      </c>
      <c r="AF636" s="594">
        <f t="shared" si="625"/>
        <v>0</v>
      </c>
      <c r="AG636" s="594">
        <f t="shared" si="626"/>
        <v>0</v>
      </c>
      <c r="AH636" s="594">
        <f t="shared" si="627"/>
        <v>0</v>
      </c>
      <c r="AI636" s="594">
        <f t="shared" si="628"/>
        <v>0</v>
      </c>
      <c r="AJ636" s="594">
        <f t="shared" si="629"/>
        <v>0</v>
      </c>
      <c r="AL636" s="594">
        <f t="shared" si="630"/>
        <v>2.2887406408349767E-3</v>
      </c>
    </row>
    <row r="637" spans="2:38" outlineLevel="1">
      <c r="D637" s="580" t="s">
        <v>2246</v>
      </c>
      <c r="E637" s="693"/>
      <c r="F637" s="693"/>
      <c r="G637" s="690"/>
      <c r="H637" s="690">
        <v>234867.59</v>
      </c>
      <c r="I637" s="690">
        <v>463743</v>
      </c>
      <c r="J637" s="690">
        <v>206225.94</v>
      </c>
      <c r="K637" s="627"/>
      <c r="L637" s="627"/>
      <c r="M637" s="627"/>
      <c r="N637" s="627"/>
      <c r="O637" s="627"/>
    </row>
    <row r="638" spans="2:38" outlineLevel="1">
      <c r="B638" s="562" t="s">
        <v>2343</v>
      </c>
      <c r="C638" s="562" t="s">
        <v>373</v>
      </c>
      <c r="D638" s="572" t="s">
        <v>2247</v>
      </c>
      <c r="E638" s="664">
        <v>813333.09</v>
      </c>
      <c r="F638" s="664">
        <v>916882.7</v>
      </c>
      <c r="G638" s="665">
        <v>1041573.46</v>
      </c>
      <c r="H638" s="665">
        <v>1208492.17</v>
      </c>
      <c r="I638" s="665">
        <v>1249840.04</v>
      </c>
      <c r="J638" s="665">
        <v>721427.33</v>
      </c>
      <c r="K638" s="616"/>
      <c r="L638" s="616"/>
      <c r="M638" s="616"/>
      <c r="N638" s="616"/>
      <c r="O638" s="616"/>
      <c r="Q638" s="594">
        <f t="shared" ref="Q638:Q649" si="631">+IFERROR(F638/E638-1,0)</f>
        <v>0.12731513235247816</v>
      </c>
      <c r="R638" s="594">
        <f t="shared" ref="R638:R649" si="632">+IFERROR(G638/F638-1,0)</f>
        <v>0.13599423350446038</v>
      </c>
      <c r="S638" s="594">
        <f t="shared" ref="S638:S649" si="633">+IFERROR(H638/G638-1,0)</f>
        <v>0.16025630107741029</v>
      </c>
      <c r="T638" s="594">
        <f t="shared" ref="T638:T649" si="634">+IFERROR(I638/H638-1,0)</f>
        <v>3.4214429374416211E-2</v>
      </c>
      <c r="U638" s="594">
        <f t="shared" ref="U638:U649" si="635">+IFERROR(K638/I638-1,0)</f>
        <v>-1</v>
      </c>
      <c r="V638" s="594">
        <f t="shared" ref="V638:V649" si="636">+IFERROR(L638/K638-1,0)</f>
        <v>0</v>
      </c>
      <c r="W638" s="594">
        <f t="shared" ref="W638:W649" si="637">+IFERROR(M638/L638-1,0)</f>
        <v>0</v>
      </c>
      <c r="X638" s="594">
        <f t="shared" ref="X638:X649" si="638">+IFERROR(N638/M638-1,0)</f>
        <v>0</v>
      </c>
      <c r="Y638" s="594">
        <f t="shared" ref="Y638:Y649" si="639">+IFERROR(O638/N638-1,0)</f>
        <v>0</v>
      </c>
      <c r="AA638" s="594">
        <f t="shared" ref="AA638:AA649" si="640">+IFERROR(E638/E$454,0)</f>
        <v>3.1336183327182299E-2</v>
      </c>
      <c r="AB638" s="594">
        <f t="shared" ref="AB638:AB649" si="641">+IFERROR(F638/F$454,0)</f>
        <v>3.6638724482747298E-2</v>
      </c>
      <c r="AC638" s="594">
        <f t="shared" ref="AC638:AC649" si="642">+IFERROR(G638/G$454,0)</f>
        <v>3.8795729895205085E-2</v>
      </c>
      <c r="AD638" s="594">
        <f t="shared" ref="AD638:AD649" si="643">+IFERROR(H638/H$454,0)</f>
        <v>3.8805291212450639E-2</v>
      </c>
      <c r="AE638" s="594">
        <f t="shared" ref="AE638:AE649" si="644">+IFERROR(I638/I$454,0)</f>
        <v>2.4496606665803212E-2</v>
      </c>
      <c r="AF638" s="594">
        <f t="shared" ref="AF638:AF649" si="645">+IFERROR(K638/K$454,0)</f>
        <v>0</v>
      </c>
      <c r="AG638" s="594">
        <f t="shared" ref="AG638:AG649" si="646">+IFERROR(L638/L$454,0)</f>
        <v>0</v>
      </c>
      <c r="AH638" s="594">
        <f t="shared" ref="AH638:AH649" si="647">+IFERROR(M638/M$454,0)</f>
        <v>0</v>
      </c>
      <c r="AI638" s="594">
        <f t="shared" ref="AI638:AI649" si="648">+IFERROR(N638/N$454,0)</f>
        <v>0</v>
      </c>
      <c r="AJ638" s="594">
        <f t="shared" ref="AJ638:AJ649" si="649">+IFERROR(O638/O$454,0)</f>
        <v>0</v>
      </c>
      <c r="AL638" s="594">
        <f t="shared" ref="AL638:AL649" si="650">+AVERAGE(AA638:AE638)</f>
        <v>3.4014507116677709E-2</v>
      </c>
    </row>
    <row r="639" spans="2:38" outlineLevel="1">
      <c r="B639" s="562" t="s">
        <v>2343</v>
      </c>
      <c r="C639" s="562" t="s">
        <v>373</v>
      </c>
      <c r="D639" s="572" t="s">
        <v>2248</v>
      </c>
      <c r="E639" s="664">
        <v>327.60000000000002</v>
      </c>
      <c r="F639" s="664">
        <v>655.20000000000005</v>
      </c>
      <c r="G639" s="665">
        <v>655.20000000000005</v>
      </c>
      <c r="H639" s="665">
        <v>655.20000000000005</v>
      </c>
      <c r="I639" s="665">
        <v>655.20000000000005</v>
      </c>
      <c r="J639" s="665">
        <v>0</v>
      </c>
      <c r="K639" s="616"/>
      <c r="L639" s="616"/>
      <c r="M639" s="616"/>
      <c r="N639" s="616"/>
      <c r="O639" s="616"/>
      <c r="Q639" s="594">
        <f t="shared" si="631"/>
        <v>1</v>
      </c>
      <c r="R639" s="594">
        <f t="shared" si="632"/>
        <v>0</v>
      </c>
      <c r="S639" s="594">
        <f t="shared" si="633"/>
        <v>0</v>
      </c>
      <c r="T639" s="594">
        <f t="shared" si="634"/>
        <v>0</v>
      </c>
      <c r="U639" s="594">
        <f t="shared" si="635"/>
        <v>-1</v>
      </c>
      <c r="V639" s="594">
        <f t="shared" si="636"/>
        <v>0</v>
      </c>
      <c r="W639" s="594">
        <f t="shared" si="637"/>
        <v>0</v>
      </c>
      <c r="X639" s="594">
        <f t="shared" si="638"/>
        <v>0</v>
      </c>
      <c r="Y639" s="594">
        <f t="shared" si="639"/>
        <v>0</v>
      </c>
      <c r="AA639" s="594">
        <f t="shared" si="640"/>
        <v>1.2621807454046806E-5</v>
      </c>
      <c r="AB639" s="594">
        <f t="shared" si="641"/>
        <v>2.6181857593229791E-5</v>
      </c>
      <c r="AC639" s="594">
        <f t="shared" si="642"/>
        <v>2.4404387403782711E-5</v>
      </c>
      <c r="AD639" s="594">
        <f t="shared" si="643"/>
        <v>2.1038801436667696E-5</v>
      </c>
      <c r="AE639" s="594">
        <f t="shared" si="644"/>
        <v>1.2841784687450296E-5</v>
      </c>
      <c r="AF639" s="594">
        <f t="shared" si="645"/>
        <v>0</v>
      </c>
      <c r="AG639" s="594">
        <f t="shared" si="646"/>
        <v>0</v>
      </c>
      <c r="AH639" s="594">
        <f t="shared" si="647"/>
        <v>0</v>
      </c>
      <c r="AI639" s="594">
        <f t="shared" si="648"/>
        <v>0</v>
      </c>
      <c r="AJ639" s="594">
        <f t="shared" si="649"/>
        <v>0</v>
      </c>
      <c r="AL639" s="594">
        <f t="shared" si="650"/>
        <v>1.9417727715035459E-5</v>
      </c>
    </row>
    <row r="640" spans="2:38" outlineLevel="1">
      <c r="B640" s="562" t="s">
        <v>2343</v>
      </c>
      <c r="C640" s="562" t="s">
        <v>373</v>
      </c>
      <c r="D640" s="572" t="s">
        <v>2249</v>
      </c>
      <c r="E640" s="664">
        <v>19226.68</v>
      </c>
      <c r="F640" s="664">
        <v>19951.68</v>
      </c>
      <c r="G640" s="665">
        <v>20276.68</v>
      </c>
      <c r="H640" s="665">
        <v>27425.22</v>
      </c>
      <c r="I640" s="665">
        <v>25373.61</v>
      </c>
      <c r="J640" s="665">
        <v>16091.72</v>
      </c>
      <c r="K640" s="616"/>
      <c r="L640" s="616"/>
      <c r="M640" s="616"/>
      <c r="N640" s="616"/>
      <c r="O640" s="616"/>
      <c r="Q640" s="594">
        <f t="shared" si="631"/>
        <v>3.7708018232996965E-2</v>
      </c>
      <c r="R640" s="594">
        <f t="shared" si="632"/>
        <v>1.6289355081877899E-2</v>
      </c>
      <c r="S640" s="594">
        <f t="shared" si="633"/>
        <v>0.3525498257111126</v>
      </c>
      <c r="T640" s="594">
        <f t="shared" si="634"/>
        <v>-7.480742178184896E-2</v>
      </c>
      <c r="U640" s="594">
        <f t="shared" si="635"/>
        <v>-1</v>
      </c>
      <c r="V640" s="594">
        <f t="shared" si="636"/>
        <v>0</v>
      </c>
      <c r="W640" s="594">
        <f t="shared" si="637"/>
        <v>0</v>
      </c>
      <c r="X640" s="594">
        <f t="shared" si="638"/>
        <v>0</v>
      </c>
      <c r="Y640" s="594">
        <f t="shared" si="639"/>
        <v>0</v>
      </c>
      <c r="AA640" s="594">
        <f t="shared" si="640"/>
        <v>7.4076756086865884E-4</v>
      </c>
      <c r="AB640" s="594">
        <f t="shared" si="641"/>
        <v>7.9727113019794097E-4</v>
      </c>
      <c r="AC640" s="594">
        <f t="shared" si="642"/>
        <v>7.5525023501607567E-4</v>
      </c>
      <c r="AD640" s="594">
        <f t="shared" si="643"/>
        <v>8.8063760368883946E-4</v>
      </c>
      <c r="AE640" s="594">
        <f t="shared" si="644"/>
        <v>4.9731751581705687E-4</v>
      </c>
      <c r="AF640" s="594">
        <f t="shared" si="645"/>
        <v>0</v>
      </c>
      <c r="AG640" s="594">
        <f t="shared" si="646"/>
        <v>0</v>
      </c>
      <c r="AH640" s="594">
        <f t="shared" si="647"/>
        <v>0</v>
      </c>
      <c r="AI640" s="594">
        <f t="shared" si="648"/>
        <v>0</v>
      </c>
      <c r="AJ640" s="594">
        <f t="shared" si="649"/>
        <v>0</v>
      </c>
      <c r="AL640" s="594">
        <f t="shared" si="650"/>
        <v>7.342488091177143E-4</v>
      </c>
    </row>
    <row r="641" spans="2:38" outlineLevel="1">
      <c r="B641" s="562" t="s">
        <v>2343</v>
      </c>
      <c r="C641" s="562" t="s">
        <v>373</v>
      </c>
      <c r="D641" s="572" t="s">
        <v>2410</v>
      </c>
      <c r="E641" s="664">
        <v>328.75</v>
      </c>
      <c r="F641" s="664"/>
      <c r="G641" s="665"/>
      <c r="H641" s="665"/>
      <c r="I641" s="665">
        <v>0</v>
      </c>
      <c r="J641" s="665">
        <v>0</v>
      </c>
      <c r="K641" s="616"/>
      <c r="L641" s="616"/>
      <c r="M641" s="616"/>
      <c r="N641" s="616"/>
      <c r="O641" s="616"/>
      <c r="Q641" s="594">
        <f t="shared" si="631"/>
        <v>-1</v>
      </c>
      <c r="R641" s="594">
        <f t="shared" si="632"/>
        <v>0</v>
      </c>
      <c r="S641" s="594">
        <f t="shared" si="633"/>
        <v>0</v>
      </c>
      <c r="T641" s="594">
        <f t="shared" si="634"/>
        <v>0</v>
      </c>
      <c r="U641" s="594">
        <f t="shared" si="635"/>
        <v>0</v>
      </c>
      <c r="V641" s="594">
        <f t="shared" si="636"/>
        <v>0</v>
      </c>
      <c r="W641" s="594">
        <f t="shared" si="637"/>
        <v>0</v>
      </c>
      <c r="X641" s="594">
        <f t="shared" si="638"/>
        <v>0</v>
      </c>
      <c r="Y641" s="594">
        <f t="shared" si="639"/>
        <v>0</v>
      </c>
      <c r="AA641" s="594">
        <f t="shared" si="640"/>
        <v>1.2666114775695626E-5</v>
      </c>
      <c r="AB641" s="594">
        <f t="shared" si="641"/>
        <v>0</v>
      </c>
      <c r="AC641" s="594">
        <f t="shared" si="642"/>
        <v>0</v>
      </c>
      <c r="AD641" s="594">
        <f t="shared" si="643"/>
        <v>0</v>
      </c>
      <c r="AE641" s="594">
        <f t="shared" si="644"/>
        <v>0</v>
      </c>
      <c r="AF641" s="594">
        <f t="shared" si="645"/>
        <v>0</v>
      </c>
      <c r="AG641" s="594">
        <f t="shared" si="646"/>
        <v>0</v>
      </c>
      <c r="AH641" s="594">
        <f t="shared" si="647"/>
        <v>0</v>
      </c>
      <c r="AI641" s="594">
        <f t="shared" si="648"/>
        <v>0</v>
      </c>
      <c r="AJ641" s="594">
        <f t="shared" si="649"/>
        <v>0</v>
      </c>
      <c r="AL641" s="594">
        <f t="shared" si="650"/>
        <v>2.5332229551391253E-6</v>
      </c>
    </row>
    <row r="642" spans="2:38" outlineLevel="1">
      <c r="B642" s="562" t="s">
        <v>2343</v>
      </c>
      <c r="C642" s="562" t="s">
        <v>373</v>
      </c>
      <c r="D642" s="572" t="s">
        <v>2250</v>
      </c>
      <c r="E642" s="664">
        <v>62372.15</v>
      </c>
      <c r="F642" s="664">
        <v>67310</v>
      </c>
      <c r="G642" s="665">
        <v>63800</v>
      </c>
      <c r="H642" s="665">
        <v>50600</v>
      </c>
      <c r="I642" s="665">
        <v>50850</v>
      </c>
      <c r="J642" s="665">
        <v>34985.050000000003</v>
      </c>
      <c r="K642" s="616"/>
      <c r="L642" s="616"/>
      <c r="M642" s="616"/>
      <c r="N642" s="616"/>
      <c r="O642" s="616"/>
      <c r="Q642" s="594">
        <f t="shared" si="631"/>
        <v>7.9167545130318651E-2</v>
      </c>
      <c r="R642" s="594">
        <f t="shared" si="632"/>
        <v>-5.214678353885005E-2</v>
      </c>
      <c r="S642" s="594">
        <f t="shared" si="633"/>
        <v>-0.2068965517241379</v>
      </c>
      <c r="T642" s="594">
        <f t="shared" si="634"/>
        <v>4.9407114624506754E-3</v>
      </c>
      <c r="U642" s="594">
        <f t="shared" si="635"/>
        <v>-1</v>
      </c>
      <c r="V642" s="594">
        <f t="shared" si="636"/>
        <v>0</v>
      </c>
      <c r="W642" s="594">
        <f t="shared" si="637"/>
        <v>0</v>
      </c>
      <c r="X642" s="594">
        <f t="shared" si="638"/>
        <v>0</v>
      </c>
      <c r="Y642" s="594">
        <f t="shared" si="639"/>
        <v>0</v>
      </c>
      <c r="AA642" s="594">
        <f t="shared" si="640"/>
        <v>2.4030807930248031E-3</v>
      </c>
      <c r="AB642" s="594">
        <f t="shared" si="641"/>
        <v>2.6897143385230422E-3</v>
      </c>
      <c r="AC642" s="594">
        <f t="shared" si="642"/>
        <v>2.3763734987199891E-3</v>
      </c>
      <c r="AD642" s="594">
        <f t="shared" si="643"/>
        <v>1.6247914418427737E-3</v>
      </c>
      <c r="AE642" s="594">
        <f t="shared" si="644"/>
        <v>9.9664949840788685E-4</v>
      </c>
      <c r="AF642" s="594">
        <f t="shared" si="645"/>
        <v>0</v>
      </c>
      <c r="AG642" s="594">
        <f t="shared" si="646"/>
        <v>0</v>
      </c>
      <c r="AH642" s="594">
        <f t="shared" si="647"/>
        <v>0</v>
      </c>
      <c r="AI642" s="594">
        <f t="shared" si="648"/>
        <v>0</v>
      </c>
      <c r="AJ642" s="594">
        <f t="shared" si="649"/>
        <v>0</v>
      </c>
      <c r="AL642" s="594">
        <f t="shared" si="650"/>
        <v>2.0181219141036989E-3</v>
      </c>
    </row>
    <row r="643" spans="2:38" outlineLevel="1">
      <c r="B643" s="562" t="s">
        <v>2343</v>
      </c>
      <c r="C643" s="562" t="s">
        <v>373</v>
      </c>
      <c r="D643" s="572" t="s">
        <v>2251</v>
      </c>
      <c r="E643" s="664">
        <v>1264.3399999999999</v>
      </c>
      <c r="F643" s="664">
        <v>1822.44</v>
      </c>
      <c r="G643" s="665">
        <v>1776.15</v>
      </c>
      <c r="H643" s="665">
        <v>1812.67</v>
      </c>
      <c r="I643" s="665">
        <v>2080.71</v>
      </c>
      <c r="J643" s="665">
        <v>1031.8</v>
      </c>
      <c r="K643" s="616"/>
      <c r="L643" s="616"/>
      <c r="M643" s="616"/>
      <c r="N643" s="616"/>
      <c r="O643" s="616"/>
      <c r="Q643" s="594">
        <f t="shared" si="631"/>
        <v>0.44141607479000911</v>
      </c>
      <c r="R643" s="594">
        <f t="shared" si="632"/>
        <v>-2.5400013169157853E-2</v>
      </c>
      <c r="S643" s="594">
        <f t="shared" si="633"/>
        <v>2.0561326464544116E-2</v>
      </c>
      <c r="T643" s="594">
        <f t="shared" si="634"/>
        <v>0.14787026871962361</v>
      </c>
      <c r="U643" s="594">
        <f t="shared" si="635"/>
        <v>-1</v>
      </c>
      <c r="V643" s="594">
        <f t="shared" si="636"/>
        <v>0</v>
      </c>
      <c r="W643" s="594">
        <f t="shared" si="637"/>
        <v>0</v>
      </c>
      <c r="X643" s="594">
        <f t="shared" si="638"/>
        <v>0</v>
      </c>
      <c r="Y643" s="594">
        <f t="shared" si="639"/>
        <v>0</v>
      </c>
      <c r="AA643" s="594">
        <f t="shared" si="640"/>
        <v>4.871262526388747E-5</v>
      </c>
      <c r="AB643" s="594">
        <f t="shared" si="641"/>
        <v>7.2824884847688792E-5</v>
      </c>
      <c r="AC643" s="594">
        <f t="shared" si="642"/>
        <v>6.615667382055657E-5</v>
      </c>
      <c r="AD643" s="594">
        <f t="shared" si="643"/>
        <v>5.8205745116307131E-5</v>
      </c>
      <c r="AE643" s="594">
        <f t="shared" si="644"/>
        <v>4.0781486289720244E-5</v>
      </c>
      <c r="AF643" s="594">
        <f t="shared" si="645"/>
        <v>0</v>
      </c>
      <c r="AG643" s="594">
        <f t="shared" si="646"/>
        <v>0</v>
      </c>
      <c r="AH643" s="594">
        <f t="shared" si="647"/>
        <v>0</v>
      </c>
      <c r="AI643" s="594">
        <f t="shared" si="648"/>
        <v>0</v>
      </c>
      <c r="AJ643" s="594">
        <f t="shared" si="649"/>
        <v>0</v>
      </c>
      <c r="AL643" s="594">
        <f t="shared" si="650"/>
        <v>5.7336283067632039E-5</v>
      </c>
    </row>
    <row r="644" spans="2:38" outlineLevel="1">
      <c r="B644" s="562" t="s">
        <v>2343</v>
      </c>
      <c r="C644" s="562" t="s">
        <v>373</v>
      </c>
      <c r="D644" s="572" t="s">
        <v>2252</v>
      </c>
      <c r="E644" s="664">
        <v>59506.8</v>
      </c>
      <c r="F644" s="664">
        <v>44877.760000000002</v>
      </c>
      <c r="G644" s="665">
        <v>30927.93</v>
      </c>
      <c r="H644" s="665">
        <v>39067.78</v>
      </c>
      <c r="I644" s="665">
        <v>43133.8</v>
      </c>
      <c r="J644" s="665">
        <v>14648.93</v>
      </c>
      <c r="K644" s="616"/>
      <c r="L644" s="616"/>
      <c r="M644" s="616"/>
      <c r="N644" s="616"/>
      <c r="O644" s="616"/>
      <c r="Q644" s="594">
        <f t="shared" si="631"/>
        <v>-0.24583812270194327</v>
      </c>
      <c r="R644" s="594">
        <f t="shared" si="632"/>
        <v>-0.3108406034525788</v>
      </c>
      <c r="S644" s="594">
        <f t="shared" si="633"/>
        <v>0.26318767534717002</v>
      </c>
      <c r="T644" s="594">
        <f t="shared" si="634"/>
        <v>0.10407604424925099</v>
      </c>
      <c r="U644" s="594">
        <f t="shared" si="635"/>
        <v>-1</v>
      </c>
      <c r="V644" s="594">
        <f t="shared" si="636"/>
        <v>0</v>
      </c>
      <c r="W644" s="594">
        <f t="shared" si="637"/>
        <v>0</v>
      </c>
      <c r="X644" s="594">
        <f t="shared" si="638"/>
        <v>0</v>
      </c>
      <c r="Y644" s="594">
        <f t="shared" si="639"/>
        <v>0</v>
      </c>
      <c r="AA644" s="594">
        <f t="shared" si="640"/>
        <v>2.2926842851235421E-3</v>
      </c>
      <c r="AB644" s="594">
        <f t="shared" si="641"/>
        <v>1.7933197823918562E-3</v>
      </c>
      <c r="AC644" s="594">
        <f t="shared" si="642"/>
        <v>1.1519798310700143E-3</v>
      </c>
      <c r="AD644" s="594">
        <f t="shared" si="643"/>
        <v>1.2544860592054599E-3</v>
      </c>
      <c r="AE644" s="594">
        <f t="shared" si="644"/>
        <v>8.4541357196511529E-4</v>
      </c>
      <c r="AF644" s="594">
        <f t="shared" si="645"/>
        <v>0</v>
      </c>
      <c r="AG644" s="594">
        <f t="shared" si="646"/>
        <v>0</v>
      </c>
      <c r="AH644" s="594">
        <f t="shared" si="647"/>
        <v>0</v>
      </c>
      <c r="AI644" s="594">
        <f t="shared" si="648"/>
        <v>0</v>
      </c>
      <c r="AJ644" s="594">
        <f t="shared" si="649"/>
        <v>0</v>
      </c>
      <c r="AL644" s="594">
        <f t="shared" si="650"/>
        <v>1.4675767059511976E-3</v>
      </c>
    </row>
    <row r="645" spans="2:38" outlineLevel="1">
      <c r="B645" s="562" t="s">
        <v>2343</v>
      </c>
      <c r="C645" s="562" t="s">
        <v>373</v>
      </c>
      <c r="D645" s="572" t="s">
        <v>2253</v>
      </c>
      <c r="E645" s="664">
        <v>27222.11</v>
      </c>
      <c r="F645" s="664">
        <v>17784.68</v>
      </c>
      <c r="G645" s="665">
        <v>26657.74</v>
      </c>
      <c r="H645" s="665">
        <v>71688.710000000006</v>
      </c>
      <c r="I645" s="665">
        <v>113439.48</v>
      </c>
      <c r="J645" s="665">
        <v>70861.61</v>
      </c>
      <c r="K645" s="616"/>
      <c r="L645" s="616"/>
      <c r="M645" s="616"/>
      <c r="N645" s="616"/>
      <c r="O645" s="616"/>
      <c r="Q645" s="594">
        <f t="shared" si="631"/>
        <v>-0.34668253122186343</v>
      </c>
      <c r="R645" s="594">
        <f t="shared" si="632"/>
        <v>0.49891592089371306</v>
      </c>
      <c r="S645" s="594">
        <f t="shared" si="633"/>
        <v>1.6892268436859239</v>
      </c>
      <c r="T645" s="594">
        <f t="shared" si="634"/>
        <v>0.58238975146853655</v>
      </c>
      <c r="U645" s="594">
        <f t="shared" si="635"/>
        <v>-1</v>
      </c>
      <c r="V645" s="594">
        <f t="shared" si="636"/>
        <v>0</v>
      </c>
      <c r="W645" s="594">
        <f t="shared" si="637"/>
        <v>0</v>
      </c>
      <c r="X645" s="594">
        <f t="shared" si="638"/>
        <v>0</v>
      </c>
      <c r="Y645" s="594">
        <f t="shared" si="639"/>
        <v>0</v>
      </c>
      <c r="AA645" s="594">
        <f t="shared" si="640"/>
        <v>1.0488163336779062E-3</v>
      </c>
      <c r="AB645" s="594">
        <f t="shared" si="641"/>
        <v>7.1067759325574179E-4</v>
      </c>
      <c r="AC645" s="594">
        <f t="shared" si="642"/>
        <v>9.9292706695560838E-4</v>
      </c>
      <c r="AD645" s="594">
        <f t="shared" si="643"/>
        <v>2.3019605234140018E-3</v>
      </c>
      <c r="AE645" s="594">
        <f t="shared" si="644"/>
        <v>2.2233903803667945E-3</v>
      </c>
      <c r="AF645" s="594">
        <f t="shared" si="645"/>
        <v>0</v>
      </c>
      <c r="AG645" s="594">
        <f t="shared" si="646"/>
        <v>0</v>
      </c>
      <c r="AH645" s="594">
        <f t="shared" si="647"/>
        <v>0</v>
      </c>
      <c r="AI645" s="594">
        <f t="shared" si="648"/>
        <v>0</v>
      </c>
      <c r="AJ645" s="594">
        <f t="shared" si="649"/>
        <v>0</v>
      </c>
      <c r="AL645" s="594">
        <f t="shared" si="650"/>
        <v>1.4555543795340103E-3</v>
      </c>
    </row>
    <row r="646" spans="2:38" outlineLevel="1">
      <c r="B646" s="562" t="s">
        <v>2343</v>
      </c>
      <c r="C646" s="562" t="s">
        <v>373</v>
      </c>
      <c r="D646" s="572" t="s">
        <v>2254</v>
      </c>
      <c r="E646" s="664">
        <v>6453.06</v>
      </c>
      <c r="F646" s="664">
        <v>7111.53</v>
      </c>
      <c r="G646" s="665">
        <v>6994.91</v>
      </c>
      <c r="H646" s="665">
        <v>7163.41</v>
      </c>
      <c r="I646" s="665">
        <v>8611.94</v>
      </c>
      <c r="J646" s="665">
        <v>5814.13</v>
      </c>
      <c r="K646" s="616"/>
      <c r="L646" s="616"/>
      <c r="M646" s="616"/>
      <c r="N646" s="616"/>
      <c r="O646" s="616"/>
      <c r="Q646" s="594">
        <f t="shared" si="631"/>
        <v>0.10203996243642544</v>
      </c>
      <c r="R646" s="594">
        <f t="shared" si="632"/>
        <v>-1.6398721512810854E-2</v>
      </c>
      <c r="S646" s="594">
        <f t="shared" si="633"/>
        <v>2.4088944675485502E-2</v>
      </c>
      <c r="T646" s="594">
        <f t="shared" si="634"/>
        <v>0.20221235417210526</v>
      </c>
      <c r="U646" s="594">
        <f t="shared" si="635"/>
        <v>-1</v>
      </c>
      <c r="V646" s="594">
        <f t="shared" si="636"/>
        <v>0</v>
      </c>
      <c r="W646" s="594">
        <f t="shared" si="637"/>
        <v>0</v>
      </c>
      <c r="X646" s="594">
        <f t="shared" si="638"/>
        <v>0</v>
      </c>
      <c r="Y646" s="594">
        <f t="shared" si="639"/>
        <v>0</v>
      </c>
      <c r="AA646" s="594">
        <f t="shared" si="640"/>
        <v>2.4862417829490621E-4</v>
      </c>
      <c r="AB646" s="594">
        <f t="shared" si="641"/>
        <v>2.8417745074783493E-4</v>
      </c>
      <c r="AC646" s="594">
        <f t="shared" si="642"/>
        <v>2.6054104623716989E-4</v>
      </c>
      <c r="AD646" s="594">
        <f t="shared" si="643"/>
        <v>2.3002069688559176E-4</v>
      </c>
      <c r="AE646" s="594">
        <f t="shared" si="644"/>
        <v>1.6879224545366406E-4</v>
      </c>
      <c r="AF646" s="594">
        <f t="shared" si="645"/>
        <v>0</v>
      </c>
      <c r="AG646" s="594">
        <f t="shared" si="646"/>
        <v>0</v>
      </c>
      <c r="AH646" s="594">
        <f t="shared" si="647"/>
        <v>0</v>
      </c>
      <c r="AI646" s="594">
        <f t="shared" si="648"/>
        <v>0</v>
      </c>
      <c r="AJ646" s="594">
        <f t="shared" si="649"/>
        <v>0</v>
      </c>
      <c r="AL646" s="594">
        <f t="shared" si="650"/>
        <v>2.3843112352383335E-4</v>
      </c>
    </row>
    <row r="647" spans="2:38" outlineLevel="1">
      <c r="B647" s="562" t="s">
        <v>2343</v>
      </c>
      <c r="C647" s="562" t="s">
        <v>373</v>
      </c>
      <c r="D647" s="572" t="s">
        <v>2255</v>
      </c>
      <c r="E647" s="664">
        <v>1221.96</v>
      </c>
      <c r="F647" s="664">
        <v>1132.8900000000001</v>
      </c>
      <c r="G647" s="665">
        <v>869.98</v>
      </c>
      <c r="H647" s="665">
        <v>714.18</v>
      </c>
      <c r="I647" s="665">
        <v>597.12</v>
      </c>
      <c r="J647" s="665">
        <v>44.05</v>
      </c>
      <c r="K647" s="616"/>
      <c r="L647" s="616"/>
      <c r="M647" s="616"/>
      <c r="N647" s="616"/>
      <c r="O647" s="616"/>
      <c r="Q647" s="594">
        <f t="shared" si="631"/>
        <v>-7.2891092998134122E-2</v>
      </c>
      <c r="R647" s="594">
        <f t="shared" si="632"/>
        <v>-0.23207019216340519</v>
      </c>
      <c r="S647" s="594">
        <f t="shared" si="633"/>
        <v>-0.17908457665693467</v>
      </c>
      <c r="T647" s="594">
        <f t="shared" si="634"/>
        <v>-0.16390825842224643</v>
      </c>
      <c r="U647" s="594">
        <f t="shared" si="635"/>
        <v>-1</v>
      </c>
      <c r="V647" s="594">
        <f t="shared" si="636"/>
        <v>0</v>
      </c>
      <c r="W647" s="594">
        <f t="shared" si="637"/>
        <v>0</v>
      </c>
      <c r="X647" s="594">
        <f t="shared" si="638"/>
        <v>0</v>
      </c>
      <c r="Y647" s="594">
        <f t="shared" si="639"/>
        <v>0</v>
      </c>
      <c r="AA647" s="594">
        <f t="shared" si="640"/>
        <v>4.7079804140863965E-5</v>
      </c>
      <c r="AB647" s="594">
        <f t="shared" si="641"/>
        <v>4.5270397815619807E-5</v>
      </c>
      <c r="AC647" s="594">
        <f t="shared" si="642"/>
        <v>3.2404348219693047E-5</v>
      </c>
      <c r="AD647" s="594">
        <f t="shared" si="643"/>
        <v>2.2932678892001423E-5</v>
      </c>
      <c r="AE647" s="594">
        <f t="shared" si="644"/>
        <v>1.1703428682189133E-5</v>
      </c>
      <c r="AF647" s="594">
        <f t="shared" si="645"/>
        <v>0</v>
      </c>
      <c r="AG647" s="594">
        <f t="shared" si="646"/>
        <v>0</v>
      </c>
      <c r="AH647" s="594">
        <f t="shared" si="647"/>
        <v>0</v>
      </c>
      <c r="AI647" s="594">
        <f t="shared" si="648"/>
        <v>0</v>
      </c>
      <c r="AJ647" s="594">
        <f t="shared" si="649"/>
        <v>0</v>
      </c>
      <c r="AL647" s="594">
        <f t="shared" si="650"/>
        <v>3.1878131550073476E-5</v>
      </c>
    </row>
    <row r="648" spans="2:38" outlineLevel="1">
      <c r="B648" s="562" t="s">
        <v>2343</v>
      </c>
      <c r="C648" s="562" t="s">
        <v>373</v>
      </c>
      <c r="D648" s="572" t="s">
        <v>2256</v>
      </c>
      <c r="E648" s="664">
        <v>1577.75</v>
      </c>
      <c r="F648" s="664">
        <v>2405.5</v>
      </c>
      <c r="G648" s="665">
        <v>2405.5</v>
      </c>
      <c r="H648" s="665">
        <v>4461.91</v>
      </c>
      <c r="I648" s="665">
        <v>5315.57</v>
      </c>
      <c r="J648" s="665">
        <v>2039.5</v>
      </c>
      <c r="K648" s="616"/>
      <c r="L648" s="616"/>
      <c r="M648" s="616"/>
      <c r="N648" s="616"/>
      <c r="O648" s="616"/>
      <c r="Q648" s="594">
        <f t="shared" si="631"/>
        <v>0.52463951830137856</v>
      </c>
      <c r="R648" s="594">
        <f t="shared" si="632"/>
        <v>0</v>
      </c>
      <c r="S648" s="594">
        <f t="shared" si="633"/>
        <v>0.85487840365828305</v>
      </c>
      <c r="T648" s="594">
        <f t="shared" si="634"/>
        <v>0.19132165373124965</v>
      </c>
      <c r="U648" s="594">
        <f t="shared" si="635"/>
        <v>-1</v>
      </c>
      <c r="V648" s="594">
        <f t="shared" si="636"/>
        <v>0</v>
      </c>
      <c r="W648" s="594">
        <f t="shared" si="637"/>
        <v>0</v>
      </c>
      <c r="X648" s="594">
        <f t="shared" si="638"/>
        <v>0</v>
      </c>
      <c r="Y648" s="594">
        <f t="shared" si="639"/>
        <v>0</v>
      </c>
      <c r="AA648" s="594">
        <f t="shared" si="640"/>
        <v>6.0787718896893606E-5</v>
      </c>
      <c r="AB648" s="594">
        <f t="shared" si="641"/>
        <v>9.6124020818855703E-5</v>
      </c>
      <c r="AC648" s="594">
        <f t="shared" si="642"/>
        <v>8.9598220237788935E-5</v>
      </c>
      <c r="AD648" s="594">
        <f t="shared" si="643"/>
        <v>1.4327417356270139E-4</v>
      </c>
      <c r="AE648" s="594">
        <f t="shared" si="644"/>
        <v>1.0418407422324505E-4</v>
      </c>
      <c r="AF648" s="594">
        <f t="shared" si="645"/>
        <v>0</v>
      </c>
      <c r="AG648" s="594">
        <f t="shared" si="646"/>
        <v>0</v>
      </c>
      <c r="AH648" s="594">
        <f t="shared" si="647"/>
        <v>0</v>
      </c>
      <c r="AI648" s="594">
        <f t="shared" si="648"/>
        <v>0</v>
      </c>
      <c r="AJ648" s="594">
        <f t="shared" si="649"/>
        <v>0</v>
      </c>
      <c r="AL648" s="594">
        <f t="shared" si="650"/>
        <v>9.8793641547896934E-5</v>
      </c>
    </row>
    <row r="649" spans="2:38" outlineLevel="1">
      <c r="B649" s="562" t="s">
        <v>2343</v>
      </c>
      <c r="C649" s="562" t="s">
        <v>373</v>
      </c>
      <c r="D649" s="572" t="s">
        <v>2257</v>
      </c>
      <c r="E649" s="664">
        <v>16046.76</v>
      </c>
      <c r="F649" s="664">
        <v>16501.07</v>
      </c>
      <c r="G649" s="665">
        <v>18316.759999999998</v>
      </c>
      <c r="H649" s="665">
        <v>24028</v>
      </c>
      <c r="I649" s="665">
        <v>21137.37</v>
      </c>
      <c r="J649" s="665">
        <v>10722.01</v>
      </c>
      <c r="K649" s="616"/>
      <c r="L649" s="616"/>
      <c r="M649" s="616"/>
      <c r="N649" s="616"/>
      <c r="O649" s="616"/>
      <c r="Q649" s="594">
        <f t="shared" si="631"/>
        <v>2.8311634248907591E-2</v>
      </c>
      <c r="R649" s="594">
        <f t="shared" si="632"/>
        <v>0.11003468259937077</v>
      </c>
      <c r="S649" s="594">
        <f t="shared" si="633"/>
        <v>0.31180405268180622</v>
      </c>
      <c r="T649" s="594">
        <f t="shared" si="634"/>
        <v>-0.12030256367571168</v>
      </c>
      <c r="U649" s="594">
        <f t="shared" si="635"/>
        <v>-1</v>
      </c>
      <c r="V649" s="594">
        <f t="shared" si="636"/>
        <v>0</v>
      </c>
      <c r="W649" s="594">
        <f t="shared" si="637"/>
        <v>0</v>
      </c>
      <c r="X649" s="594">
        <f t="shared" si="638"/>
        <v>0</v>
      </c>
      <c r="Y649" s="594">
        <f t="shared" si="639"/>
        <v>0</v>
      </c>
      <c r="AA649" s="594">
        <f t="shared" si="640"/>
        <v>6.1825126673168535E-4</v>
      </c>
      <c r="AB649" s="594">
        <f t="shared" si="641"/>
        <v>6.5938440915127639E-4</v>
      </c>
      <c r="AC649" s="594">
        <f t="shared" si="642"/>
        <v>6.8224863709113396E-4</v>
      </c>
      <c r="AD649" s="594">
        <f t="shared" si="643"/>
        <v>7.7155116135569507E-4</v>
      </c>
      <c r="AE649" s="594">
        <f t="shared" si="644"/>
        <v>4.1428808668951653E-4</v>
      </c>
      <c r="AF649" s="594">
        <f t="shared" si="645"/>
        <v>0</v>
      </c>
      <c r="AG649" s="594">
        <f t="shared" si="646"/>
        <v>0</v>
      </c>
      <c r="AH649" s="594">
        <f t="shared" si="647"/>
        <v>0</v>
      </c>
      <c r="AI649" s="594">
        <f t="shared" si="648"/>
        <v>0</v>
      </c>
      <c r="AJ649" s="594">
        <f t="shared" si="649"/>
        <v>0</v>
      </c>
      <c r="AL649" s="594">
        <f t="shared" si="650"/>
        <v>6.2914471220386142E-4</v>
      </c>
    </row>
    <row r="650" spans="2:38" outlineLevel="1">
      <c r="D650" s="580" t="s">
        <v>2258</v>
      </c>
      <c r="E650" s="693"/>
      <c r="F650" s="693"/>
      <c r="G650" s="690"/>
      <c r="H650" s="690">
        <v>1436109.25</v>
      </c>
      <c r="I650" s="690">
        <v>1521034.8400000003</v>
      </c>
      <c r="J650" s="690">
        <v>877666.13000000012</v>
      </c>
      <c r="K650" s="627"/>
      <c r="L650" s="627"/>
      <c r="M650" s="627"/>
      <c r="N650" s="627"/>
      <c r="O650" s="627"/>
    </row>
    <row r="651" spans="2:38" outlineLevel="1">
      <c r="B651" s="562" t="s">
        <v>2343</v>
      </c>
      <c r="C651" s="562" t="s">
        <v>375</v>
      </c>
      <c r="D651" s="579" t="s">
        <v>4537</v>
      </c>
      <c r="E651" s="664">
        <v>64348</v>
      </c>
      <c r="F651" s="664">
        <v>61098.080000000002</v>
      </c>
      <c r="G651" s="665">
        <v>82574</v>
      </c>
      <c r="H651" s="665">
        <v>82538</v>
      </c>
      <c r="I651" s="665">
        <v>148572</v>
      </c>
      <c r="J651" s="665">
        <v>400000</v>
      </c>
      <c r="K651" s="616">
        <f>+J651</f>
        <v>400000</v>
      </c>
      <c r="L651" s="616"/>
      <c r="M651" s="616"/>
      <c r="N651" s="616"/>
      <c r="O651" s="616"/>
      <c r="Q651" s="594">
        <f t="shared" ref="Q651" si="651">+IFERROR(F651/E651-1,0)</f>
        <v>-5.0505377012494579E-2</v>
      </c>
      <c r="R651" s="594">
        <f t="shared" ref="R651" si="652">+IFERROR(G651/F651-1,0)</f>
        <v>0.35149909784399114</v>
      </c>
      <c r="S651" s="594">
        <f t="shared" ref="S651" si="653">+IFERROR(H651/G651-1,0)</f>
        <v>-4.3597258216876433E-4</v>
      </c>
      <c r="T651" s="594">
        <f t="shared" ref="T651" si="654">+IFERROR(I651/H651-1,0)</f>
        <v>0.80004361627371634</v>
      </c>
      <c r="U651" s="594">
        <f t="shared" ref="U651" si="655">+IFERROR(K651/I651-1,0)</f>
        <v>1.6922973373179335</v>
      </c>
      <c r="V651" s="594">
        <f t="shared" ref="V651" si="656">+IFERROR(L651/K651-1,0)</f>
        <v>-1</v>
      </c>
      <c r="W651" s="594">
        <f t="shared" ref="W651" si="657">+IFERROR(M651/L651-1,0)</f>
        <v>0</v>
      </c>
      <c r="X651" s="594">
        <f t="shared" ref="X651" si="658">+IFERROR(N651/M651-1,0)</f>
        <v>0</v>
      </c>
      <c r="Y651" s="594">
        <f t="shared" ref="Y651" si="659">+IFERROR(O651/N651-1,0)</f>
        <v>0</v>
      </c>
      <c r="AA651" s="594">
        <f t="shared" ref="AA651" si="660">+IFERROR(E651/E$454,0)</f>
        <v>2.4792065508333449E-3</v>
      </c>
      <c r="AB651" s="594">
        <f t="shared" ref="AB651" si="661">+IFERROR(F651/F$454,0)</f>
        <v>2.4414853934367538E-3</v>
      </c>
      <c r="AC651" s="594">
        <f t="shared" ref="AC651" si="662">+IFERROR(G651/G$454,0)</f>
        <v>3.07565306086684E-3</v>
      </c>
      <c r="AD651" s="594">
        <f t="shared" ref="AD651" si="663">+IFERROR(H651/H$454,0)</f>
        <v>2.6503366803719143E-3</v>
      </c>
      <c r="AE651" s="594">
        <f t="shared" ref="AE651" si="664">+IFERROR(I651/I$454,0)</f>
        <v>2.9119805167641408E-3</v>
      </c>
      <c r="AF651" s="594">
        <f t="shared" ref="AF651" si="665">+IFERROR(K651/K$454,0)</f>
        <v>6.12358194668579E-3</v>
      </c>
      <c r="AG651" s="594">
        <f t="shared" ref="AG651" si="666">+IFERROR(L651/L$454,0)</f>
        <v>0</v>
      </c>
      <c r="AH651" s="594">
        <f t="shared" ref="AH651" si="667">+IFERROR(M651/M$454,0)</f>
        <v>0</v>
      </c>
      <c r="AI651" s="594">
        <f t="shared" ref="AI651" si="668">+IFERROR(N651/N$454,0)</f>
        <v>0</v>
      </c>
      <c r="AJ651" s="594">
        <f t="shared" ref="AJ651" si="669">+IFERROR(O651/O$454,0)</f>
        <v>0</v>
      </c>
      <c r="AL651" s="594">
        <f>+AVERAGE(AA651:AE651)</f>
        <v>2.7117324404545991E-3</v>
      </c>
    </row>
    <row r="652" spans="2:38" outlineLevel="1">
      <c r="B652" s="562" t="s">
        <v>2343</v>
      </c>
      <c r="C652" s="562" t="s">
        <v>375</v>
      </c>
      <c r="D652" s="572" t="s">
        <v>3832</v>
      </c>
      <c r="E652" s="664"/>
      <c r="F652" s="664"/>
      <c r="G652" s="665"/>
      <c r="H652" s="665"/>
      <c r="I652" s="665">
        <v>400000</v>
      </c>
      <c r="J652" s="665">
        <v>0</v>
      </c>
      <c r="K652" s="616"/>
      <c r="L652" s="616"/>
      <c r="M652" s="616"/>
      <c r="N652" s="616"/>
      <c r="O652" s="616"/>
      <c r="Q652" s="594"/>
      <c r="R652" s="594"/>
      <c r="S652" s="594"/>
      <c r="T652" s="594"/>
      <c r="U652" s="594"/>
      <c r="V652" s="594"/>
      <c r="W652" s="594"/>
      <c r="X652" s="594"/>
      <c r="Y652" s="594"/>
      <c r="AA652" s="594"/>
      <c r="AB652" s="594"/>
      <c r="AC652" s="594"/>
      <c r="AD652" s="594"/>
      <c r="AE652" s="594"/>
      <c r="AF652" s="594"/>
      <c r="AG652" s="594"/>
      <c r="AH652" s="594"/>
      <c r="AI652" s="594"/>
      <c r="AJ652" s="594"/>
      <c r="AL652" s="594"/>
    </row>
    <row r="653" spans="2:38" outlineLevel="1">
      <c r="B653" s="562" t="s">
        <v>2343</v>
      </c>
      <c r="C653" s="562" t="s">
        <v>375</v>
      </c>
      <c r="D653" s="572" t="s">
        <v>4171</v>
      </c>
      <c r="E653" s="664"/>
      <c r="F653" s="664"/>
      <c r="G653" s="665"/>
      <c r="H653" s="665"/>
      <c r="I653" s="665"/>
      <c r="J653" s="665">
        <v>0</v>
      </c>
      <c r="K653" s="616"/>
      <c r="L653" s="616"/>
      <c r="M653" s="616"/>
      <c r="N653" s="616"/>
      <c r="O653" s="616"/>
      <c r="Q653" s="1034"/>
      <c r="R653" s="1034"/>
      <c r="S653" s="1034"/>
      <c r="T653" s="1034"/>
      <c r="U653" s="1034"/>
      <c r="V653" s="1034"/>
      <c r="W653" s="1034"/>
      <c r="X653" s="1034"/>
      <c r="Y653" s="1034"/>
      <c r="AA653" s="1034"/>
      <c r="AB653" s="1034"/>
      <c r="AC653" s="1034"/>
      <c r="AD653" s="1034"/>
      <c r="AE653" s="1034"/>
      <c r="AF653" s="1034"/>
      <c r="AG653" s="1034"/>
      <c r="AH653" s="1034"/>
      <c r="AI653" s="1034"/>
      <c r="AJ653" s="1034"/>
      <c r="AL653" s="1034"/>
    </row>
    <row r="654" spans="2:38" outlineLevel="1">
      <c r="D654" s="580" t="s">
        <v>2259</v>
      </c>
      <c r="E654" s="693"/>
      <c r="F654" s="693"/>
      <c r="G654" s="690"/>
      <c r="H654" s="690">
        <v>82538</v>
      </c>
      <c r="I654" s="690">
        <v>548572</v>
      </c>
      <c r="J654" s="690">
        <v>400000</v>
      </c>
      <c r="K654" s="627"/>
      <c r="L654" s="627"/>
      <c r="M654" s="627"/>
      <c r="N654" s="627"/>
      <c r="O654" s="627"/>
    </row>
    <row r="655" spans="2:38" outlineLevel="1">
      <c r="D655" s="576" t="s">
        <v>2260</v>
      </c>
      <c r="E655" s="677"/>
      <c r="F655" s="677"/>
      <c r="G655" s="678"/>
      <c r="H655" s="678">
        <v>1753514.84</v>
      </c>
      <c r="I655" s="678">
        <v>2533349.8400000003</v>
      </c>
      <c r="J655" s="678">
        <v>1483892.07</v>
      </c>
      <c r="K655" s="628"/>
      <c r="L655" s="628"/>
      <c r="M655" s="628"/>
      <c r="N655" s="628"/>
      <c r="O655" s="628"/>
    </row>
    <row r="656" spans="2:38" outlineLevel="1">
      <c r="B656" s="562" t="s">
        <v>2343</v>
      </c>
      <c r="C656" s="562" t="s">
        <v>2353</v>
      </c>
      <c r="D656" s="572" t="s">
        <v>2261</v>
      </c>
      <c r="E656" s="664">
        <v>63245.04</v>
      </c>
      <c r="F656" s="664">
        <v>81280.55</v>
      </c>
      <c r="G656" s="665">
        <v>112580</v>
      </c>
      <c r="H656" s="665">
        <v>100208.61</v>
      </c>
      <c r="I656" s="665">
        <v>80033.78</v>
      </c>
      <c r="J656" s="665">
        <v>298552.58</v>
      </c>
      <c r="K656" s="616">
        <f>-I657</f>
        <v>298552.58</v>
      </c>
      <c r="L656" s="616">
        <f>-K657</f>
        <v>278138.01513305411</v>
      </c>
      <c r="M656" s="616">
        <f t="shared" ref="M656:O656" si="670">-L657</f>
        <v>285319.17317515053</v>
      </c>
      <c r="N656" s="616">
        <f t="shared" si="670"/>
        <v>296761.00208919222</v>
      </c>
      <c r="O656" s="616">
        <f t="shared" si="670"/>
        <v>309652.96142584988</v>
      </c>
      <c r="Q656" s="594">
        <f t="shared" ref="Q656:Q657" si="671">+IFERROR(F656/E656-1,0)</f>
        <v>0.28516876580361084</v>
      </c>
      <c r="R656" s="594">
        <f t="shared" ref="R656:R657" si="672">+IFERROR(G656/F656-1,0)</f>
        <v>0.38507921021695846</v>
      </c>
      <c r="S656" s="594">
        <f t="shared" ref="S656:S657" si="673">+IFERROR(H656/G656-1,0)</f>
        <v>-0.10988976727660327</v>
      </c>
      <c r="T656" s="594">
        <f t="shared" ref="T656:T657" si="674">+IFERROR(I656/H656-1,0)</f>
        <v>-0.20132830901456478</v>
      </c>
      <c r="U656" s="594">
        <f t="shared" ref="U656:U657" si="675">+IFERROR(K656/I656-1,0)</f>
        <v>2.7303321172634858</v>
      </c>
      <c r="V656" s="594">
        <f t="shared" ref="V656:V657" si="676">+IFERROR(L656/K656-1,0)</f>
        <v>-6.83784573790851E-2</v>
      </c>
      <c r="W656" s="594">
        <f t="shared" ref="W656:W657" si="677">+IFERROR(M656/L656-1,0)</f>
        <v>2.5818685873130853E-2</v>
      </c>
      <c r="X656" s="594">
        <f t="shared" ref="X656:X657" si="678">+IFERROR(N656/M656-1,0)</f>
        <v>4.0101857813171993E-2</v>
      </c>
      <c r="Y656" s="594">
        <f t="shared" ref="Y656:Y657" si="679">+IFERROR(O656/N656-1,0)</f>
        <v>4.344222874939252E-2</v>
      </c>
      <c r="AA656" s="594">
        <f t="shared" ref="AA656:AA657" si="680">+IFERROR(E656/E$454,0)</f>
        <v>2.4367115912804892E-3</v>
      </c>
      <c r="AB656" s="594">
        <f t="shared" ref="AB656:AB657" si="681">+IFERROR(F656/F$454,0)</f>
        <v>3.2479789151394897E-3</v>
      </c>
      <c r="AC656" s="594">
        <f t="shared" ref="AC656:AC657" si="682">+IFERROR(G656/G$454,0)</f>
        <v>4.1932935499356802E-3</v>
      </c>
      <c r="AD656" s="594">
        <f t="shared" ref="AD656:AD657" si="683">+IFERROR(H656/H$454,0)</f>
        <v>3.2177488523114665E-3</v>
      </c>
      <c r="AE656" s="594">
        <f t="shared" ref="AE656:AE657" si="684">+IFERROR(I656/I$454,0)</f>
        <v>1.5686455593448803E-3</v>
      </c>
      <c r="AF656" s="594">
        <f t="shared" ref="AF656:AF657" si="685">+IFERROR(K656/K$454,0)</f>
        <v>4.5705279725611631E-3</v>
      </c>
      <c r="AG656" s="594">
        <f t="shared" ref="AG656:AG657" si="686">+IFERROR(L656/L$454,0)</f>
        <v>4.0063156810877607E-3</v>
      </c>
      <c r="AH656" s="594">
        <f t="shared" ref="AH656:AH657" si="687">+IFERROR(M656/M$454,0)</f>
        <v>3.9635894701649564E-3</v>
      </c>
      <c r="AI656" s="594">
        <f t="shared" ref="AI656:AI657" si="688">+IFERROR(N656/N$454,0)</f>
        <v>3.9478380661038225E-3</v>
      </c>
      <c r="AJ656" s="594">
        <f t="shared" ref="AJ656:AJ657" si="689">+IFERROR(O656/O$454,0)</f>
        <v>3.9447776727461149E-3</v>
      </c>
      <c r="AL656" s="594">
        <f t="shared" ref="AL656:AL657" si="690">+AVERAGE(AA656:AE656)</f>
        <v>2.9328756936024014E-3</v>
      </c>
    </row>
    <row r="657" spans="1:38" outlineLevel="1">
      <c r="B657" s="562" t="s">
        <v>2343</v>
      </c>
      <c r="C657" s="562" t="s">
        <v>2353</v>
      </c>
      <c r="D657" s="572" t="s">
        <v>2262</v>
      </c>
      <c r="E657" s="664">
        <v>-81280.55</v>
      </c>
      <c r="F657" s="664">
        <v>-112580</v>
      </c>
      <c r="G657" s="665">
        <v>-100208.61</v>
      </c>
      <c r="H657" s="665">
        <v>-80033.78</v>
      </c>
      <c r="I657" s="665">
        <v>-298552.58</v>
      </c>
      <c r="J657" s="665">
        <v>0</v>
      </c>
      <c r="K657" s="616">
        <f>+Costi!I172</f>
        <v>-278138.01513305411</v>
      </c>
      <c r="L657" s="616">
        <f>+Costi!J172</f>
        <v>-285319.17317515053</v>
      </c>
      <c r="M657" s="616">
        <f>+Costi!K172</f>
        <v>-296761.00208919222</v>
      </c>
      <c r="N657" s="616">
        <f>+Costi!L172</f>
        <v>-309652.96142584988</v>
      </c>
      <c r="O657" s="616">
        <f>+Costi!M172</f>
        <v>-323355.64390315558</v>
      </c>
      <c r="Q657" s="594">
        <f t="shared" si="671"/>
        <v>0.38507921021695846</v>
      </c>
      <c r="R657" s="594">
        <f t="shared" si="672"/>
        <v>-0.10988976727660327</v>
      </c>
      <c r="S657" s="594">
        <f t="shared" si="673"/>
        <v>-0.20132830901456478</v>
      </c>
      <c r="T657" s="594">
        <f t="shared" si="674"/>
        <v>2.7303321172634858</v>
      </c>
      <c r="U657" s="594">
        <f t="shared" si="675"/>
        <v>-6.83784573790851E-2</v>
      </c>
      <c r="V657" s="594">
        <f t="shared" si="676"/>
        <v>2.5818685873130853E-2</v>
      </c>
      <c r="W657" s="594">
        <f t="shared" si="677"/>
        <v>4.0101857813171993E-2</v>
      </c>
      <c r="X657" s="594">
        <f t="shared" si="678"/>
        <v>4.344222874939252E-2</v>
      </c>
      <c r="Y657" s="594">
        <f t="shared" si="679"/>
        <v>4.4251740445850674E-2</v>
      </c>
      <c r="AA657" s="594">
        <f t="shared" si="680"/>
        <v>-3.1315856283852992E-3</v>
      </c>
      <c r="AB657" s="594">
        <f t="shared" si="681"/>
        <v>-4.4987080705827373E-3</v>
      </c>
      <c r="AC657" s="594">
        <f t="shared" si="682"/>
        <v>-3.7324934976107663E-3</v>
      </c>
      <c r="AD657" s="594">
        <f t="shared" si="683"/>
        <v>-2.5699249170420425E-3</v>
      </c>
      <c r="AE657" s="594">
        <f t="shared" si="684"/>
        <v>-5.851568910626952E-3</v>
      </c>
      <c r="AF657" s="594">
        <f t="shared" si="685"/>
        <v>-4.2580023203894731E-3</v>
      </c>
      <c r="AG657" s="594">
        <f t="shared" si="686"/>
        <v>-4.1097534871663635E-3</v>
      </c>
      <c r="AH657" s="594">
        <f t="shared" si="687"/>
        <v>-4.1225367715272973E-3</v>
      </c>
      <c r="AI657" s="594">
        <f t="shared" si="688"/>
        <v>-4.1193409504370641E-3</v>
      </c>
      <c r="AJ657" s="594">
        <f t="shared" si="689"/>
        <v>-4.1193409504370632E-3</v>
      </c>
      <c r="AL657" s="594">
        <f t="shared" si="690"/>
        <v>-3.95685620484956E-3</v>
      </c>
    </row>
    <row r="658" spans="1:38" outlineLevel="1">
      <c r="D658" s="578" t="s">
        <v>2263</v>
      </c>
      <c r="E658" s="685"/>
      <c r="F658" s="685"/>
      <c r="G658" s="690"/>
      <c r="H658" s="690">
        <v>20174.830000000002</v>
      </c>
      <c r="I658" s="690">
        <v>-218518.80000000002</v>
      </c>
      <c r="J658" s="690">
        <v>298552.58</v>
      </c>
      <c r="K658" s="617"/>
      <c r="L658" s="617"/>
      <c r="M658" s="617"/>
      <c r="N658" s="617"/>
      <c r="O658" s="617"/>
    </row>
    <row r="659" spans="1:38" outlineLevel="1">
      <c r="B659" s="562" t="s">
        <v>2343</v>
      </c>
      <c r="C659" s="562" t="s">
        <v>391</v>
      </c>
      <c r="D659" s="572" t="s">
        <v>2264</v>
      </c>
      <c r="E659" s="664">
        <v>702</v>
      </c>
      <c r="F659" s="664">
        <v>15868.25</v>
      </c>
      <c r="G659" s="665">
        <v>837</v>
      </c>
      <c r="H659" s="665">
        <v>24402.75</v>
      </c>
      <c r="I659" s="665">
        <v>3135.75</v>
      </c>
      <c r="J659" s="665">
        <v>887</v>
      </c>
      <c r="K659" s="616">
        <f>+Costi!I130</f>
        <v>5000</v>
      </c>
      <c r="L659" s="616">
        <f>+Costi!J130</f>
        <v>5000</v>
      </c>
      <c r="M659" s="616">
        <f>+Costi!K130</f>
        <v>5000</v>
      </c>
      <c r="N659" s="616">
        <f>+Costi!L130</f>
        <v>5000</v>
      </c>
      <c r="O659" s="616">
        <f>+Costi!M130</f>
        <v>5000</v>
      </c>
      <c r="Q659" s="594">
        <f t="shared" ref="Q659:Q697" si="691">+IFERROR(F659/E659-1,0)</f>
        <v>21.604344729344728</v>
      </c>
      <c r="R659" s="594">
        <f t="shared" ref="R659:R697" si="692">+IFERROR(G659/F659-1,0)</f>
        <v>-0.94725316276211935</v>
      </c>
      <c r="S659" s="594">
        <f t="shared" ref="S659:S697" si="693">+IFERROR(H659/G659-1,0)</f>
        <v>28.155017921146953</v>
      </c>
      <c r="T659" s="594">
        <f t="shared" ref="T659:T697" si="694">+IFERROR(I659/H659-1,0)</f>
        <v>-0.87150013830408457</v>
      </c>
      <c r="U659" s="594">
        <f t="shared" ref="U659:U697" si="695">+IFERROR(K659/I659-1,0)</f>
        <v>0.59451486885115212</v>
      </c>
      <c r="V659" s="594">
        <f t="shared" ref="V659:V697" si="696">+IFERROR(L659/K659-1,0)</f>
        <v>0</v>
      </c>
      <c r="W659" s="594">
        <f t="shared" ref="W659:W697" si="697">+IFERROR(M659/L659-1,0)</f>
        <v>0</v>
      </c>
      <c r="X659" s="594">
        <f t="shared" ref="X659:X697" si="698">+IFERROR(N659/M659-1,0)</f>
        <v>0</v>
      </c>
      <c r="Y659" s="594">
        <f t="shared" ref="Y659:Y697" si="699">+IFERROR(O659/N659-1,0)</f>
        <v>0</v>
      </c>
      <c r="AA659" s="594">
        <f t="shared" ref="AA659:AA697" si="700">+IFERROR(E659/E$454,0)</f>
        <v>2.7046730258671724E-5</v>
      </c>
      <c r="AB659" s="594">
        <f t="shared" ref="AB659:AB697" si="701">+IFERROR(F659/F$454,0)</f>
        <v>6.3409685859854795E-4</v>
      </c>
      <c r="AC659" s="594">
        <f t="shared" ref="AC659:AC697" si="702">+IFERROR(G659/G$454,0)</f>
        <v>3.1175934458129012E-5</v>
      </c>
      <c r="AD659" s="594">
        <f t="shared" ref="AD659:AD697" si="703">+IFERROR(H659/H$454,0)</f>
        <v>7.8358457228120055E-4</v>
      </c>
      <c r="AE659" s="594">
        <f t="shared" ref="AE659:AE697" si="704">+IFERROR(I659/I$454,0)</f>
        <v>6.1460052401819684E-5</v>
      </c>
      <c r="AF659" s="594">
        <f t="shared" ref="AF659:AF697" si="705">+IFERROR(K659/K$454,0)</f>
        <v>7.6544774333572378E-5</v>
      </c>
      <c r="AG659" s="594">
        <f t="shared" ref="AG659:AG697" si="706">+IFERROR(L659/L$454,0)</f>
        <v>7.2020282433727046E-5</v>
      </c>
      <c r="AH659" s="594">
        <f t="shared" ref="AH659:AH697" si="707">+IFERROR(M659/M$454,0)</f>
        <v>6.9458869974570625E-5</v>
      </c>
      <c r="AI659" s="594">
        <f t="shared" ref="AI659:AI697" si="708">+IFERROR(N659/N$454,0)</f>
        <v>6.6515445734296487E-5</v>
      </c>
      <c r="AJ659" s="594">
        <f t="shared" ref="AJ659:AJ697" si="709">+IFERROR(O659/O$454,0)</f>
        <v>6.369675352985022E-5</v>
      </c>
      <c r="AL659" s="594">
        <f t="shared" ref="AL659:AL697" si="710">+AVERAGE(AA659:AE659)</f>
        <v>3.0747282959967377E-4</v>
      </c>
    </row>
    <row r="660" spans="1:38" outlineLevel="1">
      <c r="B660" s="562" t="s">
        <v>2343</v>
      </c>
      <c r="C660" s="562" t="s">
        <v>391</v>
      </c>
      <c r="D660" s="572" t="s">
        <v>2265</v>
      </c>
      <c r="E660" s="664">
        <v>7160.39</v>
      </c>
      <c r="F660" s="664">
        <v>7601.95</v>
      </c>
      <c r="G660" s="665">
        <v>8133.19</v>
      </c>
      <c r="H660" s="665">
        <v>8611.5300000000007</v>
      </c>
      <c r="I660" s="665">
        <v>8790.24</v>
      </c>
      <c r="J660" s="665">
        <v>4435.2</v>
      </c>
      <c r="K660" s="616">
        <f>+Costi!I131</f>
        <v>8000</v>
      </c>
      <c r="L660" s="616">
        <f>+Costi!J131</f>
        <v>8000</v>
      </c>
      <c r="M660" s="616">
        <f>+Costi!K131</f>
        <v>8000</v>
      </c>
      <c r="N660" s="616">
        <f>+Costi!L131</f>
        <v>8000</v>
      </c>
      <c r="O660" s="616">
        <f>+Costi!M131</f>
        <v>8000</v>
      </c>
      <c r="Q660" s="594">
        <f t="shared" si="691"/>
        <v>6.1667032102999952E-2</v>
      </c>
      <c r="R660" s="594">
        <f t="shared" si="692"/>
        <v>6.9882069732108087E-2</v>
      </c>
      <c r="S660" s="594">
        <f t="shared" si="693"/>
        <v>5.8813331546416769E-2</v>
      </c>
      <c r="T660" s="594">
        <f t="shared" si="694"/>
        <v>2.0752409850514297E-2</v>
      </c>
      <c r="U660" s="594">
        <f t="shared" si="695"/>
        <v>-8.989970694770566E-2</v>
      </c>
      <c r="V660" s="594">
        <f t="shared" si="696"/>
        <v>0</v>
      </c>
      <c r="W660" s="594">
        <f t="shared" si="697"/>
        <v>0</v>
      </c>
      <c r="X660" s="594">
        <f t="shared" si="698"/>
        <v>0</v>
      </c>
      <c r="Y660" s="594">
        <f t="shared" si="699"/>
        <v>0</v>
      </c>
      <c r="AA660" s="594">
        <f t="shared" si="700"/>
        <v>2.7587626335739377E-4</v>
      </c>
      <c r="AB660" s="594">
        <f t="shared" si="701"/>
        <v>3.0377468304464773E-4</v>
      </c>
      <c r="AC660" s="594">
        <f t="shared" si="702"/>
        <v>3.0293882721088447E-4</v>
      </c>
      <c r="AD660" s="594">
        <f t="shared" si="703"/>
        <v>2.7652055820498624E-4</v>
      </c>
      <c r="AE660" s="594">
        <f t="shared" si="704"/>
        <v>1.7228688863097234E-4</v>
      </c>
      <c r="AF660" s="594">
        <f t="shared" si="705"/>
        <v>1.224716389337158E-4</v>
      </c>
      <c r="AG660" s="594">
        <f t="shared" si="706"/>
        <v>1.1523245189396327E-4</v>
      </c>
      <c r="AH660" s="594">
        <f t="shared" si="707"/>
        <v>1.1113419195931301E-4</v>
      </c>
      <c r="AI660" s="594">
        <f t="shared" si="708"/>
        <v>1.0642471317487438E-4</v>
      </c>
      <c r="AJ660" s="594">
        <f t="shared" si="709"/>
        <v>1.0191480564776035E-4</v>
      </c>
      <c r="AL660" s="594">
        <f t="shared" si="710"/>
        <v>2.662794440897769E-4</v>
      </c>
    </row>
    <row r="661" spans="1:38" outlineLevel="1">
      <c r="B661" s="562" t="s">
        <v>2343</v>
      </c>
      <c r="C661" s="562" t="s">
        <v>391</v>
      </c>
      <c r="D661" s="572" t="s">
        <v>2266</v>
      </c>
      <c r="E661" s="664">
        <v>3109.22</v>
      </c>
      <c r="F661" s="664">
        <v>2990.16</v>
      </c>
      <c r="G661" s="665">
        <v>4779.5</v>
      </c>
      <c r="H661" s="665">
        <v>3930.24</v>
      </c>
      <c r="I661" s="665">
        <v>3598.06</v>
      </c>
      <c r="J661" s="665">
        <v>3018.44</v>
      </c>
      <c r="K661" s="616">
        <f>+Costi!I132</f>
        <v>3670.0212000000001</v>
      </c>
      <c r="L661" s="616">
        <f>+Costi!J132</f>
        <v>3743.4216240000001</v>
      </c>
      <c r="M661" s="616">
        <f>+Costi!K132</f>
        <v>3818.2900564800002</v>
      </c>
      <c r="N661" s="616">
        <f>+Costi!L132</f>
        <v>3894.6558576096004</v>
      </c>
      <c r="O661" s="616">
        <f>+Costi!M132</f>
        <v>3972.5489747617926</v>
      </c>
      <c r="Q661" s="594">
        <f t="shared" si="691"/>
        <v>-3.8292562121689633E-2</v>
      </c>
      <c r="R661" s="594">
        <f t="shared" si="692"/>
        <v>0.59840944966155662</v>
      </c>
      <c r="S661" s="594">
        <f t="shared" si="693"/>
        <v>-0.17768804268228899</v>
      </c>
      <c r="T661" s="594">
        <f t="shared" si="694"/>
        <v>-8.4519011561634882E-2</v>
      </c>
      <c r="U661" s="594">
        <f t="shared" si="695"/>
        <v>2.0000000000000018E-2</v>
      </c>
      <c r="V661" s="594">
        <f t="shared" si="696"/>
        <v>2.0000000000000018E-2</v>
      </c>
      <c r="W661" s="594">
        <f t="shared" si="697"/>
        <v>2.0000000000000018E-2</v>
      </c>
      <c r="X661" s="594">
        <f t="shared" si="698"/>
        <v>2.0000000000000018E-2</v>
      </c>
      <c r="Y661" s="594">
        <f t="shared" si="699"/>
        <v>2.0000000000000018E-2</v>
      </c>
      <c r="AA661" s="594">
        <f t="shared" si="700"/>
        <v>1.1979235705821552E-4</v>
      </c>
      <c r="AB661" s="594">
        <f t="shared" si="701"/>
        <v>1.1948709295020144E-4</v>
      </c>
      <c r="AC661" s="594">
        <f t="shared" si="702"/>
        <v>1.7802315261962679E-4</v>
      </c>
      <c r="AD661" s="594">
        <f t="shared" si="703"/>
        <v>1.2620198253731507E-4</v>
      </c>
      <c r="AE661" s="594">
        <f t="shared" si="704"/>
        <v>7.0521232925102882E-5</v>
      </c>
      <c r="AF661" s="594">
        <f t="shared" si="705"/>
        <v>5.6184188910685302E-5</v>
      </c>
      <c r="AG661" s="594">
        <f t="shared" si="706"/>
        <v>5.3920456525800235E-5</v>
      </c>
      <c r="AH661" s="594">
        <f t="shared" si="707"/>
        <v>5.3042822511648056E-5</v>
      </c>
      <c r="AI661" s="594">
        <f t="shared" si="708"/>
        <v>5.1810954070118265E-5</v>
      </c>
      <c r="AJ661" s="594">
        <f t="shared" si="709"/>
        <v>5.0607694586132214E-5</v>
      </c>
      <c r="AL661" s="594">
        <f t="shared" si="710"/>
        <v>1.2280516361809236E-4</v>
      </c>
    </row>
    <row r="662" spans="1:38" outlineLevel="1">
      <c r="B662" s="562" t="s">
        <v>2343</v>
      </c>
      <c r="C662" s="562" t="s">
        <v>391</v>
      </c>
      <c r="D662" s="572" t="s">
        <v>2267</v>
      </c>
      <c r="E662" s="664">
        <v>0</v>
      </c>
      <c r="F662" s="664"/>
      <c r="G662" s="665">
        <v>0</v>
      </c>
      <c r="H662" s="665">
        <v>516.46</v>
      </c>
      <c r="I662" s="665">
        <v>516.46</v>
      </c>
      <c r="J662" s="665">
        <v>516.46</v>
      </c>
      <c r="K662" s="616">
        <f>+Costi!I133</f>
        <v>516.46</v>
      </c>
      <c r="L662" s="616">
        <f>+Costi!J133</f>
        <v>516.46</v>
      </c>
      <c r="M662" s="616">
        <f>+Costi!K133</f>
        <v>516.46</v>
      </c>
      <c r="N662" s="616">
        <f>+Costi!L133</f>
        <v>516.46</v>
      </c>
      <c r="O662" s="616">
        <f>+Costi!M133</f>
        <v>516.46</v>
      </c>
      <c r="Q662" s="594">
        <f t="shared" si="691"/>
        <v>0</v>
      </c>
      <c r="R662" s="594">
        <f t="shared" si="692"/>
        <v>0</v>
      </c>
      <c r="S662" s="594">
        <f t="shared" si="693"/>
        <v>0</v>
      </c>
      <c r="T662" s="594">
        <f t="shared" si="694"/>
        <v>0</v>
      </c>
      <c r="U662" s="594">
        <f t="shared" si="695"/>
        <v>0</v>
      </c>
      <c r="V662" s="594">
        <f t="shared" si="696"/>
        <v>0</v>
      </c>
      <c r="W662" s="594">
        <f t="shared" si="697"/>
        <v>0</v>
      </c>
      <c r="X662" s="594">
        <f t="shared" si="698"/>
        <v>0</v>
      </c>
      <c r="Y662" s="594">
        <f t="shared" si="699"/>
        <v>0</v>
      </c>
      <c r="AA662" s="594">
        <f t="shared" si="700"/>
        <v>0</v>
      </c>
      <c r="AB662" s="594">
        <f t="shared" si="701"/>
        <v>0</v>
      </c>
      <c r="AC662" s="594">
        <f t="shared" si="702"/>
        <v>0</v>
      </c>
      <c r="AD662" s="594">
        <f t="shared" si="703"/>
        <v>1.6583790277749386E-5</v>
      </c>
      <c r="AE662" s="594">
        <f t="shared" si="704"/>
        <v>1.0122509340171825E-5</v>
      </c>
      <c r="AF662" s="594">
        <f t="shared" si="705"/>
        <v>7.9064628304633589E-6</v>
      </c>
      <c r="AG662" s="594">
        <f t="shared" si="706"/>
        <v>7.4391190131445351E-6</v>
      </c>
      <c r="AH662" s="594">
        <f t="shared" si="707"/>
        <v>7.1745455974133502E-6</v>
      </c>
      <c r="AI662" s="594">
        <f t="shared" si="708"/>
        <v>6.8705134207869534E-6</v>
      </c>
      <c r="AJ662" s="594">
        <f t="shared" si="709"/>
        <v>6.5793650656052888E-6</v>
      </c>
      <c r="AL662" s="594">
        <f t="shared" si="710"/>
        <v>5.3412599235842422E-6</v>
      </c>
    </row>
    <row r="663" spans="1:38" outlineLevel="1">
      <c r="B663" s="562" t="s">
        <v>2343</v>
      </c>
      <c r="C663" s="562" t="s">
        <v>391</v>
      </c>
      <c r="D663" s="572" t="s">
        <v>2268</v>
      </c>
      <c r="E663" s="664">
        <v>0</v>
      </c>
      <c r="F663" s="664"/>
      <c r="G663" s="665">
        <v>0</v>
      </c>
      <c r="H663" s="670"/>
      <c r="I663" s="665">
        <v>0</v>
      </c>
      <c r="J663" s="665">
        <v>0</v>
      </c>
      <c r="K663" s="616">
        <f>+Costi!I134</f>
        <v>0</v>
      </c>
      <c r="L663" s="616">
        <f>+Costi!J134</f>
        <v>0</v>
      </c>
      <c r="M663" s="616">
        <f>+Costi!K134</f>
        <v>0</v>
      </c>
      <c r="N663" s="616">
        <f>+Costi!L134</f>
        <v>0</v>
      </c>
      <c r="O663" s="616">
        <f>+Costi!M134</f>
        <v>0</v>
      </c>
      <c r="Q663" s="594">
        <f t="shared" si="691"/>
        <v>0</v>
      </c>
      <c r="R663" s="594">
        <f t="shared" si="692"/>
        <v>0</v>
      </c>
      <c r="S663" s="594">
        <f t="shared" si="693"/>
        <v>0</v>
      </c>
      <c r="T663" s="594">
        <f t="shared" si="694"/>
        <v>0</v>
      </c>
      <c r="U663" s="594">
        <f t="shared" si="695"/>
        <v>0</v>
      </c>
      <c r="V663" s="594">
        <f t="shared" si="696"/>
        <v>0</v>
      </c>
      <c r="W663" s="594">
        <f t="shared" si="697"/>
        <v>0</v>
      </c>
      <c r="X663" s="594">
        <f t="shared" si="698"/>
        <v>0</v>
      </c>
      <c r="Y663" s="594">
        <f t="shared" si="699"/>
        <v>0</v>
      </c>
      <c r="AA663" s="594">
        <f t="shared" si="700"/>
        <v>0</v>
      </c>
      <c r="AB663" s="594">
        <f t="shared" si="701"/>
        <v>0</v>
      </c>
      <c r="AC663" s="594">
        <f t="shared" si="702"/>
        <v>0</v>
      </c>
      <c r="AD663" s="594">
        <f t="shared" si="703"/>
        <v>0</v>
      </c>
      <c r="AE663" s="594">
        <f t="shared" si="704"/>
        <v>0</v>
      </c>
      <c r="AF663" s="594">
        <f t="shared" si="705"/>
        <v>0</v>
      </c>
      <c r="AG663" s="594">
        <f t="shared" si="706"/>
        <v>0</v>
      </c>
      <c r="AH663" s="594">
        <f t="shared" si="707"/>
        <v>0</v>
      </c>
      <c r="AI663" s="594">
        <f t="shared" si="708"/>
        <v>0</v>
      </c>
      <c r="AJ663" s="594">
        <f t="shared" si="709"/>
        <v>0</v>
      </c>
      <c r="AL663" s="594">
        <f t="shared" si="710"/>
        <v>0</v>
      </c>
    </row>
    <row r="664" spans="1:38" outlineLevel="1">
      <c r="B664" s="562" t="s">
        <v>2343</v>
      </c>
      <c r="C664" s="562" t="s">
        <v>391</v>
      </c>
      <c r="D664" s="572" t="s">
        <v>2269</v>
      </c>
      <c r="E664" s="664">
        <v>46.48</v>
      </c>
      <c r="F664" s="664">
        <v>108.79</v>
      </c>
      <c r="G664" s="665">
        <v>166.27</v>
      </c>
      <c r="H664" s="665">
        <v>84.35</v>
      </c>
      <c r="I664" s="665">
        <v>1956.88</v>
      </c>
      <c r="J664" s="665">
        <v>23.24</v>
      </c>
      <c r="K664" s="616">
        <f>+Costi!I135</f>
        <v>1000</v>
      </c>
      <c r="L664" s="616">
        <f>+Costi!J135</f>
        <v>1000</v>
      </c>
      <c r="M664" s="616">
        <f>+Costi!K135</f>
        <v>1000</v>
      </c>
      <c r="N664" s="616">
        <f>+Costi!L135</f>
        <v>1000</v>
      </c>
      <c r="O664" s="616">
        <f>+Costi!M135</f>
        <v>1000</v>
      </c>
      <c r="Q664" s="594">
        <f t="shared" si="691"/>
        <v>1.3405765920826163</v>
      </c>
      <c r="R664" s="594">
        <f t="shared" si="692"/>
        <v>0.52835738578913505</v>
      </c>
      <c r="S664" s="594">
        <f t="shared" si="693"/>
        <v>-0.4926926084080111</v>
      </c>
      <c r="T664" s="594">
        <f t="shared" si="694"/>
        <v>22.199525785417904</v>
      </c>
      <c r="U664" s="594">
        <f t="shared" si="695"/>
        <v>-0.48898246187809169</v>
      </c>
      <c r="V664" s="594">
        <f t="shared" si="696"/>
        <v>0</v>
      </c>
      <c r="W664" s="594">
        <f t="shared" si="697"/>
        <v>0</v>
      </c>
      <c r="X664" s="594">
        <f t="shared" si="698"/>
        <v>0</v>
      </c>
      <c r="Y664" s="594">
        <f t="shared" si="699"/>
        <v>0</v>
      </c>
      <c r="AA664" s="594">
        <f t="shared" si="700"/>
        <v>1.790786356728008E-6</v>
      </c>
      <c r="AB664" s="594">
        <f t="shared" si="701"/>
        <v>4.3472592911591411E-6</v>
      </c>
      <c r="AC664" s="594">
        <f t="shared" si="702"/>
        <v>6.1930975177456527E-6</v>
      </c>
      <c r="AD664" s="594">
        <f t="shared" si="703"/>
        <v>2.7085209114513429E-6</v>
      </c>
      <c r="AE664" s="594">
        <f t="shared" si="704"/>
        <v>3.8354443863213876E-5</v>
      </c>
      <c r="AF664" s="594">
        <f t="shared" si="705"/>
        <v>1.5308954866714476E-5</v>
      </c>
      <c r="AG664" s="594">
        <f t="shared" si="706"/>
        <v>1.4404056486745409E-5</v>
      </c>
      <c r="AH664" s="594">
        <f t="shared" si="707"/>
        <v>1.3891773994914126E-5</v>
      </c>
      <c r="AI664" s="594">
        <f t="shared" si="708"/>
        <v>1.3303089146859297E-5</v>
      </c>
      <c r="AJ664" s="594">
        <f t="shared" si="709"/>
        <v>1.2739350705970044E-5</v>
      </c>
      <c r="AL664" s="594">
        <f t="shared" si="710"/>
        <v>1.0678821588059604E-5</v>
      </c>
    </row>
    <row r="665" spans="1:38" outlineLevel="1">
      <c r="B665" s="562" t="s">
        <v>2343</v>
      </c>
      <c r="C665" s="562" t="s">
        <v>391</v>
      </c>
      <c r="D665" s="572" t="s">
        <v>2270</v>
      </c>
      <c r="E665" s="664">
        <v>0</v>
      </c>
      <c r="F665" s="664">
        <v>4</v>
      </c>
      <c r="G665" s="665">
        <v>2</v>
      </c>
      <c r="H665" s="665">
        <v>48</v>
      </c>
      <c r="I665" s="665">
        <v>276.39999999999998</v>
      </c>
      <c r="J665" s="665">
        <v>2796.85</v>
      </c>
      <c r="K665" s="616">
        <f>+Costi!I136</f>
        <v>2796.85</v>
      </c>
      <c r="L665" s="616">
        <f>+Costi!J136</f>
        <v>100</v>
      </c>
      <c r="M665" s="616">
        <f>+Costi!K136</f>
        <v>100</v>
      </c>
      <c r="N665" s="616">
        <f>+Costi!L136</f>
        <v>100</v>
      </c>
      <c r="O665" s="616">
        <f>+Costi!M136</f>
        <v>100</v>
      </c>
      <c r="Q665" s="594">
        <f t="shared" si="691"/>
        <v>0</v>
      </c>
      <c r="R665" s="594">
        <f t="shared" si="692"/>
        <v>-0.5</v>
      </c>
      <c r="S665" s="594">
        <f t="shared" si="693"/>
        <v>23</v>
      </c>
      <c r="T665" s="594">
        <f t="shared" si="694"/>
        <v>4.7583333333333329</v>
      </c>
      <c r="U665" s="594">
        <f t="shared" si="695"/>
        <v>9.1188494934876996</v>
      </c>
      <c r="V665" s="594">
        <f t="shared" si="696"/>
        <v>-0.96424549046248453</v>
      </c>
      <c r="W665" s="594">
        <f t="shared" si="697"/>
        <v>0</v>
      </c>
      <c r="X665" s="594">
        <f t="shared" si="698"/>
        <v>0</v>
      </c>
      <c r="Y665" s="594">
        <f t="shared" si="699"/>
        <v>0</v>
      </c>
      <c r="AA665" s="594">
        <f t="shared" si="700"/>
        <v>0</v>
      </c>
      <c r="AB665" s="594">
        <f t="shared" si="701"/>
        <v>1.5984040044706831E-7</v>
      </c>
      <c r="AC665" s="594">
        <f t="shared" si="702"/>
        <v>7.449446704451377E-8</v>
      </c>
      <c r="AD665" s="594">
        <f t="shared" si="703"/>
        <v>1.5413041345544099E-6</v>
      </c>
      <c r="AE665" s="594">
        <f t="shared" si="704"/>
        <v>5.4173829175996051E-6</v>
      </c>
      <c r="AF665" s="594">
        <f t="shared" si="705"/>
        <v>4.2816850418970377E-5</v>
      </c>
      <c r="AG665" s="594">
        <f t="shared" si="706"/>
        <v>1.440405648674541E-6</v>
      </c>
      <c r="AH665" s="594">
        <f t="shared" si="707"/>
        <v>1.3891773994914126E-6</v>
      </c>
      <c r="AI665" s="594">
        <f t="shared" si="708"/>
        <v>1.3303089146859298E-6</v>
      </c>
      <c r="AJ665" s="594">
        <f t="shared" si="709"/>
        <v>1.2739350705970042E-6</v>
      </c>
      <c r="AL665" s="594">
        <f t="shared" si="710"/>
        <v>1.4386043839291193E-6</v>
      </c>
    </row>
    <row r="666" spans="1:38" outlineLevel="1">
      <c r="B666" s="562" t="s">
        <v>2343</v>
      </c>
      <c r="C666" s="562" t="s">
        <v>391</v>
      </c>
      <c r="D666" s="572" t="s">
        <v>2271</v>
      </c>
      <c r="E666" s="664">
        <v>6391</v>
      </c>
      <c r="F666" s="664">
        <v>6077</v>
      </c>
      <c r="G666" s="665">
        <v>4082</v>
      </c>
      <c r="H666" s="665">
        <v>1710</v>
      </c>
      <c r="I666" s="665">
        <v>1025</v>
      </c>
      <c r="J666" s="665">
        <v>478</v>
      </c>
      <c r="K666" s="616">
        <f>+Costi!I137</f>
        <v>1045.5</v>
      </c>
      <c r="L666" s="616">
        <f>+Costi!J137</f>
        <v>1066.4100000000001</v>
      </c>
      <c r="M666" s="616">
        <f>+Costi!K137</f>
        <v>1087.7382</v>
      </c>
      <c r="N666" s="616">
        <f>+Costi!L137</f>
        <v>1109.492964</v>
      </c>
      <c r="O666" s="616">
        <f>+Costi!M137</f>
        <v>1131.6828232800001</v>
      </c>
      <c r="Q666" s="594">
        <f t="shared" si="691"/>
        <v>-4.9131591300266009E-2</v>
      </c>
      <c r="R666" s="594">
        <f t="shared" si="692"/>
        <v>-0.32828698370906695</v>
      </c>
      <c r="S666" s="594">
        <f t="shared" si="693"/>
        <v>-0.58108770210681038</v>
      </c>
      <c r="T666" s="594">
        <f t="shared" si="694"/>
        <v>-0.40058479532163738</v>
      </c>
      <c r="U666" s="594">
        <f t="shared" si="695"/>
        <v>2.0000000000000018E-2</v>
      </c>
      <c r="V666" s="594">
        <f t="shared" si="696"/>
        <v>2.0000000000000018E-2</v>
      </c>
      <c r="W666" s="594">
        <f t="shared" si="697"/>
        <v>2.0000000000000018E-2</v>
      </c>
      <c r="X666" s="594">
        <f t="shared" si="698"/>
        <v>2.0000000000000018E-2</v>
      </c>
      <c r="Y666" s="594">
        <f t="shared" si="699"/>
        <v>2.0000000000000018E-2</v>
      </c>
      <c r="AA666" s="594">
        <f t="shared" si="700"/>
        <v>2.4623312405010114E-4</v>
      </c>
      <c r="AB666" s="594">
        <f t="shared" si="701"/>
        <v>2.4283752837920853E-4</v>
      </c>
      <c r="AC666" s="594">
        <f t="shared" si="702"/>
        <v>1.5204320723785259E-4</v>
      </c>
      <c r="AD666" s="594">
        <f t="shared" si="703"/>
        <v>5.4908959793500851E-5</v>
      </c>
      <c r="AE666" s="594">
        <f t="shared" si="704"/>
        <v>2.0089788315989852E-5</v>
      </c>
      <c r="AF666" s="594">
        <f t="shared" si="705"/>
        <v>1.6005512313149982E-5</v>
      </c>
      <c r="AG666" s="594">
        <f t="shared" si="706"/>
        <v>1.5360629878030175E-5</v>
      </c>
      <c r="AH666" s="594">
        <f t="shared" si="707"/>
        <v>1.51106132400347E-5</v>
      </c>
      <c r="AI666" s="594">
        <f t="shared" si="708"/>
        <v>1.4759683807905154E-5</v>
      </c>
      <c r="AJ666" s="594">
        <f t="shared" si="709"/>
        <v>1.441690437368624E-5</v>
      </c>
      <c r="AL666" s="594">
        <f t="shared" si="710"/>
        <v>1.4322252155533059E-4</v>
      </c>
    </row>
    <row r="667" spans="1:38" outlineLevel="1">
      <c r="B667" s="562" t="s">
        <v>2343</v>
      </c>
      <c r="C667" s="562" t="s">
        <v>391</v>
      </c>
      <c r="D667" s="572" t="s">
        <v>2272</v>
      </c>
      <c r="E667" s="664">
        <v>0</v>
      </c>
      <c r="F667" s="664"/>
      <c r="G667" s="665">
        <v>0</v>
      </c>
      <c r="H667" s="670"/>
      <c r="I667" s="665">
        <v>44.4</v>
      </c>
      <c r="J667" s="665">
        <v>0</v>
      </c>
      <c r="K667" s="616">
        <f>+Costi!I138</f>
        <v>0</v>
      </c>
      <c r="L667" s="616">
        <f>+Costi!J138</f>
        <v>0</v>
      </c>
      <c r="M667" s="616">
        <f>+Costi!K138</f>
        <v>0</v>
      </c>
      <c r="N667" s="616">
        <f>+Costi!L138</f>
        <v>0</v>
      </c>
      <c r="O667" s="616">
        <f>+Costi!M138</f>
        <v>0</v>
      </c>
      <c r="Q667" s="594">
        <f t="shared" si="691"/>
        <v>0</v>
      </c>
      <c r="R667" s="594">
        <f t="shared" si="692"/>
        <v>0</v>
      </c>
      <c r="S667" s="594">
        <f t="shared" si="693"/>
        <v>0</v>
      </c>
      <c r="T667" s="594">
        <f t="shared" si="694"/>
        <v>0</v>
      </c>
      <c r="U667" s="594">
        <f t="shared" si="695"/>
        <v>-1</v>
      </c>
      <c r="V667" s="594">
        <f t="shared" si="696"/>
        <v>0</v>
      </c>
      <c r="W667" s="594">
        <f t="shared" si="697"/>
        <v>0</v>
      </c>
      <c r="X667" s="594">
        <f t="shared" si="698"/>
        <v>0</v>
      </c>
      <c r="Y667" s="594">
        <f t="shared" si="699"/>
        <v>0</v>
      </c>
      <c r="AA667" s="594">
        <f t="shared" si="700"/>
        <v>0</v>
      </c>
      <c r="AB667" s="594">
        <f t="shared" si="701"/>
        <v>0</v>
      </c>
      <c r="AC667" s="594">
        <f t="shared" si="702"/>
        <v>0</v>
      </c>
      <c r="AD667" s="594">
        <f t="shared" si="703"/>
        <v>0</v>
      </c>
      <c r="AE667" s="594">
        <f t="shared" si="704"/>
        <v>8.7023083046824338E-7</v>
      </c>
      <c r="AF667" s="594">
        <f t="shared" si="705"/>
        <v>0</v>
      </c>
      <c r="AG667" s="594">
        <f t="shared" si="706"/>
        <v>0</v>
      </c>
      <c r="AH667" s="594">
        <f t="shared" si="707"/>
        <v>0</v>
      </c>
      <c r="AI667" s="594">
        <f t="shared" si="708"/>
        <v>0</v>
      </c>
      <c r="AJ667" s="594">
        <f t="shared" si="709"/>
        <v>0</v>
      </c>
      <c r="AL667" s="594">
        <f t="shared" si="710"/>
        <v>1.7404616609364867E-7</v>
      </c>
    </row>
    <row r="668" spans="1:38" outlineLevel="1">
      <c r="B668" s="562" t="s">
        <v>2343</v>
      </c>
      <c r="C668" s="562" t="s">
        <v>391</v>
      </c>
      <c r="D668" s="572" t="s">
        <v>2273</v>
      </c>
      <c r="E668" s="664">
        <v>284.04000000000002</v>
      </c>
      <c r="F668" s="664">
        <v>176.95</v>
      </c>
      <c r="G668" s="665">
        <v>521.11</v>
      </c>
      <c r="H668" s="665">
        <v>242.12</v>
      </c>
      <c r="I668" s="665">
        <v>173.08</v>
      </c>
      <c r="J668" s="665">
        <v>85.83</v>
      </c>
      <c r="K668" s="616">
        <f>+Costi!I139</f>
        <v>300</v>
      </c>
      <c r="L668" s="616">
        <f>+Costi!J139</f>
        <v>300</v>
      </c>
      <c r="M668" s="616">
        <f>+Costi!K139</f>
        <v>300</v>
      </c>
      <c r="N668" s="616">
        <f>+Costi!L139</f>
        <v>300</v>
      </c>
      <c r="O668" s="616">
        <f>+Costi!M139</f>
        <v>300</v>
      </c>
      <c r="Q668" s="594">
        <f t="shared" si="691"/>
        <v>-0.37702436276580775</v>
      </c>
      <c r="R668" s="594">
        <f t="shared" si="692"/>
        <v>1.944956202317039</v>
      </c>
      <c r="S668" s="594">
        <f t="shared" si="693"/>
        <v>-0.53537640805204278</v>
      </c>
      <c r="T668" s="594">
        <f t="shared" si="694"/>
        <v>-0.28514786056500907</v>
      </c>
      <c r="U668" s="594">
        <f t="shared" si="695"/>
        <v>0.7333025190663276</v>
      </c>
      <c r="V668" s="594">
        <f t="shared" si="696"/>
        <v>0</v>
      </c>
      <c r="W668" s="594">
        <f t="shared" si="697"/>
        <v>0</v>
      </c>
      <c r="X668" s="594">
        <f t="shared" si="698"/>
        <v>0</v>
      </c>
      <c r="Y668" s="594">
        <f t="shared" si="699"/>
        <v>0</v>
      </c>
      <c r="AA668" s="594">
        <f t="shared" si="700"/>
        <v>1.0943523166201021E-5</v>
      </c>
      <c r="AB668" s="594">
        <f t="shared" si="701"/>
        <v>7.0709397147771843E-6</v>
      </c>
      <c r="AC668" s="594">
        <f t="shared" si="702"/>
        <v>1.9409905860783286E-5</v>
      </c>
      <c r="AD668" s="594">
        <f t="shared" si="703"/>
        <v>7.7745949387148688E-6</v>
      </c>
      <c r="AE668" s="594">
        <f t="shared" si="704"/>
        <v>3.3923322553478285E-6</v>
      </c>
      <c r="AF668" s="594">
        <f t="shared" si="705"/>
        <v>4.5926864600143425E-6</v>
      </c>
      <c r="AG668" s="594">
        <f t="shared" si="706"/>
        <v>4.3212169460236226E-6</v>
      </c>
      <c r="AH668" s="594">
        <f t="shared" si="707"/>
        <v>4.1675321984742381E-6</v>
      </c>
      <c r="AI668" s="594">
        <f t="shared" si="708"/>
        <v>3.9909267440577895E-6</v>
      </c>
      <c r="AJ668" s="594">
        <f t="shared" si="709"/>
        <v>3.8218052117910127E-6</v>
      </c>
      <c r="AL668" s="594">
        <f t="shared" si="710"/>
        <v>9.7182591871648361E-6</v>
      </c>
    </row>
    <row r="669" spans="1:38" outlineLevel="1">
      <c r="B669" s="562" t="s">
        <v>2343</v>
      </c>
      <c r="C669" s="562" t="s">
        <v>391</v>
      </c>
      <c r="D669" s="572" t="s">
        <v>2274</v>
      </c>
      <c r="E669" s="664">
        <v>0</v>
      </c>
      <c r="F669" s="664"/>
      <c r="G669" s="665">
        <v>0</v>
      </c>
      <c r="H669" s="670"/>
      <c r="I669" s="665">
        <v>2100</v>
      </c>
      <c r="J669" s="665">
        <v>0</v>
      </c>
      <c r="K669" s="616">
        <f>+Costi!I140</f>
        <v>0</v>
      </c>
      <c r="L669" s="616">
        <f>+Costi!J140</f>
        <v>0</v>
      </c>
      <c r="M669" s="616">
        <f>+Costi!K140</f>
        <v>0</v>
      </c>
      <c r="N669" s="616">
        <f>+Costi!L140</f>
        <v>0</v>
      </c>
      <c r="O669" s="616">
        <f>+Costi!M140</f>
        <v>0</v>
      </c>
      <c r="Q669" s="594">
        <f t="shared" si="691"/>
        <v>0</v>
      </c>
      <c r="R669" s="594">
        <f t="shared" si="692"/>
        <v>0</v>
      </c>
      <c r="S669" s="594">
        <f t="shared" si="693"/>
        <v>0</v>
      </c>
      <c r="T669" s="594">
        <f t="shared" si="694"/>
        <v>0</v>
      </c>
      <c r="U669" s="594">
        <f t="shared" si="695"/>
        <v>-1</v>
      </c>
      <c r="V669" s="594">
        <f t="shared" si="696"/>
        <v>0</v>
      </c>
      <c r="W669" s="594">
        <f t="shared" si="697"/>
        <v>0</v>
      </c>
      <c r="X669" s="594">
        <f t="shared" si="698"/>
        <v>0</v>
      </c>
      <c r="Y669" s="594">
        <f t="shared" si="699"/>
        <v>0</v>
      </c>
      <c r="AA669" s="594">
        <f t="shared" si="700"/>
        <v>0</v>
      </c>
      <c r="AB669" s="594">
        <f t="shared" si="701"/>
        <v>0</v>
      </c>
      <c r="AC669" s="594">
        <f t="shared" si="702"/>
        <v>0</v>
      </c>
      <c r="AD669" s="594">
        <f t="shared" si="703"/>
        <v>0</v>
      </c>
      <c r="AE669" s="594">
        <f t="shared" si="704"/>
        <v>4.115956630593043E-5</v>
      </c>
      <c r="AF669" s="594">
        <f t="shared" si="705"/>
        <v>0</v>
      </c>
      <c r="AG669" s="594">
        <f t="shared" si="706"/>
        <v>0</v>
      </c>
      <c r="AH669" s="594">
        <f t="shared" si="707"/>
        <v>0</v>
      </c>
      <c r="AI669" s="594">
        <f t="shared" si="708"/>
        <v>0</v>
      </c>
      <c r="AJ669" s="594">
        <f t="shared" si="709"/>
        <v>0</v>
      </c>
      <c r="AL669" s="594">
        <f t="shared" si="710"/>
        <v>8.231913261186086E-6</v>
      </c>
    </row>
    <row r="670" spans="1:38" outlineLevel="1">
      <c r="B670" s="562" t="s">
        <v>2343</v>
      </c>
      <c r="C670" s="562" t="s">
        <v>391</v>
      </c>
      <c r="D670" s="572" t="s">
        <v>2275</v>
      </c>
      <c r="E670" s="664">
        <v>90</v>
      </c>
      <c r="F670" s="664">
        <v>1211.4000000000001</v>
      </c>
      <c r="G670" s="665">
        <v>0</v>
      </c>
      <c r="H670" s="665">
        <v>168.12</v>
      </c>
      <c r="I670" s="665">
        <v>0</v>
      </c>
      <c r="J670" s="665">
        <v>0</v>
      </c>
      <c r="K670" s="616">
        <f>+Costi!I141</f>
        <v>0</v>
      </c>
      <c r="L670" s="616">
        <f>+Costi!J141</f>
        <v>0</v>
      </c>
      <c r="M670" s="616">
        <f>+Costi!K141</f>
        <v>0</v>
      </c>
      <c r="N670" s="616">
        <f>+Costi!L141</f>
        <v>0</v>
      </c>
      <c r="O670" s="616">
        <f>+Costi!M141</f>
        <v>0</v>
      </c>
      <c r="Q670" s="594">
        <f t="shared" si="691"/>
        <v>12.46</v>
      </c>
      <c r="R670" s="594">
        <f t="shared" si="692"/>
        <v>-1</v>
      </c>
      <c r="S670" s="594">
        <f t="shared" si="693"/>
        <v>0</v>
      </c>
      <c r="T670" s="594">
        <f t="shared" si="694"/>
        <v>-1</v>
      </c>
      <c r="U670" s="594">
        <f t="shared" si="695"/>
        <v>0</v>
      </c>
      <c r="V670" s="594">
        <f t="shared" si="696"/>
        <v>0</v>
      </c>
      <c r="W670" s="594">
        <f t="shared" si="697"/>
        <v>0</v>
      </c>
      <c r="X670" s="594">
        <f t="shared" si="698"/>
        <v>0</v>
      </c>
      <c r="Y670" s="594">
        <f t="shared" si="699"/>
        <v>0</v>
      </c>
      <c r="AA670" s="594">
        <f t="shared" si="700"/>
        <v>3.4675295203425289E-6</v>
      </c>
      <c r="AB670" s="594">
        <f t="shared" si="701"/>
        <v>4.8407665275394641E-5</v>
      </c>
      <c r="AC670" s="594">
        <f t="shared" si="702"/>
        <v>0</v>
      </c>
      <c r="AD670" s="594">
        <f t="shared" si="703"/>
        <v>5.3984177312768204E-6</v>
      </c>
      <c r="AE670" s="594">
        <f t="shared" si="704"/>
        <v>0</v>
      </c>
      <c r="AF670" s="594">
        <f t="shared" si="705"/>
        <v>0</v>
      </c>
      <c r="AG670" s="594">
        <f t="shared" si="706"/>
        <v>0</v>
      </c>
      <c r="AH670" s="594">
        <f t="shared" si="707"/>
        <v>0</v>
      </c>
      <c r="AI670" s="594">
        <f t="shared" si="708"/>
        <v>0</v>
      </c>
      <c r="AJ670" s="594">
        <f t="shared" si="709"/>
        <v>0</v>
      </c>
      <c r="AL670" s="594">
        <f t="shared" si="710"/>
        <v>1.1454722505402798E-5</v>
      </c>
    </row>
    <row r="671" spans="1:38" outlineLevel="1">
      <c r="A671" s="545">
        <v>1</v>
      </c>
      <c r="B671" s="562" t="s">
        <v>2343</v>
      </c>
      <c r="C671" s="562" t="s">
        <v>391</v>
      </c>
      <c r="D671" s="572" t="s">
        <v>2276</v>
      </c>
      <c r="E671" s="664">
        <v>5799.31</v>
      </c>
      <c r="F671" s="664">
        <v>0</v>
      </c>
      <c r="G671" s="665">
        <v>1870.3</v>
      </c>
      <c r="H671" s="665">
        <v>1511.59</v>
      </c>
      <c r="I671" s="665">
        <v>0</v>
      </c>
      <c r="J671" s="665">
        <v>0</v>
      </c>
      <c r="K671" s="616">
        <f>+Costi!I142</f>
        <v>2000</v>
      </c>
      <c r="L671" s="616">
        <f>+Costi!J142</f>
        <v>2000</v>
      </c>
      <c r="M671" s="616">
        <f>+Costi!K142</f>
        <v>2000</v>
      </c>
      <c r="N671" s="616">
        <f>+Costi!L142</f>
        <v>2000</v>
      </c>
      <c r="O671" s="616">
        <f>+Costi!M142</f>
        <v>2000</v>
      </c>
      <c r="Q671" s="594">
        <f t="shared" si="691"/>
        <v>-1</v>
      </c>
      <c r="R671" s="594">
        <f t="shared" si="692"/>
        <v>0</v>
      </c>
      <c r="S671" s="594">
        <f t="shared" si="693"/>
        <v>-0.19179276051970273</v>
      </c>
      <c r="T671" s="594">
        <f t="shared" si="694"/>
        <v>-1</v>
      </c>
      <c r="U671" s="594">
        <f t="shared" si="695"/>
        <v>0</v>
      </c>
      <c r="V671" s="594">
        <f t="shared" si="696"/>
        <v>0</v>
      </c>
      <c r="W671" s="594">
        <f t="shared" si="697"/>
        <v>0</v>
      </c>
      <c r="X671" s="594">
        <f t="shared" si="698"/>
        <v>0</v>
      </c>
      <c r="Y671" s="594">
        <f t="shared" si="699"/>
        <v>0</v>
      </c>
      <c r="AA671" s="594">
        <f t="shared" si="700"/>
        <v>2.2343642914019591E-4</v>
      </c>
      <c r="AB671" s="594">
        <f t="shared" si="701"/>
        <v>0</v>
      </c>
      <c r="AC671" s="594">
        <f t="shared" si="702"/>
        <v>6.9663500856677042E-5</v>
      </c>
      <c r="AD671" s="594">
        <f t="shared" si="703"/>
        <v>4.8537914932314589E-5</v>
      </c>
      <c r="AE671" s="594">
        <f t="shared" si="704"/>
        <v>0</v>
      </c>
      <c r="AF671" s="594">
        <f t="shared" si="705"/>
        <v>3.0617909733428951E-5</v>
      </c>
      <c r="AG671" s="594">
        <f t="shared" si="706"/>
        <v>2.8808112973490818E-5</v>
      </c>
      <c r="AH671" s="594">
        <f t="shared" si="707"/>
        <v>2.7783547989828253E-5</v>
      </c>
      <c r="AI671" s="594">
        <f t="shared" si="708"/>
        <v>2.6606178293718594E-5</v>
      </c>
      <c r="AJ671" s="594">
        <f t="shared" si="709"/>
        <v>2.5478701411940088E-5</v>
      </c>
      <c r="AL671" s="594">
        <f t="shared" si="710"/>
        <v>6.8327568985837502E-5</v>
      </c>
    </row>
    <row r="672" spans="1:38" outlineLevel="1">
      <c r="B672" s="562" t="s">
        <v>2343</v>
      </c>
      <c r="C672" s="562" t="s">
        <v>391</v>
      </c>
      <c r="D672" s="572" t="s">
        <v>2277</v>
      </c>
      <c r="E672" s="664">
        <v>2101.14</v>
      </c>
      <c r="F672" s="664">
        <v>3358.62</v>
      </c>
      <c r="G672" s="665">
        <v>6464.84</v>
      </c>
      <c r="H672" s="665">
        <v>8986.7099999999991</v>
      </c>
      <c r="I672" s="665">
        <v>31035.89</v>
      </c>
      <c r="J672" s="665">
        <v>5618.76</v>
      </c>
      <c r="K672" s="616">
        <f>+Costi!I143</f>
        <v>15000</v>
      </c>
      <c r="L672" s="616">
        <f>+Costi!J143</f>
        <v>15000</v>
      </c>
      <c r="M672" s="616">
        <f>+Costi!K143</f>
        <v>15000</v>
      </c>
      <c r="N672" s="616">
        <f>+Costi!L143</f>
        <v>15000</v>
      </c>
      <c r="O672" s="616">
        <f>+Costi!M143</f>
        <v>15000</v>
      </c>
      <c r="Q672" s="594">
        <f t="shared" si="691"/>
        <v>0.59847511350980898</v>
      </c>
      <c r="R672" s="594">
        <f t="shared" si="692"/>
        <v>0.92485008723821105</v>
      </c>
      <c r="S672" s="594">
        <f t="shared" si="693"/>
        <v>0.39009008730301109</v>
      </c>
      <c r="T672" s="594">
        <f t="shared" si="694"/>
        <v>2.4535319377169178</v>
      </c>
      <c r="U672" s="594">
        <f t="shared" si="695"/>
        <v>-0.5166885821544025</v>
      </c>
      <c r="V672" s="594">
        <f t="shared" si="696"/>
        <v>0</v>
      </c>
      <c r="W672" s="594">
        <f t="shared" si="697"/>
        <v>0</v>
      </c>
      <c r="X672" s="594">
        <f t="shared" si="698"/>
        <v>0</v>
      </c>
      <c r="Y672" s="594">
        <f t="shared" si="699"/>
        <v>0</v>
      </c>
      <c r="AA672" s="594">
        <f t="shared" si="700"/>
        <v>8.0952944181916672E-5</v>
      </c>
      <c r="AB672" s="594">
        <f t="shared" si="701"/>
        <v>1.3421079143738314E-4</v>
      </c>
      <c r="AC672" s="594">
        <f t="shared" si="702"/>
        <v>2.407974051640272E-4</v>
      </c>
      <c r="AD672" s="594">
        <f t="shared" si="703"/>
        <v>2.8856777664669709E-4</v>
      </c>
      <c r="AE672" s="594">
        <f t="shared" si="704"/>
        <v>6.0829703443741109E-4</v>
      </c>
      <c r="AF672" s="594">
        <f t="shared" si="705"/>
        <v>2.2963432300071712E-4</v>
      </c>
      <c r="AG672" s="594">
        <f t="shared" si="706"/>
        <v>2.1606084730118114E-4</v>
      </c>
      <c r="AH672" s="594">
        <f t="shared" si="707"/>
        <v>2.083766099237119E-4</v>
      </c>
      <c r="AI672" s="594">
        <f t="shared" si="708"/>
        <v>1.9954633720288946E-4</v>
      </c>
      <c r="AJ672" s="594">
        <f t="shared" si="709"/>
        <v>1.9109026058955066E-4</v>
      </c>
      <c r="AL672" s="594">
        <f t="shared" si="710"/>
        <v>2.70565190373487E-4</v>
      </c>
    </row>
    <row r="673" spans="1:38" outlineLevel="1">
      <c r="B673" s="562" t="s">
        <v>2343</v>
      </c>
      <c r="C673" s="562" t="s">
        <v>391</v>
      </c>
      <c r="D673" s="572" t="s">
        <v>2278</v>
      </c>
      <c r="E673" s="664">
        <v>2822.87</v>
      </c>
      <c r="F673" s="664">
        <v>7372.47</v>
      </c>
      <c r="G673" s="665">
        <v>819.23</v>
      </c>
      <c r="H673" s="665">
        <v>1954.41</v>
      </c>
      <c r="I673" s="665">
        <v>11764.83</v>
      </c>
      <c r="J673" s="665">
        <v>50</v>
      </c>
      <c r="K673" s="616">
        <f>+Costi!I144</f>
        <v>9500.6335414524474</v>
      </c>
      <c r="L673" s="616">
        <f>+Costi!J144</f>
        <v>10097.486789580926</v>
      </c>
      <c r="M673" s="616">
        <f>+Costi!K144</f>
        <v>10469.848569703016</v>
      </c>
      <c r="N673" s="616">
        <f>+Costi!L144</f>
        <v>10933.157591116873</v>
      </c>
      <c r="O673" s="616">
        <f>+Costi!M144</f>
        <v>11416.968843092562</v>
      </c>
      <c r="Q673" s="594">
        <f t="shared" si="691"/>
        <v>1.6116930641510239</v>
      </c>
      <c r="R673" s="594">
        <f t="shared" si="692"/>
        <v>-0.88887984623877747</v>
      </c>
      <c r="S673" s="594">
        <f t="shared" si="693"/>
        <v>1.3856670287953321</v>
      </c>
      <c r="T673" s="594">
        <f t="shared" si="694"/>
        <v>5.0196325233702241</v>
      </c>
      <c r="U673" s="594">
        <f t="shared" si="695"/>
        <v>-0.19245466857978843</v>
      </c>
      <c r="V673" s="594">
        <f t="shared" si="696"/>
        <v>6.2822468156921607E-2</v>
      </c>
      <c r="W673" s="594">
        <f t="shared" si="697"/>
        <v>3.6876679106558452E-2</v>
      </c>
      <c r="X673" s="594">
        <f t="shared" si="698"/>
        <v>4.4251740445850452E-2</v>
      </c>
      <c r="Y673" s="594">
        <f t="shared" si="699"/>
        <v>4.4251740445850896E-2</v>
      </c>
      <c r="AA673" s="594">
        <f t="shared" si="700"/>
        <v>1.0875983396765904E-4</v>
      </c>
      <c r="AB673" s="594">
        <f t="shared" si="701"/>
        <v>2.9460463927099943E-4</v>
      </c>
      <c r="AC673" s="594">
        <f t="shared" si="702"/>
        <v>3.0514051118438509E-5</v>
      </c>
      <c r="AD673" s="594">
        <f t="shared" si="703"/>
        <v>6.2757087783635093E-5</v>
      </c>
      <c r="AE673" s="594">
        <f t="shared" si="704"/>
        <v>2.3058823831571405E-4</v>
      </c>
      <c r="AF673" s="594">
        <f t="shared" si="705"/>
        <v>1.4544477009128921E-4</v>
      </c>
      <c r="AG673" s="594">
        <f t="shared" si="706"/>
        <v>1.4544477009128921E-4</v>
      </c>
      <c r="AH673" s="594">
        <f t="shared" si="707"/>
        <v>1.4544477009128921E-4</v>
      </c>
      <c r="AI673" s="594">
        <f t="shared" si="708"/>
        <v>1.4544477009128921E-4</v>
      </c>
      <c r="AJ673" s="594">
        <f t="shared" si="709"/>
        <v>1.4544477009128921E-4</v>
      </c>
      <c r="AL673" s="594">
        <f t="shared" si="710"/>
        <v>1.4544477009128921E-4</v>
      </c>
    </row>
    <row r="674" spans="1:38" outlineLevel="1">
      <c r="B674" s="562" t="s">
        <v>2343</v>
      </c>
      <c r="C674" s="562" t="s">
        <v>391</v>
      </c>
      <c r="D674" s="572" t="s">
        <v>2279</v>
      </c>
      <c r="E674" s="664">
        <v>4753.6899999999996</v>
      </c>
      <c r="F674" s="664">
        <v>6654.67</v>
      </c>
      <c r="G674" s="665">
        <v>6461.32</v>
      </c>
      <c r="H674" s="665">
        <v>7763.41</v>
      </c>
      <c r="I674" s="665">
        <v>9625.2999999999993</v>
      </c>
      <c r="J674" s="665">
        <v>0</v>
      </c>
      <c r="K674" s="616">
        <f>+Costi!I145</f>
        <v>7000</v>
      </c>
      <c r="L674" s="616">
        <f>+Costi!J145</f>
        <v>7000</v>
      </c>
      <c r="M674" s="616">
        <f>+Costi!K145</f>
        <v>7000</v>
      </c>
      <c r="N674" s="616">
        <f>+Costi!L145</f>
        <v>7000</v>
      </c>
      <c r="O674" s="616">
        <f>+Costi!M145</f>
        <v>7000</v>
      </c>
      <c r="Q674" s="594">
        <f t="shared" si="691"/>
        <v>0.39989566000307142</v>
      </c>
      <c r="R674" s="594">
        <f t="shared" si="692"/>
        <v>-2.9054784083959118E-2</v>
      </c>
      <c r="S674" s="594">
        <f t="shared" si="693"/>
        <v>0.20152074189174973</v>
      </c>
      <c r="T674" s="594">
        <f t="shared" si="694"/>
        <v>0.23982888962453353</v>
      </c>
      <c r="U674" s="594">
        <f t="shared" si="695"/>
        <v>-0.27274994026160215</v>
      </c>
      <c r="V674" s="594">
        <f t="shared" si="696"/>
        <v>0</v>
      </c>
      <c r="W674" s="594">
        <f t="shared" si="697"/>
        <v>0</v>
      </c>
      <c r="X674" s="594">
        <f t="shared" si="698"/>
        <v>0</v>
      </c>
      <c r="Y674" s="594">
        <f t="shared" si="699"/>
        <v>0</v>
      </c>
      <c r="AA674" s="594">
        <f t="shared" si="700"/>
        <v>1.8315067117285637E-4</v>
      </c>
      <c r="AB674" s="594">
        <f t="shared" si="701"/>
        <v>2.6592127941077302E-4</v>
      </c>
      <c r="AC674" s="594">
        <f t="shared" si="702"/>
        <v>2.4066629490202882E-4</v>
      </c>
      <c r="AD674" s="594">
        <f t="shared" si="703"/>
        <v>2.492869985675219E-4</v>
      </c>
      <c r="AE674" s="594">
        <f t="shared" si="704"/>
        <v>1.8865389217355817E-4</v>
      </c>
      <c r="AF674" s="594">
        <f t="shared" si="705"/>
        <v>1.0716268406700133E-4</v>
      </c>
      <c r="AG674" s="594">
        <f t="shared" si="706"/>
        <v>1.0082839540721786E-4</v>
      </c>
      <c r="AH674" s="594">
        <f t="shared" si="707"/>
        <v>9.7242417964398878E-5</v>
      </c>
      <c r="AI674" s="594">
        <f t="shared" si="708"/>
        <v>9.3121624028015085E-5</v>
      </c>
      <c r="AJ674" s="594">
        <f t="shared" si="709"/>
        <v>8.9175454941790307E-5</v>
      </c>
      <c r="AL674" s="594">
        <f t="shared" si="710"/>
        <v>2.2553582724534768E-4</v>
      </c>
    </row>
    <row r="675" spans="1:38" outlineLevel="1">
      <c r="B675" s="562" t="s">
        <v>2343</v>
      </c>
      <c r="C675" s="562" t="s">
        <v>391</v>
      </c>
      <c r="D675" s="572" t="s">
        <v>2280</v>
      </c>
      <c r="E675" s="664">
        <v>6468.27</v>
      </c>
      <c r="F675" s="664">
        <v>85000</v>
      </c>
      <c r="G675" s="665">
        <v>15000</v>
      </c>
      <c r="H675" s="670"/>
      <c r="I675" s="665">
        <v>250</v>
      </c>
      <c r="J675" s="665">
        <v>0</v>
      </c>
      <c r="K675" s="616">
        <f>+Costi!I146</f>
        <v>54993.004919493331</v>
      </c>
      <c r="L675" s="616">
        <f>+Costi!J146</f>
        <v>58447.801219901638</v>
      </c>
      <c r="M675" s="616">
        <f>+Costi!K146</f>
        <v>60603.162029971878</v>
      </c>
      <c r="N675" s="616">
        <f>+Costi!L146</f>
        <v>63284.957426320012</v>
      </c>
      <c r="O675" s="616">
        <f>+Costi!M146</f>
        <v>66085.426936476259</v>
      </c>
      <c r="Q675" s="594">
        <f t="shared" si="691"/>
        <v>12.141071723969468</v>
      </c>
      <c r="R675" s="594">
        <f t="shared" si="692"/>
        <v>-0.82352941176470584</v>
      </c>
      <c r="S675" s="594">
        <f t="shared" si="693"/>
        <v>-1</v>
      </c>
      <c r="T675" s="594">
        <f t="shared" si="694"/>
        <v>0</v>
      </c>
      <c r="U675" s="594">
        <f t="shared" si="695"/>
        <v>218.97201967797332</v>
      </c>
      <c r="V675" s="594">
        <f t="shared" si="696"/>
        <v>6.2822468156921607E-2</v>
      </c>
      <c r="W675" s="594">
        <f t="shared" si="697"/>
        <v>3.6876679106558674E-2</v>
      </c>
      <c r="X675" s="594">
        <f t="shared" si="698"/>
        <v>4.4251740445850452E-2</v>
      </c>
      <c r="Y675" s="594">
        <f t="shared" si="699"/>
        <v>4.4251740445851118E-2</v>
      </c>
      <c r="AA675" s="594">
        <f t="shared" si="700"/>
        <v>2.4921019078384411E-4</v>
      </c>
      <c r="AB675" s="594">
        <f t="shared" si="701"/>
        <v>3.3966085095002018E-3</v>
      </c>
      <c r="AC675" s="594">
        <f t="shared" si="702"/>
        <v>5.5870850283385321E-4</v>
      </c>
      <c r="AD675" s="594">
        <f t="shared" si="703"/>
        <v>0</v>
      </c>
      <c r="AE675" s="594">
        <f t="shared" si="704"/>
        <v>4.8999483697536229E-6</v>
      </c>
      <c r="AF675" s="594">
        <f t="shared" si="705"/>
        <v>8.4188543029753047E-4</v>
      </c>
      <c r="AG675" s="594">
        <f t="shared" si="706"/>
        <v>8.4188543029753047E-4</v>
      </c>
      <c r="AH675" s="594">
        <f t="shared" si="707"/>
        <v>8.4188543029753047E-4</v>
      </c>
      <c r="AI675" s="594">
        <f t="shared" si="708"/>
        <v>8.4188543029753047E-4</v>
      </c>
      <c r="AJ675" s="594">
        <f t="shared" si="709"/>
        <v>8.4188543029753058E-4</v>
      </c>
      <c r="AL675" s="594">
        <f t="shared" si="710"/>
        <v>8.4188543029753047E-4</v>
      </c>
    </row>
    <row r="676" spans="1:38" outlineLevel="1">
      <c r="B676" s="562" t="s">
        <v>2343</v>
      </c>
      <c r="C676" s="562" t="s">
        <v>391</v>
      </c>
      <c r="D676" s="572" t="s">
        <v>2281</v>
      </c>
      <c r="E676" s="664">
        <v>12915.91</v>
      </c>
      <c r="F676" s="664">
        <v>10078</v>
      </c>
      <c r="G676" s="665">
        <v>256493.94</v>
      </c>
      <c r="H676" s="665">
        <v>242819.5</v>
      </c>
      <c r="I676" s="665">
        <v>63992.99</v>
      </c>
      <c r="J676" s="665">
        <v>7383.15</v>
      </c>
      <c r="K676" s="616">
        <f>+Costi!I147</f>
        <v>254822.60427634322</v>
      </c>
      <c r="L676" s="616">
        <f>+Costi!J147</f>
        <v>270831.18921915762</v>
      </c>
      <c r="M676" s="616">
        <f>+Costi!K147</f>
        <v>280818.54407604015</v>
      </c>
      <c r="N676" s="616">
        <f>+Costi!L147</f>
        <v>293245.25340087473</v>
      </c>
      <c r="O676" s="616">
        <f>+Costi!M147</f>
        <v>306221.86624134803</v>
      </c>
      <c r="Q676" s="594">
        <f t="shared" si="691"/>
        <v>-0.21972203274875712</v>
      </c>
      <c r="R676" s="594">
        <f t="shared" si="692"/>
        <v>24.450877158166303</v>
      </c>
      <c r="S676" s="594">
        <f t="shared" si="693"/>
        <v>-5.3312916476701222E-2</v>
      </c>
      <c r="T676" s="594">
        <f t="shared" si="694"/>
        <v>-0.73645860402480035</v>
      </c>
      <c r="U676" s="594">
        <f t="shared" si="695"/>
        <v>2.9820393495653699</v>
      </c>
      <c r="V676" s="594">
        <f t="shared" si="696"/>
        <v>6.2822468156921607E-2</v>
      </c>
      <c r="W676" s="594">
        <f t="shared" si="697"/>
        <v>3.6876679106558674E-2</v>
      </c>
      <c r="X676" s="594">
        <f t="shared" si="698"/>
        <v>4.4251740445850674E-2</v>
      </c>
      <c r="Y676" s="594">
        <f t="shared" si="699"/>
        <v>4.4251740445850896E-2</v>
      </c>
      <c r="AA676" s="594">
        <f t="shared" si="700"/>
        <v>4.9762554674541415E-4</v>
      </c>
      <c r="AB676" s="594">
        <f t="shared" si="701"/>
        <v>4.0271788892638863E-4</v>
      </c>
      <c r="AC676" s="594">
        <f t="shared" si="702"/>
        <v>9.553689680223746E-3</v>
      </c>
      <c r="AD676" s="594">
        <f t="shared" si="703"/>
        <v>7.797056235425719E-3</v>
      </c>
      <c r="AE676" s="594">
        <f t="shared" si="704"/>
        <v>1.2542493881046394E-3</v>
      </c>
      <c r="AF676" s="594">
        <f t="shared" si="705"/>
        <v>3.9010677478851811E-3</v>
      </c>
      <c r="AG676" s="594">
        <f t="shared" si="706"/>
        <v>3.9010677478851807E-3</v>
      </c>
      <c r="AH676" s="594">
        <f t="shared" si="707"/>
        <v>3.9010677478851811E-3</v>
      </c>
      <c r="AI676" s="594">
        <f t="shared" si="708"/>
        <v>3.9010677478851811E-3</v>
      </c>
      <c r="AJ676" s="594">
        <f t="shared" si="709"/>
        <v>3.9010677478851811E-3</v>
      </c>
      <c r="AL676" s="594">
        <f t="shared" si="710"/>
        <v>3.9010677478851811E-3</v>
      </c>
    </row>
    <row r="677" spans="1:38" outlineLevel="1">
      <c r="B677" s="562" t="s">
        <v>2343</v>
      </c>
      <c r="C677" s="562" t="s">
        <v>391</v>
      </c>
      <c r="D677" s="572" t="s">
        <v>2282</v>
      </c>
      <c r="E677" s="664">
        <v>0</v>
      </c>
      <c r="F677" s="664"/>
      <c r="G677" s="665">
        <v>7621.21</v>
      </c>
      <c r="H677" s="665">
        <v>148.13</v>
      </c>
      <c r="I677" s="665">
        <v>0</v>
      </c>
      <c r="J677" s="665">
        <v>0</v>
      </c>
      <c r="K677" s="616">
        <f>+Costi!I148</f>
        <v>0</v>
      </c>
      <c r="L677" s="616">
        <f>+Costi!J148</f>
        <v>0</v>
      </c>
      <c r="M677" s="616">
        <f>+Costi!K148</f>
        <v>0</v>
      </c>
      <c r="N677" s="616">
        <f>+Costi!L148</f>
        <v>0</v>
      </c>
      <c r="O677" s="616">
        <f>+Costi!M148</f>
        <v>0</v>
      </c>
      <c r="Q677" s="594">
        <f t="shared" si="691"/>
        <v>0</v>
      </c>
      <c r="R677" s="594">
        <f t="shared" si="692"/>
        <v>0</v>
      </c>
      <c r="S677" s="594">
        <f t="shared" si="693"/>
        <v>-0.98056345383475851</v>
      </c>
      <c r="T677" s="594">
        <f t="shared" si="694"/>
        <v>-1</v>
      </c>
      <c r="U677" s="594">
        <f t="shared" si="695"/>
        <v>0</v>
      </c>
      <c r="V677" s="594">
        <f t="shared" si="696"/>
        <v>0</v>
      </c>
      <c r="W677" s="594">
        <f t="shared" si="697"/>
        <v>0</v>
      </c>
      <c r="X677" s="594">
        <f t="shared" si="698"/>
        <v>0</v>
      </c>
      <c r="Y677" s="594">
        <f t="shared" si="699"/>
        <v>0</v>
      </c>
      <c r="AA677" s="594">
        <f t="shared" si="700"/>
        <v>0</v>
      </c>
      <c r="AB677" s="594">
        <f t="shared" si="701"/>
        <v>0</v>
      </c>
      <c r="AC677" s="594">
        <f t="shared" si="702"/>
        <v>2.8386898859215936E-4</v>
      </c>
      <c r="AD677" s="594">
        <f t="shared" si="703"/>
        <v>4.7565287802405149E-6</v>
      </c>
      <c r="AE677" s="594">
        <f t="shared" si="704"/>
        <v>0</v>
      </c>
      <c r="AF677" s="594">
        <f t="shared" si="705"/>
        <v>0</v>
      </c>
      <c r="AG677" s="594">
        <f t="shared" si="706"/>
        <v>0</v>
      </c>
      <c r="AH677" s="594">
        <f t="shared" si="707"/>
        <v>0</v>
      </c>
      <c r="AI677" s="594">
        <f t="shared" si="708"/>
        <v>0</v>
      </c>
      <c r="AJ677" s="594">
        <f t="shared" si="709"/>
        <v>0</v>
      </c>
      <c r="AL677" s="594">
        <f t="shared" si="710"/>
        <v>5.7725103474479982E-5</v>
      </c>
    </row>
    <row r="678" spans="1:38" outlineLevel="1">
      <c r="B678" s="562" t="s">
        <v>2343</v>
      </c>
      <c r="C678" s="562" t="s">
        <v>391</v>
      </c>
      <c r="D678" s="572" t="s">
        <v>2283</v>
      </c>
      <c r="E678" s="664">
        <v>333</v>
      </c>
      <c r="F678" s="664">
        <v>0</v>
      </c>
      <c r="G678" s="665">
        <v>100</v>
      </c>
      <c r="H678" s="670"/>
      <c r="I678" s="665">
        <v>884.83</v>
      </c>
      <c r="J678" s="665">
        <v>0</v>
      </c>
      <c r="K678" s="616">
        <f>+Costi!I149</f>
        <v>0</v>
      </c>
      <c r="L678" s="616">
        <f>+Costi!J149</f>
        <v>0</v>
      </c>
      <c r="M678" s="616">
        <f>+Costi!K149</f>
        <v>0</v>
      </c>
      <c r="N678" s="616">
        <f>+Costi!L149</f>
        <v>0</v>
      </c>
      <c r="O678" s="616">
        <f>+Costi!M149</f>
        <v>0</v>
      </c>
      <c r="Q678" s="594">
        <f t="shared" si="691"/>
        <v>-1</v>
      </c>
      <c r="R678" s="594">
        <f t="shared" si="692"/>
        <v>0</v>
      </c>
      <c r="S678" s="594">
        <f t="shared" si="693"/>
        <v>-1</v>
      </c>
      <c r="T678" s="594">
        <f t="shared" si="694"/>
        <v>0</v>
      </c>
      <c r="U678" s="594">
        <f t="shared" si="695"/>
        <v>-1</v>
      </c>
      <c r="V678" s="594">
        <f t="shared" si="696"/>
        <v>0</v>
      </c>
      <c r="W678" s="594">
        <f t="shared" si="697"/>
        <v>0</v>
      </c>
      <c r="X678" s="594">
        <f t="shared" si="698"/>
        <v>0</v>
      </c>
      <c r="Y678" s="594">
        <f t="shared" si="699"/>
        <v>0</v>
      </c>
      <c r="AA678" s="594">
        <f t="shared" si="700"/>
        <v>1.2829859225267357E-5</v>
      </c>
      <c r="AB678" s="594">
        <f t="shared" si="701"/>
        <v>0</v>
      </c>
      <c r="AC678" s="594">
        <f t="shared" si="702"/>
        <v>3.7247233522256882E-6</v>
      </c>
      <c r="AD678" s="594">
        <f t="shared" si="703"/>
        <v>0</v>
      </c>
      <c r="AE678" s="594">
        <f t="shared" si="704"/>
        <v>1.7342485264036393E-5</v>
      </c>
      <c r="AF678" s="594">
        <f t="shared" si="705"/>
        <v>0</v>
      </c>
      <c r="AG678" s="594">
        <f t="shared" si="706"/>
        <v>0</v>
      </c>
      <c r="AH678" s="594">
        <f t="shared" si="707"/>
        <v>0</v>
      </c>
      <c r="AI678" s="594">
        <f t="shared" si="708"/>
        <v>0</v>
      </c>
      <c r="AJ678" s="594">
        <f t="shared" si="709"/>
        <v>0</v>
      </c>
      <c r="AL678" s="594">
        <f t="shared" si="710"/>
        <v>6.7794135683058872E-6</v>
      </c>
    </row>
    <row r="679" spans="1:38" outlineLevel="1">
      <c r="A679" s="545">
        <v>1</v>
      </c>
      <c r="B679" s="562" t="s">
        <v>2343</v>
      </c>
      <c r="C679" s="562" t="s">
        <v>391</v>
      </c>
      <c r="D679" s="572" t="s">
        <v>2284</v>
      </c>
      <c r="E679" s="664">
        <v>10887.12</v>
      </c>
      <c r="F679" s="664">
        <v>20817.32</v>
      </c>
      <c r="G679" s="665">
        <v>4439.3</v>
      </c>
      <c r="H679" s="665">
        <v>18345.04</v>
      </c>
      <c r="I679" s="665">
        <v>28921.82</v>
      </c>
      <c r="J679" s="665">
        <v>65705.710000000006</v>
      </c>
      <c r="K679" s="616">
        <f>+Costi!I150</f>
        <v>20000</v>
      </c>
      <c r="L679" s="616">
        <f>+Costi!J150</f>
        <v>20000</v>
      </c>
      <c r="M679" s="616">
        <f>+Costi!K150</f>
        <v>20000</v>
      </c>
      <c r="N679" s="616">
        <f>+Costi!L150</f>
        <v>20000</v>
      </c>
      <c r="O679" s="616">
        <f>+Costi!M150</f>
        <v>20000</v>
      </c>
      <c r="Q679" s="594">
        <f t="shared" si="691"/>
        <v>0.91210531343459045</v>
      </c>
      <c r="R679" s="594">
        <f t="shared" si="692"/>
        <v>-0.78674968727963057</v>
      </c>
      <c r="S679" s="594">
        <f t="shared" si="693"/>
        <v>3.1324172729934903</v>
      </c>
      <c r="T679" s="594">
        <f t="shared" si="694"/>
        <v>0.57654712118370943</v>
      </c>
      <c r="U679" s="594">
        <f t="shared" si="695"/>
        <v>-0.30848058662974875</v>
      </c>
      <c r="V679" s="594">
        <f t="shared" si="696"/>
        <v>0</v>
      </c>
      <c r="W679" s="594">
        <f t="shared" si="697"/>
        <v>0</v>
      </c>
      <c r="X679" s="594">
        <f t="shared" si="698"/>
        <v>0</v>
      </c>
      <c r="Y679" s="594">
        <f t="shared" si="699"/>
        <v>0</v>
      </c>
      <c r="AA679" s="594">
        <f t="shared" si="700"/>
        <v>4.1946011101679507E-4</v>
      </c>
      <c r="AB679" s="594">
        <f t="shared" si="701"/>
        <v>8.3186219125869101E-4</v>
      </c>
      <c r="AC679" s="594">
        <f t="shared" si="702"/>
        <v>1.6535164377535499E-4</v>
      </c>
      <c r="AD679" s="594">
        <f t="shared" si="703"/>
        <v>5.8906845834512573E-4</v>
      </c>
      <c r="AE679" s="594">
        <f t="shared" si="704"/>
        <v>5.6686169903723087E-4</v>
      </c>
      <c r="AF679" s="594">
        <f t="shared" si="705"/>
        <v>3.0617909733428951E-4</v>
      </c>
      <c r="AG679" s="594">
        <f t="shared" si="706"/>
        <v>2.8808112973490818E-4</v>
      </c>
      <c r="AH679" s="594">
        <f t="shared" si="707"/>
        <v>2.778354798982825E-4</v>
      </c>
      <c r="AI679" s="594">
        <f t="shared" si="708"/>
        <v>2.6606178293718595E-4</v>
      </c>
      <c r="AJ679" s="594">
        <f t="shared" si="709"/>
        <v>2.5478701411940088E-4</v>
      </c>
      <c r="AL679" s="594">
        <f t="shared" si="710"/>
        <v>5.145208206866396E-4</v>
      </c>
    </row>
    <row r="680" spans="1:38" outlineLevel="1">
      <c r="B680" s="562" t="s">
        <v>2343</v>
      </c>
      <c r="C680" s="562" t="s">
        <v>391</v>
      </c>
      <c r="D680" s="572" t="s">
        <v>2285</v>
      </c>
      <c r="E680" s="664">
        <v>1349.38</v>
      </c>
      <c r="F680" s="664">
        <v>1536.12</v>
      </c>
      <c r="G680" s="665">
        <v>1523.07</v>
      </c>
      <c r="H680" s="665">
        <v>1560</v>
      </c>
      <c r="I680" s="665">
        <v>1706</v>
      </c>
      <c r="J680" s="665">
        <v>0</v>
      </c>
      <c r="K680" s="616">
        <f>+Costi!I151</f>
        <v>1740.1200000000001</v>
      </c>
      <c r="L680" s="616">
        <f>+Costi!J151</f>
        <v>1774.9224000000002</v>
      </c>
      <c r="M680" s="616">
        <f>+Costi!K151</f>
        <v>1810.4208480000002</v>
      </c>
      <c r="N680" s="616">
        <f>+Costi!L151</f>
        <v>1846.6292649600002</v>
      </c>
      <c r="O680" s="616">
        <f>+Costi!M151</f>
        <v>1883.5618502592004</v>
      </c>
      <c r="Q680" s="594">
        <f t="shared" si="691"/>
        <v>0.13838948257718342</v>
      </c>
      <c r="R680" s="594">
        <f t="shared" si="692"/>
        <v>-8.4954300445277964E-3</v>
      </c>
      <c r="S680" s="594">
        <f t="shared" si="693"/>
        <v>2.4247079910969305E-2</v>
      </c>
      <c r="T680" s="594">
        <f t="shared" si="694"/>
        <v>9.3589743589743479E-2</v>
      </c>
      <c r="U680" s="594">
        <f t="shared" si="695"/>
        <v>2.0000000000000018E-2</v>
      </c>
      <c r="V680" s="594">
        <f t="shared" si="696"/>
        <v>2.0000000000000018E-2</v>
      </c>
      <c r="W680" s="594">
        <f t="shared" si="697"/>
        <v>2.0000000000000018E-2</v>
      </c>
      <c r="X680" s="594">
        <f t="shared" si="698"/>
        <v>2.0000000000000018E-2</v>
      </c>
      <c r="Y680" s="594">
        <f t="shared" si="699"/>
        <v>2.0000000000000018E-2</v>
      </c>
      <c r="AA680" s="594">
        <f t="shared" si="700"/>
        <v>5.1989055379553353E-5</v>
      </c>
      <c r="AB680" s="594">
        <f t="shared" si="701"/>
        <v>6.138350898368764E-5</v>
      </c>
      <c r="AC680" s="594">
        <f t="shared" si="702"/>
        <v>5.6730143960743792E-5</v>
      </c>
      <c r="AD680" s="594">
        <f t="shared" si="703"/>
        <v>5.0092384373018319E-5</v>
      </c>
      <c r="AE680" s="594">
        <f t="shared" si="704"/>
        <v>3.3437247675198722E-5</v>
      </c>
      <c r="AF680" s="594">
        <f t="shared" si="705"/>
        <v>2.6639418542667193E-5</v>
      </c>
      <c r="AG680" s="594">
        <f t="shared" si="706"/>
        <v>2.5566082509189733E-5</v>
      </c>
      <c r="AH680" s="594">
        <f t="shared" si="707"/>
        <v>2.5149957256096783E-5</v>
      </c>
      <c r="AI680" s="594">
        <f t="shared" si="708"/>
        <v>2.456587373296214E-5</v>
      </c>
      <c r="AJ680" s="594">
        <f t="shared" si="709"/>
        <v>2.3995354986837783E-5</v>
      </c>
      <c r="AL680" s="594">
        <f t="shared" si="710"/>
        <v>5.0726468074440368E-5</v>
      </c>
    </row>
    <row r="681" spans="1:38" outlineLevel="1">
      <c r="B681" s="562" t="s">
        <v>2343</v>
      </c>
      <c r="C681" s="562" t="s">
        <v>391</v>
      </c>
      <c r="D681" s="572" t="s">
        <v>2286</v>
      </c>
      <c r="E681" s="664">
        <v>1265.54</v>
      </c>
      <c r="F681" s="664">
        <v>997.49</v>
      </c>
      <c r="G681" s="665">
        <v>462.46</v>
      </c>
      <c r="H681" s="665">
        <v>1621.66</v>
      </c>
      <c r="I681" s="665">
        <v>1210.1600000000001</v>
      </c>
      <c r="J681" s="665">
        <v>0</v>
      </c>
      <c r="K681" s="616">
        <f>+Costi!I152</f>
        <v>1234.3632</v>
      </c>
      <c r="L681" s="616">
        <f>+Costi!J152</f>
        <v>1259.0504639999999</v>
      </c>
      <c r="M681" s="616">
        <f>+Costi!K152</f>
        <v>1284.23147328</v>
      </c>
      <c r="N681" s="616">
        <f>+Costi!L152</f>
        <v>1309.9161027456</v>
      </c>
      <c r="O681" s="616">
        <f>+Costi!M152</f>
        <v>1336.1144248005121</v>
      </c>
      <c r="Q681" s="594">
        <f t="shared" si="691"/>
        <v>-0.21180681764306142</v>
      </c>
      <c r="R681" s="594">
        <f t="shared" si="692"/>
        <v>-0.53637630452435614</v>
      </c>
      <c r="S681" s="594">
        <f t="shared" si="693"/>
        <v>2.5065951649872424</v>
      </c>
      <c r="T681" s="594">
        <f t="shared" si="694"/>
        <v>-0.25375232786157398</v>
      </c>
      <c r="U681" s="594">
        <f t="shared" si="695"/>
        <v>2.0000000000000018E-2</v>
      </c>
      <c r="V681" s="594">
        <f t="shared" si="696"/>
        <v>2.0000000000000018E-2</v>
      </c>
      <c r="W681" s="594">
        <f t="shared" si="697"/>
        <v>2.0000000000000018E-2</v>
      </c>
      <c r="X681" s="594">
        <f t="shared" si="698"/>
        <v>2.0000000000000018E-2</v>
      </c>
      <c r="Y681" s="594">
        <f t="shared" si="699"/>
        <v>2.0000000000000018E-2</v>
      </c>
      <c r="AA681" s="594">
        <f t="shared" si="700"/>
        <v>4.8758858990825372E-5</v>
      </c>
      <c r="AB681" s="594">
        <f t="shared" si="701"/>
        <v>3.9859800260486546E-5</v>
      </c>
      <c r="AC681" s="594">
        <f t="shared" si="702"/>
        <v>1.7225355614702919E-5</v>
      </c>
      <c r="AD681" s="594">
        <f t="shared" si="703"/>
        <v>5.2072317975864679E-5</v>
      </c>
      <c r="AE681" s="594">
        <f t="shared" si="704"/>
        <v>2.3718886076564178E-5</v>
      </c>
      <c r="AF681" s="594">
        <f t="shared" si="705"/>
        <v>1.8896810517933253E-5</v>
      </c>
      <c r="AG681" s="594">
        <f t="shared" si="706"/>
        <v>1.8135434003119018E-5</v>
      </c>
      <c r="AH681" s="594">
        <f t="shared" si="707"/>
        <v>1.784025338396136E-5</v>
      </c>
      <c r="AI681" s="594">
        <f t="shared" si="708"/>
        <v>1.7425930689731222E-5</v>
      </c>
      <c r="AJ681" s="594">
        <f t="shared" si="709"/>
        <v>1.7021230240839163E-5</v>
      </c>
      <c r="AL681" s="594">
        <f t="shared" si="710"/>
        <v>3.6327043783688737E-5</v>
      </c>
    </row>
    <row r="682" spans="1:38" outlineLevel="1">
      <c r="B682" s="562" t="s">
        <v>2343</v>
      </c>
      <c r="C682" s="562" t="s">
        <v>391</v>
      </c>
      <c r="D682" s="572" t="s">
        <v>2287</v>
      </c>
      <c r="E682" s="664">
        <v>5223.78</v>
      </c>
      <c r="F682" s="664">
        <v>6625.33</v>
      </c>
      <c r="G682" s="665">
        <v>7779.45</v>
      </c>
      <c r="H682" s="665">
        <v>1995.8</v>
      </c>
      <c r="I682" s="665">
        <v>1490.92</v>
      </c>
      <c r="J682" s="665">
        <v>0</v>
      </c>
      <c r="K682" s="616">
        <f>+Costi!I153</f>
        <v>1520.7384000000002</v>
      </c>
      <c r="L682" s="616">
        <f>+Costi!J153</f>
        <v>1551.1531680000003</v>
      </c>
      <c r="M682" s="616">
        <f>+Costi!K153</f>
        <v>1582.1762313600002</v>
      </c>
      <c r="N682" s="616">
        <f>+Costi!L153</f>
        <v>1613.8197559872003</v>
      </c>
      <c r="O682" s="616">
        <f>+Costi!M153</f>
        <v>1646.0961511069443</v>
      </c>
      <c r="Q682" s="594">
        <f t="shared" si="691"/>
        <v>0.26830188101336594</v>
      </c>
      <c r="R682" s="594">
        <f t="shared" si="692"/>
        <v>0.17419811541462837</v>
      </c>
      <c r="S682" s="594">
        <f t="shared" si="693"/>
        <v>-0.74345230061251111</v>
      </c>
      <c r="T682" s="594">
        <f t="shared" si="694"/>
        <v>-0.25297123960316659</v>
      </c>
      <c r="U682" s="594">
        <f t="shared" si="695"/>
        <v>2.0000000000000018E-2</v>
      </c>
      <c r="V682" s="594">
        <f t="shared" si="696"/>
        <v>2.0000000000000018E-2</v>
      </c>
      <c r="W682" s="594">
        <f t="shared" si="697"/>
        <v>2.0000000000000018E-2</v>
      </c>
      <c r="X682" s="594">
        <f t="shared" si="698"/>
        <v>2.0000000000000018E-2</v>
      </c>
      <c r="Y682" s="594">
        <f t="shared" si="699"/>
        <v>2.0000000000000018E-2</v>
      </c>
      <c r="AA682" s="594">
        <f t="shared" si="700"/>
        <v>2.0126234841972104E-4</v>
      </c>
      <c r="AB682" s="594">
        <f t="shared" si="701"/>
        <v>2.6474885007349378E-4</v>
      </c>
      <c r="AC682" s="594">
        <f t="shared" si="702"/>
        <v>2.8976299082472131E-4</v>
      </c>
      <c r="AD682" s="594">
        <f t="shared" si="703"/>
        <v>6.4086141494660236E-5</v>
      </c>
      <c r="AE682" s="594">
        <f t="shared" si="704"/>
        <v>2.9221724093732287E-5</v>
      </c>
      <c r="AF682" s="594">
        <f t="shared" si="705"/>
        <v>2.3280915529679586E-5</v>
      </c>
      <c r="AG682" s="594">
        <f t="shared" si="706"/>
        <v>2.2342897851466095E-5</v>
      </c>
      <c r="AH682" s="594">
        <f t="shared" si="707"/>
        <v>2.1979234626178086E-5</v>
      </c>
      <c r="AI682" s="594">
        <f t="shared" si="708"/>
        <v>2.1468788080860446E-5</v>
      </c>
      <c r="AJ682" s="594">
        <f t="shared" si="709"/>
        <v>2.0970196164698821E-5</v>
      </c>
      <c r="AL682" s="594">
        <f t="shared" si="710"/>
        <v>1.6981641098126574E-4</v>
      </c>
    </row>
    <row r="683" spans="1:38" outlineLevel="1">
      <c r="B683" s="562" t="s">
        <v>2343</v>
      </c>
      <c r="C683" s="562" t="s">
        <v>391</v>
      </c>
      <c r="D683" s="572" t="s">
        <v>2288</v>
      </c>
      <c r="E683" s="664">
        <v>21966.31</v>
      </c>
      <c r="F683" s="664">
        <v>16133.52</v>
      </c>
      <c r="G683" s="665">
        <v>20379.16</v>
      </c>
      <c r="H683" s="665">
        <v>22751.279999999999</v>
      </c>
      <c r="I683" s="665">
        <v>27181.4</v>
      </c>
      <c r="J683" s="665">
        <v>17258.189999999999</v>
      </c>
      <c r="K683" s="616">
        <f>+Costi!I154</f>
        <v>25000</v>
      </c>
      <c r="L683" s="616">
        <f>+Costi!J154</f>
        <v>25000</v>
      </c>
      <c r="M683" s="616">
        <f>+Costi!K154</f>
        <v>25000</v>
      </c>
      <c r="N683" s="616">
        <f>+Costi!L154</f>
        <v>25000</v>
      </c>
      <c r="O683" s="616">
        <f>+Costi!M154</f>
        <v>25000</v>
      </c>
      <c r="Q683" s="594">
        <f t="shared" si="691"/>
        <v>-0.26553344644594379</v>
      </c>
      <c r="R683" s="594">
        <f t="shared" si="692"/>
        <v>0.26315645934675125</v>
      </c>
      <c r="S683" s="594">
        <f t="shared" si="693"/>
        <v>0.11639930203207594</v>
      </c>
      <c r="T683" s="594">
        <f t="shared" si="694"/>
        <v>0.19471959379867876</v>
      </c>
      <c r="U683" s="594">
        <f t="shared" si="695"/>
        <v>-8.0253408580867824E-2</v>
      </c>
      <c r="V683" s="594">
        <f t="shared" si="696"/>
        <v>0</v>
      </c>
      <c r="W683" s="594">
        <f t="shared" si="697"/>
        <v>0</v>
      </c>
      <c r="X683" s="594">
        <f t="shared" si="698"/>
        <v>0</v>
      </c>
      <c r="Y683" s="594">
        <f t="shared" si="699"/>
        <v>0</v>
      </c>
      <c r="AA683" s="594">
        <f t="shared" si="700"/>
        <v>8.4632031531105885E-4</v>
      </c>
      <c r="AB683" s="594">
        <f t="shared" si="701"/>
        <v>6.4469707435519644E-4</v>
      </c>
      <c r="AC683" s="594">
        <f t="shared" si="702"/>
        <v>7.5906733150743662E-4</v>
      </c>
      <c r="AD683" s="594">
        <f t="shared" si="703"/>
        <v>7.3055504021677189E-4</v>
      </c>
      <c r="AE683" s="594">
        <f t="shared" si="704"/>
        <v>5.327498264704845E-4</v>
      </c>
      <c r="AF683" s="594">
        <f t="shared" si="705"/>
        <v>3.8272387166786187E-4</v>
      </c>
      <c r="AG683" s="594">
        <f t="shared" si="706"/>
        <v>3.6010141216863525E-4</v>
      </c>
      <c r="AH683" s="594">
        <f t="shared" si="707"/>
        <v>3.4729434987285313E-4</v>
      </c>
      <c r="AI683" s="594">
        <f t="shared" si="708"/>
        <v>3.3257722867148244E-4</v>
      </c>
      <c r="AJ683" s="594">
        <f t="shared" si="709"/>
        <v>3.1848376764925107E-4</v>
      </c>
      <c r="AL683" s="594">
        <f t="shared" si="710"/>
        <v>7.0267791757218964E-4</v>
      </c>
    </row>
    <row r="684" spans="1:38" outlineLevel="1">
      <c r="A684" s="545">
        <v>1</v>
      </c>
      <c r="B684" s="562" t="s">
        <v>2343</v>
      </c>
      <c r="C684" s="562" t="s">
        <v>391</v>
      </c>
      <c r="D684" s="572" t="s">
        <v>2289</v>
      </c>
      <c r="E684" s="664">
        <v>2626.95</v>
      </c>
      <c r="F684" s="664">
        <v>2744.28</v>
      </c>
      <c r="G684" s="665">
        <v>107.25</v>
      </c>
      <c r="H684" s="665">
        <v>360.8</v>
      </c>
      <c r="I684" s="665">
        <v>221805.33</v>
      </c>
      <c r="J684" s="665">
        <v>19361.3</v>
      </c>
      <c r="K684" s="616">
        <f>+Costi!I155</f>
        <v>19361.3</v>
      </c>
      <c r="L684" s="616">
        <f>+Costi!J155</f>
        <v>0</v>
      </c>
      <c r="M684" s="616">
        <f>+Costi!K155</f>
        <v>0</v>
      </c>
      <c r="N684" s="616">
        <f>+Costi!L155</f>
        <v>0</v>
      </c>
      <c r="O684" s="616">
        <f>+Costi!M155</f>
        <v>0</v>
      </c>
      <c r="Q684" s="594">
        <f t="shared" si="691"/>
        <v>4.4663963912522364E-2</v>
      </c>
      <c r="R684" s="594">
        <f t="shared" si="692"/>
        <v>-0.96091871091871095</v>
      </c>
      <c r="S684" s="594">
        <f t="shared" si="693"/>
        <v>2.3641025641025641</v>
      </c>
      <c r="T684" s="594">
        <f t="shared" si="694"/>
        <v>613.75978381374716</v>
      </c>
      <c r="U684" s="594">
        <f t="shared" si="695"/>
        <v>-0.91271039338865301</v>
      </c>
      <c r="V684" s="594">
        <f t="shared" si="696"/>
        <v>-1</v>
      </c>
      <c r="W684" s="594">
        <f t="shared" si="697"/>
        <v>0</v>
      </c>
      <c r="X684" s="594">
        <f t="shared" si="698"/>
        <v>0</v>
      </c>
      <c r="Y684" s="594">
        <f t="shared" si="699"/>
        <v>0</v>
      </c>
      <c r="AA684" s="594">
        <f t="shared" si="700"/>
        <v>1.0121140748293118E-4</v>
      </c>
      <c r="AB684" s="594">
        <f t="shared" si="701"/>
        <v>1.0966170353472017E-4</v>
      </c>
      <c r="AC684" s="594">
        <f t="shared" si="702"/>
        <v>3.9947657952620508E-6</v>
      </c>
      <c r="AD684" s="594">
        <f t="shared" si="703"/>
        <v>1.1585469411400648E-5</v>
      </c>
      <c r="AE684" s="594">
        <f t="shared" si="704"/>
        <v>4.3473386605446572E-3</v>
      </c>
      <c r="AF684" s="594">
        <f t="shared" si="705"/>
        <v>2.9640126786091895E-4</v>
      </c>
      <c r="AG684" s="594">
        <f t="shared" si="706"/>
        <v>0</v>
      </c>
      <c r="AH684" s="594">
        <f t="shared" si="707"/>
        <v>0</v>
      </c>
      <c r="AI684" s="594">
        <f t="shared" si="708"/>
        <v>0</v>
      </c>
      <c r="AJ684" s="594">
        <f t="shared" si="709"/>
        <v>0</v>
      </c>
      <c r="AL684" s="594">
        <f t="shared" si="710"/>
        <v>9.1475840135379417E-4</v>
      </c>
    </row>
    <row r="685" spans="1:38" outlineLevel="1">
      <c r="B685" s="562" t="s">
        <v>2343</v>
      </c>
      <c r="C685" s="562" t="s">
        <v>391</v>
      </c>
      <c r="D685" s="572" t="s">
        <v>2290</v>
      </c>
      <c r="E685" s="664">
        <v>52.53</v>
      </c>
      <c r="F685" s="664">
        <v>718.17</v>
      </c>
      <c r="G685" s="665">
        <v>342.59</v>
      </c>
      <c r="H685" s="665">
        <v>155.16</v>
      </c>
      <c r="I685" s="665">
        <v>416.55</v>
      </c>
      <c r="J685" s="665">
        <v>164.67</v>
      </c>
      <c r="K685" s="616">
        <f>+Costi!I156</f>
        <v>350</v>
      </c>
      <c r="L685" s="616">
        <f>+Costi!J156</f>
        <v>350</v>
      </c>
      <c r="M685" s="616">
        <f>+Costi!K156</f>
        <v>350</v>
      </c>
      <c r="N685" s="616">
        <f>+Costi!L156</f>
        <v>350</v>
      </c>
      <c r="O685" s="616">
        <f>+Costi!M156</f>
        <v>350</v>
      </c>
      <c r="Q685" s="594">
        <f t="shared" si="691"/>
        <v>12.671616219303255</v>
      </c>
      <c r="R685" s="594">
        <f t="shared" si="692"/>
        <v>-0.52296809947505474</v>
      </c>
      <c r="S685" s="594">
        <f t="shared" si="693"/>
        <v>-0.54709711316734289</v>
      </c>
      <c r="T685" s="594">
        <f t="shared" si="694"/>
        <v>1.6846481051817479</v>
      </c>
      <c r="U685" s="594">
        <f t="shared" si="695"/>
        <v>-0.15976473412555514</v>
      </c>
      <c r="V685" s="594">
        <f t="shared" si="696"/>
        <v>0</v>
      </c>
      <c r="W685" s="594">
        <f t="shared" si="697"/>
        <v>0</v>
      </c>
      <c r="X685" s="594">
        <f t="shared" si="698"/>
        <v>0</v>
      </c>
      <c r="Y685" s="594">
        <f t="shared" si="699"/>
        <v>0</v>
      </c>
      <c r="AA685" s="594">
        <f t="shared" si="700"/>
        <v>2.0238813967065895E-6</v>
      </c>
      <c r="AB685" s="594">
        <f t="shared" si="701"/>
        <v>2.869814509726776E-5</v>
      </c>
      <c r="AC685" s="594">
        <f t="shared" si="702"/>
        <v>1.2760529732389984E-5</v>
      </c>
      <c r="AD685" s="594">
        <f t="shared" si="703"/>
        <v>4.9822656149471299E-6</v>
      </c>
      <c r="AE685" s="594">
        <f t="shared" si="704"/>
        <v>8.1642939736834869E-6</v>
      </c>
      <c r="AF685" s="594">
        <f t="shared" si="705"/>
        <v>5.3581342033500661E-6</v>
      </c>
      <c r="AG685" s="594">
        <f t="shared" si="706"/>
        <v>5.0414197703608937E-6</v>
      </c>
      <c r="AH685" s="594">
        <f t="shared" si="707"/>
        <v>4.8621208982199438E-6</v>
      </c>
      <c r="AI685" s="594">
        <f t="shared" si="708"/>
        <v>4.6560812014007542E-6</v>
      </c>
      <c r="AJ685" s="594">
        <f t="shared" si="709"/>
        <v>4.4587727470895152E-6</v>
      </c>
      <c r="AL685" s="594">
        <f t="shared" si="710"/>
        <v>1.1325823162998991E-5</v>
      </c>
    </row>
    <row r="686" spans="1:38" outlineLevel="1">
      <c r="B686" s="562" t="s">
        <v>2343</v>
      </c>
      <c r="C686" s="562" t="s">
        <v>391</v>
      </c>
      <c r="D686" s="572" t="s">
        <v>2291</v>
      </c>
      <c r="E686" s="664">
        <v>0</v>
      </c>
      <c r="F686" s="664">
        <v>9505.08</v>
      </c>
      <c r="G686" s="665">
        <v>377275.64</v>
      </c>
      <c r="H686" s="665">
        <v>298466.84000000003</v>
      </c>
      <c r="I686" s="665">
        <v>544164.77</v>
      </c>
      <c r="J686" s="665">
        <v>0</v>
      </c>
      <c r="K686" s="616">
        <f>+Costi!I157</f>
        <v>368815.61067250912</v>
      </c>
      <c r="L686" s="616">
        <f>+Costi!J157</f>
        <v>391985.5176297584</v>
      </c>
      <c r="M686" s="616">
        <f>+Costi!K157</f>
        <v>406440.6417778093</v>
      </c>
      <c r="N686" s="616">
        <f>+Costi!L157</f>
        <v>424426.34756440588</v>
      </c>
      <c r="O686" s="616">
        <f>+Costi!M157</f>
        <v>443207.95213520632</v>
      </c>
      <c r="Q686" s="594">
        <f t="shared" si="691"/>
        <v>0</v>
      </c>
      <c r="R686" s="594">
        <f t="shared" si="692"/>
        <v>38.692000488160019</v>
      </c>
      <c r="S686" s="594">
        <f t="shared" si="693"/>
        <v>-0.20888918245556476</v>
      </c>
      <c r="T686" s="594">
        <f t="shared" si="694"/>
        <v>0.82320009150765272</v>
      </c>
      <c r="U686" s="594">
        <f t="shared" si="695"/>
        <v>-0.32223541286491386</v>
      </c>
      <c r="V686" s="594">
        <f t="shared" si="696"/>
        <v>6.2822468156921607E-2</v>
      </c>
      <c r="W686" s="594">
        <f t="shared" si="697"/>
        <v>3.6876679106558674E-2</v>
      </c>
      <c r="X686" s="594">
        <f t="shared" si="698"/>
        <v>4.4251740445850674E-2</v>
      </c>
      <c r="Y686" s="594">
        <f t="shared" si="699"/>
        <v>4.4251740445850452E-2</v>
      </c>
      <c r="AA686" s="594">
        <f t="shared" si="700"/>
        <v>0</v>
      </c>
      <c r="AB686" s="594">
        <f t="shared" si="701"/>
        <v>3.7982394837035501E-4</v>
      </c>
      <c r="AC686" s="594">
        <f t="shared" si="702"/>
        <v>1.4052473865338921E-2</v>
      </c>
      <c r="AD686" s="594">
        <f t="shared" si="703"/>
        <v>9.5839203024872827E-3</v>
      </c>
      <c r="AE686" s="594">
        <f t="shared" si="704"/>
        <v>1.066551711055542E-2</v>
      </c>
      <c r="AF686" s="594">
        <f t="shared" si="705"/>
        <v>5.6461815379251793E-3</v>
      </c>
      <c r="AG686" s="594">
        <f t="shared" si="706"/>
        <v>5.6461815379251785E-3</v>
      </c>
      <c r="AH686" s="594">
        <f t="shared" si="707"/>
        <v>5.6461815379251793E-3</v>
      </c>
      <c r="AI686" s="594">
        <f t="shared" si="708"/>
        <v>5.6461815379251802E-3</v>
      </c>
      <c r="AJ686" s="594">
        <f t="shared" si="709"/>
        <v>5.6461815379251776E-3</v>
      </c>
      <c r="AL686" s="594">
        <f t="shared" si="710"/>
        <v>6.9363470453503951E-3</v>
      </c>
    </row>
    <row r="687" spans="1:38" outlineLevel="1">
      <c r="B687" s="562" t="s">
        <v>2343</v>
      </c>
      <c r="C687" s="562" t="s">
        <v>391</v>
      </c>
      <c r="D687" s="572" t="s">
        <v>2292</v>
      </c>
      <c r="E687" s="664">
        <v>0</v>
      </c>
      <c r="F687" s="664">
        <v>-9505.08</v>
      </c>
      <c r="G687" s="665">
        <v>-192735</v>
      </c>
      <c r="H687" s="665">
        <v>-82574</v>
      </c>
      <c r="I687" s="665">
        <v>-82538</v>
      </c>
      <c r="J687" s="665">
        <v>0</v>
      </c>
      <c r="K687" s="616">
        <f>+Costi!I158</f>
        <v>-65745.860779064213</v>
      </c>
      <c r="L687" s="616">
        <f>+Costi!J158</f>
        <v>-69876.178024306384</v>
      </c>
      <c r="M687" s="616">
        <f>+Costi!K158</f>
        <v>-72452.979418501491</v>
      </c>
      <c r="N687" s="616">
        <f>+Costi!L158</f>
        <v>-75659.149858257573</v>
      </c>
      <c r="O687" s="616">
        <f>+Costi!M158</f>
        <v>-79007.198920138908</v>
      </c>
      <c r="Q687" s="594">
        <f t="shared" si="691"/>
        <v>0</v>
      </c>
      <c r="R687" s="594">
        <f t="shared" si="692"/>
        <v>19.27705185016854</v>
      </c>
      <c r="S687" s="594">
        <f t="shared" si="693"/>
        <v>-0.57156717773108157</v>
      </c>
      <c r="T687" s="594">
        <f t="shared" si="694"/>
        <v>-4.3597258216876433E-4</v>
      </c>
      <c r="U687" s="594">
        <f t="shared" si="695"/>
        <v>-0.20344737237315891</v>
      </c>
      <c r="V687" s="594">
        <f t="shared" si="696"/>
        <v>6.2822468156921829E-2</v>
      </c>
      <c r="W687" s="594">
        <f t="shared" si="697"/>
        <v>3.6876679106558674E-2</v>
      </c>
      <c r="X687" s="594">
        <f t="shared" si="698"/>
        <v>4.4251740445850674E-2</v>
      </c>
      <c r="Y687" s="594">
        <f t="shared" si="699"/>
        <v>4.4251740445850674E-2</v>
      </c>
      <c r="AA687" s="594">
        <f t="shared" si="700"/>
        <v>0</v>
      </c>
      <c r="AB687" s="594">
        <f t="shared" si="701"/>
        <v>-3.7982394837035501E-4</v>
      </c>
      <c r="AC687" s="594">
        <f t="shared" si="702"/>
        <v>-7.1788455529121801E-3</v>
      </c>
      <c r="AD687" s="594">
        <f t="shared" si="703"/>
        <v>-2.6514926584728302E-3</v>
      </c>
      <c r="AE687" s="594">
        <f t="shared" si="704"/>
        <v>-1.6177277541708981E-3</v>
      </c>
      <c r="AF687" s="594">
        <f t="shared" si="705"/>
        <v>-1.0065004153399875E-3</v>
      </c>
      <c r="AG687" s="594">
        <f t="shared" si="706"/>
        <v>-1.0065004153399875E-3</v>
      </c>
      <c r="AH687" s="594">
        <f t="shared" si="707"/>
        <v>-1.0065004153399875E-3</v>
      </c>
      <c r="AI687" s="594">
        <f t="shared" si="708"/>
        <v>-1.0065004153399875E-3</v>
      </c>
      <c r="AJ687" s="594">
        <f t="shared" si="709"/>
        <v>-1.0065004153399872E-3</v>
      </c>
      <c r="AL687" s="594">
        <f t="shared" si="710"/>
        <v>-2.3655779827852527E-3</v>
      </c>
    </row>
    <row r="688" spans="1:38" outlineLevel="1">
      <c r="A688" s="545">
        <v>1</v>
      </c>
      <c r="B688" s="562" t="s">
        <v>2343</v>
      </c>
      <c r="C688" s="562" t="s">
        <v>391</v>
      </c>
      <c r="D688" s="572" t="s">
        <v>2293</v>
      </c>
      <c r="E688" s="664">
        <v>100</v>
      </c>
      <c r="F688" s="664">
        <v>0</v>
      </c>
      <c r="G688" s="665">
        <v>0</v>
      </c>
      <c r="H688" s="665">
        <v>120</v>
      </c>
      <c r="I688" s="665">
        <v>361</v>
      </c>
      <c r="J688" s="665">
        <v>14020</v>
      </c>
      <c r="K688" s="616">
        <f>+Costi!I159</f>
        <v>14020</v>
      </c>
      <c r="L688" s="616">
        <f>+Costi!J159</f>
        <v>0</v>
      </c>
      <c r="M688" s="616">
        <f>+Costi!K159</f>
        <v>0</v>
      </c>
      <c r="N688" s="616">
        <f>+Costi!L159</f>
        <v>0</v>
      </c>
      <c r="O688" s="616">
        <f>+Costi!M159</f>
        <v>0</v>
      </c>
      <c r="Q688" s="594">
        <f t="shared" si="691"/>
        <v>-1</v>
      </c>
      <c r="R688" s="594">
        <f t="shared" si="692"/>
        <v>0</v>
      </c>
      <c r="S688" s="594">
        <f t="shared" si="693"/>
        <v>0</v>
      </c>
      <c r="T688" s="594">
        <f t="shared" si="694"/>
        <v>2.0083333333333333</v>
      </c>
      <c r="U688" s="594">
        <f t="shared" si="695"/>
        <v>37.83656509695291</v>
      </c>
      <c r="V688" s="594">
        <f t="shared" si="696"/>
        <v>-1</v>
      </c>
      <c r="W688" s="594">
        <f t="shared" si="697"/>
        <v>0</v>
      </c>
      <c r="X688" s="594">
        <f t="shared" si="698"/>
        <v>0</v>
      </c>
      <c r="Y688" s="594">
        <f t="shared" si="699"/>
        <v>0</v>
      </c>
      <c r="AA688" s="594">
        <f t="shared" si="700"/>
        <v>3.8528105781583653E-6</v>
      </c>
      <c r="AB688" s="594">
        <f t="shared" si="701"/>
        <v>0</v>
      </c>
      <c r="AC688" s="594">
        <f t="shared" si="702"/>
        <v>0</v>
      </c>
      <c r="AD688" s="594">
        <f t="shared" si="703"/>
        <v>3.8532603363860244E-6</v>
      </c>
      <c r="AE688" s="594">
        <f t="shared" si="704"/>
        <v>7.0755254459242308E-6</v>
      </c>
      <c r="AF688" s="594">
        <f t="shared" si="705"/>
        <v>2.1463154723133694E-4</v>
      </c>
      <c r="AG688" s="594">
        <f t="shared" si="706"/>
        <v>0</v>
      </c>
      <c r="AH688" s="594">
        <f t="shared" si="707"/>
        <v>0</v>
      </c>
      <c r="AI688" s="594">
        <f t="shared" si="708"/>
        <v>0</v>
      </c>
      <c r="AJ688" s="594">
        <f t="shared" si="709"/>
        <v>0</v>
      </c>
      <c r="AL688" s="594">
        <f t="shared" si="710"/>
        <v>2.9563192720937238E-6</v>
      </c>
    </row>
    <row r="689" spans="1:38" outlineLevel="1">
      <c r="A689" s="545">
        <v>1</v>
      </c>
      <c r="B689" s="562" t="s">
        <v>2343</v>
      </c>
      <c r="C689" s="562" t="s">
        <v>391</v>
      </c>
      <c r="D689" s="572" t="s">
        <v>2294</v>
      </c>
      <c r="E689" s="664">
        <v>0</v>
      </c>
      <c r="F689" s="664"/>
      <c r="G689" s="665">
        <v>139900</v>
      </c>
      <c r="H689" s="665">
        <v>118000.01</v>
      </c>
      <c r="I689" s="665">
        <v>0</v>
      </c>
      <c r="J689" s="665">
        <v>0</v>
      </c>
      <c r="K689" s="616">
        <f>+Costi!I160</f>
        <v>0</v>
      </c>
      <c r="L689" s="616">
        <f>+Costi!J160</f>
        <v>0</v>
      </c>
      <c r="M689" s="616">
        <f>+Costi!K160</f>
        <v>0</v>
      </c>
      <c r="N689" s="616">
        <f>+Costi!L160</f>
        <v>0</v>
      </c>
      <c r="O689" s="616">
        <f>+Costi!M160</f>
        <v>0</v>
      </c>
      <c r="Q689" s="594">
        <f t="shared" si="691"/>
        <v>0</v>
      </c>
      <c r="R689" s="594">
        <f t="shared" si="692"/>
        <v>0</v>
      </c>
      <c r="S689" s="594">
        <f t="shared" si="693"/>
        <v>-0.15654031451036454</v>
      </c>
      <c r="T689" s="594">
        <f t="shared" si="694"/>
        <v>-1</v>
      </c>
      <c r="U689" s="594">
        <f t="shared" si="695"/>
        <v>0</v>
      </c>
      <c r="V689" s="594">
        <f t="shared" si="696"/>
        <v>0</v>
      </c>
      <c r="W689" s="594">
        <f t="shared" si="697"/>
        <v>0</v>
      </c>
      <c r="X689" s="594">
        <f t="shared" si="698"/>
        <v>0</v>
      </c>
      <c r="Y689" s="594">
        <f t="shared" si="699"/>
        <v>0</v>
      </c>
      <c r="AA689" s="594">
        <f t="shared" si="700"/>
        <v>0</v>
      </c>
      <c r="AB689" s="594">
        <f t="shared" si="701"/>
        <v>0</v>
      </c>
      <c r="AC689" s="594">
        <f t="shared" si="702"/>
        <v>5.210887969763738E-3</v>
      </c>
      <c r="AD689" s="594">
        <f t="shared" si="703"/>
        <v>3.7890396518846189E-3</v>
      </c>
      <c r="AE689" s="594">
        <f t="shared" si="704"/>
        <v>0</v>
      </c>
      <c r="AF689" s="594">
        <f t="shared" si="705"/>
        <v>0</v>
      </c>
      <c r="AG689" s="594">
        <f t="shared" si="706"/>
        <v>0</v>
      </c>
      <c r="AH689" s="594">
        <f t="shared" si="707"/>
        <v>0</v>
      </c>
      <c r="AI689" s="594">
        <f t="shared" si="708"/>
        <v>0</v>
      </c>
      <c r="AJ689" s="594">
        <f t="shared" si="709"/>
        <v>0</v>
      </c>
      <c r="AL689" s="594">
        <f t="shared" si="710"/>
        <v>1.7999855243296715E-3</v>
      </c>
    </row>
    <row r="690" spans="1:38" outlineLevel="1">
      <c r="A690" s="545">
        <v>1</v>
      </c>
      <c r="B690" s="562" t="s">
        <v>2343</v>
      </c>
      <c r="C690" s="562" t="s">
        <v>391</v>
      </c>
      <c r="D690" s="572" t="s">
        <v>2295</v>
      </c>
      <c r="E690" s="664">
        <v>13352.26</v>
      </c>
      <c r="F690" s="664">
        <v>125500</v>
      </c>
      <c r="G690" s="665">
        <v>0</v>
      </c>
      <c r="H690" s="665">
        <v>14575</v>
      </c>
      <c r="I690" s="665">
        <v>12900</v>
      </c>
      <c r="J690" s="665">
        <v>839.38</v>
      </c>
      <c r="K690" s="616">
        <f>+Costi!I161</f>
        <v>839.38</v>
      </c>
      <c r="L690" s="616">
        <f>+Costi!J161</f>
        <v>0</v>
      </c>
      <c r="M690" s="616">
        <f>+Costi!K161</f>
        <v>0</v>
      </c>
      <c r="N690" s="616">
        <f>+Costi!L161</f>
        <v>0</v>
      </c>
      <c r="O690" s="616">
        <f>+Costi!M161</f>
        <v>0</v>
      </c>
      <c r="Q690" s="594">
        <f t="shared" si="691"/>
        <v>8.3991578953675248</v>
      </c>
      <c r="R690" s="594">
        <f t="shared" si="692"/>
        <v>-1</v>
      </c>
      <c r="S690" s="594">
        <f t="shared" si="693"/>
        <v>0</v>
      </c>
      <c r="T690" s="594">
        <f t="shared" si="694"/>
        <v>-0.11492281303602059</v>
      </c>
      <c r="U690" s="594">
        <f t="shared" si="695"/>
        <v>-0.93493178294573642</v>
      </c>
      <c r="V690" s="594">
        <f t="shared" si="696"/>
        <v>-1</v>
      </c>
      <c r="W690" s="594">
        <f t="shared" si="697"/>
        <v>0</v>
      </c>
      <c r="X690" s="594">
        <f t="shared" si="698"/>
        <v>0</v>
      </c>
      <c r="Y690" s="594">
        <f t="shared" si="699"/>
        <v>0</v>
      </c>
      <c r="AA690" s="594">
        <f t="shared" si="700"/>
        <v>5.1443728570320813E-4</v>
      </c>
      <c r="AB690" s="594">
        <f t="shared" si="701"/>
        <v>5.0149925640267682E-3</v>
      </c>
      <c r="AC690" s="594">
        <f t="shared" si="702"/>
        <v>0</v>
      </c>
      <c r="AD690" s="594">
        <f t="shared" si="703"/>
        <v>4.6801057835688592E-4</v>
      </c>
      <c r="AE690" s="594">
        <f t="shared" si="704"/>
        <v>2.5283733587928695E-4</v>
      </c>
      <c r="AF690" s="594">
        <f t="shared" si="705"/>
        <v>1.2850030536022796E-5</v>
      </c>
      <c r="AG690" s="594">
        <f t="shared" si="706"/>
        <v>0</v>
      </c>
      <c r="AH690" s="594">
        <f t="shared" si="707"/>
        <v>0</v>
      </c>
      <c r="AI690" s="594">
        <f t="shared" si="708"/>
        <v>0</v>
      </c>
      <c r="AJ690" s="594">
        <f t="shared" si="709"/>
        <v>0</v>
      </c>
      <c r="AL690" s="594">
        <f t="shared" si="710"/>
        <v>1.2500555527932299E-3</v>
      </c>
    </row>
    <row r="691" spans="1:38" outlineLevel="1">
      <c r="B691" s="562" t="s">
        <v>2343</v>
      </c>
      <c r="C691" s="562" t="s">
        <v>391</v>
      </c>
      <c r="D691" s="572" t="s">
        <v>2414</v>
      </c>
      <c r="E691" s="664">
        <v>0.7</v>
      </c>
      <c r="F691" s="664"/>
      <c r="G691" s="665"/>
      <c r="H691" s="665"/>
      <c r="I691" s="665">
        <v>0.55000000000000004</v>
      </c>
      <c r="J691" s="665">
        <v>0</v>
      </c>
      <c r="K691" s="616">
        <f>+Costi!I162</f>
        <v>0</v>
      </c>
      <c r="L691" s="616">
        <f>+Costi!J162</f>
        <v>0</v>
      </c>
      <c r="M691" s="616">
        <f>+Costi!K162</f>
        <v>0</v>
      </c>
      <c r="N691" s="616">
        <f>+Costi!L162</f>
        <v>0</v>
      </c>
      <c r="O691" s="616">
        <f>+Costi!M162</f>
        <v>0</v>
      </c>
      <c r="Q691" s="594">
        <f t="shared" si="691"/>
        <v>-1</v>
      </c>
      <c r="R691" s="594">
        <f t="shared" si="692"/>
        <v>0</v>
      </c>
      <c r="S691" s="594">
        <f t="shared" si="693"/>
        <v>0</v>
      </c>
      <c r="T691" s="594">
        <f t="shared" si="694"/>
        <v>0</v>
      </c>
      <c r="U691" s="594">
        <f t="shared" si="695"/>
        <v>-1</v>
      </c>
      <c r="V691" s="594">
        <f t="shared" si="696"/>
        <v>0</v>
      </c>
      <c r="W691" s="594">
        <f t="shared" si="697"/>
        <v>0</v>
      </c>
      <c r="X691" s="594">
        <f t="shared" si="698"/>
        <v>0</v>
      </c>
      <c r="Y691" s="594">
        <f t="shared" si="699"/>
        <v>0</v>
      </c>
      <c r="AA691" s="594">
        <f t="shared" si="700"/>
        <v>2.6969674047108556E-8</v>
      </c>
      <c r="AB691" s="594">
        <f t="shared" si="701"/>
        <v>0</v>
      </c>
      <c r="AC691" s="594">
        <f t="shared" si="702"/>
        <v>0</v>
      </c>
      <c r="AD691" s="594">
        <f t="shared" si="703"/>
        <v>0</v>
      </c>
      <c r="AE691" s="594">
        <f t="shared" si="704"/>
        <v>1.077988641345797E-8</v>
      </c>
      <c r="AF691" s="594">
        <f t="shared" si="705"/>
        <v>0</v>
      </c>
      <c r="AG691" s="594">
        <f t="shared" si="706"/>
        <v>0</v>
      </c>
      <c r="AH691" s="594">
        <f t="shared" si="707"/>
        <v>0</v>
      </c>
      <c r="AI691" s="594">
        <f t="shared" si="708"/>
        <v>0</v>
      </c>
      <c r="AJ691" s="594">
        <f t="shared" si="709"/>
        <v>0</v>
      </c>
      <c r="AL691" s="594">
        <f t="shared" si="710"/>
        <v>7.5499120921133042E-9</v>
      </c>
    </row>
    <row r="692" spans="1:38" outlineLevel="1">
      <c r="B692" s="562" t="s">
        <v>2343</v>
      </c>
      <c r="C692" s="562" t="s">
        <v>391</v>
      </c>
      <c r="D692" s="572" t="s">
        <v>2296</v>
      </c>
      <c r="E692" s="664">
        <v>0</v>
      </c>
      <c r="F692" s="664">
        <v>0.1</v>
      </c>
      <c r="G692" s="665">
        <v>0</v>
      </c>
      <c r="H692" s="670"/>
      <c r="I692" s="665">
        <v>0</v>
      </c>
      <c r="J692" s="665">
        <v>0</v>
      </c>
      <c r="K692" s="616">
        <f>+Costi!I163</f>
        <v>0</v>
      </c>
      <c r="L692" s="616">
        <f>+Costi!J163</f>
        <v>0</v>
      </c>
      <c r="M692" s="616">
        <f>+Costi!K163</f>
        <v>0</v>
      </c>
      <c r="N692" s="616">
        <f>+Costi!L163</f>
        <v>0</v>
      </c>
      <c r="O692" s="616">
        <f>+Costi!M163</f>
        <v>0</v>
      </c>
      <c r="Q692" s="594">
        <f t="shared" si="691"/>
        <v>0</v>
      </c>
      <c r="R692" s="594">
        <f t="shared" si="692"/>
        <v>-1</v>
      </c>
      <c r="S692" s="594">
        <f t="shared" si="693"/>
        <v>0</v>
      </c>
      <c r="T692" s="594">
        <f t="shared" si="694"/>
        <v>0</v>
      </c>
      <c r="U692" s="594">
        <f t="shared" si="695"/>
        <v>0</v>
      </c>
      <c r="V692" s="594">
        <f t="shared" si="696"/>
        <v>0</v>
      </c>
      <c r="W692" s="594">
        <f t="shared" si="697"/>
        <v>0</v>
      </c>
      <c r="X692" s="594">
        <f t="shared" si="698"/>
        <v>0</v>
      </c>
      <c r="Y692" s="594">
        <f t="shared" si="699"/>
        <v>0</v>
      </c>
      <c r="AA692" s="594">
        <f t="shared" si="700"/>
        <v>0</v>
      </c>
      <c r="AB692" s="594">
        <f t="shared" si="701"/>
        <v>3.9960100111767078E-9</v>
      </c>
      <c r="AC692" s="594">
        <f t="shared" si="702"/>
        <v>0</v>
      </c>
      <c r="AD692" s="594">
        <f t="shared" si="703"/>
        <v>0</v>
      </c>
      <c r="AE692" s="594">
        <f t="shared" si="704"/>
        <v>0</v>
      </c>
      <c r="AF692" s="594">
        <f t="shared" si="705"/>
        <v>0</v>
      </c>
      <c r="AG692" s="594">
        <f t="shared" si="706"/>
        <v>0</v>
      </c>
      <c r="AH692" s="594">
        <f t="shared" si="707"/>
        <v>0</v>
      </c>
      <c r="AI692" s="594">
        <f t="shared" si="708"/>
        <v>0</v>
      </c>
      <c r="AJ692" s="594">
        <f t="shared" si="709"/>
        <v>0</v>
      </c>
      <c r="AL692" s="594">
        <f t="shared" si="710"/>
        <v>7.9920200223534157E-10</v>
      </c>
    </row>
    <row r="693" spans="1:38" outlineLevel="1">
      <c r="B693" s="562" t="s">
        <v>2343</v>
      </c>
      <c r="C693" s="562" t="s">
        <v>391</v>
      </c>
      <c r="D693" s="572" t="s">
        <v>2411</v>
      </c>
      <c r="E693" s="664">
        <v>309</v>
      </c>
      <c r="F693" s="664">
        <v>256</v>
      </c>
      <c r="G693" s="665">
        <v>0</v>
      </c>
      <c r="H693" s="670"/>
      <c r="I693" s="665">
        <v>0</v>
      </c>
      <c r="J693" s="665">
        <v>0</v>
      </c>
      <c r="K693" s="616">
        <f>+Costi!I164</f>
        <v>0</v>
      </c>
      <c r="L693" s="616">
        <f>+Costi!J164</f>
        <v>0</v>
      </c>
      <c r="M693" s="616">
        <f>+Costi!K164</f>
        <v>0</v>
      </c>
      <c r="N693" s="616">
        <f>+Costi!L164</f>
        <v>0</v>
      </c>
      <c r="O693" s="616">
        <f>+Costi!M164</f>
        <v>0</v>
      </c>
      <c r="Q693" s="594">
        <f t="shared" si="691"/>
        <v>-0.17152103559870546</v>
      </c>
      <c r="R693" s="594">
        <f t="shared" si="692"/>
        <v>-1</v>
      </c>
      <c r="S693" s="594">
        <f t="shared" si="693"/>
        <v>0</v>
      </c>
      <c r="T693" s="594">
        <f t="shared" si="694"/>
        <v>0</v>
      </c>
      <c r="U693" s="594">
        <f t="shared" si="695"/>
        <v>0</v>
      </c>
      <c r="V693" s="594">
        <f t="shared" si="696"/>
        <v>0</v>
      </c>
      <c r="W693" s="594">
        <f t="shared" si="697"/>
        <v>0</v>
      </c>
      <c r="X693" s="594">
        <f t="shared" si="698"/>
        <v>0</v>
      </c>
      <c r="Y693" s="594">
        <f t="shared" si="699"/>
        <v>0</v>
      </c>
      <c r="AA693" s="594">
        <f t="shared" si="700"/>
        <v>1.1905184686509349E-5</v>
      </c>
      <c r="AB693" s="594">
        <f t="shared" si="701"/>
        <v>1.0229785628612372E-5</v>
      </c>
      <c r="AC693" s="594">
        <f t="shared" si="702"/>
        <v>0</v>
      </c>
      <c r="AD693" s="594">
        <f t="shared" si="703"/>
        <v>0</v>
      </c>
      <c r="AE693" s="594">
        <f t="shared" si="704"/>
        <v>0</v>
      </c>
      <c r="AF693" s="594">
        <f t="shared" si="705"/>
        <v>0</v>
      </c>
      <c r="AG693" s="594">
        <f t="shared" si="706"/>
        <v>0</v>
      </c>
      <c r="AH693" s="594">
        <f t="shared" si="707"/>
        <v>0</v>
      </c>
      <c r="AI693" s="594">
        <f t="shared" si="708"/>
        <v>0</v>
      </c>
      <c r="AJ693" s="594">
        <f t="shared" si="709"/>
        <v>0</v>
      </c>
      <c r="AL693" s="594">
        <f t="shared" si="710"/>
        <v>4.426994063024344E-6</v>
      </c>
    </row>
    <row r="694" spans="1:38" outlineLevel="1">
      <c r="B694" s="562" t="s">
        <v>2343</v>
      </c>
      <c r="C694" s="562" t="s">
        <v>391</v>
      </c>
      <c r="D694" s="572" t="s">
        <v>2412</v>
      </c>
      <c r="E694" s="664">
        <v>516.46</v>
      </c>
      <c r="F694" s="664">
        <v>516.46</v>
      </c>
      <c r="G694" s="665">
        <v>516.46</v>
      </c>
      <c r="H694" s="670"/>
      <c r="I694" s="665">
        <v>0</v>
      </c>
      <c r="J694" s="665">
        <v>0</v>
      </c>
      <c r="K694" s="616">
        <f>+Costi!I165</f>
        <v>0</v>
      </c>
      <c r="L694" s="616">
        <f>+Costi!J165</f>
        <v>0</v>
      </c>
      <c r="M694" s="616">
        <f>+Costi!K165</f>
        <v>0</v>
      </c>
      <c r="N694" s="616">
        <f>+Costi!L165</f>
        <v>0</v>
      </c>
      <c r="O694" s="616">
        <f>+Costi!M165</f>
        <v>0</v>
      </c>
      <c r="Q694" s="594">
        <f t="shared" si="691"/>
        <v>0</v>
      </c>
      <c r="R694" s="594">
        <f t="shared" si="692"/>
        <v>0</v>
      </c>
      <c r="S694" s="594">
        <f t="shared" si="693"/>
        <v>-1</v>
      </c>
      <c r="T694" s="594">
        <f t="shared" si="694"/>
        <v>0</v>
      </c>
      <c r="U694" s="594">
        <f t="shared" si="695"/>
        <v>0</v>
      </c>
      <c r="V694" s="594">
        <f t="shared" si="696"/>
        <v>0</v>
      </c>
      <c r="W694" s="594">
        <f t="shared" si="697"/>
        <v>0</v>
      </c>
      <c r="X694" s="594">
        <f t="shared" si="698"/>
        <v>0</v>
      </c>
      <c r="Y694" s="594">
        <f t="shared" si="699"/>
        <v>0</v>
      </c>
      <c r="AA694" s="594">
        <f t="shared" si="700"/>
        <v>1.9898225511956695E-5</v>
      </c>
      <c r="AB694" s="594">
        <f t="shared" si="701"/>
        <v>2.0637793303723228E-5</v>
      </c>
      <c r="AC694" s="594">
        <f t="shared" si="702"/>
        <v>1.9236706224904793E-5</v>
      </c>
      <c r="AD694" s="594">
        <f t="shared" si="703"/>
        <v>0</v>
      </c>
      <c r="AE694" s="594">
        <f t="shared" si="704"/>
        <v>0</v>
      </c>
      <c r="AF694" s="594">
        <f t="shared" si="705"/>
        <v>0</v>
      </c>
      <c r="AG694" s="594">
        <f t="shared" si="706"/>
        <v>0</v>
      </c>
      <c r="AH694" s="594">
        <f t="shared" si="707"/>
        <v>0</v>
      </c>
      <c r="AI694" s="594">
        <f t="shared" si="708"/>
        <v>0</v>
      </c>
      <c r="AJ694" s="594">
        <f t="shared" si="709"/>
        <v>0</v>
      </c>
      <c r="AL694" s="594">
        <f t="shared" si="710"/>
        <v>1.1954545008116942E-5</v>
      </c>
    </row>
    <row r="695" spans="1:38" outlineLevel="1">
      <c r="B695" s="562" t="s">
        <v>2343</v>
      </c>
      <c r="C695" s="562" t="s">
        <v>391</v>
      </c>
      <c r="D695" s="572" t="s">
        <v>2413</v>
      </c>
      <c r="E695" s="664">
        <v>0</v>
      </c>
      <c r="F695" s="664">
        <v>197908.99</v>
      </c>
      <c r="G695" s="665">
        <v>0</v>
      </c>
      <c r="H695" s="670"/>
      <c r="I695" s="665">
        <v>0</v>
      </c>
      <c r="J695" s="665">
        <v>0</v>
      </c>
      <c r="K695" s="616">
        <f>+Costi!I166</f>
        <v>0</v>
      </c>
      <c r="L695" s="616">
        <f>+Costi!J166</f>
        <v>0</v>
      </c>
      <c r="M695" s="616">
        <f>+Costi!K166</f>
        <v>0</v>
      </c>
      <c r="N695" s="616">
        <f>+Costi!L166</f>
        <v>0</v>
      </c>
      <c r="O695" s="616">
        <f>+Costi!M166</f>
        <v>0</v>
      </c>
      <c r="Q695" s="594">
        <f t="shared" si="691"/>
        <v>0</v>
      </c>
      <c r="R695" s="594">
        <f t="shared" si="692"/>
        <v>-1</v>
      </c>
      <c r="S695" s="594">
        <f t="shared" si="693"/>
        <v>0</v>
      </c>
      <c r="T695" s="594">
        <f t="shared" si="694"/>
        <v>0</v>
      </c>
      <c r="U695" s="594">
        <f t="shared" si="695"/>
        <v>0</v>
      </c>
      <c r="V695" s="594">
        <f t="shared" si="696"/>
        <v>0</v>
      </c>
      <c r="W695" s="594">
        <f t="shared" si="697"/>
        <v>0</v>
      </c>
      <c r="X695" s="594">
        <f t="shared" si="698"/>
        <v>0</v>
      </c>
      <c r="Y695" s="594">
        <f t="shared" si="699"/>
        <v>0</v>
      </c>
      <c r="AA695" s="594">
        <f t="shared" si="700"/>
        <v>0</v>
      </c>
      <c r="AB695" s="594">
        <f t="shared" si="701"/>
        <v>7.9084630534187097E-3</v>
      </c>
      <c r="AC695" s="594">
        <f t="shared" si="702"/>
        <v>0</v>
      </c>
      <c r="AD695" s="594">
        <f t="shared" si="703"/>
        <v>0</v>
      </c>
      <c r="AE695" s="594">
        <f t="shared" si="704"/>
        <v>0</v>
      </c>
      <c r="AF695" s="594">
        <f t="shared" si="705"/>
        <v>0</v>
      </c>
      <c r="AG695" s="594">
        <f t="shared" si="706"/>
        <v>0</v>
      </c>
      <c r="AH695" s="594">
        <f t="shared" si="707"/>
        <v>0</v>
      </c>
      <c r="AI695" s="594">
        <f t="shared" si="708"/>
        <v>0</v>
      </c>
      <c r="AJ695" s="594">
        <f t="shared" si="709"/>
        <v>0</v>
      </c>
      <c r="AL695" s="594">
        <f t="shared" si="710"/>
        <v>1.5816926106837419E-3</v>
      </c>
    </row>
    <row r="696" spans="1:38" outlineLevel="1">
      <c r="A696" s="545">
        <v>1</v>
      </c>
      <c r="B696" s="562" t="s">
        <v>2343</v>
      </c>
      <c r="C696" s="562" t="s">
        <v>391</v>
      </c>
      <c r="D696" s="572" t="s">
        <v>2297</v>
      </c>
      <c r="E696" s="664">
        <v>0</v>
      </c>
      <c r="F696" s="664">
        <v>10938.9</v>
      </c>
      <c r="G696" s="665">
        <v>14911.05</v>
      </c>
      <c r="H696" s="665">
        <v>12295.08</v>
      </c>
      <c r="I696" s="665">
        <v>0</v>
      </c>
      <c r="J696" s="665">
        <v>0</v>
      </c>
      <c r="K696" s="616">
        <f>+Costi!I167</f>
        <v>0</v>
      </c>
      <c r="L696" s="616">
        <f>+Costi!J167</f>
        <v>0</v>
      </c>
      <c r="M696" s="616">
        <f>+Costi!K167</f>
        <v>0</v>
      </c>
      <c r="N696" s="616">
        <f>+Costi!L167</f>
        <v>0</v>
      </c>
      <c r="O696" s="616">
        <f>+Costi!M167</f>
        <v>0</v>
      </c>
      <c r="Q696" s="594">
        <f t="shared" si="691"/>
        <v>0</v>
      </c>
      <c r="R696" s="594">
        <f t="shared" si="692"/>
        <v>0.36312152044538304</v>
      </c>
      <c r="S696" s="594">
        <f t="shared" si="693"/>
        <v>-0.17543834941201319</v>
      </c>
      <c r="T696" s="594">
        <f t="shared" si="694"/>
        <v>-1</v>
      </c>
      <c r="U696" s="594">
        <f t="shared" si="695"/>
        <v>0</v>
      </c>
      <c r="V696" s="594">
        <f t="shared" si="696"/>
        <v>0</v>
      </c>
      <c r="W696" s="594">
        <f t="shared" si="697"/>
        <v>0</v>
      </c>
      <c r="X696" s="594">
        <f t="shared" si="698"/>
        <v>0</v>
      </c>
      <c r="Y696" s="594">
        <f t="shared" si="699"/>
        <v>0</v>
      </c>
      <c r="AA696" s="594">
        <f t="shared" si="700"/>
        <v>0</v>
      </c>
      <c r="AB696" s="594">
        <f t="shared" si="701"/>
        <v>4.3711953911260886E-4</v>
      </c>
      <c r="AC696" s="594">
        <f t="shared" si="702"/>
        <v>5.5539536141204849E-4</v>
      </c>
      <c r="AD696" s="594">
        <f t="shared" si="703"/>
        <v>3.9480120080577572E-4</v>
      </c>
      <c r="AE696" s="594">
        <f t="shared" si="704"/>
        <v>0</v>
      </c>
      <c r="AF696" s="594">
        <f t="shared" si="705"/>
        <v>0</v>
      </c>
      <c r="AG696" s="594">
        <f t="shared" si="706"/>
        <v>0</v>
      </c>
      <c r="AH696" s="594">
        <f t="shared" si="707"/>
        <v>0</v>
      </c>
      <c r="AI696" s="594">
        <f t="shared" si="708"/>
        <v>0</v>
      </c>
      <c r="AJ696" s="594">
        <f t="shared" si="709"/>
        <v>0</v>
      </c>
      <c r="AL696" s="594">
        <f t="shared" si="710"/>
        <v>2.7746322026608666E-4</v>
      </c>
    </row>
    <row r="697" spans="1:38" outlineLevel="1">
      <c r="A697" s="545">
        <v>1</v>
      </c>
      <c r="B697" s="562" t="s">
        <v>2343</v>
      </c>
      <c r="C697" s="562" t="s">
        <v>391</v>
      </c>
      <c r="D697" s="572" t="s">
        <v>2298</v>
      </c>
      <c r="E697" s="664">
        <v>11226.6</v>
      </c>
      <c r="F697" s="664">
        <v>5360.99</v>
      </c>
      <c r="G697" s="665">
        <v>6807.89</v>
      </c>
      <c r="H697" s="665">
        <v>220</v>
      </c>
      <c r="I697" s="665">
        <v>6079.55</v>
      </c>
      <c r="J697" s="665">
        <v>2160.81</v>
      </c>
      <c r="K697" s="616">
        <f>+Costi!I168</f>
        <v>0</v>
      </c>
      <c r="L697" s="616">
        <f>+Costi!J168</f>
        <v>0</v>
      </c>
      <c r="M697" s="616">
        <f>+Costi!K168</f>
        <v>0</v>
      </c>
      <c r="N697" s="616">
        <f>+Costi!L168</f>
        <v>0</v>
      </c>
      <c r="O697" s="616">
        <f>+Costi!M168</f>
        <v>0</v>
      </c>
      <c r="Q697" s="594">
        <f t="shared" si="691"/>
        <v>-0.52247430210393175</v>
      </c>
      <c r="R697" s="594">
        <f t="shared" si="692"/>
        <v>0.26989417999287446</v>
      </c>
      <c r="S697" s="594">
        <f t="shared" si="693"/>
        <v>-0.96768455424514788</v>
      </c>
      <c r="T697" s="594">
        <f t="shared" si="694"/>
        <v>26.634318181818184</v>
      </c>
      <c r="U697" s="594">
        <f t="shared" si="695"/>
        <v>-1</v>
      </c>
      <c r="V697" s="594">
        <f t="shared" si="696"/>
        <v>0</v>
      </c>
      <c r="W697" s="594">
        <f t="shared" si="697"/>
        <v>0</v>
      </c>
      <c r="X697" s="594">
        <f t="shared" si="698"/>
        <v>0</v>
      </c>
      <c r="Y697" s="594">
        <f t="shared" si="699"/>
        <v>0</v>
      </c>
      <c r="AA697" s="594">
        <f t="shared" si="700"/>
        <v>4.3253963236752706E-4</v>
      </c>
      <c r="AB697" s="594">
        <f t="shared" si="701"/>
        <v>2.1422569709818217E-4</v>
      </c>
      <c r="AC697" s="594">
        <f t="shared" si="702"/>
        <v>2.5357506862383743E-4</v>
      </c>
      <c r="AD697" s="594">
        <f t="shared" si="703"/>
        <v>7.0643106167077119E-6</v>
      </c>
      <c r="AE697" s="594">
        <f t="shared" si="704"/>
        <v>1.1915792444534255E-4</v>
      </c>
      <c r="AF697" s="594">
        <f t="shared" si="705"/>
        <v>0</v>
      </c>
      <c r="AG697" s="594">
        <f t="shared" si="706"/>
        <v>0</v>
      </c>
      <c r="AH697" s="594">
        <f t="shared" si="707"/>
        <v>0</v>
      </c>
      <c r="AI697" s="594">
        <f t="shared" si="708"/>
        <v>0</v>
      </c>
      <c r="AJ697" s="594">
        <f t="shared" si="709"/>
        <v>0</v>
      </c>
      <c r="AL697" s="594">
        <f t="shared" si="710"/>
        <v>2.0531252663031938E-4</v>
      </c>
    </row>
    <row r="698" spans="1:38" outlineLevel="1">
      <c r="B698" s="562" t="s">
        <v>2343</v>
      </c>
      <c r="C698" s="562" t="s">
        <v>391</v>
      </c>
      <c r="D698" s="572" t="s">
        <v>4170</v>
      </c>
      <c r="E698" s="664"/>
      <c r="F698" s="664"/>
      <c r="G698" s="665"/>
      <c r="H698" s="665"/>
      <c r="I698" s="665"/>
      <c r="J698" s="665">
        <v>60</v>
      </c>
      <c r="K698" s="616"/>
      <c r="L698" s="616"/>
      <c r="M698" s="616"/>
      <c r="N698" s="616"/>
      <c r="O698" s="616"/>
      <c r="Q698" s="1034"/>
      <c r="R698" s="1034"/>
      <c r="S698" s="1034"/>
      <c r="T698" s="1034"/>
      <c r="U698" s="1034"/>
      <c r="V698" s="1034"/>
      <c r="W698" s="1034"/>
      <c r="X698" s="1034"/>
      <c r="Y698" s="1034"/>
      <c r="AA698" s="1034"/>
      <c r="AB698" s="1034"/>
      <c r="AC698" s="1034"/>
      <c r="AD698" s="1034"/>
      <c r="AE698" s="1034"/>
      <c r="AF698" s="1034"/>
      <c r="AG698" s="1034"/>
      <c r="AH698" s="1034"/>
      <c r="AI698" s="1034"/>
      <c r="AJ698" s="1034"/>
      <c r="AL698" s="1034"/>
    </row>
    <row r="699" spans="1:38" outlineLevel="1">
      <c r="D699" s="578" t="s">
        <v>2299</v>
      </c>
      <c r="E699" s="685"/>
      <c r="F699" s="685"/>
      <c r="G699" s="690"/>
      <c r="H699" s="690">
        <f t="shared" ref="H699" si="711">+SUM(H659:H698)</f>
        <v>710789.98999999987</v>
      </c>
      <c r="I699" s="690">
        <v>902870.16000000015</v>
      </c>
      <c r="J699" s="690">
        <v>144862.99000000002</v>
      </c>
      <c r="K699" s="617"/>
      <c r="L699" s="617"/>
      <c r="M699" s="617"/>
      <c r="N699" s="617"/>
      <c r="O699" s="617"/>
    </row>
    <row r="700" spans="1:38" outlineLevel="1">
      <c r="D700" s="576" t="s">
        <v>2300</v>
      </c>
      <c r="E700" s="679"/>
      <c r="F700" s="679"/>
      <c r="G700" s="678"/>
      <c r="H700" s="678">
        <v>30117305.699999999</v>
      </c>
      <c r="I700" s="678">
        <v>47851321.340000004</v>
      </c>
      <c r="J700" s="678">
        <v>24575417.68</v>
      </c>
      <c r="K700" s="625"/>
      <c r="L700" s="625"/>
      <c r="M700" s="625"/>
      <c r="N700" s="625"/>
      <c r="O700" s="625"/>
    </row>
    <row r="701" spans="1:38" outlineLevel="1">
      <c r="D701" s="565"/>
      <c r="E701" s="652"/>
      <c r="F701" s="652"/>
      <c r="G701" s="654"/>
      <c r="H701" s="654"/>
      <c r="I701" s="654"/>
      <c r="J701" s="654"/>
      <c r="K701" s="618"/>
      <c r="L701" s="618"/>
      <c r="M701" s="618"/>
      <c r="N701" s="618"/>
      <c r="O701" s="618"/>
    </row>
    <row r="702" spans="1:38" outlineLevel="1">
      <c r="D702" s="567" t="s">
        <v>2301</v>
      </c>
      <c r="E702" s="694"/>
      <c r="F702" s="694"/>
      <c r="G702" s="683"/>
      <c r="H702" s="683">
        <v>2411543.4300000002</v>
      </c>
      <c r="I702" s="683">
        <v>5422738.609999992</v>
      </c>
      <c r="J702" s="683">
        <v>2686704.1200000048</v>
      </c>
      <c r="K702" s="629"/>
      <c r="L702" s="629"/>
      <c r="M702" s="629"/>
      <c r="N702" s="629"/>
      <c r="O702" s="629"/>
    </row>
    <row r="703" spans="1:38" outlineLevel="1">
      <c r="D703" s="565"/>
      <c r="E703" s="652"/>
      <c r="F703" s="652"/>
      <c r="G703" s="654"/>
      <c r="H703" s="654"/>
      <c r="I703" s="654"/>
      <c r="J703" s="654"/>
      <c r="K703" s="618"/>
      <c r="L703" s="618"/>
      <c r="M703" s="618"/>
      <c r="N703" s="618"/>
      <c r="O703" s="618"/>
    </row>
    <row r="704" spans="1:38" outlineLevel="1">
      <c r="D704" s="568" t="s">
        <v>2302</v>
      </c>
      <c r="E704" s="660"/>
      <c r="F704" s="660"/>
      <c r="G704" s="686"/>
      <c r="H704" s="686"/>
      <c r="I704" s="686"/>
      <c r="J704" s="686"/>
      <c r="K704" s="624"/>
      <c r="L704" s="624"/>
      <c r="M704" s="624"/>
      <c r="N704" s="624"/>
      <c r="O704" s="624"/>
    </row>
    <row r="705" spans="2:38" outlineLevel="1">
      <c r="D705" s="569" t="s">
        <v>2303</v>
      </c>
      <c r="E705" s="662"/>
      <c r="F705" s="662"/>
      <c r="G705" s="654"/>
      <c r="H705" s="654"/>
      <c r="I705" s="654"/>
      <c r="J705" s="654"/>
      <c r="K705" s="618"/>
      <c r="L705" s="618"/>
      <c r="M705" s="618"/>
      <c r="N705" s="618"/>
      <c r="O705" s="618"/>
    </row>
    <row r="706" spans="2:38" outlineLevel="1">
      <c r="B706" s="562" t="s">
        <v>2343</v>
      </c>
      <c r="C706" s="562" t="s">
        <v>378</v>
      </c>
      <c r="D706" s="572" t="s">
        <v>2304</v>
      </c>
      <c r="E706" s="664">
        <v>0</v>
      </c>
      <c r="F706" s="664"/>
      <c r="G706" s="665">
        <v>10.32</v>
      </c>
      <c r="H706" s="665">
        <v>19.399999999999999</v>
      </c>
      <c r="I706" s="665">
        <v>0</v>
      </c>
      <c r="J706" s="665">
        <v>35.71</v>
      </c>
      <c r="K706" s="616">
        <v>0</v>
      </c>
      <c r="L706" s="616">
        <v>0</v>
      </c>
      <c r="M706" s="616">
        <v>0</v>
      </c>
      <c r="N706" s="616">
        <v>0</v>
      </c>
      <c r="O706" s="616">
        <v>0</v>
      </c>
      <c r="Q706" s="594">
        <f t="shared" ref="Q706" si="712">+IFERROR(F706/E706-1,0)</f>
        <v>0</v>
      </c>
      <c r="R706" s="594">
        <f t="shared" ref="R706" si="713">+IFERROR(G706/F706-1,0)</f>
        <v>0</v>
      </c>
      <c r="S706" s="594">
        <f t="shared" ref="S706" si="714">+IFERROR(H706/G706-1,0)</f>
        <v>0.87984496124030986</v>
      </c>
      <c r="T706" s="594">
        <f t="shared" ref="T706" si="715">+IFERROR(I706/H706-1,0)</f>
        <v>-1</v>
      </c>
      <c r="U706" s="594">
        <f t="shared" ref="U706" si="716">+IFERROR(K706/I706-1,0)</f>
        <v>0</v>
      </c>
      <c r="V706" s="594">
        <f t="shared" ref="V706" si="717">+IFERROR(L706/K706-1,0)</f>
        <v>0</v>
      </c>
      <c r="W706" s="594">
        <f t="shared" ref="W706" si="718">+IFERROR(M706/L706-1,0)</f>
        <v>0</v>
      </c>
      <c r="X706" s="594">
        <f t="shared" ref="X706" si="719">+IFERROR(N706/M706-1,0)</f>
        <v>0</v>
      </c>
      <c r="Y706" s="594">
        <f t="shared" ref="Y706" si="720">+IFERROR(O706/N706-1,0)</f>
        <v>0</v>
      </c>
      <c r="AA706" s="594">
        <f t="shared" ref="AA706" si="721">+IFERROR(E706/E$454,0)</f>
        <v>0</v>
      </c>
      <c r="AB706" s="594">
        <f t="shared" ref="AB706" si="722">+IFERROR(F706/F$454,0)</f>
        <v>0</v>
      </c>
      <c r="AC706" s="594">
        <f t="shared" ref="AC706" si="723">+IFERROR(G706/G$454,0)</f>
        <v>3.8439144994969104E-7</v>
      </c>
      <c r="AD706" s="594">
        <f t="shared" ref="AD706" si="724">+IFERROR(H706/H$454,0)</f>
        <v>6.2294375438240732E-7</v>
      </c>
      <c r="AE706" s="594">
        <f t="shared" ref="AE706" si="725">+IFERROR(I706/I$454,0)</f>
        <v>0</v>
      </c>
      <c r="AF706" s="594">
        <f t="shared" ref="AF706" si="726">+IFERROR(K706/K$454,0)</f>
        <v>0</v>
      </c>
      <c r="AG706" s="594">
        <f t="shared" ref="AG706" si="727">+IFERROR(L706/L$454,0)</f>
        <v>0</v>
      </c>
      <c r="AH706" s="594">
        <f t="shared" ref="AH706" si="728">+IFERROR(M706/M$454,0)</f>
        <v>0</v>
      </c>
      <c r="AI706" s="594">
        <f t="shared" ref="AI706" si="729">+IFERROR(N706/N$454,0)</f>
        <v>0</v>
      </c>
      <c r="AJ706" s="594">
        <f t="shared" ref="AJ706" si="730">+IFERROR(O706/O$454,0)</f>
        <v>0</v>
      </c>
      <c r="AL706" s="594">
        <f>+AVERAGE(AA706:AE706)</f>
        <v>2.0146704086641968E-7</v>
      </c>
    </row>
    <row r="707" spans="2:38" outlineLevel="1">
      <c r="D707" s="570" t="s">
        <v>2128</v>
      </c>
      <c r="E707" s="676"/>
      <c r="F707" s="676"/>
      <c r="G707" s="667"/>
      <c r="H707" s="667">
        <v>19.399999999999999</v>
      </c>
      <c r="I707" s="667"/>
      <c r="J707" s="667"/>
      <c r="K707" s="618"/>
      <c r="L707" s="618"/>
      <c r="M707" s="618"/>
      <c r="N707" s="618"/>
      <c r="O707" s="618"/>
    </row>
    <row r="708" spans="2:38" outlineLevel="1">
      <c r="D708" s="573" t="s">
        <v>2305</v>
      </c>
      <c r="E708" s="668"/>
      <c r="F708" s="668"/>
      <c r="G708" s="669"/>
      <c r="H708" s="669">
        <v>19.399999999999999</v>
      </c>
      <c r="I708" s="669"/>
      <c r="J708" s="669"/>
      <c r="K708" s="627"/>
      <c r="L708" s="627"/>
      <c r="M708" s="627"/>
      <c r="N708" s="627"/>
      <c r="O708" s="627"/>
    </row>
    <row r="709" spans="2:38" outlineLevel="1">
      <c r="D709" s="569" t="s">
        <v>2306</v>
      </c>
      <c r="E709" s="662"/>
      <c r="F709" s="662"/>
      <c r="G709" s="654"/>
      <c r="H709" s="654"/>
      <c r="I709" s="654"/>
      <c r="J709" s="654"/>
      <c r="K709" s="618"/>
      <c r="L709" s="618"/>
      <c r="M709" s="618"/>
      <c r="N709" s="618"/>
      <c r="O709" s="618"/>
    </row>
    <row r="710" spans="2:38" outlineLevel="1">
      <c r="D710" s="574" t="s">
        <v>2307</v>
      </c>
      <c r="E710" s="671"/>
      <c r="F710" s="671"/>
      <c r="G710" s="657"/>
      <c r="H710" s="657"/>
      <c r="I710" s="657"/>
      <c r="J710" s="657"/>
      <c r="K710" s="626"/>
      <c r="L710" s="626"/>
      <c r="M710" s="626"/>
      <c r="N710" s="626"/>
      <c r="O710" s="626"/>
    </row>
    <row r="711" spans="2:38" outlineLevel="1">
      <c r="B711" s="562" t="s">
        <v>2343</v>
      </c>
      <c r="C711" s="562" t="s">
        <v>377</v>
      </c>
      <c r="D711" s="572" t="s">
        <v>2308</v>
      </c>
      <c r="E711" s="664">
        <v>-65.66</v>
      </c>
      <c r="F711" s="664">
        <v>-54.29</v>
      </c>
      <c r="G711" s="665">
        <v>-87.76</v>
      </c>
      <c r="H711" s="665">
        <v>-136.30000000000001</v>
      </c>
      <c r="I711" s="665">
        <v>-121.35</v>
      </c>
      <c r="J711" s="665">
        <v>-102</v>
      </c>
      <c r="K711" s="616"/>
      <c r="L711" s="616"/>
      <c r="M711" s="616"/>
      <c r="N711" s="616"/>
      <c r="O711" s="616"/>
      <c r="Q711" s="594">
        <f t="shared" ref="Q711:Q714" si="731">+IFERROR(F711/E711-1,0)</f>
        <v>-0.173164788303381</v>
      </c>
      <c r="R711" s="594">
        <f t="shared" ref="R711:R714" si="732">+IFERROR(G711/F711-1,0)</f>
        <v>0.61650396021366749</v>
      </c>
      <c r="S711" s="594">
        <f t="shared" ref="S711:S714" si="733">+IFERROR(H711/G711-1,0)</f>
        <v>0.55309936189608022</v>
      </c>
      <c r="T711" s="594">
        <f t="shared" ref="T711:T714" si="734">+IFERROR(I711/H711-1,0)</f>
        <v>-0.10968451944240654</v>
      </c>
      <c r="U711" s="594">
        <f t="shared" ref="U711:U714" si="735">+IFERROR(K711/I711-1,0)</f>
        <v>-1</v>
      </c>
      <c r="V711" s="594">
        <f t="shared" ref="V711:V714" si="736">+IFERROR(L711/K711-1,0)</f>
        <v>0</v>
      </c>
      <c r="W711" s="594">
        <f t="shared" ref="W711:W714" si="737">+IFERROR(M711/L711-1,0)</f>
        <v>0</v>
      </c>
      <c r="X711" s="594">
        <f t="shared" ref="X711:X714" si="738">+IFERROR(N711/M711-1,0)</f>
        <v>0</v>
      </c>
      <c r="Y711" s="594">
        <f t="shared" ref="Y711:Y714" si="739">+IFERROR(O711/N711-1,0)</f>
        <v>0</v>
      </c>
      <c r="AA711" s="594">
        <f t="shared" ref="AA711:AA714" si="740">+IFERROR(E711/E$454,0)</f>
        <v>-2.5297554256187824E-6</v>
      </c>
      <c r="AB711" s="594">
        <f t="shared" ref="AB711:AB714" si="741">+IFERROR(F711/F$454,0)</f>
        <v>-2.1694338350678346E-6</v>
      </c>
      <c r="AC711" s="594">
        <f t="shared" ref="AC711:AC714" si="742">+IFERROR(G711/G$454,0)</f>
        <v>-3.2688172139132642E-6</v>
      </c>
      <c r="AD711" s="594">
        <f t="shared" ref="AD711:AD714" si="743">+IFERROR(H711/H$454,0)</f>
        <v>-4.3766615320784604E-6</v>
      </c>
      <c r="AE711" s="594">
        <f t="shared" ref="AE711:AE714" si="744">+IFERROR(I711/I$454,0)</f>
        <v>-2.3784349386784084E-6</v>
      </c>
      <c r="AF711" s="594">
        <f t="shared" ref="AF711:AF714" si="745">+IFERROR(K711/K$454,0)</f>
        <v>0</v>
      </c>
      <c r="AG711" s="594">
        <f t="shared" ref="AG711:AG714" si="746">+IFERROR(L711/L$454,0)</f>
        <v>0</v>
      </c>
      <c r="AH711" s="594">
        <f t="shared" ref="AH711:AH714" si="747">+IFERROR(M711/M$454,0)</f>
        <v>0</v>
      </c>
      <c r="AI711" s="594">
        <f t="shared" ref="AI711:AI714" si="748">+IFERROR(N711/N$454,0)</f>
        <v>0</v>
      </c>
      <c r="AJ711" s="594">
        <f t="shared" ref="AJ711:AJ714" si="749">+IFERROR(O711/O$454,0)</f>
        <v>0</v>
      </c>
      <c r="AL711" s="594">
        <f t="shared" ref="AL711:AL714" si="750">+AVERAGE(AA711:AE711)</f>
        <v>-2.9446205890713496E-6</v>
      </c>
    </row>
    <row r="712" spans="2:38" outlineLevel="1">
      <c r="B712" s="562" t="s">
        <v>2343</v>
      </c>
      <c r="C712" s="562" t="s">
        <v>377</v>
      </c>
      <c r="D712" s="572" t="s">
        <v>2415</v>
      </c>
      <c r="E712" s="664">
        <v>-4081.48</v>
      </c>
      <c r="F712" s="664"/>
      <c r="G712" s="665"/>
      <c r="H712" s="665"/>
      <c r="I712" s="665">
        <v>0</v>
      </c>
      <c r="J712" s="665">
        <v>0</v>
      </c>
      <c r="K712" s="616"/>
      <c r="L712" s="616"/>
      <c r="M712" s="616"/>
      <c r="N712" s="616"/>
      <c r="O712" s="616"/>
      <c r="Q712" s="594">
        <f t="shared" si="731"/>
        <v>-1</v>
      </c>
      <c r="R712" s="594">
        <f t="shared" si="732"/>
        <v>0</v>
      </c>
      <c r="S712" s="594">
        <f t="shared" si="733"/>
        <v>0</v>
      </c>
      <c r="T712" s="594">
        <f t="shared" si="734"/>
        <v>0</v>
      </c>
      <c r="U712" s="594">
        <f t="shared" si="735"/>
        <v>0</v>
      </c>
      <c r="V712" s="594">
        <f t="shared" si="736"/>
        <v>0</v>
      </c>
      <c r="W712" s="594">
        <f t="shared" si="737"/>
        <v>0</v>
      </c>
      <c r="X712" s="594">
        <f t="shared" si="738"/>
        <v>0</v>
      </c>
      <c r="Y712" s="594">
        <f t="shared" si="739"/>
        <v>0</v>
      </c>
      <c r="AA712" s="594">
        <f t="shared" si="740"/>
        <v>-1.5725169318541804E-4</v>
      </c>
      <c r="AB712" s="594">
        <f t="shared" si="741"/>
        <v>0</v>
      </c>
      <c r="AC712" s="594">
        <f t="shared" si="742"/>
        <v>0</v>
      </c>
      <c r="AD712" s="594">
        <f t="shared" si="743"/>
        <v>0</v>
      </c>
      <c r="AE712" s="594">
        <f t="shared" si="744"/>
        <v>0</v>
      </c>
      <c r="AF712" s="594">
        <f t="shared" si="745"/>
        <v>0</v>
      </c>
      <c r="AG712" s="594">
        <f t="shared" si="746"/>
        <v>0</v>
      </c>
      <c r="AH712" s="594">
        <f t="shared" si="747"/>
        <v>0</v>
      </c>
      <c r="AI712" s="594">
        <f t="shared" si="748"/>
        <v>0</v>
      </c>
      <c r="AJ712" s="594">
        <f t="shared" si="749"/>
        <v>0</v>
      </c>
      <c r="AL712" s="594">
        <f t="shared" si="750"/>
        <v>-3.145033863708361E-5</v>
      </c>
    </row>
    <row r="713" spans="2:38" outlineLevel="1">
      <c r="B713" s="562" t="s">
        <v>2343</v>
      </c>
      <c r="C713" s="562" t="s">
        <v>377</v>
      </c>
      <c r="D713" s="572" t="s">
        <v>2309</v>
      </c>
      <c r="E713" s="664">
        <v>0</v>
      </c>
      <c r="F713" s="664"/>
      <c r="G713" s="665">
        <v>0</v>
      </c>
      <c r="H713" s="665">
        <v>-92.24</v>
      </c>
      <c r="I713" s="665">
        <v>-49.99</v>
      </c>
      <c r="J713" s="665">
        <v>-51242.04</v>
      </c>
      <c r="K713" s="616"/>
      <c r="L713" s="616"/>
      <c r="M713" s="616"/>
      <c r="N713" s="616"/>
      <c r="O713" s="616"/>
      <c r="Q713" s="594">
        <f t="shared" si="731"/>
        <v>0</v>
      </c>
      <c r="R713" s="594">
        <f t="shared" si="732"/>
        <v>0</v>
      </c>
      <c r="S713" s="594">
        <f t="shared" si="733"/>
        <v>0</v>
      </c>
      <c r="T713" s="594">
        <f t="shared" si="734"/>
        <v>-0.45804423243712056</v>
      </c>
      <c r="U713" s="594">
        <f t="shared" si="735"/>
        <v>-1</v>
      </c>
      <c r="V713" s="594">
        <f t="shared" si="736"/>
        <v>0</v>
      </c>
      <c r="W713" s="594">
        <f t="shared" si="737"/>
        <v>0</v>
      </c>
      <c r="X713" s="594">
        <f t="shared" si="738"/>
        <v>0</v>
      </c>
      <c r="Y713" s="594">
        <f t="shared" si="739"/>
        <v>0</v>
      </c>
      <c r="AA713" s="594">
        <f t="shared" si="740"/>
        <v>0</v>
      </c>
      <c r="AB713" s="594">
        <f t="shared" si="741"/>
        <v>0</v>
      </c>
      <c r="AC713" s="594">
        <f t="shared" si="742"/>
        <v>0</v>
      </c>
      <c r="AD713" s="594">
        <f t="shared" si="743"/>
        <v>-2.9618727785687243E-6</v>
      </c>
      <c r="AE713" s="594">
        <f t="shared" si="744"/>
        <v>-9.7979367601593444E-7</v>
      </c>
      <c r="AF713" s="594">
        <f t="shared" si="745"/>
        <v>0</v>
      </c>
      <c r="AG713" s="594">
        <f t="shared" si="746"/>
        <v>0</v>
      </c>
      <c r="AH713" s="594">
        <f t="shared" si="747"/>
        <v>0</v>
      </c>
      <c r="AI713" s="594">
        <f t="shared" si="748"/>
        <v>0</v>
      </c>
      <c r="AJ713" s="594">
        <f t="shared" si="749"/>
        <v>0</v>
      </c>
      <c r="AL713" s="594">
        <f t="shared" si="750"/>
        <v>-7.8833329091693179E-7</v>
      </c>
    </row>
    <row r="714" spans="2:38" outlineLevel="1">
      <c r="B714" s="562" t="s">
        <v>2343</v>
      </c>
      <c r="C714" s="562" t="s">
        <v>377</v>
      </c>
      <c r="D714" s="572" t="s">
        <v>2310</v>
      </c>
      <c r="E714" s="664">
        <v>-13967.22</v>
      </c>
      <c r="F714" s="664">
        <v>-5856.39</v>
      </c>
      <c r="G714" s="665">
        <v>-10733.24</v>
      </c>
      <c r="H714" s="665">
        <v>-6927.64</v>
      </c>
      <c r="I714" s="665">
        <v>-6713.56</v>
      </c>
      <c r="J714" s="665">
        <v>-0.3</v>
      </c>
      <c r="K714" s="616"/>
      <c r="L714" s="616"/>
      <c r="M714" s="616"/>
      <c r="N714" s="616"/>
      <c r="O714" s="616"/>
      <c r="Q714" s="594">
        <f t="shared" si="731"/>
        <v>-0.58070467852586272</v>
      </c>
      <c r="R714" s="594">
        <f t="shared" si="732"/>
        <v>0.83273996438078735</v>
      </c>
      <c r="S714" s="594">
        <f t="shared" si="733"/>
        <v>-0.35456208935978317</v>
      </c>
      <c r="T714" s="594">
        <f t="shared" si="734"/>
        <v>-3.0902298618288415E-2</v>
      </c>
      <c r="U714" s="594">
        <f t="shared" si="735"/>
        <v>-1</v>
      </c>
      <c r="V714" s="594">
        <f t="shared" si="736"/>
        <v>0</v>
      </c>
      <c r="W714" s="594">
        <f t="shared" si="737"/>
        <v>0</v>
      </c>
      <c r="X714" s="594">
        <f t="shared" si="738"/>
        <v>0</v>
      </c>
      <c r="Y714" s="594">
        <f t="shared" si="739"/>
        <v>0</v>
      </c>
      <c r="AA714" s="594">
        <f t="shared" si="740"/>
        <v>-5.3813052963465075E-4</v>
      </c>
      <c r="AB714" s="594">
        <f t="shared" si="741"/>
        <v>-2.3402193069355161E-4</v>
      </c>
      <c r="AC714" s="594">
        <f t="shared" si="742"/>
        <v>-3.9978349673042845E-4</v>
      </c>
      <c r="AD714" s="594">
        <f t="shared" si="743"/>
        <v>-2.2245000363967736E-4</v>
      </c>
      <c r="AE714" s="594">
        <f t="shared" si="744"/>
        <v>-1.3158438950897254E-4</v>
      </c>
      <c r="AF714" s="594">
        <f t="shared" si="745"/>
        <v>0</v>
      </c>
      <c r="AG714" s="594">
        <f t="shared" si="746"/>
        <v>0</v>
      </c>
      <c r="AH714" s="594">
        <f t="shared" si="747"/>
        <v>0</v>
      </c>
      <c r="AI714" s="594">
        <f t="shared" si="748"/>
        <v>0</v>
      </c>
      <c r="AJ714" s="594">
        <f t="shared" si="749"/>
        <v>0</v>
      </c>
      <c r="AL714" s="594">
        <f t="shared" si="750"/>
        <v>-3.0519407004145615E-4</v>
      </c>
    </row>
    <row r="715" spans="2:38" outlineLevel="1">
      <c r="D715" s="574" t="s">
        <v>2128</v>
      </c>
      <c r="E715" s="671"/>
      <c r="F715" s="671"/>
      <c r="G715" s="666"/>
      <c r="H715" s="666">
        <v>7156.18</v>
      </c>
      <c r="I715" s="666">
        <v>-6884.9000000000005</v>
      </c>
      <c r="J715" s="666">
        <v>-51344.340000000004</v>
      </c>
      <c r="K715" s="630"/>
      <c r="L715" s="630"/>
      <c r="M715" s="630"/>
      <c r="N715" s="630"/>
      <c r="O715" s="630"/>
    </row>
    <row r="716" spans="2:38" outlineLevel="1">
      <c r="D716" s="575" t="s">
        <v>2311</v>
      </c>
      <c r="E716" s="672"/>
      <c r="F716" s="672"/>
      <c r="G716" s="673"/>
      <c r="H716" s="673">
        <v>7156.18</v>
      </c>
      <c r="I716" s="673">
        <v>-6884.9000000000005</v>
      </c>
      <c r="J716" s="673">
        <v>-51344.340000000004</v>
      </c>
      <c r="K716" s="631"/>
      <c r="L716" s="631"/>
      <c r="M716" s="631"/>
      <c r="N716" s="631"/>
      <c r="O716" s="631"/>
    </row>
    <row r="717" spans="2:38" outlineLevel="1">
      <c r="D717" s="573" t="s">
        <v>2312</v>
      </c>
      <c r="E717" s="668"/>
      <c r="F717" s="668"/>
      <c r="G717" s="669"/>
      <c r="H717" s="669">
        <v>7156.18</v>
      </c>
      <c r="I717" s="669">
        <v>-6884.9000000000005</v>
      </c>
      <c r="J717" s="669">
        <v>-51344.340000000004</v>
      </c>
      <c r="K717" s="632"/>
      <c r="L717" s="632"/>
      <c r="M717" s="632"/>
      <c r="N717" s="632"/>
      <c r="O717" s="632"/>
    </row>
    <row r="718" spans="2:38" outlineLevel="1">
      <c r="D718" s="569" t="s">
        <v>2313</v>
      </c>
      <c r="E718" s="662"/>
      <c r="F718" s="662"/>
      <c r="G718" s="654"/>
      <c r="H718" s="654"/>
      <c r="I718" s="654"/>
      <c r="J718" s="654"/>
      <c r="K718" s="618"/>
      <c r="L718" s="618"/>
      <c r="M718" s="618"/>
      <c r="N718" s="618"/>
      <c r="O718" s="618"/>
    </row>
    <row r="719" spans="2:38" outlineLevel="1">
      <c r="B719" s="562" t="s">
        <v>2343</v>
      </c>
      <c r="C719" s="562" t="s">
        <v>377</v>
      </c>
      <c r="D719" s="572" t="s">
        <v>2314</v>
      </c>
      <c r="E719" s="664">
        <v>45726.83</v>
      </c>
      <c r="F719" s="664">
        <v>63992.59</v>
      </c>
      <c r="G719" s="665">
        <v>54877.06</v>
      </c>
      <c r="H719" s="665">
        <v>28258.35</v>
      </c>
      <c r="I719" s="665">
        <v>22424.799999999999</v>
      </c>
      <c r="J719" s="665">
        <v>84208.13</v>
      </c>
      <c r="K719" s="616">
        <f>+Finanziamenti!I144</f>
        <v>291534.48293185717</v>
      </c>
      <c r="L719" s="616">
        <f>+Finanziamenti!J144</f>
        <v>309670.03212857147</v>
      </c>
      <c r="M719" s="616">
        <f>+Finanziamenti!K144</f>
        <v>321089.64102857147</v>
      </c>
      <c r="N719" s="616">
        <f>+Finanziamenti!L144</f>
        <v>335298.41030000005</v>
      </c>
      <c r="O719" s="616">
        <f>+Finanziamenti!M144</f>
        <v>350135.92335714289</v>
      </c>
      <c r="Q719" s="594">
        <f t="shared" ref="Q719:Q730" si="751">+IFERROR(F719/E719-1,0)</f>
        <v>0.39945388735672238</v>
      </c>
      <c r="R719" s="594">
        <f t="shared" ref="R719:R730" si="752">+IFERROR(G719/F719-1,0)</f>
        <v>-0.14244664890106806</v>
      </c>
      <c r="S719" s="594">
        <f t="shared" ref="S719:S730" si="753">+IFERROR(H719/G719-1,0)</f>
        <v>-0.48506078860638668</v>
      </c>
      <c r="T719" s="594">
        <f t="shared" ref="T719:T730" si="754">+IFERROR(I719/H719-1,0)</f>
        <v>-0.20643632766952069</v>
      </c>
      <c r="U719" s="594">
        <f t="shared" ref="U719:U730" si="755">+IFERROR(K719/I719-1,0)</f>
        <v>12.000538820049997</v>
      </c>
      <c r="V719" s="594">
        <f t="shared" ref="V719:V730" si="756">+IFERROR(L719/K719-1,0)</f>
        <v>6.2207218214228366E-2</v>
      </c>
      <c r="W719" s="594">
        <f t="shared" ref="W719:W730" si="757">+IFERROR(M719/L719-1,0)</f>
        <v>3.6876700084619962E-2</v>
      </c>
      <c r="X719" s="594">
        <f t="shared" ref="X719:X730" si="758">+IFERROR(N719/M719-1,0)</f>
        <v>4.4251721188863335E-2</v>
      </c>
      <c r="Y719" s="594">
        <f t="shared" ref="Y719:Y730" si="759">+IFERROR(O719/N719-1,0)</f>
        <v>4.4251665386267014E-2</v>
      </c>
      <c r="AA719" s="594">
        <f t="shared" ref="AA719:AA730" si="760">+IFERROR(E719/E$454,0)</f>
        <v>1.7617681432964929E-3</v>
      </c>
      <c r="AB719" s="594">
        <f t="shared" ref="AB719:AB730" si="761">+IFERROR(F719/F$454,0)</f>
        <v>2.5571503028112646E-3</v>
      </c>
      <c r="AC719" s="594">
        <f t="shared" ref="AC719:AC730" si="762">+IFERROR(G719/G$454,0)</f>
        <v>2.0440186688349023E-3</v>
      </c>
      <c r="AD719" s="594">
        <f t="shared" ref="AD719:AD730" si="763">+IFERROR(H719/H$454,0)</f>
        <v>9.0738982688928348E-4</v>
      </c>
      <c r="AE719" s="594">
        <f t="shared" ref="AE719:AE730" si="764">+IFERROR(I719/I$454,0)</f>
        <v>4.3952144880820415E-4</v>
      </c>
      <c r="AF719" s="594">
        <f t="shared" ref="AF719:AF730" si="765">+IFERROR(K719/K$454,0)</f>
        <v>4.4630882412947425E-3</v>
      </c>
      <c r="AG719" s="594">
        <f t="shared" ref="AG719:AG730" si="766">+IFERROR(L719/L$454,0)</f>
        <v>4.4605046350322097E-3</v>
      </c>
      <c r="AH719" s="594">
        <f t="shared" ref="AH719:AH730" si="767">+IFERROR(M719/M$454,0)</f>
        <v>4.4605047252770213E-3</v>
      </c>
      <c r="AI719" s="594">
        <f t="shared" ref="AI719:AI730" si="768">+IFERROR(N719/N$454,0)</f>
        <v>4.4605046430211065E-3</v>
      </c>
      <c r="AJ719" s="594">
        <f t="shared" ref="AJ719:AJ730" si="769">+IFERROR(O719/O$454,0)</f>
        <v>4.4605043224052914E-3</v>
      </c>
      <c r="AL719" s="594">
        <f t="shared" ref="AL719:AL730" si="770">+AVERAGE(AA719:AE719)</f>
        <v>1.5419696781280294E-3</v>
      </c>
    </row>
    <row r="720" spans="2:38" outlineLevel="1">
      <c r="B720" s="562" t="s">
        <v>2343</v>
      </c>
      <c r="C720" s="562" t="s">
        <v>377</v>
      </c>
      <c r="D720" s="572" t="s">
        <v>3866</v>
      </c>
      <c r="E720" s="664"/>
      <c r="F720" s="664"/>
      <c r="G720" s="665"/>
      <c r="H720" s="665"/>
      <c r="I720" s="665">
        <v>650</v>
      </c>
      <c r="J720" s="665">
        <v>38668.589999999997</v>
      </c>
      <c r="K720" s="616"/>
      <c r="L720" s="616"/>
      <c r="M720" s="616"/>
      <c r="N720" s="616"/>
      <c r="O720" s="616"/>
      <c r="Q720" s="594"/>
      <c r="R720" s="594"/>
      <c r="S720" s="594"/>
      <c r="T720" s="594"/>
      <c r="U720" s="594"/>
      <c r="V720" s="594"/>
      <c r="W720" s="594"/>
      <c r="X720" s="594"/>
      <c r="Y720" s="594"/>
      <c r="AA720" s="594"/>
      <c r="AB720" s="594"/>
      <c r="AC720" s="594"/>
      <c r="AD720" s="594"/>
      <c r="AE720" s="594"/>
      <c r="AF720" s="594"/>
      <c r="AG720" s="594"/>
      <c r="AH720" s="594"/>
      <c r="AI720" s="594"/>
      <c r="AJ720" s="594"/>
      <c r="AL720" s="594"/>
    </row>
    <row r="721" spans="1:38" outlineLevel="1">
      <c r="B721" s="562" t="s">
        <v>2343</v>
      </c>
      <c r="C721" s="562" t="s">
        <v>377</v>
      </c>
      <c r="D721" s="572" t="s">
        <v>2315</v>
      </c>
      <c r="E721" s="664">
        <v>54469.19</v>
      </c>
      <c r="F721" s="664">
        <v>64369.55</v>
      </c>
      <c r="G721" s="665">
        <v>72609.47</v>
      </c>
      <c r="H721" s="665">
        <v>71101.070000000007</v>
      </c>
      <c r="I721" s="665">
        <v>72967.19</v>
      </c>
      <c r="J721" s="665">
        <v>0</v>
      </c>
      <c r="K721" s="616"/>
      <c r="L721" s="616"/>
      <c r="M721" s="616"/>
      <c r="N721" s="616"/>
      <c r="O721" s="616"/>
      <c r="Q721" s="594">
        <f t="shared" si="751"/>
        <v>0.18176073483009381</v>
      </c>
      <c r="R721" s="594">
        <f t="shared" si="752"/>
        <v>0.12800959459868833</v>
      </c>
      <c r="S721" s="594">
        <f t="shared" si="753"/>
        <v>-2.0774149708020051E-2</v>
      </c>
      <c r="T721" s="594">
        <f t="shared" si="754"/>
        <v>2.6246018519833658E-2</v>
      </c>
      <c r="U721" s="594">
        <f t="shared" si="755"/>
        <v>-1</v>
      </c>
      <c r="V721" s="594">
        <f t="shared" si="756"/>
        <v>0</v>
      </c>
      <c r="W721" s="594">
        <f t="shared" si="757"/>
        <v>0</v>
      </c>
      <c r="X721" s="594">
        <f t="shared" si="758"/>
        <v>0</v>
      </c>
      <c r="Y721" s="594">
        <f t="shared" si="759"/>
        <v>0</v>
      </c>
      <c r="AA721" s="594">
        <f t="shared" si="760"/>
        <v>2.0985947141571788E-3</v>
      </c>
      <c r="AB721" s="594">
        <f t="shared" si="761"/>
        <v>2.5722136621493968E-3</v>
      </c>
      <c r="AC721" s="594">
        <f t="shared" si="762"/>
        <v>2.7045018850173057E-3</v>
      </c>
      <c r="AD721" s="594">
        <f t="shared" si="763"/>
        <v>2.2830911075467195E-3</v>
      </c>
      <c r="AE721" s="594">
        <f t="shared" si="764"/>
        <v>1.4301418547440115E-3</v>
      </c>
      <c r="AF721" s="594">
        <f t="shared" si="765"/>
        <v>0</v>
      </c>
      <c r="AG721" s="594">
        <f t="shared" si="766"/>
        <v>0</v>
      </c>
      <c r="AH721" s="594">
        <f t="shared" si="767"/>
        <v>0</v>
      </c>
      <c r="AI721" s="594">
        <f t="shared" si="768"/>
        <v>0</v>
      </c>
      <c r="AJ721" s="594">
        <f t="shared" si="769"/>
        <v>0</v>
      </c>
      <c r="AL721" s="594">
        <f t="shared" si="770"/>
        <v>2.2177086447229223E-3</v>
      </c>
    </row>
    <row r="722" spans="1:38" outlineLevel="1">
      <c r="B722" s="562" t="s">
        <v>2343</v>
      </c>
      <c r="C722" s="562" t="s">
        <v>377</v>
      </c>
      <c r="D722" s="572" t="s">
        <v>2316</v>
      </c>
      <c r="E722" s="664">
        <v>42737.440000000002</v>
      </c>
      <c r="F722" s="664">
        <v>37989.620000000003</v>
      </c>
      <c r="G722" s="665">
        <v>44859.01</v>
      </c>
      <c r="H722" s="665">
        <v>58634.22</v>
      </c>
      <c r="I722" s="665">
        <v>84700.98</v>
      </c>
      <c r="J722" s="665">
        <v>121668.94</v>
      </c>
      <c r="K722" s="616">
        <f>-Finanziamenti!I137</f>
        <v>152544.00056000001</v>
      </c>
      <c r="L722" s="616">
        <f>-Finanziamenti!J137</f>
        <v>98790.113309999986</v>
      </c>
      <c r="M722" s="616">
        <f>-Finanziamenti!K137</f>
        <v>55160.501000000011</v>
      </c>
      <c r="N722" s="616">
        <f>-Finanziamenti!L137</f>
        <v>23445.759999999955</v>
      </c>
      <c r="O722" s="616">
        <f>-Finanziamenti!M137</f>
        <v>1192.5500000000259</v>
      </c>
      <c r="Q722" s="594">
        <f t="shared" si="751"/>
        <v>-0.11109275614075154</v>
      </c>
      <c r="R722" s="594">
        <f t="shared" si="752"/>
        <v>0.18082281423188751</v>
      </c>
      <c r="S722" s="594">
        <f t="shared" si="753"/>
        <v>0.30707788691725479</v>
      </c>
      <c r="T722" s="594">
        <f t="shared" si="754"/>
        <v>0.4445656478418234</v>
      </c>
      <c r="U722" s="594">
        <f t="shared" si="755"/>
        <v>0.8009709044688742</v>
      </c>
      <c r="V722" s="594">
        <f t="shared" si="756"/>
        <v>-0.35238283415057714</v>
      </c>
      <c r="W722" s="594">
        <f t="shared" si="757"/>
        <v>-0.44163946014609523</v>
      </c>
      <c r="X722" s="594">
        <f t="shared" si="758"/>
        <v>-0.57495382429539665</v>
      </c>
      <c r="Y722" s="594">
        <f t="shared" si="759"/>
        <v>-0.94913579256974279</v>
      </c>
      <c r="AA722" s="594">
        <f t="shared" si="760"/>
        <v>1.6465926091540845E-3</v>
      </c>
      <c r="AB722" s="594">
        <f t="shared" si="761"/>
        <v>1.518069018407989E-3</v>
      </c>
      <c r="AC722" s="594">
        <f t="shared" si="762"/>
        <v>1.6708740210472567E-3</v>
      </c>
      <c r="AD722" s="594">
        <f t="shared" si="763"/>
        <v>1.8827742856744349E-3</v>
      </c>
      <c r="AE722" s="594">
        <f t="shared" si="764"/>
        <v>1.6601217154701368E-3</v>
      </c>
      <c r="AF722" s="594">
        <f t="shared" si="765"/>
        <v>2.3352892197611077E-3</v>
      </c>
      <c r="AG722" s="594">
        <f t="shared" si="766"/>
        <v>1.4229783724492193E-3</v>
      </c>
      <c r="AH722" s="594">
        <f t="shared" si="767"/>
        <v>7.6627721333823477E-4</v>
      </c>
      <c r="AI722" s="594">
        <f t="shared" si="768"/>
        <v>3.1190103539586723E-4</v>
      </c>
      <c r="AJ722" s="594">
        <f t="shared" si="769"/>
        <v>1.5192312684404905E-5</v>
      </c>
      <c r="AL722" s="594">
        <f t="shared" si="770"/>
        <v>1.6756863299507805E-3</v>
      </c>
    </row>
    <row r="723" spans="1:38" outlineLevel="1">
      <c r="B723" s="562" t="s">
        <v>2343</v>
      </c>
      <c r="C723" s="562" t="s">
        <v>377</v>
      </c>
      <c r="D723" s="572" t="s">
        <v>2317</v>
      </c>
      <c r="E723" s="664">
        <v>0</v>
      </c>
      <c r="F723" s="664"/>
      <c r="G723" s="665">
        <v>1229.53</v>
      </c>
      <c r="H723" s="665">
        <v>1920.67</v>
      </c>
      <c r="I723" s="665">
        <v>1897.47</v>
      </c>
      <c r="J723" s="665">
        <v>1548.27</v>
      </c>
      <c r="K723" s="616"/>
      <c r="L723" s="616"/>
      <c r="M723" s="616"/>
      <c r="N723" s="616"/>
      <c r="O723" s="616"/>
      <c r="Q723" s="594">
        <f t="shared" si="751"/>
        <v>0</v>
      </c>
      <c r="R723" s="594">
        <f t="shared" si="752"/>
        <v>0</v>
      </c>
      <c r="S723" s="594">
        <f t="shared" si="753"/>
        <v>0.5621172317877563</v>
      </c>
      <c r="T723" s="594">
        <f t="shared" si="754"/>
        <v>-1.2079118224369689E-2</v>
      </c>
      <c r="U723" s="594">
        <f t="shared" si="755"/>
        <v>-1</v>
      </c>
      <c r="V723" s="594">
        <f t="shared" si="756"/>
        <v>0</v>
      </c>
      <c r="W723" s="594">
        <f t="shared" si="757"/>
        <v>0</v>
      </c>
      <c r="X723" s="594">
        <f t="shared" si="758"/>
        <v>0</v>
      </c>
      <c r="Y723" s="594">
        <f t="shared" si="759"/>
        <v>0</v>
      </c>
      <c r="AA723" s="594">
        <f t="shared" si="760"/>
        <v>0</v>
      </c>
      <c r="AB723" s="594">
        <f t="shared" si="761"/>
        <v>0</v>
      </c>
      <c r="AC723" s="594">
        <f t="shared" si="762"/>
        <v>4.5796591032620503E-5</v>
      </c>
      <c r="AD723" s="594">
        <f t="shared" si="763"/>
        <v>6.1673679419054549E-5</v>
      </c>
      <c r="AE723" s="594">
        <f t="shared" si="764"/>
        <v>3.719002013262563E-5</v>
      </c>
      <c r="AF723" s="594">
        <f t="shared" si="765"/>
        <v>0</v>
      </c>
      <c r="AG723" s="594">
        <f t="shared" si="766"/>
        <v>0</v>
      </c>
      <c r="AH723" s="594">
        <f t="shared" si="767"/>
        <v>0</v>
      </c>
      <c r="AI723" s="594">
        <f t="shared" si="768"/>
        <v>0</v>
      </c>
      <c r="AJ723" s="594">
        <f t="shared" si="769"/>
        <v>0</v>
      </c>
      <c r="AL723" s="594">
        <f t="shared" si="770"/>
        <v>2.8932058116860134E-5</v>
      </c>
    </row>
    <row r="724" spans="1:38" outlineLevel="1">
      <c r="B724" s="562" t="s">
        <v>2343</v>
      </c>
      <c r="C724" s="562" t="s">
        <v>377</v>
      </c>
      <c r="D724" s="572" t="s">
        <v>2318</v>
      </c>
      <c r="E724" s="664">
        <v>-11402.39</v>
      </c>
      <c r="F724" s="664">
        <v>-6810.36</v>
      </c>
      <c r="G724" s="665">
        <v>-123685.56</v>
      </c>
      <c r="H724" s="665">
        <v>-105847.87</v>
      </c>
      <c r="I724" s="665">
        <v>-52303.87</v>
      </c>
      <c r="J724" s="665">
        <v>-17472.53</v>
      </c>
      <c r="K724" s="616"/>
      <c r="L724" s="616"/>
      <c r="M724" s="616"/>
      <c r="N724" s="616"/>
      <c r="O724" s="616"/>
      <c r="Q724" s="594">
        <f t="shared" si="751"/>
        <v>-0.4027252181340929</v>
      </c>
      <c r="R724" s="594">
        <f t="shared" si="752"/>
        <v>17.161383539196166</v>
      </c>
      <c r="S724" s="594">
        <f t="shared" si="753"/>
        <v>-0.14421804776564062</v>
      </c>
      <c r="T724" s="594">
        <f t="shared" si="754"/>
        <v>-0.50585807725748277</v>
      </c>
      <c r="U724" s="594">
        <f t="shared" si="755"/>
        <v>-1</v>
      </c>
      <c r="V724" s="594">
        <f t="shared" si="756"/>
        <v>0</v>
      </c>
      <c r="W724" s="594">
        <f t="shared" si="757"/>
        <v>0</v>
      </c>
      <c r="X724" s="594">
        <f t="shared" si="758"/>
        <v>0</v>
      </c>
      <c r="Y724" s="594">
        <f t="shared" si="759"/>
        <v>0</v>
      </c>
      <c r="AA724" s="594">
        <f t="shared" si="760"/>
        <v>-4.3931248808287162E-4</v>
      </c>
      <c r="AB724" s="594">
        <f t="shared" si="761"/>
        <v>-2.7214266739717405E-4</v>
      </c>
      <c r="AC724" s="594">
        <f t="shared" si="762"/>
        <v>-4.6069449366511151E-3</v>
      </c>
      <c r="AD724" s="594">
        <f t="shared" si="763"/>
        <v>-3.3988283263495351E-3</v>
      </c>
      <c r="AE724" s="594">
        <f t="shared" si="764"/>
        <v>-1.0251450501532217E-3</v>
      </c>
      <c r="AF724" s="594">
        <f t="shared" si="765"/>
        <v>0</v>
      </c>
      <c r="AG724" s="594">
        <f t="shared" si="766"/>
        <v>0</v>
      </c>
      <c r="AH724" s="594">
        <f t="shared" si="767"/>
        <v>0</v>
      </c>
      <c r="AI724" s="594">
        <f t="shared" si="768"/>
        <v>0</v>
      </c>
      <c r="AJ724" s="594">
        <f t="shared" si="769"/>
        <v>0</v>
      </c>
      <c r="AL724" s="594">
        <f t="shared" si="770"/>
        <v>-1.9484746937267837E-3</v>
      </c>
    </row>
    <row r="725" spans="1:38" outlineLevel="1">
      <c r="B725" s="562" t="s">
        <v>2343</v>
      </c>
      <c r="C725" s="562" t="s">
        <v>377</v>
      </c>
      <c r="D725" s="572" t="s">
        <v>2416</v>
      </c>
      <c r="E725" s="664">
        <v>16.760000000000002</v>
      </c>
      <c r="F725" s="664">
        <v>418.81</v>
      </c>
      <c r="G725" s="665">
        <v>61.4</v>
      </c>
      <c r="H725" s="665"/>
      <c r="I725" s="665">
        <v>0</v>
      </c>
      <c r="J725" s="665">
        <v>0</v>
      </c>
      <c r="K725" s="616"/>
      <c r="L725" s="616"/>
      <c r="M725" s="616"/>
      <c r="N725" s="616"/>
      <c r="O725" s="616"/>
      <c r="Q725" s="594">
        <f t="shared" si="751"/>
        <v>23.988663484486871</v>
      </c>
      <c r="R725" s="594">
        <f t="shared" si="752"/>
        <v>-0.85339414054105678</v>
      </c>
      <c r="S725" s="594">
        <f t="shared" si="753"/>
        <v>-1</v>
      </c>
      <c r="T725" s="594">
        <f t="shared" si="754"/>
        <v>0</v>
      </c>
      <c r="U725" s="594">
        <f t="shared" si="755"/>
        <v>0</v>
      </c>
      <c r="V725" s="594">
        <f t="shared" si="756"/>
        <v>0</v>
      </c>
      <c r="W725" s="594">
        <f t="shared" si="757"/>
        <v>0</v>
      </c>
      <c r="X725" s="594">
        <f t="shared" si="758"/>
        <v>0</v>
      </c>
      <c r="Y725" s="594">
        <f t="shared" si="759"/>
        <v>0</v>
      </c>
      <c r="AA725" s="594">
        <f t="shared" si="760"/>
        <v>6.4573105289934211E-7</v>
      </c>
      <c r="AB725" s="594">
        <f t="shared" si="761"/>
        <v>1.673568952780917E-5</v>
      </c>
      <c r="AC725" s="594">
        <f t="shared" si="762"/>
        <v>2.2869801382665727E-6</v>
      </c>
      <c r="AD725" s="594">
        <f t="shared" si="763"/>
        <v>0</v>
      </c>
      <c r="AE725" s="594">
        <f t="shared" si="764"/>
        <v>0</v>
      </c>
      <c r="AF725" s="594">
        <f t="shared" si="765"/>
        <v>0</v>
      </c>
      <c r="AG725" s="594">
        <f t="shared" si="766"/>
        <v>0</v>
      </c>
      <c r="AH725" s="594">
        <f t="shared" si="767"/>
        <v>0</v>
      </c>
      <c r="AI725" s="594">
        <f t="shared" si="768"/>
        <v>0</v>
      </c>
      <c r="AJ725" s="594">
        <f t="shared" si="769"/>
        <v>0</v>
      </c>
      <c r="AL725" s="594">
        <f t="shared" si="770"/>
        <v>3.9336801437950173E-6</v>
      </c>
    </row>
    <row r="726" spans="1:38" outlineLevel="1">
      <c r="B726" s="562" t="s">
        <v>2343</v>
      </c>
      <c r="C726" s="562" t="s">
        <v>377</v>
      </c>
      <c r="D726" s="572" t="s">
        <v>2319</v>
      </c>
      <c r="E726" s="664">
        <v>60.8</v>
      </c>
      <c r="F726" s="664">
        <v>87.59</v>
      </c>
      <c r="G726" s="665">
        <v>0.14000000000000001</v>
      </c>
      <c r="H726" s="665">
        <v>225.01</v>
      </c>
      <c r="I726" s="665">
        <v>16.329999999999998</v>
      </c>
      <c r="J726" s="665">
        <v>0</v>
      </c>
      <c r="K726" s="616"/>
      <c r="L726" s="616"/>
      <c r="M726" s="616"/>
      <c r="N726" s="616"/>
      <c r="O726" s="616"/>
      <c r="Q726" s="594">
        <f t="shared" si="751"/>
        <v>0.44062500000000004</v>
      </c>
      <c r="R726" s="594">
        <f t="shared" si="752"/>
        <v>-0.99840164402329035</v>
      </c>
      <c r="S726" s="594">
        <f t="shared" si="753"/>
        <v>1606.2142857142856</v>
      </c>
      <c r="T726" s="594">
        <f t="shared" si="754"/>
        <v>-0.92742544775787739</v>
      </c>
      <c r="U726" s="594">
        <f t="shared" si="755"/>
        <v>-1</v>
      </c>
      <c r="V726" s="594">
        <f t="shared" si="756"/>
        <v>0</v>
      </c>
      <c r="W726" s="594">
        <f t="shared" si="757"/>
        <v>0</v>
      </c>
      <c r="X726" s="594">
        <f t="shared" si="758"/>
        <v>0</v>
      </c>
      <c r="Y726" s="594">
        <f t="shared" si="759"/>
        <v>0</v>
      </c>
      <c r="AA726" s="594">
        <f t="shared" si="760"/>
        <v>2.3425088315202861E-6</v>
      </c>
      <c r="AB726" s="594">
        <f t="shared" si="761"/>
        <v>3.5001051687896785E-6</v>
      </c>
      <c r="AC726" s="594">
        <f t="shared" si="762"/>
        <v>5.2146126931159644E-9</v>
      </c>
      <c r="AD726" s="594">
        <f t="shared" si="763"/>
        <v>7.2251842357518285E-6</v>
      </c>
      <c r="AE726" s="594">
        <f t="shared" si="764"/>
        <v>3.2006462751230662E-7</v>
      </c>
      <c r="AF726" s="594">
        <f t="shared" si="765"/>
        <v>0</v>
      </c>
      <c r="AG726" s="594">
        <f t="shared" si="766"/>
        <v>0</v>
      </c>
      <c r="AH726" s="594">
        <f t="shared" si="767"/>
        <v>0</v>
      </c>
      <c r="AI726" s="594">
        <f t="shared" si="768"/>
        <v>0</v>
      </c>
      <c r="AJ726" s="594">
        <f t="shared" si="769"/>
        <v>0</v>
      </c>
      <c r="AL726" s="594">
        <f t="shared" si="770"/>
        <v>2.6786154952534429E-6</v>
      </c>
    </row>
    <row r="727" spans="1:38" outlineLevel="1">
      <c r="B727" s="562" t="s">
        <v>2343</v>
      </c>
      <c r="C727" s="562" t="s">
        <v>377</v>
      </c>
      <c r="D727" s="572" t="s">
        <v>2320</v>
      </c>
      <c r="E727" s="664">
        <v>0</v>
      </c>
      <c r="F727" s="664"/>
      <c r="G727" s="665">
        <v>0</v>
      </c>
      <c r="H727" s="665">
        <v>7.33</v>
      </c>
      <c r="I727" s="665">
        <v>5608.8</v>
      </c>
      <c r="J727" s="665">
        <v>0</v>
      </c>
      <c r="K727" s="616"/>
      <c r="L727" s="616"/>
      <c r="M727" s="616"/>
      <c r="N727" s="616"/>
      <c r="O727" s="616"/>
      <c r="Q727" s="594">
        <f t="shared" si="751"/>
        <v>0</v>
      </c>
      <c r="R727" s="594">
        <f t="shared" si="752"/>
        <v>0</v>
      </c>
      <c r="S727" s="594">
        <f t="shared" si="753"/>
        <v>0</v>
      </c>
      <c r="T727" s="594">
        <f t="shared" si="754"/>
        <v>764.18417462482944</v>
      </c>
      <c r="U727" s="594">
        <f t="shared" si="755"/>
        <v>-1</v>
      </c>
      <c r="V727" s="594">
        <f t="shared" si="756"/>
        <v>0</v>
      </c>
      <c r="W727" s="594">
        <f t="shared" si="757"/>
        <v>0</v>
      </c>
      <c r="X727" s="594">
        <f t="shared" si="758"/>
        <v>0</v>
      </c>
      <c r="Y727" s="594">
        <f t="shared" si="759"/>
        <v>0</v>
      </c>
      <c r="AA727" s="594">
        <f t="shared" si="760"/>
        <v>0</v>
      </c>
      <c r="AB727" s="594">
        <f t="shared" si="761"/>
        <v>0</v>
      </c>
      <c r="AC727" s="594">
        <f t="shared" si="762"/>
        <v>0</v>
      </c>
      <c r="AD727" s="594">
        <f t="shared" si="763"/>
        <v>2.3536998554757969E-7</v>
      </c>
      <c r="AE727" s="594">
        <f t="shared" si="764"/>
        <v>1.0993132166509648E-4</v>
      </c>
      <c r="AF727" s="594">
        <f t="shared" si="765"/>
        <v>0</v>
      </c>
      <c r="AG727" s="594">
        <f t="shared" si="766"/>
        <v>0</v>
      </c>
      <c r="AH727" s="594">
        <f t="shared" si="767"/>
        <v>0</v>
      </c>
      <c r="AI727" s="594">
        <f t="shared" si="768"/>
        <v>0</v>
      </c>
      <c r="AJ727" s="594">
        <f t="shared" si="769"/>
        <v>0</v>
      </c>
      <c r="AL727" s="594">
        <f t="shared" si="770"/>
        <v>2.2033338330128813E-5</v>
      </c>
    </row>
    <row r="728" spans="1:38" outlineLevel="1">
      <c r="B728" s="562" t="s">
        <v>2343</v>
      </c>
      <c r="C728" s="562" t="s">
        <v>377</v>
      </c>
      <c r="D728" s="572" t="s">
        <v>2321</v>
      </c>
      <c r="E728" s="664">
        <v>0</v>
      </c>
      <c r="F728" s="664"/>
      <c r="G728" s="665">
        <v>0</v>
      </c>
      <c r="H728" s="670"/>
      <c r="I728" s="665">
        <v>0</v>
      </c>
      <c r="J728" s="665">
        <v>0</v>
      </c>
      <c r="K728" s="616"/>
      <c r="L728" s="616"/>
      <c r="M728" s="616"/>
      <c r="N728" s="616"/>
      <c r="O728" s="616"/>
      <c r="Q728" s="594">
        <f t="shared" si="751"/>
        <v>0</v>
      </c>
      <c r="R728" s="594">
        <f t="shared" si="752"/>
        <v>0</v>
      </c>
      <c r="S728" s="594">
        <f t="shared" si="753"/>
        <v>0</v>
      </c>
      <c r="T728" s="594">
        <f t="shared" si="754"/>
        <v>0</v>
      </c>
      <c r="U728" s="594">
        <f t="shared" si="755"/>
        <v>0</v>
      </c>
      <c r="V728" s="594">
        <f t="shared" si="756"/>
        <v>0</v>
      </c>
      <c r="W728" s="594">
        <f t="shared" si="757"/>
        <v>0</v>
      </c>
      <c r="X728" s="594">
        <f t="shared" si="758"/>
        <v>0</v>
      </c>
      <c r="Y728" s="594">
        <f t="shared" si="759"/>
        <v>0</v>
      </c>
      <c r="AA728" s="594">
        <f t="shared" si="760"/>
        <v>0</v>
      </c>
      <c r="AB728" s="594">
        <f t="shared" si="761"/>
        <v>0</v>
      </c>
      <c r="AC728" s="594">
        <f t="shared" si="762"/>
        <v>0</v>
      </c>
      <c r="AD728" s="594">
        <f t="shared" si="763"/>
        <v>0</v>
      </c>
      <c r="AE728" s="594">
        <f t="shared" si="764"/>
        <v>0</v>
      </c>
      <c r="AF728" s="594">
        <f t="shared" si="765"/>
        <v>0</v>
      </c>
      <c r="AG728" s="594">
        <f t="shared" si="766"/>
        <v>0</v>
      </c>
      <c r="AH728" s="594">
        <f t="shared" si="767"/>
        <v>0</v>
      </c>
      <c r="AI728" s="594">
        <f t="shared" si="768"/>
        <v>0</v>
      </c>
      <c r="AJ728" s="594">
        <f t="shared" si="769"/>
        <v>0</v>
      </c>
      <c r="AL728" s="594">
        <f t="shared" si="770"/>
        <v>0</v>
      </c>
    </row>
    <row r="729" spans="1:38" outlineLevel="1">
      <c r="B729" s="562" t="s">
        <v>2343</v>
      </c>
      <c r="C729" s="562" t="s">
        <v>377</v>
      </c>
      <c r="D729" s="572" t="s">
        <v>2322</v>
      </c>
      <c r="E729" s="664">
        <v>1772.11</v>
      </c>
      <c r="F729" s="664">
        <v>589.80999999999995</v>
      </c>
      <c r="G729" s="665">
        <v>1588.34</v>
      </c>
      <c r="H729" s="665">
        <v>1652.48</v>
      </c>
      <c r="I729" s="665">
        <v>1386.54</v>
      </c>
      <c r="J729" s="665">
        <v>0</v>
      </c>
      <c r="K729" s="616"/>
      <c r="L729" s="616"/>
      <c r="M729" s="616"/>
      <c r="N729" s="616"/>
      <c r="O729" s="616"/>
      <c r="Q729" s="594">
        <f t="shared" si="751"/>
        <v>-0.66717077382329548</v>
      </c>
      <c r="R729" s="594">
        <f t="shared" si="752"/>
        <v>1.6929689221952833</v>
      </c>
      <c r="S729" s="594">
        <f t="shared" si="753"/>
        <v>4.0381782238059882E-2</v>
      </c>
      <c r="T729" s="594">
        <f t="shared" si="754"/>
        <v>-0.16093386909372587</v>
      </c>
      <c r="U729" s="594">
        <f t="shared" si="755"/>
        <v>-1</v>
      </c>
      <c r="V729" s="594">
        <f t="shared" si="756"/>
        <v>0</v>
      </c>
      <c r="W729" s="594">
        <f t="shared" si="757"/>
        <v>0</v>
      </c>
      <c r="X729" s="594">
        <f t="shared" si="758"/>
        <v>0</v>
      </c>
      <c r="Y729" s="594">
        <f t="shared" si="759"/>
        <v>0</v>
      </c>
      <c r="AA729" s="594">
        <f t="shared" si="760"/>
        <v>6.827604153660221E-5</v>
      </c>
      <c r="AB729" s="594">
        <f t="shared" si="761"/>
        <v>2.356886664692134E-5</v>
      </c>
      <c r="AC729" s="594">
        <f t="shared" si="762"/>
        <v>5.9161270892741498E-5</v>
      </c>
      <c r="AD729" s="594">
        <f t="shared" si="763"/>
        <v>5.3061963672259821E-5</v>
      </c>
      <c r="AE729" s="594">
        <f t="shared" si="764"/>
        <v>2.7175897650392751E-5</v>
      </c>
      <c r="AF729" s="594">
        <f t="shared" si="765"/>
        <v>0</v>
      </c>
      <c r="AG729" s="594">
        <f t="shared" si="766"/>
        <v>0</v>
      </c>
      <c r="AH729" s="594">
        <f t="shared" si="767"/>
        <v>0</v>
      </c>
      <c r="AI729" s="594">
        <f t="shared" si="768"/>
        <v>0</v>
      </c>
      <c r="AJ729" s="594">
        <f t="shared" si="769"/>
        <v>0</v>
      </c>
      <c r="AL729" s="594">
        <f t="shared" si="770"/>
        <v>4.6248808079783529E-5</v>
      </c>
    </row>
    <row r="730" spans="1:38" outlineLevel="1">
      <c r="A730" s="545">
        <v>1</v>
      </c>
      <c r="B730" s="562" t="s">
        <v>2343</v>
      </c>
      <c r="C730" s="562" t="s">
        <v>377</v>
      </c>
      <c r="D730" s="572" t="s">
        <v>2323</v>
      </c>
      <c r="E730" s="664">
        <v>297.48</v>
      </c>
      <c r="F730" s="664">
        <v>629.20000000000005</v>
      </c>
      <c r="G730" s="665">
        <v>0</v>
      </c>
      <c r="H730" s="665">
        <v>341.14</v>
      </c>
      <c r="I730" s="665">
        <v>2680.83</v>
      </c>
      <c r="J730" s="665">
        <v>1433.46</v>
      </c>
      <c r="K730" s="616"/>
      <c r="L730" s="616"/>
      <c r="M730" s="616"/>
      <c r="N730" s="616"/>
      <c r="O730" s="616"/>
      <c r="Q730" s="594">
        <f t="shared" si="751"/>
        <v>1.1151001748016673</v>
      </c>
      <c r="R730" s="594">
        <f t="shared" si="752"/>
        <v>-1</v>
      </c>
      <c r="S730" s="594">
        <f t="shared" si="753"/>
        <v>0</v>
      </c>
      <c r="T730" s="594">
        <f t="shared" si="754"/>
        <v>6.8584452131089879</v>
      </c>
      <c r="U730" s="594">
        <f t="shared" si="755"/>
        <v>-1</v>
      </c>
      <c r="V730" s="594">
        <f t="shared" si="756"/>
        <v>0</v>
      </c>
      <c r="W730" s="594">
        <f t="shared" si="757"/>
        <v>0</v>
      </c>
      <c r="X730" s="594">
        <f t="shared" si="758"/>
        <v>0</v>
      </c>
      <c r="Y730" s="594">
        <f t="shared" si="759"/>
        <v>0</v>
      </c>
      <c r="AA730" s="594">
        <f t="shared" si="760"/>
        <v>1.1461340907905506E-5</v>
      </c>
      <c r="AB730" s="594">
        <f t="shared" si="761"/>
        <v>2.5142894990323847E-5</v>
      </c>
      <c r="AC730" s="594">
        <f t="shared" si="762"/>
        <v>0</v>
      </c>
      <c r="AD730" s="594">
        <f t="shared" si="763"/>
        <v>1.0954176926289404E-5</v>
      </c>
      <c r="AE730" s="594">
        <f t="shared" si="764"/>
        <v>5.2543714352346415E-5</v>
      </c>
      <c r="AF730" s="594">
        <f t="shared" si="765"/>
        <v>0</v>
      </c>
      <c r="AG730" s="594">
        <f t="shared" si="766"/>
        <v>0</v>
      </c>
      <c r="AH730" s="594">
        <f t="shared" si="767"/>
        <v>0</v>
      </c>
      <c r="AI730" s="594">
        <f t="shared" si="768"/>
        <v>0</v>
      </c>
      <c r="AJ730" s="594">
        <f t="shared" si="769"/>
        <v>0</v>
      </c>
      <c r="AL730" s="594">
        <f t="shared" si="770"/>
        <v>2.0020425435373035E-5</v>
      </c>
    </row>
    <row r="731" spans="1:38" outlineLevel="1">
      <c r="D731" s="574" t="s">
        <v>2128</v>
      </c>
      <c r="E731" s="671"/>
      <c r="F731" s="671"/>
      <c r="G731" s="666"/>
      <c r="H731" s="666">
        <v>56292.4</v>
      </c>
      <c r="I731" s="666">
        <v>140029.07</v>
      </c>
      <c r="J731" s="666">
        <v>230054.86</v>
      </c>
      <c r="K731" s="630"/>
      <c r="L731" s="630"/>
      <c r="M731" s="630"/>
      <c r="N731" s="630"/>
      <c r="O731" s="630"/>
    </row>
    <row r="732" spans="1:38" outlineLevel="1">
      <c r="D732" s="573" t="s">
        <v>2324</v>
      </c>
      <c r="E732" s="668"/>
      <c r="F732" s="668"/>
      <c r="G732" s="669"/>
      <c r="H732" s="669">
        <v>56292.4</v>
      </c>
      <c r="I732" s="669">
        <v>140029.07</v>
      </c>
      <c r="J732" s="669">
        <v>230054.86</v>
      </c>
      <c r="K732" s="632"/>
      <c r="L732" s="632"/>
      <c r="M732" s="632"/>
      <c r="N732" s="632"/>
      <c r="O732" s="632"/>
    </row>
    <row r="733" spans="1:38" outlineLevel="1">
      <c r="B733" s="562" t="s">
        <v>2343</v>
      </c>
      <c r="C733" s="562" t="s">
        <v>377</v>
      </c>
      <c r="D733" s="572" t="s">
        <v>2325</v>
      </c>
      <c r="E733" s="664">
        <v>0</v>
      </c>
      <c r="F733" s="664"/>
      <c r="G733" s="665">
        <v>4.3499999999999996</v>
      </c>
      <c r="H733" s="670"/>
      <c r="I733" s="665">
        <v>-59.24</v>
      </c>
      <c r="J733" s="665">
        <v>0</v>
      </c>
      <c r="K733" s="616"/>
      <c r="L733" s="616"/>
      <c r="M733" s="616"/>
      <c r="N733" s="616"/>
      <c r="O733" s="616"/>
      <c r="Q733" s="594">
        <f t="shared" ref="Q733" si="771">+IFERROR(F733/E733-1,0)</f>
        <v>0</v>
      </c>
      <c r="R733" s="594">
        <f t="shared" ref="R733" si="772">+IFERROR(G733/F733-1,0)</f>
        <v>0</v>
      </c>
      <c r="S733" s="594">
        <f t="shared" ref="S733" si="773">+IFERROR(H733/G733-1,0)</f>
        <v>-1</v>
      </c>
      <c r="T733" s="594">
        <f t="shared" ref="T733" si="774">+IFERROR(I733/H733-1,0)</f>
        <v>0</v>
      </c>
      <c r="U733" s="594">
        <f t="shared" ref="U733" si="775">+IFERROR(K733/I733-1,0)</f>
        <v>-1</v>
      </c>
      <c r="V733" s="594">
        <f t="shared" ref="V733" si="776">+IFERROR(L733/K733-1,0)</f>
        <v>0</v>
      </c>
      <c r="W733" s="594">
        <f t="shared" ref="W733" si="777">+IFERROR(M733/L733-1,0)</f>
        <v>0</v>
      </c>
      <c r="X733" s="594">
        <f t="shared" ref="X733" si="778">+IFERROR(N733/M733-1,0)</f>
        <v>0</v>
      </c>
      <c r="Y733" s="594">
        <f t="shared" ref="Y733" si="779">+IFERROR(O733/N733-1,0)</f>
        <v>0</v>
      </c>
      <c r="AA733" s="594">
        <f t="shared" ref="AA733" si="780">+IFERROR(E733/E$454,0)</f>
        <v>0</v>
      </c>
      <c r="AB733" s="594">
        <f t="shared" ref="AB733" si="781">+IFERROR(F733/F$454,0)</f>
        <v>0</v>
      </c>
      <c r="AC733" s="594">
        <f t="shared" ref="AC733" si="782">+IFERROR(G733/G$454,0)</f>
        <v>1.6202546582181743E-7</v>
      </c>
      <c r="AD733" s="594">
        <f t="shared" ref="AD733" si="783">+IFERROR(H733/H$454,0)</f>
        <v>0</v>
      </c>
      <c r="AE733" s="594">
        <f t="shared" ref="AE733" si="784">+IFERROR(I733/I$454,0)</f>
        <v>-1.1610917656968185E-6</v>
      </c>
      <c r="AF733" s="594">
        <f t="shared" ref="AF733" si="785">+IFERROR(K733/K$454,0)</f>
        <v>0</v>
      </c>
      <c r="AG733" s="594">
        <f t="shared" ref="AG733" si="786">+IFERROR(L733/L$454,0)</f>
        <v>0</v>
      </c>
      <c r="AH733" s="594">
        <f t="shared" ref="AH733" si="787">+IFERROR(M733/M$454,0)</f>
        <v>0</v>
      </c>
      <c r="AI733" s="594">
        <f t="shared" ref="AI733" si="788">+IFERROR(N733/N$454,0)</f>
        <v>0</v>
      </c>
      <c r="AJ733" s="594">
        <f t="shared" ref="AJ733" si="789">+IFERROR(O733/O$454,0)</f>
        <v>0</v>
      </c>
      <c r="AL733" s="594">
        <f>+AVERAGE(AA733:AE733)</f>
        <v>-1.998132599750002E-7</v>
      </c>
    </row>
    <row r="734" spans="1:38" outlineLevel="1">
      <c r="D734" s="569" t="s">
        <v>2326</v>
      </c>
      <c r="E734" s="662"/>
      <c r="F734" s="662"/>
      <c r="G734" s="654"/>
      <c r="H734" s="654"/>
      <c r="I734" s="654">
        <v>-59.24</v>
      </c>
      <c r="J734" s="654">
        <v>0</v>
      </c>
      <c r="K734" s="633"/>
      <c r="L734" s="633"/>
      <c r="M734" s="633"/>
      <c r="N734" s="633"/>
      <c r="O734" s="633"/>
    </row>
    <row r="735" spans="1:38" outlineLevel="1">
      <c r="D735" s="567" t="s">
        <v>2327</v>
      </c>
      <c r="E735" s="694"/>
      <c r="F735" s="694"/>
      <c r="G735" s="683"/>
      <c r="H735" s="683">
        <v>-49116.82</v>
      </c>
      <c r="I735" s="683">
        <v>-133203.41</v>
      </c>
      <c r="J735" s="683">
        <v>-178674.81</v>
      </c>
      <c r="K735" s="629"/>
      <c r="L735" s="629"/>
      <c r="M735" s="629"/>
      <c r="N735" s="629"/>
      <c r="O735" s="629"/>
    </row>
    <row r="736" spans="1:38" outlineLevel="1">
      <c r="D736" s="565"/>
      <c r="E736" s="652"/>
      <c r="F736" s="652"/>
      <c r="G736" s="654"/>
      <c r="H736" s="654"/>
      <c r="I736" s="654"/>
      <c r="J736" s="654"/>
      <c r="K736" s="618"/>
      <c r="L736" s="618"/>
      <c r="M736" s="618"/>
      <c r="N736" s="618"/>
      <c r="O736" s="618"/>
    </row>
    <row r="737" spans="2:38" outlineLevel="1">
      <c r="B737" s="562" t="s">
        <v>2343</v>
      </c>
      <c r="C737" s="1518" t="s">
        <v>377</v>
      </c>
      <c r="D737" s="572" t="s">
        <v>3867</v>
      </c>
      <c r="E737" s="664"/>
      <c r="F737" s="664"/>
      <c r="G737" s="665"/>
      <c r="H737" s="670"/>
      <c r="I737" s="665">
        <v>-27468.5</v>
      </c>
      <c r="J737" s="665">
        <v>6086.02</v>
      </c>
      <c r="K737" s="616"/>
      <c r="L737" s="616"/>
      <c r="M737" s="616"/>
      <c r="N737" s="616"/>
      <c r="O737" s="616"/>
      <c r="Q737" s="594"/>
      <c r="R737" s="594"/>
      <c r="S737" s="594"/>
      <c r="T737" s="594"/>
      <c r="U737" s="594"/>
      <c r="V737" s="594"/>
      <c r="W737" s="594"/>
      <c r="X737" s="594"/>
      <c r="Y737" s="594"/>
      <c r="AA737" s="594"/>
      <c r="AB737" s="594"/>
      <c r="AC737" s="594"/>
      <c r="AD737" s="594"/>
      <c r="AE737" s="594"/>
      <c r="AF737" s="594"/>
      <c r="AG737" s="594"/>
      <c r="AH737" s="594"/>
      <c r="AI737" s="594"/>
      <c r="AJ737" s="594"/>
      <c r="AL737" s="594"/>
    </row>
    <row r="738" spans="2:38" outlineLevel="1">
      <c r="D738" s="565"/>
      <c r="E738" s="652"/>
      <c r="F738" s="652"/>
      <c r="G738" s="654"/>
      <c r="H738" s="654"/>
      <c r="I738" s="654"/>
      <c r="J738" s="654"/>
      <c r="K738" s="618"/>
      <c r="L738" s="618"/>
      <c r="M738" s="618"/>
      <c r="N738" s="618"/>
      <c r="O738" s="618"/>
    </row>
    <row r="739" spans="2:38" outlineLevel="1">
      <c r="D739" s="567" t="s">
        <v>2328</v>
      </c>
      <c r="E739" s="694"/>
      <c r="F739" s="694"/>
      <c r="G739" s="683"/>
      <c r="H739" s="683">
        <v>2362426.61</v>
      </c>
      <c r="I739" s="683">
        <v>5317003.6999999918</v>
      </c>
      <c r="J739" s="683">
        <v>2501943.2900000047</v>
      </c>
      <c r="K739" s="629"/>
      <c r="L739" s="629"/>
      <c r="M739" s="629"/>
      <c r="N739" s="629"/>
      <c r="O739" s="629"/>
    </row>
    <row r="740" spans="2:38" outlineLevel="1">
      <c r="D740" s="565"/>
      <c r="E740" s="652"/>
      <c r="F740" s="652"/>
      <c r="G740" s="654"/>
      <c r="H740" s="654"/>
      <c r="I740" s="654"/>
      <c r="J740" s="654"/>
      <c r="K740" s="618"/>
      <c r="L740" s="618"/>
      <c r="M740" s="618"/>
      <c r="N740" s="618"/>
      <c r="O740" s="618"/>
    </row>
    <row r="741" spans="2:38" outlineLevel="1">
      <c r="D741" s="568" t="s">
        <v>2329</v>
      </c>
      <c r="E741" s="660"/>
      <c r="F741" s="660"/>
      <c r="G741" s="686"/>
      <c r="H741" s="686"/>
      <c r="I741" s="686"/>
      <c r="J741" s="686"/>
      <c r="K741" s="624"/>
      <c r="L741" s="624"/>
      <c r="M741" s="624"/>
      <c r="N741" s="624"/>
      <c r="O741" s="624"/>
    </row>
    <row r="742" spans="2:38" outlineLevel="1">
      <c r="B742" s="562" t="s">
        <v>2343</v>
      </c>
      <c r="C742" s="562" t="s">
        <v>381</v>
      </c>
      <c r="D742" s="572" t="s">
        <v>2330</v>
      </c>
      <c r="E742" s="664">
        <v>134057</v>
      </c>
      <c r="F742" s="664">
        <v>129133</v>
      </c>
      <c r="G742" s="665">
        <v>184721</v>
      </c>
      <c r="H742" s="665">
        <v>615220</v>
      </c>
      <c r="I742" s="665">
        <v>1789849</v>
      </c>
      <c r="J742" s="665">
        <v>818196.73</v>
      </c>
      <c r="K742" s="616"/>
      <c r="L742" s="616"/>
      <c r="M742" s="616"/>
      <c r="N742" s="616"/>
      <c r="O742" s="616"/>
      <c r="Q742" s="594">
        <f t="shared" ref="Q742:Q743" si="790">+IFERROR(F742/E742-1,0)</f>
        <v>-3.6730644427370396E-2</v>
      </c>
      <c r="R742" s="594">
        <f t="shared" ref="R742:R743" si="791">+IFERROR(G742/F742-1,0)</f>
        <v>0.43047090983714464</v>
      </c>
      <c r="S742" s="594">
        <f t="shared" ref="S742:S743" si="792">+IFERROR(H742/G742-1,0)</f>
        <v>2.3305363223455915</v>
      </c>
      <c r="T742" s="594">
        <f t="shared" ref="T742:T743" si="793">+IFERROR(I742/H742-1,0)</f>
        <v>1.9092828581645591</v>
      </c>
      <c r="U742" s="594">
        <f t="shared" ref="U742:U743" si="794">+IFERROR(K742/I742-1,0)</f>
        <v>-1</v>
      </c>
      <c r="V742" s="594">
        <f t="shared" ref="V742:V743" si="795">+IFERROR(L742/K742-1,0)</f>
        <v>0</v>
      </c>
      <c r="W742" s="594">
        <f t="shared" ref="W742:W743" si="796">+IFERROR(M742/L742-1,0)</f>
        <v>0</v>
      </c>
      <c r="X742" s="594">
        <f t="shared" ref="X742:X743" si="797">+IFERROR(N742/M742-1,0)</f>
        <v>0</v>
      </c>
      <c r="Y742" s="594">
        <f t="shared" ref="Y742:Y743" si="798">+IFERROR(O742/N742-1,0)</f>
        <v>0</v>
      </c>
      <c r="AA742" s="594">
        <f t="shared" ref="AA742:AA743" si="799">+IFERROR(E742/E$454,0)</f>
        <v>5.1649622767617597E-3</v>
      </c>
      <c r="AB742" s="594">
        <f t="shared" ref="AB742:AB743" si="800">+IFERROR(F742/F$454,0)</f>
        <v>5.1601676077328183E-3</v>
      </c>
      <c r="AC742" s="594">
        <f t="shared" ref="AC742:AC743" si="801">+IFERROR(G742/G$454,0)</f>
        <v>6.8803462234648142E-3</v>
      </c>
      <c r="AD742" s="594">
        <f t="shared" ref="AD742:AD743" si="802">+IFERROR(H742/H$454,0)</f>
        <v>1.9755023534595084E-2</v>
      </c>
      <c r="AE742" s="594">
        <f t="shared" ref="AE742:AE743" si="803">+IFERROR(I742/I$454,0)</f>
        <v>3.5080670758620605E-2</v>
      </c>
      <c r="AF742" s="594">
        <f t="shared" ref="AF742:AF743" si="804">+IFERROR(K742/K$454,0)</f>
        <v>0</v>
      </c>
      <c r="AG742" s="594">
        <f t="shared" ref="AG742:AG743" si="805">+IFERROR(L742/L$454,0)</f>
        <v>0</v>
      </c>
      <c r="AH742" s="594">
        <f t="shared" ref="AH742:AH743" si="806">+IFERROR(M742/M$454,0)</f>
        <v>0</v>
      </c>
      <c r="AI742" s="594">
        <f t="shared" ref="AI742:AI743" si="807">+IFERROR(N742/N$454,0)</f>
        <v>0</v>
      </c>
      <c r="AJ742" s="594">
        <f t="shared" ref="AJ742:AJ743" si="808">+IFERROR(O742/O$454,0)</f>
        <v>0</v>
      </c>
      <c r="AL742" s="594">
        <f t="shared" ref="AL742:AL743" si="809">+AVERAGE(AA742:AE742)</f>
        <v>1.4408234080235015E-2</v>
      </c>
    </row>
    <row r="743" spans="2:38" outlineLevel="1">
      <c r="B743" s="562" t="s">
        <v>2343</v>
      </c>
      <c r="C743" s="562" t="s">
        <v>381</v>
      </c>
      <c r="D743" s="572" t="s">
        <v>2417</v>
      </c>
      <c r="E743" s="664">
        <v>0</v>
      </c>
      <c r="F743" s="664">
        <v>652.15</v>
      </c>
      <c r="G743" s="665">
        <v>0</v>
      </c>
      <c r="H743" s="665"/>
      <c r="I743" s="665">
        <v>0</v>
      </c>
      <c r="J743" s="665">
        <v>0</v>
      </c>
      <c r="K743" s="616"/>
      <c r="L743" s="616"/>
      <c r="M743" s="616"/>
      <c r="N743" s="616"/>
      <c r="O743" s="616"/>
      <c r="Q743" s="594">
        <f t="shared" si="790"/>
        <v>0</v>
      </c>
      <c r="R743" s="594">
        <f t="shared" si="791"/>
        <v>-1</v>
      </c>
      <c r="S743" s="594">
        <f t="shared" si="792"/>
        <v>0</v>
      </c>
      <c r="T743" s="594">
        <f t="shared" si="793"/>
        <v>0</v>
      </c>
      <c r="U743" s="594">
        <f t="shared" si="794"/>
        <v>0</v>
      </c>
      <c r="V743" s="594">
        <f t="shared" si="795"/>
        <v>0</v>
      </c>
      <c r="W743" s="594">
        <f t="shared" si="796"/>
        <v>0</v>
      </c>
      <c r="X743" s="594">
        <f t="shared" si="797"/>
        <v>0</v>
      </c>
      <c r="Y743" s="594">
        <f t="shared" si="798"/>
        <v>0</v>
      </c>
      <c r="AA743" s="594">
        <f t="shared" si="799"/>
        <v>0</v>
      </c>
      <c r="AB743" s="594">
        <f t="shared" si="800"/>
        <v>2.6059979287888898E-5</v>
      </c>
      <c r="AC743" s="594">
        <f t="shared" si="801"/>
        <v>0</v>
      </c>
      <c r="AD743" s="594">
        <f t="shared" si="802"/>
        <v>0</v>
      </c>
      <c r="AE743" s="594">
        <f t="shared" si="803"/>
        <v>0</v>
      </c>
      <c r="AF743" s="594">
        <f t="shared" si="804"/>
        <v>0</v>
      </c>
      <c r="AG743" s="594">
        <f t="shared" si="805"/>
        <v>0</v>
      </c>
      <c r="AH743" s="594">
        <f t="shared" si="806"/>
        <v>0</v>
      </c>
      <c r="AI743" s="594">
        <f t="shared" si="807"/>
        <v>0</v>
      </c>
      <c r="AJ743" s="594">
        <f t="shared" si="808"/>
        <v>0</v>
      </c>
      <c r="AL743" s="594">
        <f t="shared" si="809"/>
        <v>5.2119958575777797E-6</v>
      </c>
    </row>
    <row r="744" spans="2:38" outlineLevel="1">
      <c r="D744" s="574" t="s">
        <v>2331</v>
      </c>
      <c r="E744" s="671"/>
      <c r="F744" s="671"/>
      <c r="G744" s="666"/>
      <c r="H744" s="666">
        <v>615220</v>
      </c>
      <c r="I744" s="666">
        <v>1789849</v>
      </c>
      <c r="J744" s="666">
        <v>818196.73</v>
      </c>
      <c r="K744" s="626"/>
      <c r="L744" s="626"/>
      <c r="M744" s="626"/>
      <c r="N744" s="626"/>
      <c r="O744" s="626"/>
    </row>
    <row r="745" spans="2:38" outlineLevel="1">
      <c r="B745" s="562" t="s">
        <v>2343</v>
      </c>
      <c r="C745" s="562" t="s">
        <v>381</v>
      </c>
      <c r="D745" s="572" t="s">
        <v>2332</v>
      </c>
      <c r="E745" s="664">
        <v>0</v>
      </c>
      <c r="F745" s="664"/>
      <c r="G745" s="665">
        <v>0</v>
      </c>
      <c r="H745" s="665">
        <v>-44640</v>
      </c>
      <c r="I745" s="665">
        <v>-111600</v>
      </c>
      <c r="J745" s="665">
        <v>-247341.37</v>
      </c>
      <c r="K745" s="616"/>
      <c r="L745" s="616"/>
      <c r="M745" s="616"/>
      <c r="N745" s="616"/>
      <c r="O745" s="616"/>
      <c r="Q745" s="594">
        <f t="shared" ref="Q745" si="810">+IFERROR(F745/E745-1,0)</f>
        <v>0</v>
      </c>
      <c r="R745" s="594">
        <f t="shared" ref="R745" si="811">+IFERROR(G745/F745-1,0)</f>
        <v>0</v>
      </c>
      <c r="S745" s="594">
        <f t="shared" ref="S745" si="812">+IFERROR(H745/G745-1,0)</f>
        <v>0</v>
      </c>
      <c r="T745" s="594">
        <f t="shared" ref="T745" si="813">+IFERROR(I745/H745-1,0)</f>
        <v>1.5</v>
      </c>
      <c r="U745" s="594">
        <f t="shared" ref="U745" si="814">+IFERROR(K745/I745-1,0)</f>
        <v>-1</v>
      </c>
      <c r="V745" s="594">
        <f t="shared" ref="V745" si="815">+IFERROR(L745/K745-1,0)</f>
        <v>0</v>
      </c>
      <c r="W745" s="594">
        <f t="shared" ref="W745" si="816">+IFERROR(M745/L745-1,0)</f>
        <v>0</v>
      </c>
      <c r="X745" s="594">
        <f t="shared" ref="X745" si="817">+IFERROR(N745/M745-1,0)</f>
        <v>0</v>
      </c>
      <c r="Y745" s="594">
        <f t="shared" ref="Y745" si="818">+IFERROR(O745/N745-1,0)</f>
        <v>0</v>
      </c>
      <c r="AA745" s="594">
        <f t="shared" ref="AA745" si="819">+IFERROR(E745/E$454,0)</f>
        <v>0</v>
      </c>
      <c r="AB745" s="594">
        <f t="shared" ref="AB745" si="820">+IFERROR(F745/F$454,0)</f>
        <v>0</v>
      </c>
      <c r="AC745" s="594">
        <f t="shared" ref="AC745" si="821">+IFERROR(G745/G$454,0)</f>
        <v>0</v>
      </c>
      <c r="AD745" s="594">
        <f t="shared" ref="AD745" si="822">+IFERROR(H745/H$454,0)</f>
        <v>-1.4334128451356013E-3</v>
      </c>
      <c r="AE745" s="594">
        <f t="shared" ref="AE745" si="823">+IFERROR(I745/I$454,0)</f>
        <v>-2.187336952258017E-3</v>
      </c>
      <c r="AF745" s="594">
        <f t="shared" ref="AF745" si="824">+IFERROR(K745/K$454,0)</f>
        <v>0</v>
      </c>
      <c r="AG745" s="594">
        <f t="shared" ref="AG745" si="825">+IFERROR(L745/L$454,0)</f>
        <v>0</v>
      </c>
      <c r="AH745" s="594">
        <f t="shared" ref="AH745" si="826">+IFERROR(M745/M$454,0)</f>
        <v>0</v>
      </c>
      <c r="AI745" s="594">
        <f t="shared" ref="AI745" si="827">+IFERROR(N745/N$454,0)</f>
        <v>0</v>
      </c>
      <c r="AJ745" s="594">
        <f t="shared" ref="AJ745" si="828">+IFERROR(O745/O$454,0)</f>
        <v>0</v>
      </c>
      <c r="AL745" s="594">
        <f>+AVERAGE(AA745:AE745)</f>
        <v>-7.2414995947872368E-4</v>
      </c>
    </row>
    <row r="746" spans="2:38" outlineLevel="1">
      <c r="D746" s="574" t="s">
        <v>2333</v>
      </c>
      <c r="E746" s="671"/>
      <c r="F746" s="671"/>
      <c r="G746" s="666"/>
      <c r="H746" s="666">
        <v>-44640</v>
      </c>
      <c r="I746" s="666">
        <v>-111600</v>
      </c>
      <c r="J746" s="666">
        <v>-247341.37</v>
      </c>
      <c r="K746" s="626"/>
      <c r="L746" s="626"/>
      <c r="M746" s="626"/>
      <c r="N746" s="626"/>
      <c r="O746" s="626"/>
    </row>
    <row r="747" spans="2:38" outlineLevel="1">
      <c r="D747" s="570" t="s">
        <v>2334</v>
      </c>
      <c r="E747" s="676"/>
      <c r="F747" s="676"/>
      <c r="G747" s="654"/>
      <c r="H747" s="654"/>
      <c r="I747" s="654"/>
      <c r="J747" s="654"/>
      <c r="K747" s="618"/>
      <c r="L747" s="618"/>
      <c r="M747" s="618"/>
      <c r="N747" s="618"/>
      <c r="O747" s="618"/>
    </row>
    <row r="748" spans="2:38" outlineLevel="1">
      <c r="D748" s="573" t="s">
        <v>2335</v>
      </c>
      <c r="E748" s="668"/>
      <c r="F748" s="668"/>
      <c r="G748" s="669"/>
      <c r="H748" s="669">
        <v>570580</v>
      </c>
      <c r="I748" s="669">
        <v>1678249</v>
      </c>
      <c r="J748" s="669">
        <v>570855.36</v>
      </c>
      <c r="K748" s="627"/>
      <c r="L748" s="627"/>
      <c r="M748" s="627"/>
      <c r="N748" s="627"/>
      <c r="O748" s="627"/>
    </row>
    <row r="749" spans="2:38" outlineLevel="1">
      <c r="D749" s="585" t="s">
        <v>2435</v>
      </c>
      <c r="E749" s="695"/>
      <c r="F749" s="695"/>
      <c r="G749" s="673"/>
      <c r="H749" s="673">
        <v>1791846.61</v>
      </c>
      <c r="I749" s="673">
        <v>3638754.6999999918</v>
      </c>
      <c r="J749" s="673">
        <v>1931087.9300000048</v>
      </c>
      <c r="K749" s="631"/>
      <c r="L749" s="631"/>
      <c r="M749" s="631"/>
      <c r="N749" s="631"/>
      <c r="O749" s="631"/>
    </row>
    <row r="750" spans="2:38" outlineLevel="1">
      <c r="D750" s="577"/>
      <c r="E750" s="680"/>
      <c r="F750" s="680"/>
      <c r="G750" s="657"/>
      <c r="H750" s="657"/>
      <c r="I750" s="657"/>
      <c r="J750" s="657"/>
      <c r="K750" s="626"/>
      <c r="L750" s="626"/>
      <c r="M750" s="626"/>
      <c r="N750" s="626"/>
      <c r="O750" s="626"/>
    </row>
    <row r="751" spans="2:38" outlineLevel="1">
      <c r="B751" s="562" t="s">
        <v>2343</v>
      </c>
      <c r="C751" s="562"/>
      <c r="D751" s="572" t="s">
        <v>2336</v>
      </c>
      <c r="E751" s="664">
        <v>0</v>
      </c>
      <c r="F751" s="664"/>
      <c r="G751" s="665">
        <v>0</v>
      </c>
      <c r="H751" s="670"/>
      <c r="I751" s="665">
        <v>0</v>
      </c>
      <c r="J751" s="665">
        <v>0</v>
      </c>
      <c r="K751" s="616"/>
      <c r="L751" s="616"/>
      <c r="M751" s="616"/>
      <c r="N751" s="616"/>
      <c r="O751" s="616"/>
      <c r="Q751" s="594">
        <f t="shared" ref="Q751:Q756" si="829">+IFERROR(F751/E751-1,0)</f>
        <v>0</v>
      </c>
      <c r="R751" s="594">
        <f t="shared" ref="R751:R756" si="830">+IFERROR(G751/F751-1,0)</f>
        <v>0</v>
      </c>
      <c r="S751" s="594">
        <f t="shared" ref="S751:S756" si="831">+IFERROR(H751/G751-1,0)</f>
        <v>0</v>
      </c>
      <c r="T751" s="594">
        <f t="shared" ref="T751:T756" si="832">+IFERROR(I751/H751-1,0)</f>
        <v>0</v>
      </c>
      <c r="U751" s="594">
        <f t="shared" ref="U751:U756" si="833">+IFERROR(K751/I751-1,0)</f>
        <v>0</v>
      </c>
      <c r="V751" s="594">
        <f t="shared" ref="V751:V756" si="834">+IFERROR(L751/K751-1,0)</f>
        <v>0</v>
      </c>
      <c r="W751" s="594">
        <f t="shared" ref="W751:W756" si="835">+IFERROR(M751/L751-1,0)</f>
        <v>0</v>
      </c>
      <c r="X751" s="594">
        <f t="shared" ref="X751:X756" si="836">+IFERROR(N751/M751-1,0)</f>
        <v>0</v>
      </c>
      <c r="Y751" s="594">
        <f t="shared" ref="Y751:Y756" si="837">+IFERROR(O751/N751-1,0)</f>
        <v>0</v>
      </c>
      <c r="AA751" s="594">
        <f t="shared" ref="AA751:AA756" si="838">+IFERROR(E751/E$454,0)</f>
        <v>0</v>
      </c>
      <c r="AB751" s="594">
        <f t="shared" ref="AB751:AB756" si="839">+IFERROR(F751/F$454,0)</f>
        <v>0</v>
      </c>
      <c r="AC751" s="594">
        <f t="shared" ref="AC751:AC756" si="840">+IFERROR(G751/G$454,0)</f>
        <v>0</v>
      </c>
      <c r="AD751" s="594">
        <f t="shared" ref="AD751:AD756" si="841">+IFERROR(H751/H$454,0)</f>
        <v>0</v>
      </c>
      <c r="AE751" s="594">
        <f t="shared" ref="AE751:AE756" si="842">+IFERROR(I751/I$454,0)</f>
        <v>0</v>
      </c>
      <c r="AF751" s="594">
        <f t="shared" ref="AF751:AF756" si="843">+IFERROR(K751/K$454,0)</f>
        <v>0</v>
      </c>
      <c r="AG751" s="594">
        <f t="shared" ref="AG751:AG756" si="844">+IFERROR(L751/L$454,0)</f>
        <v>0</v>
      </c>
      <c r="AH751" s="594">
        <f t="shared" ref="AH751:AH756" si="845">+IFERROR(M751/M$454,0)</f>
        <v>0</v>
      </c>
      <c r="AI751" s="594">
        <f t="shared" ref="AI751:AI756" si="846">+IFERROR(N751/N$454,0)</f>
        <v>0</v>
      </c>
      <c r="AJ751" s="594">
        <f t="shared" ref="AJ751:AJ756" si="847">+IFERROR(O751/O$454,0)</f>
        <v>0</v>
      </c>
      <c r="AL751" s="594">
        <f t="shared" ref="AL751:AL756" si="848">+AVERAGE(AA751:AE751)</f>
        <v>0</v>
      </c>
    </row>
    <row r="752" spans="2:38" outlineLevel="1">
      <c r="B752" s="562" t="s">
        <v>2343</v>
      </c>
      <c r="C752" s="562"/>
      <c r="D752" s="572" t="s">
        <v>2337</v>
      </c>
      <c r="E752" s="664">
        <v>0</v>
      </c>
      <c r="F752" s="664"/>
      <c r="G752" s="665">
        <v>0</v>
      </c>
      <c r="H752" s="670"/>
      <c r="I752" s="665">
        <v>0</v>
      </c>
      <c r="J752" s="665">
        <v>0</v>
      </c>
      <c r="K752" s="616"/>
      <c r="L752" s="616"/>
      <c r="M752" s="616"/>
      <c r="N752" s="616"/>
      <c r="O752" s="616"/>
      <c r="Q752" s="594">
        <f t="shared" si="829"/>
        <v>0</v>
      </c>
      <c r="R752" s="594">
        <f t="shared" si="830"/>
        <v>0</v>
      </c>
      <c r="S752" s="594">
        <f t="shared" si="831"/>
        <v>0</v>
      </c>
      <c r="T752" s="594">
        <f t="shared" si="832"/>
        <v>0</v>
      </c>
      <c r="U752" s="594">
        <f t="shared" si="833"/>
        <v>0</v>
      </c>
      <c r="V752" s="594">
        <f t="shared" si="834"/>
        <v>0</v>
      </c>
      <c r="W752" s="594">
        <f t="shared" si="835"/>
        <v>0</v>
      </c>
      <c r="X752" s="594">
        <f t="shared" si="836"/>
        <v>0</v>
      </c>
      <c r="Y752" s="594">
        <f t="shared" si="837"/>
        <v>0</v>
      </c>
      <c r="AA752" s="594">
        <f t="shared" si="838"/>
        <v>0</v>
      </c>
      <c r="AB752" s="594">
        <f t="shared" si="839"/>
        <v>0</v>
      </c>
      <c r="AC752" s="594">
        <f t="shared" si="840"/>
        <v>0</v>
      </c>
      <c r="AD752" s="594">
        <f t="shared" si="841"/>
        <v>0</v>
      </c>
      <c r="AE752" s="594">
        <f t="shared" si="842"/>
        <v>0</v>
      </c>
      <c r="AF752" s="594">
        <f t="shared" si="843"/>
        <v>0</v>
      </c>
      <c r="AG752" s="594">
        <f t="shared" si="844"/>
        <v>0</v>
      </c>
      <c r="AH752" s="594">
        <f t="shared" si="845"/>
        <v>0</v>
      </c>
      <c r="AI752" s="594">
        <f t="shared" si="846"/>
        <v>0</v>
      </c>
      <c r="AJ752" s="594">
        <f t="shared" si="847"/>
        <v>0</v>
      </c>
      <c r="AL752" s="594">
        <f t="shared" si="848"/>
        <v>0</v>
      </c>
    </row>
    <row r="753" spans="2:38" outlineLevel="1">
      <c r="B753" s="562" t="s">
        <v>2343</v>
      </c>
      <c r="C753" s="562"/>
      <c r="D753" s="572" t="s">
        <v>2338</v>
      </c>
      <c r="E753" s="664">
        <v>0</v>
      </c>
      <c r="F753" s="664">
        <v>0</v>
      </c>
      <c r="G753" s="665">
        <v>0</v>
      </c>
      <c r="H753" s="670"/>
      <c r="I753" s="665">
        <v>0</v>
      </c>
      <c r="J753" s="665">
        <v>0</v>
      </c>
      <c r="K753" s="616"/>
      <c r="L753" s="616"/>
      <c r="M753" s="616"/>
      <c r="N753" s="616"/>
      <c r="O753" s="616"/>
      <c r="Q753" s="594">
        <f t="shared" si="829"/>
        <v>0</v>
      </c>
      <c r="R753" s="594">
        <f t="shared" si="830"/>
        <v>0</v>
      </c>
      <c r="S753" s="594">
        <f t="shared" si="831"/>
        <v>0</v>
      </c>
      <c r="T753" s="594">
        <f t="shared" si="832"/>
        <v>0</v>
      </c>
      <c r="U753" s="594">
        <f t="shared" si="833"/>
        <v>0</v>
      </c>
      <c r="V753" s="594">
        <f t="shared" si="834"/>
        <v>0</v>
      </c>
      <c r="W753" s="594">
        <f t="shared" si="835"/>
        <v>0</v>
      </c>
      <c r="X753" s="594">
        <f t="shared" si="836"/>
        <v>0</v>
      </c>
      <c r="Y753" s="594">
        <f t="shared" si="837"/>
        <v>0</v>
      </c>
      <c r="AA753" s="594">
        <f t="shared" si="838"/>
        <v>0</v>
      </c>
      <c r="AB753" s="594">
        <f t="shared" si="839"/>
        <v>0</v>
      </c>
      <c r="AC753" s="594">
        <f t="shared" si="840"/>
        <v>0</v>
      </c>
      <c r="AD753" s="594">
        <f t="shared" si="841"/>
        <v>0</v>
      </c>
      <c r="AE753" s="594">
        <f t="shared" si="842"/>
        <v>0</v>
      </c>
      <c r="AF753" s="594">
        <f t="shared" si="843"/>
        <v>0</v>
      </c>
      <c r="AG753" s="594">
        <f t="shared" si="844"/>
        <v>0</v>
      </c>
      <c r="AH753" s="594">
        <f t="shared" si="845"/>
        <v>0</v>
      </c>
      <c r="AI753" s="594">
        <f t="shared" si="846"/>
        <v>0</v>
      </c>
      <c r="AJ753" s="594">
        <f t="shared" si="847"/>
        <v>0</v>
      </c>
      <c r="AL753" s="594">
        <f t="shared" si="848"/>
        <v>0</v>
      </c>
    </row>
    <row r="754" spans="2:38" outlineLevel="1">
      <c r="B754" s="562" t="s">
        <v>2343</v>
      </c>
      <c r="C754" s="562"/>
      <c r="D754" s="572" t="s">
        <v>2339</v>
      </c>
      <c r="E754" s="664">
        <v>0</v>
      </c>
      <c r="F754" s="664"/>
      <c r="G754" s="665">
        <v>0</v>
      </c>
      <c r="H754" s="670"/>
      <c r="I754" s="665">
        <v>0</v>
      </c>
      <c r="J754" s="665">
        <v>0</v>
      </c>
      <c r="K754" s="616"/>
      <c r="L754" s="616"/>
      <c r="M754" s="616"/>
      <c r="N754" s="616"/>
      <c r="O754" s="616"/>
      <c r="Q754" s="594">
        <f t="shared" si="829"/>
        <v>0</v>
      </c>
      <c r="R754" s="594">
        <f t="shared" si="830"/>
        <v>0</v>
      </c>
      <c r="S754" s="594">
        <f t="shared" si="831"/>
        <v>0</v>
      </c>
      <c r="T754" s="594">
        <f t="shared" si="832"/>
        <v>0</v>
      </c>
      <c r="U754" s="594">
        <f t="shared" si="833"/>
        <v>0</v>
      </c>
      <c r="V754" s="594">
        <f t="shared" si="834"/>
        <v>0</v>
      </c>
      <c r="W754" s="594">
        <f t="shared" si="835"/>
        <v>0</v>
      </c>
      <c r="X754" s="594">
        <f t="shared" si="836"/>
        <v>0</v>
      </c>
      <c r="Y754" s="594">
        <f t="shared" si="837"/>
        <v>0</v>
      </c>
      <c r="AA754" s="594">
        <f t="shared" si="838"/>
        <v>0</v>
      </c>
      <c r="AB754" s="594">
        <f t="shared" si="839"/>
        <v>0</v>
      </c>
      <c r="AC754" s="594">
        <f t="shared" si="840"/>
        <v>0</v>
      </c>
      <c r="AD754" s="594">
        <f t="shared" si="841"/>
        <v>0</v>
      </c>
      <c r="AE754" s="594">
        <f t="shared" si="842"/>
        <v>0</v>
      </c>
      <c r="AF754" s="594">
        <f t="shared" si="843"/>
        <v>0</v>
      </c>
      <c r="AG754" s="594">
        <f t="shared" si="844"/>
        <v>0</v>
      </c>
      <c r="AH754" s="594">
        <f t="shared" si="845"/>
        <v>0</v>
      </c>
      <c r="AI754" s="594">
        <f t="shared" si="846"/>
        <v>0</v>
      </c>
      <c r="AJ754" s="594">
        <f t="shared" si="847"/>
        <v>0</v>
      </c>
      <c r="AL754" s="594">
        <f t="shared" si="848"/>
        <v>0</v>
      </c>
    </row>
    <row r="755" spans="2:38" outlineLevel="1">
      <c r="B755" s="562" t="s">
        <v>2343</v>
      </c>
      <c r="C755" s="562"/>
      <c r="D755" s="572" t="s">
        <v>2340</v>
      </c>
      <c r="E755" s="664">
        <v>0</v>
      </c>
      <c r="F755" s="664"/>
      <c r="G755" s="665">
        <v>0</v>
      </c>
      <c r="H755" s="665">
        <v>-275000</v>
      </c>
      <c r="I755" s="665">
        <v>-275000</v>
      </c>
      <c r="J755" s="665">
        <v>0</v>
      </c>
      <c r="K755" s="616"/>
      <c r="L755" s="616"/>
      <c r="M755" s="616"/>
      <c r="N755" s="616"/>
      <c r="O755" s="616"/>
      <c r="Q755" s="594">
        <f t="shared" si="829"/>
        <v>0</v>
      </c>
      <c r="R755" s="594">
        <f t="shared" si="830"/>
        <v>0</v>
      </c>
      <c r="S755" s="594">
        <f t="shared" si="831"/>
        <v>0</v>
      </c>
      <c r="T755" s="594">
        <f t="shared" si="832"/>
        <v>0</v>
      </c>
      <c r="U755" s="594">
        <f t="shared" si="833"/>
        <v>-1</v>
      </c>
      <c r="V755" s="594">
        <f t="shared" si="834"/>
        <v>0</v>
      </c>
      <c r="W755" s="594">
        <f t="shared" si="835"/>
        <v>0</v>
      </c>
      <c r="X755" s="594">
        <f t="shared" si="836"/>
        <v>0</v>
      </c>
      <c r="Y755" s="594">
        <f t="shared" si="837"/>
        <v>0</v>
      </c>
      <c r="AA755" s="594">
        <f t="shared" si="838"/>
        <v>0</v>
      </c>
      <c r="AB755" s="594">
        <f t="shared" si="839"/>
        <v>0</v>
      </c>
      <c r="AC755" s="594">
        <f t="shared" si="840"/>
        <v>0</v>
      </c>
      <c r="AD755" s="594">
        <f t="shared" si="841"/>
        <v>-8.8303882708846392E-3</v>
      </c>
      <c r="AE755" s="594">
        <f t="shared" si="842"/>
        <v>-5.389943206728985E-3</v>
      </c>
      <c r="AF755" s="594">
        <f t="shared" si="843"/>
        <v>0</v>
      </c>
      <c r="AG755" s="594">
        <f t="shared" si="844"/>
        <v>0</v>
      </c>
      <c r="AH755" s="594">
        <f t="shared" si="845"/>
        <v>0</v>
      </c>
      <c r="AI755" s="594">
        <f t="shared" si="846"/>
        <v>0</v>
      </c>
      <c r="AJ755" s="594">
        <f t="shared" si="847"/>
        <v>0</v>
      </c>
      <c r="AL755" s="594">
        <f t="shared" si="848"/>
        <v>-2.8440662955227249E-3</v>
      </c>
    </row>
    <row r="756" spans="2:38" outlineLevel="1">
      <c r="B756" s="562" t="s">
        <v>2343</v>
      </c>
      <c r="C756" s="562"/>
      <c r="D756" s="572" t="s">
        <v>2341</v>
      </c>
      <c r="E756" s="664">
        <v>0</v>
      </c>
      <c r="F756" s="664"/>
      <c r="G756" s="665">
        <v>0</v>
      </c>
      <c r="H756" s="665">
        <v>-285918.93</v>
      </c>
      <c r="I756" s="665">
        <v>-285918.93</v>
      </c>
      <c r="J756" s="665">
        <v>0</v>
      </c>
      <c r="K756" s="616"/>
      <c r="L756" s="616"/>
      <c r="M756" s="616"/>
      <c r="N756" s="616"/>
      <c r="O756" s="616"/>
      <c r="Q756" s="594">
        <f t="shared" si="829"/>
        <v>0</v>
      </c>
      <c r="R756" s="594">
        <f t="shared" si="830"/>
        <v>0</v>
      </c>
      <c r="S756" s="594">
        <f t="shared" si="831"/>
        <v>0</v>
      </c>
      <c r="T756" s="594">
        <f t="shared" si="832"/>
        <v>0</v>
      </c>
      <c r="U756" s="594">
        <f t="shared" si="833"/>
        <v>-1</v>
      </c>
      <c r="V756" s="594">
        <f t="shared" si="834"/>
        <v>0</v>
      </c>
      <c r="W756" s="594">
        <f t="shared" si="835"/>
        <v>0</v>
      </c>
      <c r="X756" s="594">
        <f t="shared" si="836"/>
        <v>0</v>
      </c>
      <c r="Y756" s="594">
        <f t="shared" si="837"/>
        <v>0</v>
      </c>
      <c r="AA756" s="594">
        <f t="shared" si="838"/>
        <v>0</v>
      </c>
      <c r="AB756" s="594">
        <f t="shared" si="839"/>
        <v>0</v>
      </c>
      <c r="AC756" s="594">
        <f t="shared" si="840"/>
        <v>0</v>
      </c>
      <c r="AD756" s="594">
        <f t="shared" si="841"/>
        <v>-9.1810006032577683E-3</v>
      </c>
      <c r="AE756" s="594">
        <f t="shared" si="842"/>
        <v>-5.6039519797408009E-3</v>
      </c>
      <c r="AF756" s="594">
        <f t="shared" si="843"/>
        <v>0</v>
      </c>
      <c r="AG756" s="594">
        <f t="shared" si="844"/>
        <v>0</v>
      </c>
      <c r="AH756" s="594">
        <f t="shared" si="845"/>
        <v>0</v>
      </c>
      <c r="AI756" s="594">
        <f t="shared" si="846"/>
        <v>0</v>
      </c>
      <c r="AJ756" s="594">
        <f t="shared" si="847"/>
        <v>0</v>
      </c>
      <c r="AL756" s="594">
        <f t="shared" si="848"/>
        <v>-2.956990516599714E-3</v>
      </c>
    </row>
    <row r="757" spans="2:38" outlineLevel="1">
      <c r="D757" s="570" t="s">
        <v>2342</v>
      </c>
      <c r="E757" s="676"/>
      <c r="F757" s="696"/>
      <c r="G757" s="667"/>
      <c r="H757" s="667">
        <v>-560918.93000000005</v>
      </c>
      <c r="I757" s="667">
        <v>-560918.92999999993</v>
      </c>
      <c r="J757" s="667">
        <v>0</v>
      </c>
      <c r="K757" s="633"/>
      <c r="L757" s="633"/>
      <c r="M757" s="633"/>
      <c r="N757" s="633"/>
      <c r="O757" s="633"/>
    </row>
    <row r="758" spans="2:38" hidden="1"/>
    <row r="761" spans="2:38">
      <c r="H761" s="698">
        <v>1791846.61</v>
      </c>
    </row>
    <row r="762" spans="2:38">
      <c r="H762" s="698">
        <f>+H761-H749</f>
        <v>0</v>
      </c>
    </row>
  </sheetData>
  <autoFilter ref="A1:AM758">
    <filterColumn colId="1">
      <filters>
        <filter val="CE"/>
      </filters>
    </filterColumn>
  </autoFilter>
  <mergeCells count="2">
    <mergeCell ref="Q2:Y2"/>
    <mergeCell ref="AA2:AJ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"/>
  <sheetViews>
    <sheetView workbookViewId="0">
      <selection activeCell="N30" sqref="N30"/>
    </sheetView>
  </sheetViews>
  <sheetFormatPr defaultColWidth="8.7109375" defaultRowHeight="15"/>
  <cols>
    <col min="1" max="16384" width="8.7109375" style="790"/>
  </cols>
  <sheetData>
    <row r="2" spans="2:2" ht="31.5">
      <c r="B2" s="789" t="s">
        <v>2670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JW499"/>
  <sheetViews>
    <sheetView showGridLines="0" topLeftCell="A189" zoomScale="41" zoomScaleNormal="70" workbookViewId="0">
      <selection activeCell="A236" sqref="A236"/>
    </sheetView>
  </sheetViews>
  <sheetFormatPr defaultColWidth="8.7109375" defaultRowHeight="15"/>
  <cols>
    <col min="1" max="1" width="45.140625" customWidth="1"/>
    <col min="2" max="2" width="68.5703125" customWidth="1"/>
    <col min="3" max="3" width="16" customWidth="1"/>
    <col min="4" max="4" width="51.42578125" customWidth="1"/>
    <col min="5" max="6" width="26.28515625" customWidth="1"/>
    <col min="7" max="7" width="34.140625" customWidth="1"/>
    <col min="8" max="8" width="21.42578125" bestFit="1" customWidth="1"/>
    <col min="9" max="9" width="29.7109375" bestFit="1" customWidth="1"/>
    <col min="10" max="11" width="25.5703125" customWidth="1"/>
    <col min="12" max="12" width="37.28515625" customWidth="1"/>
    <col min="13" max="13" width="31.42578125" customWidth="1"/>
    <col min="14" max="14" width="21" hidden="1" customWidth="1"/>
    <col min="15" max="15" width="17.42578125" hidden="1" customWidth="1"/>
    <col min="16" max="16" width="28.7109375" customWidth="1"/>
    <col min="17" max="17" width="28.5703125" customWidth="1"/>
    <col min="18" max="18" width="39.28515625" customWidth="1"/>
  </cols>
  <sheetData>
    <row r="1" spans="1:18" ht="152.65" customHeight="1" thickBot="1">
      <c r="A1" s="157" t="s">
        <v>455</v>
      </c>
      <c r="B1" s="158" t="s">
        <v>456</v>
      </c>
      <c r="C1" s="942" t="s">
        <v>2671</v>
      </c>
      <c r="D1" s="943" t="s">
        <v>457</v>
      </c>
      <c r="E1" s="160" t="s">
        <v>458</v>
      </c>
      <c r="F1" s="160" t="s">
        <v>459</v>
      </c>
      <c r="G1" s="161" t="s">
        <v>460</v>
      </c>
      <c r="H1" s="161" t="s">
        <v>461</v>
      </c>
      <c r="I1" s="160" t="s">
        <v>3899</v>
      </c>
      <c r="J1" s="944" t="s">
        <v>3900</v>
      </c>
      <c r="K1" s="944" t="s">
        <v>3901</v>
      </c>
      <c r="L1" s="161" t="s">
        <v>3902</v>
      </c>
      <c r="M1" s="161" t="s">
        <v>3903</v>
      </c>
      <c r="N1" s="161" t="s">
        <v>3904</v>
      </c>
      <c r="O1" s="161" t="s">
        <v>3905</v>
      </c>
      <c r="P1" s="162" t="s">
        <v>465</v>
      </c>
      <c r="Q1" s="162" t="s">
        <v>3906</v>
      </c>
      <c r="R1" s="162" t="s">
        <v>3907</v>
      </c>
    </row>
    <row r="2" spans="1:18" ht="19.7" customHeight="1">
      <c r="A2" s="945"/>
      <c r="B2" s="184"/>
      <c r="C2" s="946"/>
      <c r="D2" s="192">
        <f t="shared" ref="D2:Q2" si="0">SUM(D1:D1)</f>
        <v>0</v>
      </c>
      <c r="E2" s="192">
        <f t="shared" si="0"/>
        <v>0</v>
      </c>
      <c r="F2" s="947">
        <f t="shared" si="0"/>
        <v>0</v>
      </c>
      <c r="G2" s="948">
        <f t="shared" si="0"/>
        <v>0</v>
      </c>
      <c r="H2" s="948">
        <f t="shared" si="0"/>
        <v>0</v>
      </c>
      <c r="I2" s="949">
        <f t="shared" si="0"/>
        <v>0</v>
      </c>
      <c r="J2" s="950">
        <f t="shared" si="0"/>
        <v>0</v>
      </c>
      <c r="K2" s="950">
        <f t="shared" si="0"/>
        <v>0</v>
      </c>
      <c r="L2" s="949">
        <f t="shared" si="0"/>
        <v>0</v>
      </c>
      <c r="M2" s="951">
        <f t="shared" si="0"/>
        <v>0</v>
      </c>
      <c r="N2" s="948">
        <f t="shared" si="0"/>
        <v>0</v>
      </c>
      <c r="O2" s="948">
        <f t="shared" si="0"/>
        <v>0</v>
      </c>
      <c r="P2" s="188">
        <f t="shared" si="0"/>
        <v>0</v>
      </c>
      <c r="Q2" s="952">
        <f t="shared" si="0"/>
        <v>0</v>
      </c>
      <c r="R2" s="953"/>
    </row>
    <row r="3" spans="1:18" ht="19.7" customHeight="1">
      <c r="A3" s="190" t="s">
        <v>613</v>
      </c>
      <c r="B3" s="184" t="s">
        <v>614</v>
      </c>
      <c r="C3" s="961" t="s">
        <v>786</v>
      </c>
      <c r="D3" s="192">
        <v>172076.83</v>
      </c>
      <c r="E3" s="192">
        <v>74139.839999999997</v>
      </c>
      <c r="F3" s="947">
        <f>31344.44+43800</f>
        <v>75144.44</v>
      </c>
      <c r="G3" s="188">
        <v>0</v>
      </c>
      <c r="H3" s="962">
        <f t="shared" ref="H3:H15" si="1">F3+G3</f>
        <v>75144.44</v>
      </c>
      <c r="I3" s="962"/>
      <c r="J3" s="962">
        <v>0</v>
      </c>
      <c r="K3" s="962">
        <f t="shared" ref="K3:K66" si="2">+I3-J3</f>
        <v>0</v>
      </c>
      <c r="L3" s="962">
        <v>0</v>
      </c>
      <c r="M3" s="178">
        <f>D3-E3-F3</f>
        <v>22792.549999999988</v>
      </c>
      <c r="N3" s="963">
        <f t="shared" ref="N3:N15" si="3">O3*I3</f>
        <v>0</v>
      </c>
      <c r="O3" s="178"/>
      <c r="P3" s="175">
        <v>0</v>
      </c>
      <c r="Q3" s="964">
        <v>0</v>
      </c>
      <c r="R3" s="176" t="s">
        <v>479</v>
      </c>
    </row>
    <row r="4" spans="1:18" ht="19.7" customHeight="1">
      <c r="A4" s="177" t="s">
        <v>477</v>
      </c>
      <c r="B4" s="168" t="s">
        <v>480</v>
      </c>
      <c r="C4" s="965" t="s">
        <v>829</v>
      </c>
      <c r="D4" s="170">
        <v>1600000</v>
      </c>
      <c r="E4" s="170">
        <v>105519.56</v>
      </c>
      <c r="F4" s="966">
        <f>891410.52+29164.49</f>
        <v>920575.01</v>
      </c>
      <c r="G4" s="175">
        <v>0</v>
      </c>
      <c r="H4" s="962">
        <f t="shared" si="1"/>
        <v>920575.01</v>
      </c>
      <c r="I4" s="962">
        <f>355118.84-29164.49</f>
        <v>325954.35000000003</v>
      </c>
      <c r="J4" s="962">
        <v>325954.34999999998</v>
      </c>
      <c r="K4" s="962">
        <f t="shared" si="2"/>
        <v>0</v>
      </c>
      <c r="L4" s="962">
        <v>0</v>
      </c>
      <c r="M4" s="178">
        <f>D4-E4-F4-I4</f>
        <v>247951.0799999999</v>
      </c>
      <c r="N4" s="963">
        <f t="shared" si="3"/>
        <v>0</v>
      </c>
      <c r="O4" s="178"/>
      <c r="P4" s="175">
        <v>0</v>
      </c>
      <c r="Q4" s="964">
        <v>0</v>
      </c>
      <c r="R4" s="176" t="s">
        <v>479</v>
      </c>
    </row>
    <row r="5" spans="1:18" ht="19.7" customHeight="1">
      <c r="A5" s="205" t="s">
        <v>518</v>
      </c>
      <c r="B5" s="967" t="s">
        <v>524</v>
      </c>
      <c r="C5" s="965" t="s">
        <v>828</v>
      </c>
      <c r="D5" s="238">
        <v>650000</v>
      </c>
      <c r="E5" s="968">
        <v>318836.87</v>
      </c>
      <c r="F5" s="947">
        <v>207728.13</v>
      </c>
      <c r="G5" s="175">
        <v>0</v>
      </c>
      <c r="H5" s="962">
        <f t="shared" si="1"/>
        <v>207728.13</v>
      </c>
      <c r="I5" s="962">
        <v>21132.44</v>
      </c>
      <c r="J5" s="962">
        <v>21132.440000000002</v>
      </c>
      <c r="K5" s="962">
        <f t="shared" si="2"/>
        <v>0</v>
      </c>
      <c r="L5" s="962">
        <v>34528.65</v>
      </c>
      <c r="M5" s="178">
        <f>D5-E5-F5-I5-L5</f>
        <v>67773.91</v>
      </c>
      <c r="N5" s="963">
        <f t="shared" si="3"/>
        <v>0</v>
      </c>
      <c r="O5" s="178"/>
      <c r="P5" s="175">
        <v>0</v>
      </c>
      <c r="Q5" s="964">
        <v>0</v>
      </c>
      <c r="R5" s="176" t="s">
        <v>479</v>
      </c>
    </row>
    <row r="6" spans="1:18" ht="19.7" customHeight="1">
      <c r="A6" s="190" t="s">
        <v>667</v>
      </c>
      <c r="B6" s="184" t="s">
        <v>668</v>
      </c>
      <c r="C6" s="961" t="s">
        <v>862</v>
      </c>
      <c r="D6" s="192">
        <v>106623.86</v>
      </c>
      <c r="E6" s="192">
        <v>0</v>
      </c>
      <c r="F6" s="947">
        <v>85623.86</v>
      </c>
      <c r="G6" s="188">
        <v>0</v>
      </c>
      <c r="H6" s="962">
        <f t="shared" si="1"/>
        <v>85623.86</v>
      </c>
      <c r="I6" s="962">
        <f>21000-21000</f>
        <v>0</v>
      </c>
      <c r="J6" s="962">
        <v>0</v>
      </c>
      <c r="K6" s="962">
        <f t="shared" si="2"/>
        <v>0</v>
      </c>
      <c r="L6" s="962"/>
      <c r="M6" s="178">
        <f>D6-F6-I6</f>
        <v>21000</v>
      </c>
      <c r="N6" s="963">
        <f t="shared" si="3"/>
        <v>0</v>
      </c>
      <c r="O6" s="175"/>
      <c r="P6" s="175">
        <v>0</v>
      </c>
      <c r="Q6" s="964">
        <v>0</v>
      </c>
      <c r="R6" s="953" t="s">
        <v>503</v>
      </c>
    </row>
    <row r="7" spans="1:18" ht="19.7" customHeight="1">
      <c r="A7" s="177" t="s">
        <v>489</v>
      </c>
      <c r="B7" s="168" t="s">
        <v>490</v>
      </c>
      <c r="C7" s="965" t="s">
        <v>3382</v>
      </c>
      <c r="D7" s="170">
        <v>334857.55</v>
      </c>
      <c r="E7" s="170">
        <v>0</v>
      </c>
      <c r="F7" s="966">
        <f>213503.69+14171</f>
        <v>227674.69</v>
      </c>
      <c r="G7" s="175">
        <v>0</v>
      </c>
      <c r="H7" s="962">
        <f t="shared" si="1"/>
        <v>227674.69</v>
      </c>
      <c r="I7" s="962">
        <v>106353.85</v>
      </c>
      <c r="J7" s="962">
        <v>106353.84999999999</v>
      </c>
      <c r="K7" s="962">
        <f t="shared" si="2"/>
        <v>0</v>
      </c>
      <c r="L7" s="962">
        <v>0</v>
      </c>
      <c r="M7" s="178">
        <f>D7-E7-F7-I7</f>
        <v>829.00999999998021</v>
      </c>
      <c r="N7" s="963">
        <f t="shared" si="3"/>
        <v>0</v>
      </c>
      <c r="O7" s="178"/>
      <c r="P7" s="175">
        <v>0</v>
      </c>
      <c r="Q7" s="964">
        <v>0</v>
      </c>
      <c r="R7" s="953" t="s">
        <v>3908</v>
      </c>
    </row>
    <row r="8" spans="1:18" ht="19.7" customHeight="1">
      <c r="A8" s="190" t="s">
        <v>670</v>
      </c>
      <c r="B8" s="184" t="s">
        <v>671</v>
      </c>
      <c r="C8" s="961" t="s">
        <v>3909</v>
      </c>
      <c r="D8" s="192">
        <v>65094.02</v>
      </c>
      <c r="E8" s="192">
        <v>0</v>
      </c>
      <c r="F8" s="947">
        <v>56094.02</v>
      </c>
      <c r="G8" s="188">
        <v>0</v>
      </c>
      <c r="H8" s="962">
        <f t="shared" si="1"/>
        <v>56094.02</v>
      </c>
      <c r="I8" s="962">
        <v>10000</v>
      </c>
      <c r="J8" s="962">
        <v>10000</v>
      </c>
      <c r="K8" s="962">
        <f t="shared" si="2"/>
        <v>0</v>
      </c>
      <c r="L8" s="962">
        <v>0</v>
      </c>
      <c r="M8" s="178">
        <f>D8-F8-I8</f>
        <v>-1000</v>
      </c>
      <c r="N8" s="963">
        <f t="shared" si="3"/>
        <v>0</v>
      </c>
      <c r="O8" s="175"/>
      <c r="P8" s="175">
        <v>0</v>
      </c>
      <c r="Q8" s="964">
        <v>0</v>
      </c>
      <c r="R8" s="953" t="s">
        <v>506</v>
      </c>
    </row>
    <row r="9" spans="1:18" ht="19.7" customHeight="1">
      <c r="A9" s="177" t="s">
        <v>495</v>
      </c>
      <c r="B9" s="168" t="s">
        <v>496</v>
      </c>
      <c r="C9" s="965" t="s">
        <v>858</v>
      </c>
      <c r="D9" s="170">
        <v>1694500.14</v>
      </c>
      <c r="E9" s="170">
        <v>670524.44999999995</v>
      </c>
      <c r="F9" s="966">
        <v>630097.46</v>
      </c>
      <c r="G9" s="175">
        <v>0</v>
      </c>
      <c r="H9" s="962">
        <f t="shared" si="1"/>
        <v>630097.46</v>
      </c>
      <c r="I9" s="962">
        <v>20295.669999999998</v>
      </c>
      <c r="J9" s="962">
        <v>13395.67</v>
      </c>
      <c r="K9" s="962">
        <f t="shared" si="2"/>
        <v>6899.9999999999982</v>
      </c>
      <c r="L9" s="962">
        <v>0</v>
      </c>
      <c r="M9" s="178">
        <v>100000</v>
      </c>
      <c r="N9" s="963">
        <f t="shared" si="3"/>
        <v>0</v>
      </c>
      <c r="O9" s="178"/>
      <c r="P9" s="175">
        <f>D9-E9-F9-M9-I9</f>
        <v>273582.56</v>
      </c>
      <c r="Q9" s="964">
        <v>0</v>
      </c>
      <c r="R9" s="176" t="s">
        <v>685</v>
      </c>
    </row>
    <row r="10" spans="1:18" ht="19.7" customHeight="1">
      <c r="A10" s="177" t="s">
        <v>477</v>
      </c>
      <c r="B10" s="168" t="s">
        <v>478</v>
      </c>
      <c r="C10" s="965" t="s">
        <v>816</v>
      </c>
      <c r="D10" s="170">
        <v>6000000</v>
      </c>
      <c r="E10" s="170">
        <v>1497745.73</v>
      </c>
      <c r="F10" s="966">
        <v>2301917.12</v>
      </c>
      <c r="G10" s="175"/>
      <c r="H10" s="962">
        <f t="shared" si="1"/>
        <v>2301917.12</v>
      </c>
      <c r="I10" s="962">
        <v>1780795.1</v>
      </c>
      <c r="J10" s="962">
        <v>1780570.4500000002</v>
      </c>
      <c r="K10" s="962">
        <f t="shared" si="2"/>
        <v>224.64999999990687</v>
      </c>
      <c r="L10" s="962">
        <v>0</v>
      </c>
      <c r="M10" s="178">
        <f>D10-E10-F10-I10</f>
        <v>419542.04999999935</v>
      </c>
      <c r="N10" s="963">
        <f t="shared" si="3"/>
        <v>0</v>
      </c>
      <c r="O10" s="178"/>
      <c r="P10" s="175">
        <v>0</v>
      </c>
      <c r="Q10" s="964">
        <v>0</v>
      </c>
      <c r="R10" s="176" t="s">
        <v>479</v>
      </c>
    </row>
    <row r="11" spans="1:18" ht="19.7" customHeight="1">
      <c r="A11" s="177" t="s">
        <v>483</v>
      </c>
      <c r="B11" s="168" t="s">
        <v>484</v>
      </c>
      <c r="C11" s="965" t="s">
        <v>3411</v>
      </c>
      <c r="D11" s="170">
        <v>3589757.51</v>
      </c>
      <c r="E11" s="170">
        <v>3163013.14</v>
      </c>
      <c r="F11" s="966">
        <v>243852.25</v>
      </c>
      <c r="G11" s="175">
        <v>0</v>
      </c>
      <c r="H11" s="962">
        <f t="shared" si="1"/>
        <v>243852.25</v>
      </c>
      <c r="I11" s="962">
        <v>171887.85</v>
      </c>
      <c r="J11" s="962">
        <v>171842.87000000002</v>
      </c>
      <c r="K11" s="962">
        <f t="shared" si="2"/>
        <v>44.979999999981374</v>
      </c>
      <c r="L11" s="962">
        <v>11004.27</v>
      </c>
      <c r="M11" s="178">
        <v>0</v>
      </c>
      <c r="N11" s="963">
        <f t="shared" si="3"/>
        <v>0</v>
      </c>
      <c r="O11" s="178"/>
      <c r="P11" s="175">
        <v>0</v>
      </c>
      <c r="Q11" s="964">
        <v>0</v>
      </c>
      <c r="R11" s="176" t="s">
        <v>474</v>
      </c>
    </row>
    <row r="12" spans="1:18" ht="19.7" customHeight="1">
      <c r="A12" s="190" t="s">
        <v>683</v>
      </c>
      <c r="B12" s="184" t="s">
        <v>684</v>
      </c>
      <c r="C12" s="961" t="s">
        <v>810</v>
      </c>
      <c r="D12" s="192">
        <v>3300000</v>
      </c>
      <c r="E12" s="192">
        <v>0</v>
      </c>
      <c r="F12" s="947">
        <v>239997.79</v>
      </c>
      <c r="G12" s="188">
        <v>0</v>
      </c>
      <c r="H12" s="962">
        <f t="shared" si="1"/>
        <v>239997.79</v>
      </c>
      <c r="I12" s="962">
        <v>1133997.3</v>
      </c>
      <c r="J12" s="962">
        <v>1133995.6600000001</v>
      </c>
      <c r="K12" s="962">
        <f t="shared" si="2"/>
        <v>1.6399999998975545</v>
      </c>
      <c r="L12" s="962">
        <v>0</v>
      </c>
      <c r="M12" s="178">
        <v>1200000</v>
      </c>
      <c r="N12" s="963">
        <f t="shared" si="3"/>
        <v>0</v>
      </c>
      <c r="O12" s="175"/>
      <c r="P12" s="175">
        <f>D12-E12-F12-I12-M12</f>
        <v>726004.90999999992</v>
      </c>
      <c r="Q12" s="964">
        <v>0</v>
      </c>
      <c r="R12" s="210" t="s">
        <v>685</v>
      </c>
    </row>
    <row r="13" spans="1:18" ht="19.7" customHeight="1">
      <c r="A13" s="190" t="s">
        <v>535</v>
      </c>
      <c r="B13" s="184" t="s">
        <v>721</v>
      </c>
      <c r="C13" s="961" t="s">
        <v>838</v>
      </c>
      <c r="D13" s="192">
        <v>1910504.36</v>
      </c>
      <c r="E13" s="192">
        <v>0</v>
      </c>
      <c r="F13" s="947">
        <v>0</v>
      </c>
      <c r="G13" s="188">
        <v>0</v>
      </c>
      <c r="H13" s="962">
        <f t="shared" si="1"/>
        <v>0</v>
      </c>
      <c r="I13" s="962">
        <v>903754.31</v>
      </c>
      <c r="J13" s="962">
        <v>903754.29999999993</v>
      </c>
      <c r="K13" s="962">
        <f t="shared" si="2"/>
        <v>1.0000000125728548E-2</v>
      </c>
      <c r="L13" s="962">
        <v>0</v>
      </c>
      <c r="M13" s="175">
        <f>D13-F13-I13</f>
        <v>1006750.05</v>
      </c>
      <c r="N13" s="963">
        <f t="shared" si="3"/>
        <v>0</v>
      </c>
      <c r="O13" s="175"/>
      <c r="P13" s="175">
        <v>0</v>
      </c>
      <c r="Q13" s="964">
        <v>0</v>
      </c>
      <c r="R13" s="953" t="s">
        <v>3910</v>
      </c>
    </row>
    <row r="14" spans="1:18" ht="19.7" customHeight="1">
      <c r="A14" s="177" t="s">
        <v>512</v>
      </c>
      <c r="B14" s="168" t="s">
        <v>513</v>
      </c>
      <c r="C14" s="969" t="s">
        <v>776</v>
      </c>
      <c r="D14" s="170">
        <v>1050652</v>
      </c>
      <c r="E14" s="170">
        <v>66072.23</v>
      </c>
      <c r="F14" s="966">
        <v>562460.87</v>
      </c>
      <c r="G14" s="175">
        <v>0</v>
      </c>
      <c r="H14" s="962">
        <f t="shared" si="1"/>
        <v>562460.87</v>
      </c>
      <c r="I14" s="962">
        <v>214244.91</v>
      </c>
      <c r="J14" s="962">
        <v>214244.89999999997</v>
      </c>
      <c r="K14" s="962">
        <f t="shared" si="2"/>
        <v>1.0000000038417056E-2</v>
      </c>
      <c r="L14" s="962">
        <v>0</v>
      </c>
      <c r="M14" s="178">
        <f>D14-E14-F14-I14</f>
        <v>207873.99000000002</v>
      </c>
      <c r="N14" s="963">
        <f t="shared" si="3"/>
        <v>0</v>
      </c>
      <c r="O14" s="178"/>
      <c r="P14" s="175">
        <v>0</v>
      </c>
      <c r="Q14" s="964">
        <v>0</v>
      </c>
      <c r="R14" s="953" t="s">
        <v>3910</v>
      </c>
    </row>
    <row r="15" spans="1:18" ht="19.7" customHeight="1">
      <c r="A15" s="190" t="s">
        <v>696</v>
      </c>
      <c r="B15" s="184" t="s">
        <v>697</v>
      </c>
      <c r="C15" s="961" t="s">
        <v>3379</v>
      </c>
      <c r="D15" s="192">
        <v>224042.1</v>
      </c>
      <c r="E15" s="192">
        <v>0</v>
      </c>
      <c r="F15" s="947">
        <v>53501</v>
      </c>
      <c r="G15" s="188">
        <v>0</v>
      </c>
      <c r="H15" s="962">
        <f t="shared" si="1"/>
        <v>53501</v>
      </c>
      <c r="I15" s="962">
        <v>170541.1</v>
      </c>
      <c r="J15" s="962">
        <v>170541.09</v>
      </c>
      <c r="K15" s="962">
        <f t="shared" si="2"/>
        <v>1.0000000009313226E-2</v>
      </c>
      <c r="L15" s="948">
        <v>0</v>
      </c>
      <c r="M15" s="178">
        <f>D15-F15-I15</f>
        <v>0</v>
      </c>
      <c r="N15" s="963">
        <f t="shared" si="3"/>
        <v>0</v>
      </c>
      <c r="O15" s="175"/>
      <c r="P15" s="175">
        <v>0</v>
      </c>
      <c r="Q15" s="964">
        <v>0</v>
      </c>
      <c r="R15" s="953" t="s">
        <v>3911</v>
      </c>
    </row>
    <row r="16" spans="1:18" ht="19.7" customHeight="1">
      <c r="A16" s="190" t="s">
        <v>3912</v>
      </c>
      <c r="B16" s="184" t="s">
        <v>3913</v>
      </c>
      <c r="C16" s="961" t="s">
        <v>3425</v>
      </c>
      <c r="D16" s="192">
        <v>761320</v>
      </c>
      <c r="E16" s="192">
        <v>0</v>
      </c>
      <c r="F16" s="947">
        <v>0</v>
      </c>
      <c r="G16" s="188">
        <v>0</v>
      </c>
      <c r="H16" s="948">
        <v>0</v>
      </c>
      <c r="I16" s="948">
        <v>358310.58</v>
      </c>
      <c r="J16" s="962">
        <v>358310.57</v>
      </c>
      <c r="K16" s="962">
        <f t="shared" si="2"/>
        <v>1.0000000009313226E-2</v>
      </c>
      <c r="L16" s="948">
        <v>0</v>
      </c>
      <c r="M16" s="175">
        <f>D16-I16</f>
        <v>403009.42</v>
      </c>
      <c r="N16" s="962"/>
      <c r="O16" s="175"/>
      <c r="P16" s="175">
        <v>0</v>
      </c>
      <c r="Q16" s="964"/>
      <c r="R16" s="953" t="s">
        <v>539</v>
      </c>
    </row>
    <row r="17" spans="1:18" ht="19.7" customHeight="1">
      <c r="A17" s="177" t="s">
        <v>491</v>
      </c>
      <c r="B17" s="168" t="s">
        <v>494</v>
      </c>
      <c r="C17" s="970" t="s">
        <v>3914</v>
      </c>
      <c r="D17" s="170">
        <v>468736.99</v>
      </c>
      <c r="E17" s="170">
        <v>9849.2099999999991</v>
      </c>
      <c r="F17" s="966">
        <v>114470</v>
      </c>
      <c r="G17" s="175">
        <v>0</v>
      </c>
      <c r="H17" s="962">
        <f t="shared" ref="H17:H80" si="4">F17+G17</f>
        <v>114470</v>
      </c>
      <c r="I17" s="962">
        <v>238652.65</v>
      </c>
      <c r="J17" s="962">
        <v>238652.64</v>
      </c>
      <c r="K17" s="962">
        <f t="shared" si="2"/>
        <v>9.9999999802093953E-3</v>
      </c>
      <c r="L17" s="962">
        <v>0</v>
      </c>
      <c r="M17" s="178">
        <f>D17-E17-F17-I17</f>
        <v>105765.12999999998</v>
      </c>
      <c r="N17" s="963">
        <f t="shared" ref="N17:N80" si="5">O17*I17</f>
        <v>0</v>
      </c>
      <c r="O17" s="178"/>
      <c r="P17" s="175">
        <v>0</v>
      </c>
      <c r="Q17" s="964">
        <v>0</v>
      </c>
      <c r="R17" s="176" t="s">
        <v>479</v>
      </c>
    </row>
    <row r="18" spans="1:18" ht="19.7" customHeight="1">
      <c r="A18" s="177" t="s">
        <v>469</v>
      </c>
      <c r="B18" s="168" t="s">
        <v>470</v>
      </c>
      <c r="C18" s="965" t="s">
        <v>804</v>
      </c>
      <c r="D18" s="170">
        <v>2366289.1</v>
      </c>
      <c r="E18" s="170">
        <v>1160666.49</v>
      </c>
      <c r="F18" s="966">
        <v>1045606.85</v>
      </c>
      <c r="G18" s="175">
        <v>0</v>
      </c>
      <c r="H18" s="962">
        <f t="shared" si="4"/>
        <v>1045606.85</v>
      </c>
      <c r="I18" s="962">
        <v>4690</v>
      </c>
      <c r="J18" s="962">
        <v>4690</v>
      </c>
      <c r="K18" s="962">
        <f t="shared" si="2"/>
        <v>0</v>
      </c>
      <c r="L18" s="962">
        <v>0</v>
      </c>
      <c r="M18" s="178">
        <f>D18-E18-F18-I18</f>
        <v>155325.76000000013</v>
      </c>
      <c r="N18" s="963">
        <f t="shared" si="5"/>
        <v>0</v>
      </c>
      <c r="O18" s="178"/>
      <c r="P18" s="175">
        <v>0</v>
      </c>
      <c r="Q18" s="964">
        <v>0</v>
      </c>
      <c r="R18" s="176" t="s">
        <v>560</v>
      </c>
    </row>
    <row r="19" spans="1:18" ht="19.7" customHeight="1">
      <c r="A19" s="177" t="s">
        <v>472</v>
      </c>
      <c r="B19" s="168" t="s">
        <v>473</v>
      </c>
      <c r="C19" s="965" t="s">
        <v>794</v>
      </c>
      <c r="D19" s="954">
        <v>3366578.83</v>
      </c>
      <c r="E19" s="170">
        <v>1284112.99</v>
      </c>
      <c r="F19" s="966">
        <v>639247.98</v>
      </c>
      <c r="G19" s="175">
        <v>154321.06</v>
      </c>
      <c r="H19" s="962">
        <f t="shared" si="4"/>
        <v>793569.04</v>
      </c>
      <c r="I19" s="962">
        <v>0</v>
      </c>
      <c r="J19" s="962">
        <v>0</v>
      </c>
      <c r="K19" s="962">
        <f t="shared" si="2"/>
        <v>0</v>
      </c>
      <c r="L19" s="962">
        <v>414329.22</v>
      </c>
      <c r="M19" s="178">
        <v>200000</v>
      </c>
      <c r="N19" s="963">
        <f t="shared" si="5"/>
        <v>0</v>
      </c>
      <c r="O19" s="178"/>
      <c r="P19" s="175">
        <f>D19-E19-F19-L19-M19</f>
        <v>828888.64000000013</v>
      </c>
      <c r="Q19" s="964">
        <v>0</v>
      </c>
      <c r="R19" s="176" t="s">
        <v>555</v>
      </c>
    </row>
    <row r="20" spans="1:18" ht="19.7" customHeight="1">
      <c r="A20" s="177" t="s">
        <v>472</v>
      </c>
      <c r="B20" s="168" t="s">
        <v>475</v>
      </c>
      <c r="C20" s="965" t="s">
        <v>793</v>
      </c>
      <c r="D20" s="170">
        <v>2760114.82</v>
      </c>
      <c r="E20" s="170">
        <v>587442.43999999994</v>
      </c>
      <c r="F20" s="966">
        <f>1779398.68-456734.06</f>
        <v>1322664.6199999999</v>
      </c>
      <c r="G20" s="175">
        <v>0</v>
      </c>
      <c r="H20" s="962">
        <f t="shared" si="4"/>
        <v>1322664.6199999999</v>
      </c>
      <c r="I20" s="962">
        <f>17290.42+456734.06</f>
        <v>474024.48</v>
      </c>
      <c r="J20" s="962">
        <v>474024.48</v>
      </c>
      <c r="K20" s="962">
        <f t="shared" si="2"/>
        <v>0</v>
      </c>
      <c r="L20" s="962">
        <v>155369.72</v>
      </c>
      <c r="M20" s="178">
        <f>D20-E20-F20-I20-L20</f>
        <v>220613.56000000003</v>
      </c>
      <c r="N20" s="963">
        <f t="shared" si="5"/>
        <v>0</v>
      </c>
      <c r="O20" s="178"/>
      <c r="P20" s="175">
        <v>0</v>
      </c>
      <c r="Q20" s="964">
        <v>0</v>
      </c>
      <c r="R20" s="176" t="s">
        <v>479</v>
      </c>
    </row>
    <row r="21" spans="1:18" ht="19.7" customHeight="1">
      <c r="A21" s="177" t="s">
        <v>472</v>
      </c>
      <c r="B21" s="168" t="s">
        <v>476</v>
      </c>
      <c r="C21" s="965" t="s">
        <v>3915</v>
      </c>
      <c r="D21" s="170">
        <v>283457</v>
      </c>
      <c r="E21" s="170">
        <v>232274</v>
      </c>
      <c r="F21" s="966">
        <v>0</v>
      </c>
      <c r="G21" s="175">
        <v>0</v>
      </c>
      <c r="H21" s="962">
        <f t="shared" si="4"/>
        <v>0</v>
      </c>
      <c r="I21" s="962">
        <v>0</v>
      </c>
      <c r="J21" s="962">
        <v>0</v>
      </c>
      <c r="K21" s="962">
        <f t="shared" si="2"/>
        <v>0</v>
      </c>
      <c r="L21" s="962">
        <v>0</v>
      </c>
      <c r="M21" s="178">
        <f>D21-E21-F21</f>
        <v>51183</v>
      </c>
      <c r="N21" s="963">
        <f t="shared" si="5"/>
        <v>0</v>
      </c>
      <c r="O21" s="178"/>
      <c r="P21" s="175">
        <v>0</v>
      </c>
      <c r="Q21" s="964">
        <v>0</v>
      </c>
      <c r="R21" s="176" t="s">
        <v>479</v>
      </c>
    </row>
    <row r="22" spans="1:18" ht="19.7" customHeight="1">
      <c r="A22" s="971" t="s">
        <v>481</v>
      </c>
      <c r="B22" s="180" t="s">
        <v>482</v>
      </c>
      <c r="C22" s="972" t="s">
        <v>3378</v>
      </c>
      <c r="D22" s="182">
        <v>900103.13</v>
      </c>
      <c r="E22" s="182">
        <v>870664.99</v>
      </c>
      <c r="F22" s="966">
        <v>29438.14</v>
      </c>
      <c r="G22" s="175">
        <v>0</v>
      </c>
      <c r="H22" s="962">
        <f t="shared" si="4"/>
        <v>29438.14</v>
      </c>
      <c r="I22" s="962"/>
      <c r="J22" s="962">
        <v>0</v>
      </c>
      <c r="K22" s="962">
        <f t="shared" si="2"/>
        <v>0</v>
      </c>
      <c r="L22" s="962"/>
      <c r="M22" s="178">
        <f>D22-E22-F22</f>
        <v>0</v>
      </c>
      <c r="N22" s="963">
        <f t="shared" si="5"/>
        <v>0</v>
      </c>
      <c r="O22" s="178"/>
      <c r="P22" s="175">
        <v>0</v>
      </c>
      <c r="Q22" s="964">
        <v>0</v>
      </c>
      <c r="R22" s="204" t="s">
        <v>542</v>
      </c>
    </row>
    <row r="23" spans="1:18" ht="19.7" customHeight="1">
      <c r="A23" s="971" t="s">
        <v>481</v>
      </c>
      <c r="B23" s="168" t="s">
        <v>485</v>
      </c>
      <c r="C23" s="965" t="s">
        <v>826</v>
      </c>
      <c r="D23" s="182">
        <v>650246.27</v>
      </c>
      <c r="E23" s="182">
        <v>431856.17</v>
      </c>
      <c r="F23" s="966">
        <v>38805.550000000003</v>
      </c>
      <c r="G23" s="175">
        <v>0</v>
      </c>
      <c r="H23" s="962">
        <f t="shared" si="4"/>
        <v>38805.550000000003</v>
      </c>
      <c r="I23" s="962">
        <v>94031.69</v>
      </c>
      <c r="J23" s="962">
        <v>94031.69</v>
      </c>
      <c r="K23" s="962">
        <f t="shared" si="2"/>
        <v>0</v>
      </c>
      <c r="L23" s="962">
        <v>0</v>
      </c>
      <c r="M23" s="178">
        <f>D23-E23-F23-I23</f>
        <v>85552.860000000044</v>
      </c>
      <c r="N23" s="963">
        <f t="shared" si="5"/>
        <v>0</v>
      </c>
      <c r="O23" s="178"/>
      <c r="P23" s="175">
        <v>0</v>
      </c>
      <c r="Q23" s="964">
        <v>0</v>
      </c>
      <c r="R23" s="176" t="s">
        <v>3910</v>
      </c>
    </row>
    <row r="24" spans="1:18" ht="19.7" customHeight="1">
      <c r="A24" s="971" t="s">
        <v>486</v>
      </c>
      <c r="B24" s="180" t="s">
        <v>487</v>
      </c>
      <c r="C24" s="972" t="s">
        <v>3916</v>
      </c>
      <c r="D24" s="182">
        <v>746758.13</v>
      </c>
      <c r="E24" s="182">
        <v>310879.32</v>
      </c>
      <c r="F24" s="966">
        <v>315402.01</v>
      </c>
      <c r="G24" s="175">
        <v>0</v>
      </c>
      <c r="H24" s="962">
        <f t="shared" si="4"/>
        <v>315402.01</v>
      </c>
      <c r="I24" s="962">
        <v>0</v>
      </c>
      <c r="J24" s="962">
        <v>0</v>
      </c>
      <c r="K24" s="962">
        <f t="shared" si="2"/>
        <v>0</v>
      </c>
      <c r="L24" s="962">
        <v>120476.8</v>
      </c>
      <c r="M24" s="178">
        <v>0</v>
      </c>
      <c r="N24" s="963">
        <f t="shared" si="5"/>
        <v>0</v>
      </c>
      <c r="O24" s="178"/>
      <c r="P24" s="175">
        <v>0</v>
      </c>
      <c r="Q24" s="964">
        <v>0</v>
      </c>
      <c r="R24" s="176" t="s">
        <v>3917</v>
      </c>
    </row>
    <row r="25" spans="1:18" ht="19.7" customHeight="1">
      <c r="A25" s="971" t="s">
        <v>491</v>
      </c>
      <c r="B25" s="180" t="s">
        <v>492</v>
      </c>
      <c r="C25" s="972" t="s">
        <v>3918</v>
      </c>
      <c r="D25" s="182">
        <v>1004160.8</v>
      </c>
      <c r="E25" s="182">
        <v>802240.97</v>
      </c>
      <c r="F25" s="966">
        <v>0</v>
      </c>
      <c r="G25" s="175">
        <v>0</v>
      </c>
      <c r="H25" s="962">
        <f t="shared" si="4"/>
        <v>0</v>
      </c>
      <c r="I25" s="962">
        <v>108028.19</v>
      </c>
      <c r="J25" s="962">
        <v>108028.19</v>
      </c>
      <c r="K25" s="962">
        <f t="shared" si="2"/>
        <v>0</v>
      </c>
      <c r="L25" s="962">
        <v>0</v>
      </c>
      <c r="M25" s="178">
        <f>D25-E25-I25</f>
        <v>93891.640000000072</v>
      </c>
      <c r="N25" s="963">
        <f t="shared" si="5"/>
        <v>0</v>
      </c>
      <c r="O25" s="178"/>
      <c r="P25" s="175">
        <v>0</v>
      </c>
      <c r="Q25" s="964">
        <v>0</v>
      </c>
      <c r="R25" s="176" t="s">
        <v>479</v>
      </c>
    </row>
    <row r="26" spans="1:18" ht="19.7" customHeight="1">
      <c r="A26" s="971" t="s">
        <v>497</v>
      </c>
      <c r="B26" s="180" t="s">
        <v>498</v>
      </c>
      <c r="C26" s="972" t="s">
        <v>3384</v>
      </c>
      <c r="D26" s="182">
        <v>1768905.46</v>
      </c>
      <c r="E26" s="182">
        <v>989624.33</v>
      </c>
      <c r="F26" s="966">
        <f>679549.81+124603.67</f>
        <v>804153.4800000001</v>
      </c>
      <c r="G26" s="175">
        <v>0</v>
      </c>
      <c r="H26" s="962">
        <f t="shared" si="4"/>
        <v>804153.4800000001</v>
      </c>
      <c r="I26" s="962">
        <v>131205.35999999999</v>
      </c>
      <c r="J26" s="962">
        <v>131205.35999999999</v>
      </c>
      <c r="K26" s="962">
        <f t="shared" si="2"/>
        <v>0</v>
      </c>
      <c r="L26" s="962">
        <v>0</v>
      </c>
      <c r="M26" s="178">
        <v>20000</v>
      </c>
      <c r="N26" s="963">
        <f t="shared" si="5"/>
        <v>0</v>
      </c>
      <c r="O26" s="178"/>
      <c r="P26" s="175">
        <f>D26-E26-F26-M26-G26-I26</f>
        <v>-176077.71000000008</v>
      </c>
      <c r="Q26" s="964">
        <v>0</v>
      </c>
      <c r="R26" s="176" t="s">
        <v>685</v>
      </c>
    </row>
    <row r="27" spans="1:18" ht="19.7" customHeight="1">
      <c r="A27" s="971" t="s">
        <v>499</v>
      </c>
      <c r="B27" s="180" t="s">
        <v>500</v>
      </c>
      <c r="C27" s="972" t="s">
        <v>842</v>
      </c>
      <c r="D27" s="182">
        <v>1784923.88</v>
      </c>
      <c r="E27" s="182">
        <v>496981.66</v>
      </c>
      <c r="F27" s="966">
        <v>739992.48</v>
      </c>
      <c r="G27" s="175">
        <v>0</v>
      </c>
      <c r="H27" s="962">
        <f t="shared" si="4"/>
        <v>739992.48</v>
      </c>
      <c r="I27" s="962">
        <v>422504.93</v>
      </c>
      <c r="J27" s="962">
        <v>422504.93</v>
      </c>
      <c r="K27" s="962">
        <f t="shared" si="2"/>
        <v>0</v>
      </c>
      <c r="L27" s="962">
        <v>0</v>
      </c>
      <c r="M27" s="178">
        <f>D27-E27-F27-I27</f>
        <v>125444.81</v>
      </c>
      <c r="N27" s="963">
        <f t="shared" si="5"/>
        <v>0</v>
      </c>
      <c r="O27" s="178"/>
      <c r="P27" s="175">
        <f>D27-E27-F27-M27-G27-I27</f>
        <v>0</v>
      </c>
      <c r="Q27" s="964">
        <v>0</v>
      </c>
      <c r="R27" s="176" t="s">
        <v>479</v>
      </c>
    </row>
    <row r="28" spans="1:18" ht="19.7" customHeight="1">
      <c r="A28" s="971" t="s">
        <v>501</v>
      </c>
      <c r="B28" s="180" t="s">
        <v>502</v>
      </c>
      <c r="C28" s="972" t="s">
        <v>3919</v>
      </c>
      <c r="D28" s="182">
        <v>1263086.1200000001</v>
      </c>
      <c r="E28" s="182">
        <v>239848.84</v>
      </c>
      <c r="F28" s="966">
        <v>1023237.28</v>
      </c>
      <c r="G28" s="175">
        <v>0</v>
      </c>
      <c r="H28" s="962">
        <f t="shared" si="4"/>
        <v>1023237.28</v>
      </c>
      <c r="I28" s="962"/>
      <c r="J28" s="962">
        <v>0</v>
      </c>
      <c r="K28" s="962">
        <f t="shared" si="2"/>
        <v>0</v>
      </c>
      <c r="L28" s="962"/>
      <c r="M28" s="178">
        <v>0</v>
      </c>
      <c r="N28" s="963">
        <f t="shared" si="5"/>
        <v>0</v>
      </c>
      <c r="O28" s="178"/>
      <c r="P28" s="175">
        <f>D28-E28-F28-M28-G28</f>
        <v>1.1641532182693481E-10</v>
      </c>
      <c r="Q28" s="964">
        <v>0</v>
      </c>
      <c r="R28" s="176" t="s">
        <v>503</v>
      </c>
    </row>
    <row r="29" spans="1:18" ht="19.7" customHeight="1">
      <c r="A29" s="971" t="s">
        <v>504</v>
      </c>
      <c r="B29" s="180" t="s">
        <v>505</v>
      </c>
      <c r="C29" s="972" t="s">
        <v>3383</v>
      </c>
      <c r="D29" s="182">
        <v>693423.48</v>
      </c>
      <c r="E29" s="182">
        <v>536532.05000000005</v>
      </c>
      <c r="F29" s="966">
        <v>156891.43</v>
      </c>
      <c r="G29" s="175">
        <v>0</v>
      </c>
      <c r="H29" s="962">
        <f t="shared" si="4"/>
        <v>156891.43</v>
      </c>
      <c r="I29" s="962"/>
      <c r="J29" s="962">
        <v>0</v>
      </c>
      <c r="K29" s="962">
        <f t="shared" si="2"/>
        <v>0</v>
      </c>
      <c r="L29" s="962"/>
      <c r="M29" s="178">
        <v>0</v>
      </c>
      <c r="N29" s="963">
        <f t="shared" si="5"/>
        <v>0</v>
      </c>
      <c r="O29" s="178"/>
      <c r="P29" s="175">
        <f>D29-E29-F29-M29-G29</f>
        <v>-5.8207660913467407E-11</v>
      </c>
      <c r="Q29" s="964">
        <v>0</v>
      </c>
      <c r="R29" s="176" t="s">
        <v>506</v>
      </c>
    </row>
    <row r="30" spans="1:18" ht="19.7" customHeight="1">
      <c r="A30" s="971" t="s">
        <v>507</v>
      </c>
      <c r="B30" s="180" t="s">
        <v>508</v>
      </c>
      <c r="C30" s="972" t="s">
        <v>3920</v>
      </c>
      <c r="D30" s="182">
        <v>358070.42</v>
      </c>
      <c r="E30" s="182">
        <v>246372.64</v>
      </c>
      <c r="F30" s="966">
        <v>111697.78</v>
      </c>
      <c r="G30" s="175">
        <v>0</v>
      </c>
      <c r="H30" s="962">
        <f t="shared" si="4"/>
        <v>111697.78</v>
      </c>
      <c r="I30" s="962"/>
      <c r="J30" s="962">
        <v>0</v>
      </c>
      <c r="K30" s="962">
        <f t="shared" si="2"/>
        <v>0</v>
      </c>
      <c r="L30" s="962"/>
      <c r="M30" s="178">
        <v>0</v>
      </c>
      <c r="N30" s="963">
        <f t="shared" si="5"/>
        <v>0</v>
      </c>
      <c r="O30" s="178"/>
      <c r="P30" s="175">
        <f>D30-E30-F30-M30-G30</f>
        <v>-2.9103830456733704E-11</v>
      </c>
      <c r="Q30" s="964">
        <v>0</v>
      </c>
      <c r="R30" s="176" t="s">
        <v>509</v>
      </c>
    </row>
    <row r="31" spans="1:18" ht="19.7" customHeight="1">
      <c r="A31" s="971" t="s">
        <v>510</v>
      </c>
      <c r="B31" s="180" t="s">
        <v>511</v>
      </c>
      <c r="C31" s="972" t="s">
        <v>854</v>
      </c>
      <c r="D31" s="182">
        <v>509999.08</v>
      </c>
      <c r="E31" s="182">
        <v>98495.14</v>
      </c>
      <c r="F31" s="966">
        <v>333772.93</v>
      </c>
      <c r="G31" s="175">
        <v>0</v>
      </c>
      <c r="H31" s="962">
        <f t="shared" si="4"/>
        <v>333772.93</v>
      </c>
      <c r="I31" s="962">
        <v>0</v>
      </c>
      <c r="J31" s="962">
        <v>0</v>
      </c>
      <c r="K31" s="962">
        <f t="shared" si="2"/>
        <v>0</v>
      </c>
      <c r="L31" s="962">
        <v>0</v>
      </c>
      <c r="M31" s="178">
        <f>D31-E31-F31</f>
        <v>77731.010000000009</v>
      </c>
      <c r="N31" s="963">
        <f t="shared" si="5"/>
        <v>0</v>
      </c>
      <c r="O31" s="178"/>
      <c r="P31" s="175">
        <v>0</v>
      </c>
      <c r="Q31" s="964">
        <v>0</v>
      </c>
      <c r="R31" s="176" t="s">
        <v>539</v>
      </c>
    </row>
    <row r="32" spans="1:18" ht="19.7" customHeight="1">
      <c r="A32" s="973" t="s">
        <v>516</v>
      </c>
      <c r="B32" s="189" t="s">
        <v>517</v>
      </c>
      <c r="C32" s="972" t="s">
        <v>827</v>
      </c>
      <c r="D32" s="186">
        <v>2300000</v>
      </c>
      <c r="E32" s="186">
        <v>54577.5</v>
      </c>
      <c r="F32" s="947">
        <v>1335233.8</v>
      </c>
      <c r="G32" s="175">
        <v>0</v>
      </c>
      <c r="H32" s="962">
        <f t="shared" si="4"/>
        <v>1335233.8</v>
      </c>
      <c r="I32" s="962">
        <v>325276.65000000002</v>
      </c>
      <c r="J32" s="962">
        <v>325276.64999999997</v>
      </c>
      <c r="K32" s="962">
        <f t="shared" si="2"/>
        <v>0</v>
      </c>
      <c r="L32" s="962">
        <v>0</v>
      </c>
      <c r="M32" s="178">
        <f>200000</f>
        <v>200000</v>
      </c>
      <c r="N32" s="963">
        <f t="shared" si="5"/>
        <v>0</v>
      </c>
      <c r="O32" s="178"/>
      <c r="P32" s="175">
        <f>D32-E32-I32-F32-M32</f>
        <v>384912.05000000005</v>
      </c>
      <c r="Q32" s="964">
        <v>0</v>
      </c>
      <c r="R32" s="176" t="s">
        <v>685</v>
      </c>
    </row>
    <row r="33" spans="1:283" ht="19.7" customHeight="1">
      <c r="A33" s="973" t="s">
        <v>518</v>
      </c>
      <c r="B33" s="189" t="s">
        <v>519</v>
      </c>
      <c r="C33" s="972" t="s">
        <v>3921</v>
      </c>
      <c r="D33" s="186">
        <v>602084.34</v>
      </c>
      <c r="E33" s="186">
        <v>325828.59000000003</v>
      </c>
      <c r="F33" s="947">
        <v>276255.75</v>
      </c>
      <c r="G33" s="175">
        <v>0</v>
      </c>
      <c r="H33" s="962">
        <f t="shared" si="4"/>
        <v>276255.75</v>
      </c>
      <c r="I33" s="962"/>
      <c r="J33" s="962">
        <v>0</v>
      </c>
      <c r="K33" s="962">
        <f t="shared" si="2"/>
        <v>0</v>
      </c>
      <c r="L33" s="962"/>
      <c r="M33" s="178">
        <v>0</v>
      </c>
      <c r="N33" s="963">
        <f t="shared" si="5"/>
        <v>0</v>
      </c>
      <c r="O33" s="178"/>
      <c r="P33" s="175">
        <v>0</v>
      </c>
      <c r="Q33" s="964">
        <v>0</v>
      </c>
      <c r="R33" s="176" t="s">
        <v>520</v>
      </c>
    </row>
    <row r="34" spans="1:283" ht="19.7" customHeight="1">
      <c r="A34" s="973" t="s">
        <v>521</v>
      </c>
      <c r="B34" s="189" t="s">
        <v>522</v>
      </c>
      <c r="C34" s="972" t="s">
        <v>3423</v>
      </c>
      <c r="D34" s="186">
        <v>539370.19999999995</v>
      </c>
      <c r="E34" s="186">
        <v>423290.79</v>
      </c>
      <c r="F34" s="947">
        <v>116079.41</v>
      </c>
      <c r="G34" s="175">
        <v>0</v>
      </c>
      <c r="H34" s="962">
        <f t="shared" si="4"/>
        <v>116079.41</v>
      </c>
      <c r="I34" s="962">
        <v>0</v>
      </c>
      <c r="J34" s="962">
        <v>0</v>
      </c>
      <c r="K34" s="962">
        <f t="shared" si="2"/>
        <v>0</v>
      </c>
      <c r="L34" s="962">
        <v>0</v>
      </c>
      <c r="M34" s="178">
        <v>0</v>
      </c>
      <c r="N34" s="963">
        <f t="shared" si="5"/>
        <v>0</v>
      </c>
      <c r="O34" s="178"/>
      <c r="P34" s="175">
        <v>0</v>
      </c>
      <c r="Q34" s="964">
        <v>0</v>
      </c>
      <c r="R34" s="176" t="s">
        <v>523</v>
      </c>
    </row>
    <row r="35" spans="1:283" ht="19.7" customHeight="1">
      <c r="A35" s="205" t="s">
        <v>525</v>
      </c>
      <c r="B35" s="967" t="s">
        <v>526</v>
      </c>
      <c r="C35" s="965" t="s">
        <v>3394</v>
      </c>
      <c r="D35" s="968">
        <v>1426450.34</v>
      </c>
      <c r="E35" s="968">
        <v>1020947.36</v>
      </c>
      <c r="F35" s="193">
        <v>405502.98</v>
      </c>
      <c r="G35" s="188">
        <v>0</v>
      </c>
      <c r="H35" s="962">
        <f t="shared" si="4"/>
        <v>405502.98</v>
      </c>
      <c r="I35" s="962"/>
      <c r="J35" s="962">
        <v>0</v>
      </c>
      <c r="K35" s="962">
        <f t="shared" si="2"/>
        <v>0</v>
      </c>
      <c r="L35" s="962"/>
      <c r="M35" s="178">
        <v>0</v>
      </c>
      <c r="N35" s="963">
        <f t="shared" si="5"/>
        <v>0</v>
      </c>
      <c r="O35" s="178"/>
      <c r="P35" s="175">
        <v>0</v>
      </c>
      <c r="Q35" s="964">
        <v>0</v>
      </c>
      <c r="R35" s="176" t="s">
        <v>493</v>
      </c>
    </row>
    <row r="36" spans="1:283" ht="19.7" customHeight="1">
      <c r="A36" s="973" t="s">
        <v>527</v>
      </c>
      <c r="B36" s="189" t="s">
        <v>528</v>
      </c>
      <c r="C36" s="972" t="s">
        <v>775</v>
      </c>
      <c r="D36" s="186">
        <v>614545.5</v>
      </c>
      <c r="E36" s="186">
        <v>202416</v>
      </c>
      <c r="F36" s="947">
        <f>412129.5-45000</f>
        <v>367129.5</v>
      </c>
      <c r="G36" s="188">
        <v>0</v>
      </c>
      <c r="H36" s="962">
        <f t="shared" si="4"/>
        <v>367129.5</v>
      </c>
      <c r="I36" s="962">
        <v>45000</v>
      </c>
      <c r="J36" s="962">
        <v>45000</v>
      </c>
      <c r="K36" s="962">
        <f t="shared" si="2"/>
        <v>0</v>
      </c>
      <c r="L36" s="962">
        <v>0</v>
      </c>
      <c r="M36" s="178">
        <f>D36-E36-F36-I36</f>
        <v>0</v>
      </c>
      <c r="N36" s="963">
        <f t="shared" si="5"/>
        <v>0</v>
      </c>
      <c r="O36" s="178"/>
      <c r="P36" s="175">
        <v>0</v>
      </c>
      <c r="Q36" s="964">
        <v>0</v>
      </c>
      <c r="R36" s="176" t="s">
        <v>3922</v>
      </c>
    </row>
    <row r="37" spans="1:283" ht="19.7" customHeight="1">
      <c r="A37" s="973" t="s">
        <v>529</v>
      </c>
      <c r="B37" s="189" t="s">
        <v>530</v>
      </c>
      <c r="C37" s="972" t="s">
        <v>3923</v>
      </c>
      <c r="D37" s="186">
        <v>236895.92</v>
      </c>
      <c r="E37" s="186">
        <v>32907.42</v>
      </c>
      <c r="F37" s="947">
        <v>203988.5</v>
      </c>
      <c r="G37" s="188">
        <v>0</v>
      </c>
      <c r="H37" s="962">
        <f t="shared" si="4"/>
        <v>203988.5</v>
      </c>
      <c r="I37" s="962"/>
      <c r="J37" s="962">
        <v>0</v>
      </c>
      <c r="K37" s="962">
        <f t="shared" si="2"/>
        <v>0</v>
      </c>
      <c r="L37" s="962"/>
      <c r="M37" s="178">
        <f>D37-E37-F37</f>
        <v>0</v>
      </c>
      <c r="N37" s="963">
        <f t="shared" si="5"/>
        <v>0</v>
      </c>
      <c r="O37" s="178"/>
      <c r="P37" s="175">
        <v>0</v>
      </c>
      <c r="Q37" s="964">
        <v>0</v>
      </c>
      <c r="R37" s="176" t="s">
        <v>523</v>
      </c>
    </row>
    <row r="38" spans="1:283" ht="19.7" customHeight="1">
      <c r="A38" s="973" t="s">
        <v>531</v>
      </c>
      <c r="B38" s="189" t="s">
        <v>532</v>
      </c>
      <c r="C38" s="972" t="s">
        <v>3924</v>
      </c>
      <c r="D38" s="186">
        <v>901831.83</v>
      </c>
      <c r="E38" s="186">
        <v>541098.71</v>
      </c>
      <c r="F38" s="947">
        <v>360733.12</v>
      </c>
      <c r="G38" s="188">
        <v>0</v>
      </c>
      <c r="H38" s="962">
        <f t="shared" si="4"/>
        <v>360733.12</v>
      </c>
      <c r="I38" s="962"/>
      <c r="J38" s="962">
        <v>0</v>
      </c>
      <c r="K38" s="962">
        <f t="shared" si="2"/>
        <v>0</v>
      </c>
      <c r="L38" s="962"/>
      <c r="M38" s="178">
        <f>D38-E38-F38</f>
        <v>0</v>
      </c>
      <c r="N38" s="963">
        <f t="shared" si="5"/>
        <v>0</v>
      </c>
      <c r="O38" s="178"/>
      <c r="P38" s="175">
        <v>0</v>
      </c>
      <c r="Q38" s="964">
        <v>0</v>
      </c>
      <c r="R38" s="176" t="s">
        <v>523</v>
      </c>
    </row>
    <row r="39" spans="1:283" ht="19.7" customHeight="1">
      <c r="A39" s="973" t="s">
        <v>533</v>
      </c>
      <c r="B39" s="189" t="s">
        <v>534</v>
      </c>
      <c r="C39" s="972" t="s">
        <v>3925</v>
      </c>
      <c r="D39" s="186">
        <v>814497.2</v>
      </c>
      <c r="E39" s="186">
        <v>28100.74</v>
      </c>
      <c r="F39" s="947">
        <v>433508.38</v>
      </c>
      <c r="G39" s="188">
        <v>0</v>
      </c>
      <c r="H39" s="962">
        <f t="shared" si="4"/>
        <v>433508.38</v>
      </c>
      <c r="I39" s="962">
        <v>43955.78</v>
      </c>
      <c r="J39" s="962">
        <v>43955.78</v>
      </c>
      <c r="K39" s="962">
        <f t="shared" si="2"/>
        <v>0</v>
      </c>
      <c r="L39" s="962">
        <v>0</v>
      </c>
      <c r="M39" s="178">
        <v>100000</v>
      </c>
      <c r="N39" s="963">
        <f t="shared" si="5"/>
        <v>0</v>
      </c>
      <c r="O39" s="178"/>
      <c r="P39" s="175">
        <f>D39-E39-F39-I39-M39</f>
        <v>208932.29999999993</v>
      </c>
      <c r="Q39" s="964">
        <v>0</v>
      </c>
      <c r="R39" s="176" t="s">
        <v>685</v>
      </c>
    </row>
    <row r="40" spans="1:283" ht="19.7" customHeight="1">
      <c r="A40" s="205" t="s">
        <v>535</v>
      </c>
      <c r="B40" s="967" t="s">
        <v>536</v>
      </c>
      <c r="C40" s="965" t="s">
        <v>837</v>
      </c>
      <c r="D40" s="968">
        <v>952177.52</v>
      </c>
      <c r="E40" s="186">
        <v>642185.37</v>
      </c>
      <c r="F40" s="193">
        <v>156570.1</v>
      </c>
      <c r="G40" s="188">
        <v>0</v>
      </c>
      <c r="H40" s="962">
        <f t="shared" si="4"/>
        <v>156570.1</v>
      </c>
      <c r="I40" s="962">
        <v>0</v>
      </c>
      <c r="J40" s="962">
        <v>0</v>
      </c>
      <c r="K40" s="962">
        <f t="shared" si="2"/>
        <v>0</v>
      </c>
      <c r="L40" s="962">
        <v>0</v>
      </c>
      <c r="M40" s="178">
        <f>D40-E40-F40</f>
        <v>153422.05000000002</v>
      </c>
      <c r="N40" s="963">
        <f t="shared" si="5"/>
        <v>0</v>
      </c>
      <c r="O40" s="178"/>
      <c r="P40" s="175">
        <v>0</v>
      </c>
      <c r="Q40" s="964">
        <v>0</v>
      </c>
      <c r="R40" s="176" t="s">
        <v>479</v>
      </c>
    </row>
    <row r="41" spans="1:283" ht="19.7" customHeight="1">
      <c r="A41" s="205" t="s">
        <v>537</v>
      </c>
      <c r="B41" s="967" t="s">
        <v>538</v>
      </c>
      <c r="C41" s="965" t="s">
        <v>3926</v>
      </c>
      <c r="D41" s="968">
        <v>151889.85</v>
      </c>
      <c r="E41" s="186">
        <v>84849.85</v>
      </c>
      <c r="F41" s="193">
        <v>67040</v>
      </c>
      <c r="G41" s="188">
        <v>0</v>
      </c>
      <c r="H41" s="962">
        <f t="shared" si="4"/>
        <v>67040</v>
      </c>
      <c r="I41" s="962">
        <v>0</v>
      </c>
      <c r="J41" s="962">
        <v>0</v>
      </c>
      <c r="K41" s="962">
        <f t="shared" si="2"/>
        <v>0</v>
      </c>
      <c r="L41" s="962">
        <v>0</v>
      </c>
      <c r="M41" s="178">
        <v>0</v>
      </c>
      <c r="N41" s="963">
        <f t="shared" si="5"/>
        <v>0</v>
      </c>
      <c r="O41" s="178"/>
      <c r="P41" s="175">
        <v>0</v>
      </c>
      <c r="Q41" s="964">
        <v>0</v>
      </c>
      <c r="R41" s="176" t="s">
        <v>506</v>
      </c>
    </row>
    <row r="42" spans="1:283" ht="19.7" customHeight="1">
      <c r="A42" s="974" t="s">
        <v>540</v>
      </c>
      <c r="B42" s="195" t="s">
        <v>541</v>
      </c>
      <c r="C42" s="975" t="s">
        <v>807</v>
      </c>
      <c r="D42" s="197">
        <v>392488.61</v>
      </c>
      <c r="E42" s="197">
        <v>0</v>
      </c>
      <c r="F42" s="947">
        <v>392488.61</v>
      </c>
      <c r="G42" s="188">
        <v>0</v>
      </c>
      <c r="H42" s="962">
        <f t="shared" si="4"/>
        <v>392488.61</v>
      </c>
      <c r="I42" s="962"/>
      <c r="J42" s="962">
        <v>0</v>
      </c>
      <c r="K42" s="962">
        <f t="shared" si="2"/>
        <v>0</v>
      </c>
      <c r="L42" s="962"/>
      <c r="M42" s="178">
        <v>0</v>
      </c>
      <c r="N42" s="963">
        <f t="shared" si="5"/>
        <v>0</v>
      </c>
      <c r="O42" s="178"/>
      <c r="P42" s="175">
        <v>0</v>
      </c>
      <c r="Q42" s="964">
        <v>0</v>
      </c>
      <c r="R42" s="176" t="s">
        <v>542</v>
      </c>
    </row>
    <row r="43" spans="1:283" ht="19.7" customHeight="1">
      <c r="A43" s="974" t="s">
        <v>543</v>
      </c>
      <c r="B43" s="195" t="s">
        <v>544</v>
      </c>
      <c r="C43" s="975" t="s">
        <v>3927</v>
      </c>
      <c r="D43" s="197">
        <v>2200000</v>
      </c>
      <c r="E43" s="197">
        <v>0</v>
      </c>
      <c r="F43" s="947">
        <v>878682.86</v>
      </c>
      <c r="G43" s="188">
        <v>0</v>
      </c>
      <c r="H43" s="962">
        <f t="shared" si="4"/>
        <v>878682.86</v>
      </c>
      <c r="I43" s="962">
        <v>162078.85</v>
      </c>
      <c r="J43" s="962">
        <v>162078.85</v>
      </c>
      <c r="K43" s="962">
        <f t="shared" si="2"/>
        <v>0</v>
      </c>
      <c r="L43" s="962">
        <v>0</v>
      </c>
      <c r="M43" s="178">
        <f>D43-E43-F43-I43</f>
        <v>1159238.29</v>
      </c>
      <c r="N43" s="963">
        <f t="shared" si="5"/>
        <v>0</v>
      </c>
      <c r="O43" s="178"/>
      <c r="P43" s="175">
        <v>0</v>
      </c>
      <c r="Q43" s="964">
        <v>0</v>
      </c>
      <c r="R43" s="176" t="s">
        <v>3917</v>
      </c>
    </row>
    <row r="44" spans="1:283" s="976" customFormat="1" ht="19.7" customHeight="1">
      <c r="A44" s="190" t="s">
        <v>545</v>
      </c>
      <c r="B44" s="184" t="s">
        <v>546</v>
      </c>
      <c r="C44" s="961" t="s">
        <v>788</v>
      </c>
      <c r="D44" s="192">
        <v>1843325</v>
      </c>
      <c r="E44" s="192">
        <v>48650</v>
      </c>
      <c r="F44" s="193">
        <v>974144.92</v>
      </c>
      <c r="G44" s="188">
        <v>0</v>
      </c>
      <c r="H44" s="962">
        <f t="shared" si="4"/>
        <v>974144.92</v>
      </c>
      <c r="I44" s="962">
        <f>540810+47028.54</f>
        <v>587838.54</v>
      </c>
      <c r="J44" s="962">
        <v>587838.54</v>
      </c>
      <c r="K44" s="962">
        <f t="shared" si="2"/>
        <v>0</v>
      </c>
      <c r="L44" s="962">
        <v>0</v>
      </c>
      <c r="M44" s="178">
        <f>D44-E44-F44-I44</f>
        <v>232691.53999999992</v>
      </c>
      <c r="N44" s="963">
        <f t="shared" si="5"/>
        <v>0</v>
      </c>
      <c r="O44" s="178"/>
      <c r="P44" s="175">
        <v>0</v>
      </c>
      <c r="Q44" s="964">
        <v>0</v>
      </c>
      <c r="R44" s="202" t="s">
        <v>479</v>
      </c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</row>
    <row r="45" spans="1:283" ht="19.7" customHeight="1">
      <c r="A45" s="974" t="s">
        <v>547</v>
      </c>
      <c r="B45" s="195" t="s">
        <v>548</v>
      </c>
      <c r="C45" s="975" t="s">
        <v>3928</v>
      </c>
      <c r="D45" s="197">
        <v>450637.71</v>
      </c>
      <c r="E45" s="197">
        <v>333267.07</v>
      </c>
      <c r="F45" s="947">
        <v>117370.64</v>
      </c>
      <c r="G45" s="188">
        <v>0</v>
      </c>
      <c r="H45" s="962">
        <f t="shared" si="4"/>
        <v>117370.64</v>
      </c>
      <c r="I45" s="962"/>
      <c r="J45" s="962">
        <v>0</v>
      </c>
      <c r="K45" s="962">
        <f t="shared" si="2"/>
        <v>0</v>
      </c>
      <c r="L45" s="962"/>
      <c r="M45" s="178">
        <v>0</v>
      </c>
      <c r="N45" s="963">
        <f t="shared" si="5"/>
        <v>0</v>
      </c>
      <c r="O45" s="178"/>
      <c r="P45" s="175">
        <v>0</v>
      </c>
      <c r="Q45" s="964">
        <v>0</v>
      </c>
      <c r="R45" s="204" t="s">
        <v>523</v>
      </c>
    </row>
    <row r="46" spans="1:283" ht="19.7" customHeight="1">
      <c r="A46" s="974" t="s">
        <v>550</v>
      </c>
      <c r="B46" s="195" t="s">
        <v>551</v>
      </c>
      <c r="C46" s="975" t="s">
        <v>3929</v>
      </c>
      <c r="D46" s="197">
        <v>499425.49</v>
      </c>
      <c r="E46" s="197">
        <v>348374.48</v>
      </c>
      <c r="F46" s="947">
        <v>151051.01</v>
      </c>
      <c r="G46" s="188">
        <v>0</v>
      </c>
      <c r="H46" s="962">
        <f t="shared" si="4"/>
        <v>151051.01</v>
      </c>
      <c r="I46" s="962"/>
      <c r="J46" s="962">
        <v>0</v>
      </c>
      <c r="K46" s="962">
        <f t="shared" si="2"/>
        <v>0</v>
      </c>
      <c r="L46" s="962"/>
      <c r="M46" s="178">
        <f>D46-E46-F46</f>
        <v>0</v>
      </c>
      <c r="N46" s="963">
        <f t="shared" si="5"/>
        <v>0</v>
      </c>
      <c r="O46" s="178"/>
      <c r="P46" s="175">
        <v>0</v>
      </c>
      <c r="Q46" s="964">
        <v>0</v>
      </c>
      <c r="R46" s="204" t="s">
        <v>523</v>
      </c>
    </row>
    <row r="47" spans="1:283" ht="19.7" customHeight="1">
      <c r="A47" s="977" t="s">
        <v>472</v>
      </c>
      <c r="B47" s="207" t="s">
        <v>552</v>
      </c>
      <c r="C47" s="975" t="s">
        <v>3930</v>
      </c>
      <c r="D47" s="197">
        <v>297911.71000000002</v>
      </c>
      <c r="E47" s="197">
        <v>0</v>
      </c>
      <c r="F47" s="947">
        <v>297911.71000000002</v>
      </c>
      <c r="G47" s="188">
        <v>0</v>
      </c>
      <c r="H47" s="962">
        <f t="shared" si="4"/>
        <v>297911.71000000002</v>
      </c>
      <c r="I47" s="962"/>
      <c r="J47" s="962">
        <v>0</v>
      </c>
      <c r="K47" s="962">
        <f t="shared" si="2"/>
        <v>0</v>
      </c>
      <c r="L47" s="962"/>
      <c r="M47" s="178">
        <v>0</v>
      </c>
      <c r="N47" s="963">
        <f t="shared" si="5"/>
        <v>0</v>
      </c>
      <c r="O47" s="178"/>
      <c r="P47" s="175">
        <v>0</v>
      </c>
      <c r="Q47" s="964">
        <v>0</v>
      </c>
      <c r="R47" s="204" t="s">
        <v>503</v>
      </c>
    </row>
    <row r="48" spans="1:283" ht="19.7" customHeight="1">
      <c r="A48" s="974" t="s">
        <v>3931</v>
      </c>
      <c r="B48" s="195" t="s">
        <v>557</v>
      </c>
      <c r="C48" s="975" t="s">
        <v>856</v>
      </c>
      <c r="D48" s="197">
        <v>8918805.6799999997</v>
      </c>
      <c r="E48" s="197">
        <v>0</v>
      </c>
      <c r="F48" s="947">
        <v>3529484.41</v>
      </c>
      <c r="G48" s="188">
        <v>0</v>
      </c>
      <c r="H48" s="962">
        <f t="shared" si="4"/>
        <v>3529484.41</v>
      </c>
      <c r="I48" s="962">
        <v>2126932.0499999998</v>
      </c>
      <c r="J48" s="962">
        <v>2126932.0499999989</v>
      </c>
      <c r="K48" s="962">
        <f t="shared" si="2"/>
        <v>0</v>
      </c>
      <c r="L48" s="962">
        <v>0</v>
      </c>
      <c r="M48" s="178">
        <v>2000000</v>
      </c>
      <c r="N48" s="963">
        <f t="shared" si="5"/>
        <v>0</v>
      </c>
      <c r="O48" s="178"/>
      <c r="P48" s="175">
        <f>D48-E48-F48-M48-I48</f>
        <v>1262389.2199999997</v>
      </c>
      <c r="Q48" s="964">
        <v>0</v>
      </c>
      <c r="R48" s="204" t="s">
        <v>3932</v>
      </c>
    </row>
    <row r="49" spans="1:18" ht="19.7" customHeight="1">
      <c r="A49" s="974" t="s">
        <v>558</v>
      </c>
      <c r="B49" s="195" t="s">
        <v>559</v>
      </c>
      <c r="C49" s="975" t="s">
        <v>809</v>
      </c>
      <c r="D49" s="197">
        <v>1400000</v>
      </c>
      <c r="E49" s="197">
        <v>0</v>
      </c>
      <c r="F49" s="947">
        <v>709362.5</v>
      </c>
      <c r="G49" s="188">
        <v>0</v>
      </c>
      <c r="H49" s="962">
        <f t="shared" si="4"/>
        <v>709362.5</v>
      </c>
      <c r="I49" s="962">
        <v>271041.96000000002</v>
      </c>
      <c r="J49" s="962">
        <v>271041.96000000002</v>
      </c>
      <c r="K49" s="962">
        <f t="shared" si="2"/>
        <v>0</v>
      </c>
      <c r="L49" s="962">
        <v>0</v>
      </c>
      <c r="M49" s="178">
        <f>D49-F49-I49</f>
        <v>419595.54</v>
      </c>
      <c r="N49" s="963">
        <f t="shared" si="5"/>
        <v>0</v>
      </c>
      <c r="O49" s="178"/>
      <c r="P49" s="175">
        <v>0</v>
      </c>
      <c r="Q49" s="964">
        <v>0</v>
      </c>
      <c r="R49" s="204" t="s">
        <v>479</v>
      </c>
    </row>
    <row r="50" spans="1:18" ht="19.7" customHeight="1">
      <c r="A50" s="973" t="s">
        <v>561</v>
      </c>
      <c r="B50" s="189" t="s">
        <v>562</v>
      </c>
      <c r="C50" s="972" t="s">
        <v>3933</v>
      </c>
      <c r="D50" s="197">
        <v>25438.240000000002</v>
      </c>
      <c r="E50" s="197">
        <v>0</v>
      </c>
      <c r="F50" s="947">
        <v>25438.240000000002</v>
      </c>
      <c r="G50" s="188">
        <v>0</v>
      </c>
      <c r="H50" s="962">
        <f t="shared" si="4"/>
        <v>25438.240000000002</v>
      </c>
      <c r="I50" s="962"/>
      <c r="J50" s="962">
        <v>0</v>
      </c>
      <c r="K50" s="962">
        <f t="shared" si="2"/>
        <v>0</v>
      </c>
      <c r="L50" s="962"/>
      <c r="M50" s="178">
        <v>0</v>
      </c>
      <c r="N50" s="963">
        <f t="shared" si="5"/>
        <v>0</v>
      </c>
      <c r="O50" s="178"/>
      <c r="P50" s="175">
        <f>D50-E50-F50-M50</f>
        <v>0</v>
      </c>
      <c r="Q50" s="964">
        <v>0</v>
      </c>
      <c r="R50" s="204" t="s">
        <v>563</v>
      </c>
    </row>
    <row r="51" spans="1:18" ht="19.7" customHeight="1">
      <c r="A51" s="973" t="s">
        <v>481</v>
      </c>
      <c r="B51" s="189" t="s">
        <v>564</v>
      </c>
      <c r="C51" s="972" t="s">
        <v>3934</v>
      </c>
      <c r="D51" s="197">
        <v>42149.4</v>
      </c>
      <c r="E51" s="197">
        <v>24650.91</v>
      </c>
      <c r="F51" s="947">
        <v>17498.490000000002</v>
      </c>
      <c r="G51" s="188">
        <v>0</v>
      </c>
      <c r="H51" s="962">
        <f t="shared" si="4"/>
        <v>17498.490000000002</v>
      </c>
      <c r="I51" s="962"/>
      <c r="J51" s="962">
        <v>0</v>
      </c>
      <c r="K51" s="962">
        <f t="shared" si="2"/>
        <v>0</v>
      </c>
      <c r="L51" s="962"/>
      <c r="M51" s="178">
        <v>0</v>
      </c>
      <c r="N51" s="963">
        <f t="shared" si="5"/>
        <v>0</v>
      </c>
      <c r="O51" s="178"/>
      <c r="P51" s="175">
        <f>D51-E51-F51-M51</f>
        <v>0</v>
      </c>
      <c r="Q51" s="964">
        <v>0</v>
      </c>
      <c r="R51" s="204" t="s">
        <v>563</v>
      </c>
    </row>
    <row r="52" spans="1:18" ht="19.7" customHeight="1">
      <c r="A52" s="205" t="s">
        <v>565</v>
      </c>
      <c r="B52" s="967" t="s">
        <v>566</v>
      </c>
      <c r="C52" s="965" t="s">
        <v>3935</v>
      </c>
      <c r="D52" s="197">
        <v>660935.69999999995</v>
      </c>
      <c r="E52" s="197">
        <v>588995.69999999995</v>
      </c>
      <c r="F52" s="947">
        <v>71940</v>
      </c>
      <c r="G52" s="188">
        <v>0</v>
      </c>
      <c r="H52" s="962">
        <f t="shared" si="4"/>
        <v>71940</v>
      </c>
      <c r="I52" s="962"/>
      <c r="J52" s="962">
        <v>0</v>
      </c>
      <c r="K52" s="962">
        <f t="shared" si="2"/>
        <v>0</v>
      </c>
      <c r="L52" s="962"/>
      <c r="M52" s="178">
        <v>0</v>
      </c>
      <c r="N52" s="963">
        <f t="shared" si="5"/>
        <v>0</v>
      </c>
      <c r="O52" s="178"/>
      <c r="P52" s="175">
        <f>D52-E52-F52-M52</f>
        <v>0</v>
      </c>
      <c r="Q52" s="964">
        <v>0</v>
      </c>
      <c r="R52" s="204" t="s">
        <v>563</v>
      </c>
    </row>
    <row r="53" spans="1:18" ht="19.7" customHeight="1">
      <c r="A53" s="205" t="s">
        <v>567</v>
      </c>
      <c r="B53" s="967" t="s">
        <v>568</v>
      </c>
      <c r="C53" s="965" t="s">
        <v>3936</v>
      </c>
      <c r="D53" s="197">
        <v>1575821.98</v>
      </c>
      <c r="E53" s="197">
        <v>1493804.29</v>
      </c>
      <c r="F53" s="947">
        <v>82017.69</v>
      </c>
      <c r="G53" s="188">
        <v>0</v>
      </c>
      <c r="H53" s="962">
        <f t="shared" si="4"/>
        <v>82017.69</v>
      </c>
      <c r="I53" s="962"/>
      <c r="J53" s="962">
        <v>0</v>
      </c>
      <c r="K53" s="962">
        <f t="shared" si="2"/>
        <v>0</v>
      </c>
      <c r="L53" s="962"/>
      <c r="M53" s="178">
        <v>0</v>
      </c>
      <c r="N53" s="963">
        <f t="shared" si="5"/>
        <v>0</v>
      </c>
      <c r="O53" s="178"/>
      <c r="P53" s="175">
        <v>0</v>
      </c>
      <c r="Q53" s="964">
        <v>0</v>
      </c>
      <c r="R53" s="204" t="s">
        <v>563</v>
      </c>
    </row>
    <row r="54" spans="1:18" ht="19.7" customHeight="1">
      <c r="A54" s="973" t="s">
        <v>529</v>
      </c>
      <c r="B54" s="189" t="s">
        <v>569</v>
      </c>
      <c r="C54" s="972" t="s">
        <v>3937</v>
      </c>
      <c r="D54" s="197">
        <v>105665.8</v>
      </c>
      <c r="E54" s="197">
        <v>72017.5</v>
      </c>
      <c r="F54" s="947">
        <v>33648.300000000003</v>
      </c>
      <c r="G54" s="188">
        <v>0</v>
      </c>
      <c r="H54" s="962">
        <f t="shared" si="4"/>
        <v>33648.300000000003</v>
      </c>
      <c r="I54" s="962"/>
      <c r="J54" s="962">
        <v>0</v>
      </c>
      <c r="K54" s="962">
        <f t="shared" si="2"/>
        <v>0</v>
      </c>
      <c r="L54" s="962"/>
      <c r="M54" s="178">
        <v>0</v>
      </c>
      <c r="N54" s="963">
        <f t="shared" si="5"/>
        <v>0</v>
      </c>
      <c r="O54" s="178"/>
      <c r="P54" s="175">
        <v>0</v>
      </c>
      <c r="Q54" s="964">
        <v>0</v>
      </c>
      <c r="R54" s="204" t="s">
        <v>563</v>
      </c>
    </row>
    <row r="55" spans="1:18" ht="19.7" customHeight="1">
      <c r="A55" s="973" t="s">
        <v>570</v>
      </c>
      <c r="B55" s="189" t="s">
        <v>571</v>
      </c>
      <c r="C55" s="972" t="s">
        <v>3938</v>
      </c>
      <c r="D55" s="197">
        <v>324708.37</v>
      </c>
      <c r="E55" s="197">
        <v>254910.6</v>
      </c>
      <c r="F55" s="947">
        <v>69797.77</v>
      </c>
      <c r="G55" s="188">
        <v>0</v>
      </c>
      <c r="H55" s="962">
        <f t="shared" si="4"/>
        <v>69797.77</v>
      </c>
      <c r="I55" s="962"/>
      <c r="J55" s="962">
        <v>0</v>
      </c>
      <c r="K55" s="962">
        <f t="shared" si="2"/>
        <v>0</v>
      </c>
      <c r="L55" s="962"/>
      <c r="M55" s="178">
        <v>0</v>
      </c>
      <c r="N55" s="963">
        <f t="shared" si="5"/>
        <v>0</v>
      </c>
      <c r="O55" s="178"/>
      <c r="P55" s="175">
        <v>0</v>
      </c>
      <c r="Q55" s="964">
        <v>0</v>
      </c>
      <c r="R55" s="204" t="s">
        <v>563</v>
      </c>
    </row>
    <row r="56" spans="1:18" ht="19.7" customHeight="1">
      <c r="A56" s="973" t="s">
        <v>531</v>
      </c>
      <c r="B56" s="189" t="s">
        <v>572</v>
      </c>
      <c r="C56" s="972" t="s">
        <v>3393</v>
      </c>
      <c r="D56" s="197">
        <v>797607.45</v>
      </c>
      <c r="E56" s="197">
        <v>727607.45</v>
      </c>
      <c r="F56" s="947">
        <v>70000</v>
      </c>
      <c r="G56" s="188">
        <v>0</v>
      </c>
      <c r="H56" s="962">
        <f t="shared" si="4"/>
        <v>70000</v>
      </c>
      <c r="I56" s="962"/>
      <c r="J56" s="962">
        <v>0</v>
      </c>
      <c r="K56" s="962">
        <f t="shared" si="2"/>
        <v>0</v>
      </c>
      <c r="L56" s="962"/>
      <c r="M56" s="178">
        <v>0</v>
      </c>
      <c r="N56" s="963">
        <f t="shared" si="5"/>
        <v>0</v>
      </c>
      <c r="O56" s="178"/>
      <c r="P56" s="175">
        <v>0</v>
      </c>
      <c r="Q56" s="964">
        <v>0</v>
      </c>
      <c r="R56" s="204" t="s">
        <v>563</v>
      </c>
    </row>
    <row r="57" spans="1:18" ht="19.7" customHeight="1">
      <c r="A57" s="971" t="s">
        <v>489</v>
      </c>
      <c r="B57" s="180" t="s">
        <v>573</v>
      </c>
      <c r="C57" s="972" t="s">
        <v>3382</v>
      </c>
      <c r="D57" s="197">
        <v>771391.79</v>
      </c>
      <c r="E57" s="197">
        <v>451053.55</v>
      </c>
      <c r="F57" s="947">
        <v>210338.24</v>
      </c>
      <c r="G57" s="188">
        <v>0</v>
      </c>
      <c r="H57" s="962">
        <f t="shared" si="4"/>
        <v>210338.24</v>
      </c>
      <c r="I57" s="962"/>
      <c r="J57" s="962">
        <v>0</v>
      </c>
      <c r="K57" s="962">
        <f t="shared" si="2"/>
        <v>0</v>
      </c>
      <c r="L57" s="962"/>
      <c r="M57" s="178">
        <v>0</v>
      </c>
      <c r="N57" s="963">
        <f t="shared" si="5"/>
        <v>0</v>
      </c>
      <c r="O57" s="178"/>
      <c r="P57" s="175">
        <v>0</v>
      </c>
      <c r="Q57" s="964">
        <v>0</v>
      </c>
      <c r="R57" s="204" t="s">
        <v>563</v>
      </c>
    </row>
    <row r="58" spans="1:18" ht="19.7" customHeight="1">
      <c r="A58" s="971" t="s">
        <v>574</v>
      </c>
      <c r="B58" s="180" t="s">
        <v>575</v>
      </c>
      <c r="C58" s="972" t="s">
        <v>3939</v>
      </c>
      <c r="D58" s="197">
        <v>140000</v>
      </c>
      <c r="E58" s="197">
        <v>80000</v>
      </c>
      <c r="F58" s="947">
        <v>60000</v>
      </c>
      <c r="G58" s="188">
        <v>0</v>
      </c>
      <c r="H58" s="962">
        <f t="shared" si="4"/>
        <v>60000</v>
      </c>
      <c r="I58" s="962"/>
      <c r="J58" s="962">
        <v>0</v>
      </c>
      <c r="K58" s="962">
        <f t="shared" si="2"/>
        <v>0</v>
      </c>
      <c r="L58" s="962"/>
      <c r="M58" s="178">
        <v>0</v>
      </c>
      <c r="N58" s="963">
        <f t="shared" si="5"/>
        <v>0</v>
      </c>
      <c r="O58" s="178"/>
      <c r="P58" s="175">
        <v>0</v>
      </c>
      <c r="Q58" s="964">
        <v>0</v>
      </c>
      <c r="R58" s="204" t="s">
        <v>563</v>
      </c>
    </row>
    <row r="59" spans="1:18" ht="19.7" customHeight="1">
      <c r="A59" s="973" t="s">
        <v>576</v>
      </c>
      <c r="B59" s="189" t="s">
        <v>571</v>
      </c>
      <c r="C59" s="972"/>
      <c r="D59" s="197">
        <v>298853.34000000003</v>
      </c>
      <c r="E59" s="197">
        <v>0</v>
      </c>
      <c r="F59" s="947">
        <v>298853.34000000003</v>
      </c>
      <c r="G59" s="188">
        <v>0</v>
      </c>
      <c r="H59" s="962">
        <f t="shared" si="4"/>
        <v>298853.34000000003</v>
      </c>
      <c r="I59" s="962"/>
      <c r="J59" s="962">
        <v>0</v>
      </c>
      <c r="K59" s="962">
        <f t="shared" si="2"/>
        <v>0</v>
      </c>
      <c r="L59" s="962"/>
      <c r="M59" s="178">
        <v>0</v>
      </c>
      <c r="N59" s="963">
        <f t="shared" si="5"/>
        <v>0</v>
      </c>
      <c r="O59" s="178"/>
      <c r="P59" s="175">
        <v>0</v>
      </c>
      <c r="Q59" s="964">
        <v>0</v>
      </c>
      <c r="R59" s="204" t="s">
        <v>577</v>
      </c>
    </row>
    <row r="60" spans="1:18" ht="19.7" customHeight="1">
      <c r="A60" s="205" t="s">
        <v>578</v>
      </c>
      <c r="B60" s="967" t="s">
        <v>579</v>
      </c>
      <c r="C60" s="965" t="s">
        <v>3940</v>
      </c>
      <c r="D60" s="186">
        <v>54201.45</v>
      </c>
      <c r="E60" s="186">
        <v>0</v>
      </c>
      <c r="F60" s="947">
        <v>54201.45</v>
      </c>
      <c r="G60" s="188">
        <v>0</v>
      </c>
      <c r="H60" s="962">
        <f t="shared" si="4"/>
        <v>54201.45</v>
      </c>
      <c r="I60" s="962"/>
      <c r="J60" s="962">
        <v>0</v>
      </c>
      <c r="K60" s="962">
        <f t="shared" si="2"/>
        <v>0</v>
      </c>
      <c r="L60" s="962"/>
      <c r="M60" s="178">
        <v>0</v>
      </c>
      <c r="N60" s="963">
        <f t="shared" si="5"/>
        <v>0</v>
      </c>
      <c r="O60" s="178"/>
      <c r="P60" s="175">
        <v>0</v>
      </c>
      <c r="Q60" s="964">
        <v>0</v>
      </c>
      <c r="R60" s="204" t="s">
        <v>577</v>
      </c>
    </row>
    <row r="61" spans="1:18" ht="19.7" customHeight="1">
      <c r="A61" s="973" t="s">
        <v>580</v>
      </c>
      <c r="B61" s="189" t="s">
        <v>581</v>
      </c>
      <c r="C61" s="972" t="s">
        <v>3941</v>
      </c>
      <c r="D61" s="186">
        <v>229363</v>
      </c>
      <c r="E61" s="186">
        <v>209835.44</v>
      </c>
      <c r="F61" s="947">
        <v>19527.560000000001</v>
      </c>
      <c r="G61" s="188">
        <v>0</v>
      </c>
      <c r="H61" s="962">
        <f t="shared" si="4"/>
        <v>19527.560000000001</v>
      </c>
      <c r="I61" s="962"/>
      <c r="J61" s="962">
        <v>0</v>
      </c>
      <c r="K61" s="962">
        <f t="shared" si="2"/>
        <v>0</v>
      </c>
      <c r="L61" s="962"/>
      <c r="M61" s="178">
        <v>0</v>
      </c>
      <c r="N61" s="963">
        <f t="shared" si="5"/>
        <v>0</v>
      </c>
      <c r="O61" s="178"/>
      <c r="P61" s="175">
        <v>0</v>
      </c>
      <c r="Q61" s="964">
        <v>0</v>
      </c>
      <c r="R61" s="202" t="s">
        <v>577</v>
      </c>
    </row>
    <row r="62" spans="1:18" ht="19.7" customHeight="1">
      <c r="A62" s="973" t="s">
        <v>582</v>
      </c>
      <c r="B62" s="189" t="s">
        <v>583</v>
      </c>
      <c r="C62" s="972" t="s">
        <v>3942</v>
      </c>
      <c r="D62" s="186">
        <v>141375.5</v>
      </c>
      <c r="E62" s="186">
        <v>65999.649999999994</v>
      </c>
      <c r="F62" s="947">
        <v>75375.850000000006</v>
      </c>
      <c r="G62" s="188">
        <v>0</v>
      </c>
      <c r="H62" s="962">
        <f t="shared" si="4"/>
        <v>75375.850000000006</v>
      </c>
      <c r="I62" s="962"/>
      <c r="J62" s="962">
        <v>0</v>
      </c>
      <c r="K62" s="962">
        <f t="shared" si="2"/>
        <v>0</v>
      </c>
      <c r="L62" s="962"/>
      <c r="M62" s="178">
        <v>0</v>
      </c>
      <c r="N62" s="963">
        <f t="shared" si="5"/>
        <v>0</v>
      </c>
      <c r="O62" s="178"/>
      <c r="P62" s="175">
        <v>0</v>
      </c>
      <c r="Q62" s="964">
        <v>0</v>
      </c>
      <c r="R62" s="202" t="s">
        <v>577</v>
      </c>
    </row>
    <row r="63" spans="1:18" ht="19.7" customHeight="1">
      <c r="A63" s="973" t="s">
        <v>584</v>
      </c>
      <c r="B63" s="189" t="s">
        <v>585</v>
      </c>
      <c r="C63" s="972" t="s">
        <v>3943</v>
      </c>
      <c r="D63" s="186">
        <v>453088.8</v>
      </c>
      <c r="E63" s="186">
        <v>90928.48</v>
      </c>
      <c r="F63" s="947">
        <v>362160.32</v>
      </c>
      <c r="G63" s="188">
        <v>0</v>
      </c>
      <c r="H63" s="962">
        <f t="shared" si="4"/>
        <v>362160.32</v>
      </c>
      <c r="I63" s="962"/>
      <c r="J63" s="962">
        <v>0</v>
      </c>
      <c r="K63" s="962">
        <f t="shared" si="2"/>
        <v>0</v>
      </c>
      <c r="L63" s="962"/>
      <c r="M63" s="178">
        <v>0</v>
      </c>
      <c r="N63" s="963">
        <f t="shared" si="5"/>
        <v>0</v>
      </c>
      <c r="O63" s="178"/>
      <c r="P63" s="175">
        <v>0</v>
      </c>
      <c r="Q63" s="964">
        <v>0</v>
      </c>
      <c r="R63" s="202" t="s">
        <v>577</v>
      </c>
    </row>
    <row r="64" spans="1:18" ht="19.7" customHeight="1">
      <c r="A64" s="205" t="s">
        <v>586</v>
      </c>
      <c r="B64" s="189" t="s">
        <v>587</v>
      </c>
      <c r="C64" s="972" t="s">
        <v>3944</v>
      </c>
      <c r="D64" s="186">
        <v>138455.16</v>
      </c>
      <c r="E64" s="186">
        <v>124955.16</v>
      </c>
      <c r="F64" s="947">
        <v>13500</v>
      </c>
      <c r="G64" s="188">
        <v>0</v>
      </c>
      <c r="H64" s="962">
        <f t="shared" si="4"/>
        <v>13500</v>
      </c>
      <c r="I64" s="962"/>
      <c r="J64" s="962">
        <v>0</v>
      </c>
      <c r="K64" s="962">
        <f t="shared" si="2"/>
        <v>0</v>
      </c>
      <c r="L64" s="962"/>
      <c r="M64" s="178">
        <v>0</v>
      </c>
      <c r="N64" s="963">
        <f t="shared" si="5"/>
        <v>0</v>
      </c>
      <c r="O64" s="178"/>
      <c r="P64" s="175">
        <v>0</v>
      </c>
      <c r="Q64" s="964">
        <v>0</v>
      </c>
      <c r="R64" s="202" t="s">
        <v>577</v>
      </c>
    </row>
    <row r="65" spans="1:18" ht="19.7" customHeight="1">
      <c r="A65" s="177" t="s">
        <v>489</v>
      </c>
      <c r="B65" s="180" t="s">
        <v>588</v>
      </c>
      <c r="C65" s="972" t="s">
        <v>3945</v>
      </c>
      <c r="D65" s="186">
        <v>301600</v>
      </c>
      <c r="E65" s="186">
        <v>290350</v>
      </c>
      <c r="F65" s="947">
        <v>11250</v>
      </c>
      <c r="G65" s="188">
        <v>0</v>
      </c>
      <c r="H65" s="962">
        <f t="shared" si="4"/>
        <v>11250</v>
      </c>
      <c r="I65" s="962"/>
      <c r="J65" s="962">
        <v>0</v>
      </c>
      <c r="K65" s="962">
        <f t="shared" si="2"/>
        <v>0</v>
      </c>
      <c r="L65" s="962"/>
      <c r="M65" s="178">
        <v>0</v>
      </c>
      <c r="N65" s="963">
        <f t="shared" si="5"/>
        <v>0</v>
      </c>
      <c r="O65" s="178"/>
      <c r="P65" s="175">
        <v>0</v>
      </c>
      <c r="Q65" s="964">
        <v>0</v>
      </c>
      <c r="R65" s="202" t="s">
        <v>577</v>
      </c>
    </row>
    <row r="66" spans="1:18" ht="19.7" customHeight="1">
      <c r="A66" s="190" t="s">
        <v>589</v>
      </c>
      <c r="B66" s="195" t="s">
        <v>590</v>
      </c>
      <c r="C66" s="975" t="s">
        <v>3946</v>
      </c>
      <c r="D66" s="197">
        <v>68168</v>
      </c>
      <c r="E66" s="197">
        <v>0</v>
      </c>
      <c r="F66" s="947">
        <v>68168</v>
      </c>
      <c r="G66" s="188">
        <v>0</v>
      </c>
      <c r="H66" s="962">
        <f t="shared" si="4"/>
        <v>68168</v>
      </c>
      <c r="I66" s="962"/>
      <c r="J66" s="962">
        <v>0</v>
      </c>
      <c r="K66" s="962">
        <f t="shared" si="2"/>
        <v>0</v>
      </c>
      <c r="L66" s="962"/>
      <c r="M66" s="178">
        <v>0</v>
      </c>
      <c r="N66" s="963">
        <f t="shared" si="5"/>
        <v>0</v>
      </c>
      <c r="O66" s="178"/>
      <c r="P66" s="175">
        <v>0</v>
      </c>
      <c r="Q66" s="964">
        <v>0</v>
      </c>
      <c r="R66" s="202" t="s">
        <v>509</v>
      </c>
    </row>
    <row r="67" spans="1:18" ht="19.7" customHeight="1">
      <c r="A67" s="190" t="s">
        <v>529</v>
      </c>
      <c r="B67" s="184" t="s">
        <v>591</v>
      </c>
      <c r="C67" s="961" t="s">
        <v>3947</v>
      </c>
      <c r="D67" s="197">
        <v>53366</v>
      </c>
      <c r="E67" s="197">
        <v>0</v>
      </c>
      <c r="F67" s="947">
        <v>53366</v>
      </c>
      <c r="G67" s="188">
        <v>0</v>
      </c>
      <c r="H67" s="962">
        <f t="shared" si="4"/>
        <v>53366</v>
      </c>
      <c r="I67" s="962"/>
      <c r="J67" s="962">
        <v>0</v>
      </c>
      <c r="K67" s="962">
        <f t="shared" ref="K67:K130" si="6">+I67-J67</f>
        <v>0</v>
      </c>
      <c r="L67" s="962"/>
      <c r="M67" s="178">
        <v>0</v>
      </c>
      <c r="N67" s="963">
        <f t="shared" si="5"/>
        <v>0</v>
      </c>
      <c r="O67" s="178"/>
      <c r="P67" s="175">
        <v>0</v>
      </c>
      <c r="Q67" s="964">
        <v>0</v>
      </c>
      <c r="R67" s="202" t="s">
        <v>509</v>
      </c>
    </row>
    <row r="68" spans="1:18" ht="19.7" customHeight="1">
      <c r="A68" s="974" t="s">
        <v>592</v>
      </c>
      <c r="B68" s="184" t="s">
        <v>593</v>
      </c>
      <c r="C68" s="961" t="s">
        <v>3948</v>
      </c>
      <c r="D68" s="197">
        <v>24094.400000000001</v>
      </c>
      <c r="E68" s="197">
        <v>0</v>
      </c>
      <c r="F68" s="947">
        <v>24094.400000000001</v>
      </c>
      <c r="G68" s="188">
        <v>0</v>
      </c>
      <c r="H68" s="962">
        <f t="shared" si="4"/>
        <v>24094.400000000001</v>
      </c>
      <c r="I68" s="962"/>
      <c r="J68" s="962">
        <v>0</v>
      </c>
      <c r="K68" s="962">
        <f t="shared" si="6"/>
        <v>0</v>
      </c>
      <c r="L68" s="962"/>
      <c r="M68" s="178">
        <v>0</v>
      </c>
      <c r="N68" s="963">
        <f t="shared" si="5"/>
        <v>0</v>
      </c>
      <c r="O68" s="178"/>
      <c r="P68" s="175">
        <v>0</v>
      </c>
      <c r="Q68" s="964">
        <v>0</v>
      </c>
      <c r="R68" s="202" t="s">
        <v>509</v>
      </c>
    </row>
    <row r="69" spans="1:18" ht="19.7" customHeight="1">
      <c r="A69" s="190" t="s">
        <v>594</v>
      </c>
      <c r="B69" s="184" t="s">
        <v>595</v>
      </c>
      <c r="C69" s="961" t="s">
        <v>3949</v>
      </c>
      <c r="D69" s="197">
        <v>374541.93</v>
      </c>
      <c r="E69" s="197">
        <v>234304.54</v>
      </c>
      <c r="F69" s="947">
        <v>140237.39000000001</v>
      </c>
      <c r="G69" s="188">
        <v>0</v>
      </c>
      <c r="H69" s="962">
        <f t="shared" si="4"/>
        <v>140237.39000000001</v>
      </c>
      <c r="I69" s="962"/>
      <c r="J69" s="962">
        <v>0</v>
      </c>
      <c r="K69" s="962">
        <f t="shared" si="6"/>
        <v>0</v>
      </c>
      <c r="L69" s="962"/>
      <c r="M69" s="178">
        <v>0</v>
      </c>
      <c r="N69" s="963">
        <f t="shared" si="5"/>
        <v>0</v>
      </c>
      <c r="O69" s="178"/>
      <c r="P69" s="175">
        <v>0</v>
      </c>
      <c r="Q69" s="964">
        <v>0</v>
      </c>
      <c r="R69" s="202" t="s">
        <v>509</v>
      </c>
    </row>
    <row r="70" spans="1:18" ht="19.7" customHeight="1">
      <c r="A70" s="190" t="s">
        <v>596</v>
      </c>
      <c r="B70" s="195" t="s">
        <v>597</v>
      </c>
      <c r="C70" s="975" t="s">
        <v>3950</v>
      </c>
      <c r="D70" s="197">
        <v>220600</v>
      </c>
      <c r="E70" s="197">
        <v>50000</v>
      </c>
      <c r="F70" s="947">
        <v>170600</v>
      </c>
      <c r="G70" s="188">
        <v>0</v>
      </c>
      <c r="H70" s="962">
        <f t="shared" si="4"/>
        <v>170600</v>
      </c>
      <c r="I70" s="962"/>
      <c r="J70" s="962">
        <v>0</v>
      </c>
      <c r="K70" s="962">
        <f t="shared" si="6"/>
        <v>0</v>
      </c>
      <c r="L70" s="962"/>
      <c r="M70" s="178">
        <v>0</v>
      </c>
      <c r="N70" s="963">
        <f t="shared" si="5"/>
        <v>0</v>
      </c>
      <c r="O70" s="178"/>
      <c r="P70" s="175">
        <v>0</v>
      </c>
      <c r="Q70" s="964">
        <v>0</v>
      </c>
      <c r="R70" s="202" t="s">
        <v>509</v>
      </c>
    </row>
    <row r="71" spans="1:18" ht="19.7" customHeight="1">
      <c r="A71" s="190" t="s">
        <v>598</v>
      </c>
      <c r="B71" s="195" t="s">
        <v>599</v>
      </c>
      <c r="C71" s="975" t="s">
        <v>3951</v>
      </c>
      <c r="D71" s="197">
        <v>310024.76</v>
      </c>
      <c r="E71" s="197">
        <v>218052.4</v>
      </c>
      <c r="F71" s="947">
        <v>91972.36</v>
      </c>
      <c r="G71" s="188">
        <v>0</v>
      </c>
      <c r="H71" s="962">
        <f t="shared" si="4"/>
        <v>91972.36</v>
      </c>
      <c r="I71" s="962"/>
      <c r="J71" s="962">
        <v>0</v>
      </c>
      <c r="K71" s="962">
        <f t="shared" si="6"/>
        <v>0</v>
      </c>
      <c r="L71" s="962"/>
      <c r="M71" s="178">
        <v>0</v>
      </c>
      <c r="N71" s="963">
        <f t="shared" si="5"/>
        <v>0</v>
      </c>
      <c r="O71" s="178"/>
      <c r="P71" s="175">
        <v>0</v>
      </c>
      <c r="Q71" s="964">
        <v>0</v>
      </c>
      <c r="R71" s="202" t="s">
        <v>509</v>
      </c>
    </row>
    <row r="72" spans="1:18" ht="19.7" customHeight="1">
      <c r="A72" s="177" t="s">
        <v>574</v>
      </c>
      <c r="B72" s="180" t="s">
        <v>600</v>
      </c>
      <c r="C72" s="972"/>
      <c r="D72" s="197">
        <v>6200</v>
      </c>
      <c r="E72" s="197">
        <v>0</v>
      </c>
      <c r="F72" s="947">
        <v>6200</v>
      </c>
      <c r="G72" s="188">
        <v>0</v>
      </c>
      <c r="H72" s="962">
        <f t="shared" si="4"/>
        <v>6200</v>
      </c>
      <c r="I72" s="962"/>
      <c r="J72" s="962">
        <v>0</v>
      </c>
      <c r="K72" s="962">
        <f t="shared" si="6"/>
        <v>0</v>
      </c>
      <c r="L72" s="962"/>
      <c r="M72" s="178">
        <v>0</v>
      </c>
      <c r="N72" s="963">
        <f t="shared" si="5"/>
        <v>0</v>
      </c>
      <c r="O72" s="178"/>
      <c r="P72" s="175">
        <v>0</v>
      </c>
      <c r="Q72" s="964">
        <v>0</v>
      </c>
      <c r="R72" s="202" t="s">
        <v>509</v>
      </c>
    </row>
    <row r="73" spans="1:18" ht="19.7" customHeight="1">
      <c r="A73" s="205" t="s">
        <v>514</v>
      </c>
      <c r="B73" s="195" t="s">
        <v>601</v>
      </c>
      <c r="C73" s="975"/>
      <c r="D73" s="197">
        <v>1600</v>
      </c>
      <c r="E73" s="197">
        <v>0</v>
      </c>
      <c r="F73" s="947">
        <v>1600</v>
      </c>
      <c r="G73" s="188">
        <v>0</v>
      </c>
      <c r="H73" s="962">
        <f t="shared" si="4"/>
        <v>1600</v>
      </c>
      <c r="I73" s="962"/>
      <c r="J73" s="962">
        <v>0</v>
      </c>
      <c r="K73" s="962">
        <f t="shared" si="6"/>
        <v>0</v>
      </c>
      <c r="L73" s="962"/>
      <c r="M73" s="178">
        <v>0</v>
      </c>
      <c r="N73" s="963">
        <f t="shared" si="5"/>
        <v>0</v>
      </c>
      <c r="O73" s="178"/>
      <c r="P73" s="175">
        <v>0</v>
      </c>
      <c r="Q73" s="964">
        <v>0</v>
      </c>
      <c r="R73" s="202" t="s">
        <v>509</v>
      </c>
    </row>
    <row r="74" spans="1:18" ht="19.7" customHeight="1">
      <c r="A74" s="205" t="s">
        <v>534</v>
      </c>
      <c r="B74" s="195" t="s">
        <v>602</v>
      </c>
      <c r="C74" s="975"/>
      <c r="D74" s="197">
        <v>64627.38</v>
      </c>
      <c r="E74" s="197">
        <v>37027.040000000001</v>
      </c>
      <c r="F74" s="947">
        <v>27600.34</v>
      </c>
      <c r="G74" s="188">
        <v>0</v>
      </c>
      <c r="H74" s="962">
        <f t="shared" si="4"/>
        <v>27600.34</v>
      </c>
      <c r="I74" s="962"/>
      <c r="J74" s="962">
        <v>0</v>
      </c>
      <c r="K74" s="962">
        <f t="shared" si="6"/>
        <v>0</v>
      </c>
      <c r="L74" s="962"/>
      <c r="M74" s="178">
        <v>0</v>
      </c>
      <c r="N74" s="963">
        <f t="shared" si="5"/>
        <v>0</v>
      </c>
      <c r="O74" s="178"/>
      <c r="P74" s="175">
        <v>0</v>
      </c>
      <c r="Q74" s="964">
        <v>0</v>
      </c>
      <c r="R74" s="202" t="s">
        <v>603</v>
      </c>
    </row>
    <row r="75" spans="1:18" ht="19.7" customHeight="1">
      <c r="A75" s="190" t="s">
        <v>604</v>
      </c>
      <c r="B75" s="195" t="s">
        <v>605</v>
      </c>
      <c r="C75" s="975" t="s">
        <v>3952</v>
      </c>
      <c r="D75" s="197">
        <v>142796.63</v>
      </c>
      <c r="E75" s="197">
        <v>0</v>
      </c>
      <c r="F75" s="947">
        <v>142796.63</v>
      </c>
      <c r="G75" s="188">
        <v>0</v>
      </c>
      <c r="H75" s="962">
        <f t="shared" si="4"/>
        <v>142796.63</v>
      </c>
      <c r="I75" s="962"/>
      <c r="J75" s="962">
        <v>0</v>
      </c>
      <c r="K75" s="962">
        <f t="shared" si="6"/>
        <v>0</v>
      </c>
      <c r="L75" s="962"/>
      <c r="M75" s="178">
        <v>0</v>
      </c>
      <c r="N75" s="963">
        <f t="shared" si="5"/>
        <v>0</v>
      </c>
      <c r="O75" s="178"/>
      <c r="P75" s="175">
        <v>0</v>
      </c>
      <c r="Q75" s="964">
        <v>0</v>
      </c>
      <c r="R75" s="204" t="s">
        <v>606</v>
      </c>
    </row>
    <row r="76" spans="1:18" ht="19.7" customHeight="1">
      <c r="A76" s="190" t="s">
        <v>607</v>
      </c>
      <c r="B76" s="195" t="s">
        <v>608</v>
      </c>
      <c r="C76" s="975" t="s">
        <v>853</v>
      </c>
      <c r="D76" s="197">
        <v>406954.72</v>
      </c>
      <c r="E76" s="197">
        <v>260575.22</v>
      </c>
      <c r="F76" s="947">
        <v>146379.5</v>
      </c>
      <c r="G76" s="188">
        <v>0</v>
      </c>
      <c r="H76" s="962">
        <f t="shared" si="4"/>
        <v>146379.5</v>
      </c>
      <c r="I76" s="962"/>
      <c r="J76" s="962">
        <v>0</v>
      </c>
      <c r="K76" s="962">
        <f t="shared" si="6"/>
        <v>0</v>
      </c>
      <c r="L76" s="962"/>
      <c r="M76" s="178">
        <v>0</v>
      </c>
      <c r="N76" s="963">
        <f t="shared" si="5"/>
        <v>0</v>
      </c>
      <c r="O76" s="178"/>
      <c r="P76" s="175">
        <v>0</v>
      </c>
      <c r="Q76" s="964">
        <v>0</v>
      </c>
      <c r="R76" s="204" t="s">
        <v>606</v>
      </c>
    </row>
    <row r="77" spans="1:18" ht="19.7" customHeight="1">
      <c r="A77" s="190" t="s">
        <v>481</v>
      </c>
      <c r="B77" s="195" t="s">
        <v>609</v>
      </c>
      <c r="C77" s="975" t="s">
        <v>3953</v>
      </c>
      <c r="D77" s="197">
        <v>285720.42</v>
      </c>
      <c r="E77" s="197">
        <v>0</v>
      </c>
      <c r="F77" s="947">
        <v>285720.42</v>
      </c>
      <c r="G77" s="188">
        <v>0</v>
      </c>
      <c r="H77" s="962">
        <f t="shared" si="4"/>
        <v>285720.42</v>
      </c>
      <c r="I77" s="962"/>
      <c r="J77" s="962">
        <v>0</v>
      </c>
      <c r="K77" s="962">
        <f t="shared" si="6"/>
        <v>0</v>
      </c>
      <c r="L77" s="962"/>
      <c r="M77" s="178">
        <v>0</v>
      </c>
      <c r="N77" s="963">
        <f t="shared" si="5"/>
        <v>0</v>
      </c>
      <c r="O77" s="178"/>
      <c r="P77" s="175">
        <v>0</v>
      </c>
      <c r="Q77" s="964">
        <v>0</v>
      </c>
      <c r="R77" s="202" t="s">
        <v>606</v>
      </c>
    </row>
    <row r="78" spans="1:18" ht="19.7" customHeight="1">
      <c r="A78" s="974" t="s">
        <v>610</v>
      </c>
      <c r="B78" s="195" t="s">
        <v>611</v>
      </c>
      <c r="C78" s="975" t="s">
        <v>3954</v>
      </c>
      <c r="D78" s="197">
        <v>218900</v>
      </c>
      <c r="E78" s="197">
        <v>194000</v>
      </c>
      <c r="F78" s="947">
        <v>24900</v>
      </c>
      <c r="G78" s="188">
        <v>0</v>
      </c>
      <c r="H78" s="962">
        <f t="shared" si="4"/>
        <v>24900</v>
      </c>
      <c r="I78" s="962"/>
      <c r="J78" s="962">
        <v>0</v>
      </c>
      <c r="K78" s="962">
        <f t="shared" si="6"/>
        <v>0</v>
      </c>
      <c r="L78" s="962"/>
      <c r="M78" s="178">
        <v>0</v>
      </c>
      <c r="N78" s="963">
        <f t="shared" si="5"/>
        <v>0</v>
      </c>
      <c r="O78" s="178"/>
      <c r="P78" s="175">
        <v>0</v>
      </c>
      <c r="Q78" s="964">
        <v>0</v>
      </c>
      <c r="R78" s="202" t="s">
        <v>606</v>
      </c>
    </row>
    <row r="79" spans="1:18" ht="19.7" customHeight="1">
      <c r="A79" s="190" t="s">
        <v>527</v>
      </c>
      <c r="B79" s="184" t="s">
        <v>612</v>
      </c>
      <c r="C79" s="961" t="s">
        <v>3955</v>
      </c>
      <c r="D79" s="197">
        <v>140441.15</v>
      </c>
      <c r="E79" s="197">
        <v>0</v>
      </c>
      <c r="F79" s="947">
        <v>140441.15</v>
      </c>
      <c r="G79" s="188">
        <v>0</v>
      </c>
      <c r="H79" s="962">
        <f t="shared" si="4"/>
        <v>140441.15</v>
      </c>
      <c r="I79" s="962"/>
      <c r="J79" s="962">
        <v>0</v>
      </c>
      <c r="K79" s="962">
        <f t="shared" si="6"/>
        <v>0</v>
      </c>
      <c r="L79" s="962"/>
      <c r="M79" s="178">
        <v>0</v>
      </c>
      <c r="N79" s="963">
        <f t="shared" si="5"/>
        <v>0</v>
      </c>
      <c r="O79" s="178"/>
      <c r="P79" s="175">
        <v>0</v>
      </c>
      <c r="Q79" s="964">
        <v>0</v>
      </c>
      <c r="R79" s="204" t="s">
        <v>520</v>
      </c>
    </row>
    <row r="80" spans="1:18" ht="19.7" customHeight="1">
      <c r="A80" s="974" t="s">
        <v>615</v>
      </c>
      <c r="B80" s="195" t="s">
        <v>616</v>
      </c>
      <c r="C80" s="975" t="s">
        <v>3956</v>
      </c>
      <c r="D80" s="197">
        <v>646941.19999999995</v>
      </c>
      <c r="E80" s="197">
        <v>0</v>
      </c>
      <c r="F80" s="947">
        <v>646941.19999999995</v>
      </c>
      <c r="G80" s="188">
        <v>0</v>
      </c>
      <c r="H80" s="962">
        <f t="shared" si="4"/>
        <v>646941.19999999995</v>
      </c>
      <c r="I80" s="962"/>
      <c r="J80" s="962">
        <v>0</v>
      </c>
      <c r="K80" s="962">
        <f t="shared" si="6"/>
        <v>0</v>
      </c>
      <c r="L80" s="962"/>
      <c r="M80" s="178">
        <f>D80-E80-F80-I80</f>
        <v>0</v>
      </c>
      <c r="N80" s="963">
        <f t="shared" si="5"/>
        <v>0</v>
      </c>
      <c r="O80" s="178"/>
      <c r="P80" s="175">
        <v>0</v>
      </c>
      <c r="Q80" s="964">
        <v>0</v>
      </c>
      <c r="R80" s="176" t="s">
        <v>523</v>
      </c>
    </row>
    <row r="81" spans="1:18" ht="19.7" customHeight="1">
      <c r="A81" s="190" t="s">
        <v>558</v>
      </c>
      <c r="B81" s="184" t="s">
        <v>618</v>
      </c>
      <c r="C81" s="961" t="s">
        <v>3957</v>
      </c>
      <c r="D81" s="192">
        <v>114000</v>
      </c>
      <c r="E81" s="197">
        <v>0</v>
      </c>
      <c r="F81" s="193">
        <v>114000</v>
      </c>
      <c r="G81" s="209">
        <v>0</v>
      </c>
      <c r="H81" s="962">
        <f t="shared" ref="H81:H125" si="7">F81+G81</f>
        <v>114000</v>
      </c>
      <c r="I81" s="962"/>
      <c r="J81" s="962">
        <v>0</v>
      </c>
      <c r="K81" s="962">
        <f t="shared" si="6"/>
        <v>0</v>
      </c>
      <c r="L81" s="962"/>
      <c r="M81" s="178">
        <f>D81-E81-F81-I81</f>
        <v>0</v>
      </c>
      <c r="N81" s="963">
        <f t="shared" ref="N81:N142" si="8">O81*I81</f>
        <v>0</v>
      </c>
      <c r="O81" s="178"/>
      <c r="P81" s="175">
        <v>0</v>
      </c>
      <c r="Q81" s="964">
        <v>0</v>
      </c>
      <c r="R81" s="204" t="s">
        <v>493</v>
      </c>
    </row>
    <row r="82" spans="1:18" ht="19.7" customHeight="1">
      <c r="A82" s="198" t="s">
        <v>619</v>
      </c>
      <c r="B82" s="199" t="s">
        <v>620</v>
      </c>
      <c r="C82" s="961" t="s">
        <v>3958</v>
      </c>
      <c r="D82" s="192">
        <v>32500</v>
      </c>
      <c r="E82" s="197">
        <v>0</v>
      </c>
      <c r="F82" s="193">
        <v>32500</v>
      </c>
      <c r="G82" s="209">
        <v>0</v>
      </c>
      <c r="H82" s="962">
        <f t="shared" si="7"/>
        <v>32500</v>
      </c>
      <c r="I82" s="962"/>
      <c r="J82" s="962">
        <v>0</v>
      </c>
      <c r="K82" s="962">
        <f t="shared" si="6"/>
        <v>0</v>
      </c>
      <c r="L82" s="962"/>
      <c r="M82" s="178">
        <f>D82-E82-F82-I82</f>
        <v>0</v>
      </c>
      <c r="N82" s="963">
        <f t="shared" si="8"/>
        <v>0</v>
      </c>
      <c r="O82" s="178"/>
      <c r="P82" s="175">
        <v>0</v>
      </c>
      <c r="Q82" s="964">
        <v>0</v>
      </c>
      <c r="R82" s="176" t="s">
        <v>493</v>
      </c>
    </row>
    <row r="83" spans="1:18" ht="19.7" customHeight="1">
      <c r="A83" s="190" t="s">
        <v>621</v>
      </c>
      <c r="B83" s="184" t="s">
        <v>622</v>
      </c>
      <c r="C83" s="961" t="s">
        <v>832</v>
      </c>
      <c r="D83" s="192">
        <v>1626069.62</v>
      </c>
      <c r="E83" s="197">
        <v>0</v>
      </c>
      <c r="F83" s="193">
        <v>270634.73</v>
      </c>
      <c r="G83" s="209">
        <v>0</v>
      </c>
      <c r="H83" s="962">
        <f t="shared" si="7"/>
        <v>270634.73</v>
      </c>
      <c r="I83" s="962">
        <f>279209.52+27620.02</f>
        <v>306829.54000000004</v>
      </c>
      <c r="J83" s="962">
        <v>306829.54000000004</v>
      </c>
      <c r="K83" s="962">
        <f t="shared" si="6"/>
        <v>0</v>
      </c>
      <c r="L83" s="962">
        <v>0</v>
      </c>
      <c r="M83" s="178">
        <v>600000</v>
      </c>
      <c r="N83" s="963">
        <f t="shared" si="8"/>
        <v>0</v>
      </c>
      <c r="O83" s="178"/>
      <c r="P83" s="175">
        <f>D83-E83-F83-I83-M83</f>
        <v>448605.35000000009</v>
      </c>
      <c r="Q83" s="964">
        <v>0</v>
      </c>
      <c r="R83" s="204" t="s">
        <v>692</v>
      </c>
    </row>
    <row r="84" spans="1:18" ht="19.7" customHeight="1">
      <c r="A84" s="190" t="s">
        <v>529</v>
      </c>
      <c r="B84" s="184" t="s">
        <v>623</v>
      </c>
      <c r="C84" s="961" t="s">
        <v>3959</v>
      </c>
      <c r="D84" s="192">
        <v>66186</v>
      </c>
      <c r="E84" s="192">
        <v>0</v>
      </c>
      <c r="F84" s="193">
        <v>66186</v>
      </c>
      <c r="G84" s="209">
        <v>0</v>
      </c>
      <c r="H84" s="962">
        <f t="shared" si="7"/>
        <v>66186</v>
      </c>
      <c r="I84" s="962"/>
      <c r="J84" s="962">
        <v>0</v>
      </c>
      <c r="K84" s="962">
        <f t="shared" si="6"/>
        <v>0</v>
      </c>
      <c r="L84" s="962"/>
      <c r="M84" s="178">
        <f>D84-F84</f>
        <v>0</v>
      </c>
      <c r="N84" s="963">
        <f t="shared" si="8"/>
        <v>0</v>
      </c>
      <c r="O84" s="178"/>
      <c r="P84" s="175">
        <v>0</v>
      </c>
      <c r="Q84" s="964">
        <v>0</v>
      </c>
      <c r="R84" s="204" t="s">
        <v>503</v>
      </c>
    </row>
    <row r="85" spans="1:18" ht="19.7" customHeight="1">
      <c r="A85" s="190" t="s">
        <v>624</v>
      </c>
      <c r="B85" s="184" t="s">
        <v>625</v>
      </c>
      <c r="C85" s="961" t="s">
        <v>3960</v>
      </c>
      <c r="D85" s="192">
        <v>40847.06</v>
      </c>
      <c r="E85" s="192">
        <v>0</v>
      </c>
      <c r="F85" s="193">
        <v>40847.06</v>
      </c>
      <c r="G85" s="209">
        <v>0</v>
      </c>
      <c r="H85" s="962">
        <f t="shared" si="7"/>
        <v>40847.06</v>
      </c>
      <c r="I85" s="962"/>
      <c r="J85" s="962">
        <v>0</v>
      </c>
      <c r="K85" s="962">
        <f t="shared" si="6"/>
        <v>0</v>
      </c>
      <c r="L85" s="962"/>
      <c r="M85" s="178">
        <f>D85-F85</f>
        <v>0</v>
      </c>
      <c r="N85" s="963">
        <f t="shared" si="8"/>
        <v>0</v>
      </c>
      <c r="O85" s="178"/>
      <c r="P85" s="175">
        <v>0</v>
      </c>
      <c r="Q85" s="964">
        <v>0</v>
      </c>
      <c r="R85" s="204" t="s">
        <v>493</v>
      </c>
    </row>
    <row r="86" spans="1:18" ht="19.7" customHeight="1">
      <c r="A86" s="190" t="s">
        <v>626</v>
      </c>
      <c r="B86" s="184" t="s">
        <v>627</v>
      </c>
      <c r="C86" s="961" t="s">
        <v>3422</v>
      </c>
      <c r="D86" s="192">
        <v>57860.21</v>
      </c>
      <c r="E86" s="192">
        <v>0</v>
      </c>
      <c r="F86" s="193">
        <v>41469.919999999998</v>
      </c>
      <c r="G86" s="209">
        <v>0</v>
      </c>
      <c r="H86" s="962">
        <f t="shared" si="7"/>
        <v>41469.919999999998</v>
      </c>
      <c r="I86" s="962">
        <v>16390.29</v>
      </c>
      <c r="J86" s="962">
        <v>16390.29</v>
      </c>
      <c r="K86" s="962">
        <f t="shared" si="6"/>
        <v>0</v>
      </c>
      <c r="L86" s="962">
        <v>0</v>
      </c>
      <c r="M86" s="178">
        <f>D86-F86-I86</f>
        <v>0</v>
      </c>
      <c r="N86" s="963">
        <f t="shared" si="8"/>
        <v>0</v>
      </c>
      <c r="O86" s="178"/>
      <c r="P86" s="175">
        <v>0</v>
      </c>
      <c r="Q86" s="964">
        <v>0</v>
      </c>
      <c r="R86" s="204" t="s">
        <v>3961</v>
      </c>
    </row>
    <row r="87" spans="1:18" ht="19.7" customHeight="1">
      <c r="A87" s="190" t="s">
        <v>628</v>
      </c>
      <c r="B87" s="184" t="s">
        <v>629</v>
      </c>
      <c r="C87" s="961" t="s">
        <v>3962</v>
      </c>
      <c r="D87" s="192">
        <v>27977.8</v>
      </c>
      <c r="E87" s="192">
        <v>0</v>
      </c>
      <c r="F87" s="193">
        <v>27977.8</v>
      </c>
      <c r="G87" s="209">
        <v>0</v>
      </c>
      <c r="H87" s="962">
        <f t="shared" si="7"/>
        <v>27977.8</v>
      </c>
      <c r="I87" s="962"/>
      <c r="J87" s="962">
        <v>0</v>
      </c>
      <c r="K87" s="962">
        <f t="shared" si="6"/>
        <v>0</v>
      </c>
      <c r="L87" s="962"/>
      <c r="M87" s="178">
        <f>D87-F87</f>
        <v>0</v>
      </c>
      <c r="N87" s="963">
        <f t="shared" si="8"/>
        <v>0</v>
      </c>
      <c r="O87" s="178"/>
      <c r="P87" s="175">
        <v>0</v>
      </c>
      <c r="Q87" s="964">
        <v>0</v>
      </c>
      <c r="R87" s="176" t="s">
        <v>493</v>
      </c>
    </row>
    <row r="88" spans="1:18" ht="19.7" customHeight="1">
      <c r="A88" s="190" t="s">
        <v>630</v>
      </c>
      <c r="B88" s="184" t="s">
        <v>631</v>
      </c>
      <c r="C88" s="961" t="s">
        <v>3963</v>
      </c>
      <c r="D88" s="192">
        <v>216084.33</v>
      </c>
      <c r="E88" s="192">
        <v>0</v>
      </c>
      <c r="F88" s="193">
        <v>216084.33</v>
      </c>
      <c r="G88" s="209">
        <v>0</v>
      </c>
      <c r="H88" s="962">
        <f t="shared" si="7"/>
        <v>216084.33</v>
      </c>
      <c r="I88" s="962"/>
      <c r="J88" s="962">
        <v>0</v>
      </c>
      <c r="K88" s="962">
        <f t="shared" si="6"/>
        <v>0</v>
      </c>
      <c r="L88" s="962"/>
      <c r="M88" s="178">
        <f>D88-F88</f>
        <v>0</v>
      </c>
      <c r="N88" s="963">
        <f t="shared" si="8"/>
        <v>0</v>
      </c>
      <c r="O88" s="178"/>
      <c r="P88" s="175">
        <v>0</v>
      </c>
      <c r="Q88" s="964">
        <v>0</v>
      </c>
      <c r="R88" s="204" t="s">
        <v>520</v>
      </c>
    </row>
    <row r="89" spans="1:18" ht="19.7" customHeight="1">
      <c r="A89" s="190" t="s">
        <v>632</v>
      </c>
      <c r="B89" s="184" t="s">
        <v>633</v>
      </c>
      <c r="C89" s="961" t="s">
        <v>3386</v>
      </c>
      <c r="D89" s="192">
        <v>87361.5</v>
      </c>
      <c r="E89" s="192">
        <v>77361.5</v>
      </c>
      <c r="F89" s="193">
        <v>10000</v>
      </c>
      <c r="G89" s="209">
        <v>0</v>
      </c>
      <c r="H89" s="962">
        <f t="shared" si="7"/>
        <v>10000</v>
      </c>
      <c r="I89" s="962"/>
      <c r="J89" s="962">
        <v>0</v>
      </c>
      <c r="K89" s="962">
        <f t="shared" si="6"/>
        <v>0</v>
      </c>
      <c r="L89" s="962"/>
      <c r="M89" s="178">
        <v>0</v>
      </c>
      <c r="N89" s="963">
        <f t="shared" si="8"/>
        <v>0</v>
      </c>
      <c r="O89" s="178"/>
      <c r="P89" s="175">
        <v>0</v>
      </c>
      <c r="Q89" s="964">
        <v>0</v>
      </c>
      <c r="R89" s="204" t="s">
        <v>634</v>
      </c>
    </row>
    <row r="90" spans="1:18" ht="19.7" customHeight="1">
      <c r="A90" s="190" t="s">
        <v>635</v>
      </c>
      <c r="B90" s="184" t="s">
        <v>636</v>
      </c>
      <c r="C90" s="961" t="s">
        <v>3964</v>
      </c>
      <c r="D90" s="192">
        <v>285000</v>
      </c>
      <c r="E90" s="192">
        <v>260065.26</v>
      </c>
      <c r="F90" s="193">
        <v>24934.74</v>
      </c>
      <c r="G90" s="209">
        <v>0</v>
      </c>
      <c r="H90" s="962">
        <f t="shared" si="7"/>
        <v>24934.74</v>
      </c>
      <c r="I90" s="962"/>
      <c r="J90" s="962">
        <v>0</v>
      </c>
      <c r="K90" s="962">
        <f t="shared" si="6"/>
        <v>0</v>
      </c>
      <c r="L90" s="962"/>
      <c r="M90" s="178">
        <v>0</v>
      </c>
      <c r="N90" s="963">
        <f t="shared" si="8"/>
        <v>0</v>
      </c>
      <c r="O90" s="178"/>
      <c r="P90" s="175">
        <v>0</v>
      </c>
      <c r="Q90" s="964">
        <v>0</v>
      </c>
      <c r="R90" s="204" t="s">
        <v>603</v>
      </c>
    </row>
    <row r="91" spans="1:18" ht="19.7" customHeight="1">
      <c r="A91" s="190" t="s">
        <v>481</v>
      </c>
      <c r="B91" s="184" t="s">
        <v>637</v>
      </c>
      <c r="C91" s="961" t="s">
        <v>3965</v>
      </c>
      <c r="D91" s="192">
        <v>60895.93</v>
      </c>
      <c r="E91" s="192">
        <v>0</v>
      </c>
      <c r="F91" s="193">
        <v>60895.932999999997</v>
      </c>
      <c r="G91" s="209">
        <v>0</v>
      </c>
      <c r="H91" s="962">
        <f t="shared" si="7"/>
        <v>60895.932999999997</v>
      </c>
      <c r="I91" s="962"/>
      <c r="J91" s="962">
        <v>0</v>
      </c>
      <c r="K91" s="962">
        <f t="shared" si="6"/>
        <v>0</v>
      </c>
      <c r="L91" s="962"/>
      <c r="M91" s="178">
        <v>0</v>
      </c>
      <c r="N91" s="963">
        <f t="shared" si="8"/>
        <v>0</v>
      </c>
      <c r="O91" s="178"/>
      <c r="P91" s="175">
        <v>0</v>
      </c>
      <c r="Q91" s="964">
        <v>0</v>
      </c>
      <c r="R91" s="176" t="s">
        <v>503</v>
      </c>
    </row>
    <row r="92" spans="1:18" ht="19.7" customHeight="1">
      <c r="A92" s="190" t="s">
        <v>638</v>
      </c>
      <c r="B92" s="184" t="s">
        <v>639</v>
      </c>
      <c r="C92" s="961" t="s">
        <v>3966</v>
      </c>
      <c r="D92" s="192">
        <v>67519.839999999997</v>
      </c>
      <c r="E92" s="192">
        <v>0</v>
      </c>
      <c r="F92" s="193">
        <v>67519.839999999997</v>
      </c>
      <c r="G92" s="209">
        <v>0</v>
      </c>
      <c r="H92" s="962">
        <f t="shared" si="7"/>
        <v>67519.839999999997</v>
      </c>
      <c r="I92" s="962"/>
      <c r="J92" s="962">
        <v>0</v>
      </c>
      <c r="K92" s="962">
        <f t="shared" si="6"/>
        <v>0</v>
      </c>
      <c r="L92" s="962"/>
      <c r="M92" s="178">
        <f>D92-F92</f>
        <v>0</v>
      </c>
      <c r="N92" s="963">
        <f t="shared" si="8"/>
        <v>0</v>
      </c>
      <c r="O92" s="178"/>
      <c r="P92" s="175">
        <v>0</v>
      </c>
      <c r="Q92" s="964">
        <v>0</v>
      </c>
      <c r="R92" s="204" t="s">
        <v>493</v>
      </c>
    </row>
    <row r="93" spans="1:18" ht="19.7" customHeight="1">
      <c r="A93" s="190" t="s">
        <v>640</v>
      </c>
      <c r="B93" s="184" t="s">
        <v>641</v>
      </c>
      <c r="C93" s="961" t="s">
        <v>3967</v>
      </c>
      <c r="D93" s="192">
        <v>50498.02</v>
      </c>
      <c r="E93" s="192">
        <v>0</v>
      </c>
      <c r="F93" s="947">
        <v>50498.02</v>
      </c>
      <c r="G93" s="209">
        <v>0</v>
      </c>
      <c r="H93" s="962">
        <f t="shared" si="7"/>
        <v>50498.02</v>
      </c>
      <c r="I93" s="962"/>
      <c r="J93" s="962">
        <v>0</v>
      </c>
      <c r="K93" s="962">
        <f t="shared" si="6"/>
        <v>0</v>
      </c>
      <c r="L93" s="962"/>
      <c r="M93" s="178">
        <f>D93-F93</f>
        <v>0</v>
      </c>
      <c r="N93" s="963">
        <f t="shared" si="8"/>
        <v>0</v>
      </c>
      <c r="O93" s="178"/>
      <c r="P93" s="175">
        <v>0</v>
      </c>
      <c r="Q93" s="964">
        <v>0</v>
      </c>
      <c r="R93" s="204" t="s">
        <v>606</v>
      </c>
    </row>
    <row r="94" spans="1:18" ht="19.7" customHeight="1">
      <c r="A94" s="190" t="s">
        <v>642</v>
      </c>
      <c r="B94" s="184" t="s">
        <v>643</v>
      </c>
      <c r="C94" s="961" t="s">
        <v>3968</v>
      </c>
      <c r="D94" s="192">
        <v>84762.16</v>
      </c>
      <c r="E94" s="192">
        <v>0</v>
      </c>
      <c r="F94" s="193">
        <v>84762.16</v>
      </c>
      <c r="G94" s="209">
        <v>0</v>
      </c>
      <c r="H94" s="962">
        <f t="shared" si="7"/>
        <v>84762.16</v>
      </c>
      <c r="I94" s="962"/>
      <c r="J94" s="962">
        <v>0</v>
      </c>
      <c r="K94" s="962">
        <f t="shared" si="6"/>
        <v>0</v>
      </c>
      <c r="L94" s="962"/>
      <c r="M94" s="178">
        <f>D94-F94</f>
        <v>0</v>
      </c>
      <c r="N94" s="963">
        <f t="shared" si="8"/>
        <v>0</v>
      </c>
      <c r="O94" s="178"/>
      <c r="P94" s="175">
        <v>0</v>
      </c>
      <c r="Q94" s="964">
        <v>0</v>
      </c>
      <c r="R94" s="204" t="s">
        <v>606</v>
      </c>
    </row>
    <row r="95" spans="1:18" ht="19.7" customHeight="1">
      <c r="A95" s="974" t="s">
        <v>644</v>
      </c>
      <c r="B95" s="195" t="s">
        <v>645</v>
      </c>
      <c r="C95" s="975" t="s">
        <v>3969</v>
      </c>
      <c r="D95" s="197">
        <v>31071</v>
      </c>
      <c r="E95" s="947">
        <v>0</v>
      </c>
      <c r="F95" s="947">
        <f>31071+62.68</f>
        <v>31133.68</v>
      </c>
      <c r="G95" s="209">
        <v>0</v>
      </c>
      <c r="H95" s="962">
        <f t="shared" si="7"/>
        <v>31133.68</v>
      </c>
      <c r="I95" s="962"/>
      <c r="J95" s="962">
        <v>0</v>
      </c>
      <c r="K95" s="962">
        <f t="shared" si="6"/>
        <v>0</v>
      </c>
      <c r="L95" s="962"/>
      <c r="M95" s="178">
        <v>0</v>
      </c>
      <c r="N95" s="963">
        <f t="shared" si="8"/>
        <v>0</v>
      </c>
      <c r="O95" s="178"/>
      <c r="P95" s="175">
        <v>0</v>
      </c>
      <c r="Q95" s="964">
        <v>0</v>
      </c>
      <c r="R95" s="204" t="s">
        <v>503</v>
      </c>
    </row>
    <row r="96" spans="1:18" ht="19.7" customHeight="1">
      <c r="A96" s="190" t="s">
        <v>646</v>
      </c>
      <c r="B96" s="184" t="s">
        <v>647</v>
      </c>
      <c r="C96" s="961" t="s">
        <v>3970</v>
      </c>
      <c r="D96" s="192">
        <v>274802</v>
      </c>
      <c r="E96" s="192">
        <v>0</v>
      </c>
      <c r="F96" s="193">
        <v>274802</v>
      </c>
      <c r="G96" s="209">
        <v>0</v>
      </c>
      <c r="H96" s="962">
        <f t="shared" si="7"/>
        <v>274802</v>
      </c>
      <c r="I96" s="962"/>
      <c r="J96" s="962">
        <v>0</v>
      </c>
      <c r="K96" s="962">
        <f t="shared" si="6"/>
        <v>0</v>
      </c>
      <c r="L96" s="962"/>
      <c r="M96" s="178">
        <f>D96-F96</f>
        <v>0</v>
      </c>
      <c r="N96" s="963">
        <f t="shared" si="8"/>
        <v>0</v>
      </c>
      <c r="O96" s="178"/>
      <c r="P96" s="175">
        <v>0</v>
      </c>
      <c r="Q96" s="964">
        <v>0</v>
      </c>
      <c r="R96" s="176" t="s">
        <v>606</v>
      </c>
    </row>
    <row r="97" spans="1:18" ht="19.7" customHeight="1">
      <c r="A97" s="190" t="s">
        <v>648</v>
      </c>
      <c r="B97" s="184" t="s">
        <v>645</v>
      </c>
      <c r="C97" s="961" t="s">
        <v>3971</v>
      </c>
      <c r="D97" s="192">
        <v>684199.42</v>
      </c>
      <c r="E97" s="192">
        <v>656293.12</v>
      </c>
      <c r="F97" s="193">
        <v>23406.3</v>
      </c>
      <c r="G97" s="209">
        <v>4500</v>
      </c>
      <c r="H97" s="962">
        <f t="shared" si="7"/>
        <v>27906.3</v>
      </c>
      <c r="I97" s="962">
        <v>0</v>
      </c>
      <c r="J97" s="962">
        <v>0</v>
      </c>
      <c r="K97" s="962">
        <f t="shared" si="6"/>
        <v>0</v>
      </c>
      <c r="L97" s="962">
        <v>4500</v>
      </c>
      <c r="M97" s="178">
        <v>0</v>
      </c>
      <c r="N97" s="963">
        <f t="shared" si="8"/>
        <v>0</v>
      </c>
      <c r="O97" s="178"/>
      <c r="P97" s="175">
        <v>0</v>
      </c>
      <c r="Q97" s="964">
        <v>0</v>
      </c>
      <c r="R97" s="204" t="s">
        <v>520</v>
      </c>
    </row>
    <row r="98" spans="1:18" ht="19.7" customHeight="1">
      <c r="A98" s="190" t="s">
        <v>649</v>
      </c>
      <c r="B98" s="184" t="s">
        <v>645</v>
      </c>
      <c r="C98" s="961" t="s">
        <v>3972</v>
      </c>
      <c r="D98" s="192">
        <v>58850</v>
      </c>
      <c r="E98" s="192">
        <v>0</v>
      </c>
      <c r="F98" s="193">
        <v>58850</v>
      </c>
      <c r="G98" s="209">
        <v>0</v>
      </c>
      <c r="H98" s="962">
        <f t="shared" si="7"/>
        <v>58850</v>
      </c>
      <c r="I98" s="962"/>
      <c r="J98" s="962">
        <v>0</v>
      </c>
      <c r="K98" s="962">
        <f t="shared" si="6"/>
        <v>0</v>
      </c>
      <c r="L98" s="962"/>
      <c r="M98" s="178">
        <f>D98-F98</f>
        <v>0</v>
      </c>
      <c r="N98" s="963">
        <f t="shared" si="8"/>
        <v>0</v>
      </c>
      <c r="O98" s="178"/>
      <c r="P98" s="175">
        <v>0</v>
      </c>
      <c r="Q98" s="964">
        <v>0</v>
      </c>
      <c r="R98" s="176" t="s">
        <v>577</v>
      </c>
    </row>
    <row r="99" spans="1:18" ht="19.7" customHeight="1">
      <c r="A99" s="190" t="s">
        <v>650</v>
      </c>
      <c r="B99" s="184" t="s">
        <v>651</v>
      </c>
      <c r="C99" s="961" t="s">
        <v>808</v>
      </c>
      <c r="D99" s="192">
        <v>3189911.91</v>
      </c>
      <c r="E99" s="192">
        <v>0</v>
      </c>
      <c r="F99" s="193">
        <v>3189911.91</v>
      </c>
      <c r="G99" s="209">
        <v>0</v>
      </c>
      <c r="H99" s="962">
        <f t="shared" si="7"/>
        <v>3189911.91</v>
      </c>
      <c r="I99" s="962">
        <v>0</v>
      </c>
      <c r="J99" s="962">
        <v>0</v>
      </c>
      <c r="K99" s="962">
        <f t="shared" si="6"/>
        <v>0</v>
      </c>
      <c r="L99" s="962"/>
      <c r="M99" s="178">
        <f>D99-F99</f>
        <v>0</v>
      </c>
      <c r="N99" s="963">
        <f t="shared" si="8"/>
        <v>0</v>
      </c>
      <c r="O99" s="178"/>
      <c r="P99" s="175">
        <v>0</v>
      </c>
      <c r="Q99" s="964">
        <v>0</v>
      </c>
      <c r="R99" s="223" t="s">
        <v>666</v>
      </c>
    </row>
    <row r="100" spans="1:18" ht="19.7" customHeight="1">
      <c r="A100" s="190" t="s">
        <v>652</v>
      </c>
      <c r="B100" s="184" t="s">
        <v>653</v>
      </c>
      <c r="C100" s="961" t="s">
        <v>3385</v>
      </c>
      <c r="D100" s="192">
        <v>169157.58</v>
      </c>
      <c r="E100" s="192">
        <v>0</v>
      </c>
      <c r="F100" s="193">
        <v>169157.58</v>
      </c>
      <c r="G100" s="209">
        <v>0</v>
      </c>
      <c r="H100" s="962">
        <f t="shared" si="7"/>
        <v>169157.58</v>
      </c>
      <c r="I100" s="962"/>
      <c r="J100" s="962">
        <v>0</v>
      </c>
      <c r="K100" s="962">
        <f t="shared" si="6"/>
        <v>0</v>
      </c>
      <c r="L100" s="962"/>
      <c r="M100" s="178">
        <f>D100-F100</f>
        <v>0</v>
      </c>
      <c r="N100" s="963">
        <f t="shared" si="8"/>
        <v>0</v>
      </c>
      <c r="O100" s="211"/>
      <c r="P100" s="175">
        <v>0</v>
      </c>
      <c r="Q100" s="964">
        <v>0</v>
      </c>
      <c r="R100" s="202" t="s">
        <v>506</v>
      </c>
    </row>
    <row r="101" spans="1:18" ht="19.7" customHeight="1">
      <c r="A101" s="212" t="s">
        <v>654</v>
      </c>
      <c r="B101" s="195" t="s">
        <v>655</v>
      </c>
      <c r="C101" s="975" t="s">
        <v>3973</v>
      </c>
      <c r="D101" s="197">
        <v>177000</v>
      </c>
      <c r="E101" s="947">
        <v>0</v>
      </c>
      <c r="F101" s="947">
        <v>177000</v>
      </c>
      <c r="G101" s="209">
        <v>0</v>
      </c>
      <c r="H101" s="966">
        <f t="shared" si="7"/>
        <v>177000</v>
      </c>
      <c r="I101" s="962"/>
      <c r="J101" s="962">
        <v>0</v>
      </c>
      <c r="K101" s="962">
        <f t="shared" si="6"/>
        <v>0</v>
      </c>
      <c r="L101" s="962"/>
      <c r="M101" s="178">
        <f>D101-F101</f>
        <v>0</v>
      </c>
      <c r="N101" s="963">
        <f t="shared" si="8"/>
        <v>0</v>
      </c>
      <c r="O101" s="211"/>
      <c r="P101" s="175">
        <v>0</v>
      </c>
      <c r="Q101" s="964">
        <v>0</v>
      </c>
      <c r="R101" s="204" t="s">
        <v>493</v>
      </c>
    </row>
    <row r="102" spans="1:18" ht="19.7" customHeight="1">
      <c r="A102" s="214" t="s">
        <v>656</v>
      </c>
      <c r="B102" s="978" t="s">
        <v>657</v>
      </c>
      <c r="C102" s="979" t="s">
        <v>851</v>
      </c>
      <c r="D102" s="980">
        <v>265675.2</v>
      </c>
      <c r="E102" s="981">
        <v>0</v>
      </c>
      <c r="F102" s="947">
        <v>265675.2</v>
      </c>
      <c r="G102" s="209">
        <v>0</v>
      </c>
      <c r="H102" s="982">
        <f t="shared" si="7"/>
        <v>265675.2</v>
      </c>
      <c r="I102" s="962"/>
      <c r="J102" s="962">
        <v>0</v>
      </c>
      <c r="K102" s="962">
        <f>+I102-J102</f>
        <v>0</v>
      </c>
      <c r="L102" s="962"/>
      <c r="M102" s="178">
        <f>D102-F102</f>
        <v>0</v>
      </c>
      <c r="N102" s="963">
        <f t="shared" si="8"/>
        <v>0</v>
      </c>
      <c r="O102" s="211"/>
      <c r="P102" s="175">
        <v>0</v>
      </c>
      <c r="Q102" s="964">
        <v>0</v>
      </c>
      <c r="R102" s="204" t="s">
        <v>523</v>
      </c>
    </row>
    <row r="103" spans="1:18" ht="19.7" customHeight="1">
      <c r="A103" s="214" t="s">
        <v>658</v>
      </c>
      <c r="B103" s="978" t="s">
        <v>659</v>
      </c>
      <c r="C103" s="979" t="s">
        <v>3974</v>
      </c>
      <c r="D103" s="980">
        <v>134688.82999999999</v>
      </c>
      <c r="E103" s="981">
        <v>24475.13</v>
      </c>
      <c r="F103" s="981">
        <v>110213.7</v>
      </c>
      <c r="G103" s="947">
        <v>0</v>
      </c>
      <c r="H103" s="982">
        <f t="shared" si="7"/>
        <v>110213.7</v>
      </c>
      <c r="I103" s="962"/>
      <c r="J103" s="962">
        <v>0</v>
      </c>
      <c r="K103" s="962">
        <f t="shared" si="6"/>
        <v>0</v>
      </c>
      <c r="L103" s="962"/>
      <c r="M103" s="178">
        <v>0</v>
      </c>
      <c r="N103" s="963">
        <f t="shared" si="8"/>
        <v>0</v>
      </c>
      <c r="O103" s="178"/>
      <c r="P103" s="175">
        <v>0</v>
      </c>
      <c r="Q103" s="964">
        <v>0</v>
      </c>
      <c r="R103" s="204" t="s">
        <v>563</v>
      </c>
    </row>
    <row r="104" spans="1:18" ht="19.7" customHeight="1">
      <c r="A104" s="212" t="s">
        <v>660</v>
      </c>
      <c r="B104" s="195" t="s">
        <v>661</v>
      </c>
      <c r="C104" s="975" t="s">
        <v>3975</v>
      </c>
      <c r="D104" s="197">
        <v>368332.24</v>
      </c>
      <c r="E104" s="947">
        <v>0</v>
      </c>
      <c r="F104" s="981">
        <v>368332.24</v>
      </c>
      <c r="G104" s="947">
        <v>0</v>
      </c>
      <c r="H104" s="982">
        <f t="shared" si="7"/>
        <v>368332.24</v>
      </c>
      <c r="I104" s="962"/>
      <c r="J104" s="962">
        <v>0</v>
      </c>
      <c r="K104" s="962">
        <f t="shared" si="6"/>
        <v>0</v>
      </c>
      <c r="L104" s="962"/>
      <c r="M104" s="178">
        <f>D104-F104</f>
        <v>0</v>
      </c>
      <c r="N104" s="963">
        <f t="shared" si="8"/>
        <v>0</v>
      </c>
      <c r="O104" s="178"/>
      <c r="P104" s="175">
        <v>0</v>
      </c>
      <c r="Q104" s="964">
        <v>0</v>
      </c>
      <c r="R104" s="204" t="s">
        <v>509</v>
      </c>
    </row>
    <row r="105" spans="1:18" ht="19.7" customHeight="1">
      <c r="A105" s="212" t="s">
        <v>662</v>
      </c>
      <c r="B105" s="195" t="s">
        <v>663</v>
      </c>
      <c r="C105" s="975" t="s">
        <v>3976</v>
      </c>
      <c r="D105" s="197">
        <v>119264.37</v>
      </c>
      <c r="E105" s="947">
        <v>0</v>
      </c>
      <c r="F105" s="981">
        <v>119264.37</v>
      </c>
      <c r="G105" s="948">
        <v>0</v>
      </c>
      <c r="H105" s="982">
        <f t="shared" si="7"/>
        <v>119264.37</v>
      </c>
      <c r="I105" s="962"/>
      <c r="J105" s="962">
        <v>0</v>
      </c>
      <c r="K105" s="962">
        <f t="shared" si="6"/>
        <v>0</v>
      </c>
      <c r="L105" s="962"/>
      <c r="M105" s="178">
        <f>D105-F105</f>
        <v>0</v>
      </c>
      <c r="N105" s="963">
        <f t="shared" si="8"/>
        <v>0</v>
      </c>
      <c r="O105" s="178"/>
      <c r="P105" s="175">
        <v>0</v>
      </c>
      <c r="Q105" s="964">
        <v>0</v>
      </c>
      <c r="R105" s="210" t="s">
        <v>523</v>
      </c>
    </row>
    <row r="106" spans="1:18" ht="19.7" customHeight="1">
      <c r="A106" s="212" t="s">
        <v>664</v>
      </c>
      <c r="B106" s="195" t="s">
        <v>665</v>
      </c>
      <c r="C106" s="975" t="s">
        <v>3380</v>
      </c>
      <c r="D106" s="197">
        <v>308452.28000000003</v>
      </c>
      <c r="E106" s="947">
        <v>0</v>
      </c>
      <c r="F106" s="982">
        <v>308452.27999999997</v>
      </c>
      <c r="G106" s="948">
        <v>0</v>
      </c>
      <c r="H106" s="982">
        <f t="shared" si="7"/>
        <v>308452.27999999997</v>
      </c>
      <c r="I106" s="962"/>
      <c r="J106" s="962">
        <v>0</v>
      </c>
      <c r="K106" s="962">
        <f t="shared" si="6"/>
        <v>0</v>
      </c>
      <c r="L106" s="962"/>
      <c r="M106" s="178">
        <f>D106-F106</f>
        <v>0</v>
      </c>
      <c r="N106" s="963">
        <f t="shared" si="8"/>
        <v>0</v>
      </c>
      <c r="O106" s="178"/>
      <c r="P106" s="175">
        <v>0</v>
      </c>
      <c r="Q106" s="964">
        <v>0</v>
      </c>
      <c r="R106" s="204" t="s">
        <v>666</v>
      </c>
    </row>
    <row r="107" spans="1:18" ht="19.7" customHeight="1">
      <c r="A107" s="212" t="s">
        <v>613</v>
      </c>
      <c r="B107" s="195" t="s">
        <v>669</v>
      </c>
      <c r="C107" s="975" t="s">
        <v>782</v>
      </c>
      <c r="D107" s="197">
        <v>645688.05000000005</v>
      </c>
      <c r="E107" s="947">
        <v>0</v>
      </c>
      <c r="F107" s="981">
        <v>214318</v>
      </c>
      <c r="G107" s="948">
        <v>0</v>
      </c>
      <c r="H107" s="982">
        <f t="shared" si="7"/>
        <v>214318</v>
      </c>
      <c r="I107" s="962">
        <v>138764</v>
      </c>
      <c r="J107" s="962">
        <v>138764</v>
      </c>
      <c r="K107" s="962">
        <f t="shared" si="6"/>
        <v>0</v>
      </c>
      <c r="L107" s="962">
        <v>0</v>
      </c>
      <c r="M107" s="178">
        <f>D107-F107-I107</f>
        <v>292606.05000000005</v>
      </c>
      <c r="N107" s="963">
        <f t="shared" si="8"/>
        <v>0</v>
      </c>
      <c r="O107" s="178"/>
      <c r="P107" s="175">
        <v>0</v>
      </c>
      <c r="Q107" s="964">
        <v>0</v>
      </c>
      <c r="R107" s="210" t="s">
        <v>3910</v>
      </c>
    </row>
    <row r="108" spans="1:18" ht="19.7" customHeight="1">
      <c r="A108" s="212" t="s">
        <v>670</v>
      </c>
      <c r="B108" s="195" t="s">
        <v>672</v>
      </c>
      <c r="C108" s="975" t="s">
        <v>3977</v>
      </c>
      <c r="D108" s="197">
        <v>79871.399999999994</v>
      </c>
      <c r="E108" s="947">
        <v>0</v>
      </c>
      <c r="F108" s="981">
        <v>79871.399999999994</v>
      </c>
      <c r="G108" s="948">
        <v>0</v>
      </c>
      <c r="H108" s="982">
        <f t="shared" si="7"/>
        <v>79871.399999999994</v>
      </c>
      <c r="I108" s="962"/>
      <c r="J108" s="962">
        <v>0</v>
      </c>
      <c r="K108" s="962">
        <f t="shared" si="6"/>
        <v>0</v>
      </c>
      <c r="L108" s="962"/>
      <c r="M108" s="178">
        <f>D108-F108</f>
        <v>0</v>
      </c>
      <c r="N108" s="963">
        <f t="shared" si="8"/>
        <v>0</v>
      </c>
      <c r="O108" s="178"/>
      <c r="P108" s="175">
        <v>0</v>
      </c>
      <c r="Q108" s="964">
        <v>0</v>
      </c>
      <c r="R108" s="210" t="s">
        <v>523</v>
      </c>
    </row>
    <row r="109" spans="1:18" ht="19.7" customHeight="1">
      <c r="A109" s="212" t="s">
        <v>673</v>
      </c>
      <c r="B109" s="195" t="s">
        <v>674</v>
      </c>
      <c r="C109" s="975" t="s">
        <v>3381</v>
      </c>
      <c r="D109" s="197">
        <v>194734.44</v>
      </c>
      <c r="E109" s="947">
        <v>0</v>
      </c>
      <c r="F109" s="981">
        <v>194734.44</v>
      </c>
      <c r="G109" s="948">
        <v>0</v>
      </c>
      <c r="H109" s="982">
        <f t="shared" si="7"/>
        <v>194734.44</v>
      </c>
      <c r="I109" s="962"/>
      <c r="J109" s="962">
        <v>0</v>
      </c>
      <c r="K109" s="962">
        <f t="shared" si="6"/>
        <v>0</v>
      </c>
      <c r="L109" s="962"/>
      <c r="M109" s="178">
        <f>D109-F109</f>
        <v>0</v>
      </c>
      <c r="N109" s="963">
        <f t="shared" si="8"/>
        <v>0</v>
      </c>
      <c r="O109" s="175"/>
      <c r="P109" s="175">
        <v>0</v>
      </c>
      <c r="Q109" s="964">
        <v>0</v>
      </c>
      <c r="R109" s="210" t="s">
        <v>675</v>
      </c>
    </row>
    <row r="110" spans="1:18" ht="19.7" customHeight="1">
      <c r="A110" s="212" t="s">
        <v>676</v>
      </c>
      <c r="B110" s="195" t="s">
        <v>677</v>
      </c>
      <c r="C110" s="975" t="s">
        <v>3978</v>
      </c>
      <c r="D110" s="197">
        <v>80000</v>
      </c>
      <c r="E110" s="947">
        <v>0</v>
      </c>
      <c r="F110" s="981">
        <v>80000</v>
      </c>
      <c r="G110" s="948">
        <v>0</v>
      </c>
      <c r="H110" s="982">
        <f t="shared" si="7"/>
        <v>80000</v>
      </c>
      <c r="I110" s="962"/>
      <c r="J110" s="962">
        <v>0</v>
      </c>
      <c r="K110" s="962">
        <f t="shared" si="6"/>
        <v>0</v>
      </c>
      <c r="L110" s="962"/>
      <c r="M110" s="178">
        <f>D110-F110</f>
        <v>0</v>
      </c>
      <c r="N110" s="963">
        <f t="shared" si="8"/>
        <v>0</v>
      </c>
      <c r="O110" s="175"/>
      <c r="P110" s="175">
        <v>0</v>
      </c>
      <c r="Q110" s="964">
        <v>0</v>
      </c>
      <c r="R110" s="210" t="s">
        <v>523</v>
      </c>
    </row>
    <row r="111" spans="1:18" ht="19.7" customHeight="1">
      <c r="A111" s="212" t="s">
        <v>678</v>
      </c>
      <c r="B111" s="195" t="s">
        <v>679</v>
      </c>
      <c r="C111" s="975" t="s">
        <v>805</v>
      </c>
      <c r="D111" s="197">
        <v>705600</v>
      </c>
      <c r="E111" s="947">
        <v>0</v>
      </c>
      <c r="F111" s="981">
        <v>402493.1</v>
      </c>
      <c r="G111" s="948">
        <v>0</v>
      </c>
      <c r="H111" s="982">
        <f t="shared" si="7"/>
        <v>402493.1</v>
      </c>
      <c r="I111" s="962">
        <v>302386.31</v>
      </c>
      <c r="J111" s="962">
        <v>302386.30999999994</v>
      </c>
      <c r="K111" s="962">
        <f t="shared" si="6"/>
        <v>0</v>
      </c>
      <c r="L111" s="962">
        <v>0</v>
      </c>
      <c r="M111" s="178">
        <v>720.3</v>
      </c>
      <c r="N111" s="963">
        <f t="shared" si="8"/>
        <v>0</v>
      </c>
      <c r="O111" s="178"/>
      <c r="P111" s="175">
        <v>0</v>
      </c>
      <c r="Q111" s="964">
        <v>0</v>
      </c>
      <c r="R111" s="210" t="s">
        <v>735</v>
      </c>
    </row>
    <row r="112" spans="1:18" ht="19.7" customHeight="1">
      <c r="A112" s="212" t="s">
        <v>681</v>
      </c>
      <c r="B112" s="195" t="s">
        <v>682</v>
      </c>
      <c r="C112" s="975" t="s">
        <v>803</v>
      </c>
      <c r="D112" s="197">
        <v>2593961.4700000002</v>
      </c>
      <c r="E112" s="947">
        <v>0</v>
      </c>
      <c r="F112" s="981">
        <v>982832.96</v>
      </c>
      <c r="G112" s="948">
        <v>0</v>
      </c>
      <c r="H112" s="982">
        <f t="shared" si="7"/>
        <v>982832.96</v>
      </c>
      <c r="I112" s="962">
        <v>1008652.63</v>
      </c>
      <c r="J112" s="962">
        <v>1008652.6299999999</v>
      </c>
      <c r="K112" s="962">
        <f t="shared" si="6"/>
        <v>0</v>
      </c>
      <c r="L112" s="962">
        <v>0</v>
      </c>
      <c r="M112" s="178">
        <v>300000</v>
      </c>
      <c r="N112" s="963">
        <f t="shared" si="8"/>
        <v>0</v>
      </c>
      <c r="O112" s="178"/>
      <c r="P112" s="175">
        <f>D112-F112-I112-M112</f>
        <v>302475.88000000024</v>
      </c>
      <c r="Q112" s="964">
        <v>0</v>
      </c>
      <c r="R112" s="210" t="s">
        <v>685</v>
      </c>
    </row>
    <row r="113" spans="1:18" ht="19.7" customHeight="1">
      <c r="A113" s="212" t="s">
        <v>686</v>
      </c>
      <c r="B113" s="195" t="s">
        <v>687</v>
      </c>
      <c r="C113" s="975" t="s">
        <v>3979</v>
      </c>
      <c r="D113" s="197">
        <v>399000</v>
      </c>
      <c r="E113" s="947">
        <v>0</v>
      </c>
      <c r="F113" s="981">
        <v>399000</v>
      </c>
      <c r="G113" s="948">
        <v>0</v>
      </c>
      <c r="H113" s="982">
        <f t="shared" si="7"/>
        <v>399000</v>
      </c>
      <c r="I113" s="962"/>
      <c r="J113" s="962">
        <v>0</v>
      </c>
      <c r="K113" s="962">
        <f t="shared" si="6"/>
        <v>0</v>
      </c>
      <c r="L113" s="962"/>
      <c r="M113" s="175">
        <v>0</v>
      </c>
      <c r="N113" s="963">
        <f t="shared" si="8"/>
        <v>0</v>
      </c>
      <c r="O113" s="175"/>
      <c r="P113" s="175">
        <f>D113-E113-F113-M113</f>
        <v>0</v>
      </c>
      <c r="Q113" s="964">
        <v>0</v>
      </c>
      <c r="R113" s="210" t="s">
        <v>523</v>
      </c>
    </row>
    <row r="114" spans="1:18" ht="19.7" customHeight="1">
      <c r="A114" s="220" t="s">
        <v>688</v>
      </c>
      <c r="B114" s="184" t="s">
        <v>689</v>
      </c>
      <c r="C114" s="961" t="s">
        <v>3980</v>
      </c>
      <c r="D114" s="192">
        <v>107334.88</v>
      </c>
      <c r="E114" s="193">
        <v>0</v>
      </c>
      <c r="F114" s="947">
        <v>107334.88</v>
      </c>
      <c r="G114" s="947">
        <v>0</v>
      </c>
      <c r="H114" s="982">
        <f t="shared" si="7"/>
        <v>107334.88</v>
      </c>
      <c r="I114" s="962"/>
      <c r="J114" s="962">
        <v>0</v>
      </c>
      <c r="K114" s="962">
        <f t="shared" si="6"/>
        <v>0</v>
      </c>
      <c r="L114" s="962"/>
      <c r="M114" s="222">
        <v>0</v>
      </c>
      <c r="N114" s="963">
        <f t="shared" si="8"/>
        <v>0</v>
      </c>
      <c r="O114" s="222"/>
      <c r="P114" s="175">
        <f>D114-E114-F114-M114</f>
        <v>0</v>
      </c>
      <c r="Q114" s="964">
        <v>0</v>
      </c>
      <c r="R114" s="223" t="s">
        <v>523</v>
      </c>
    </row>
    <row r="115" spans="1:18" ht="19.7" customHeight="1">
      <c r="A115" s="220" t="s">
        <v>693</v>
      </c>
      <c r="B115" s="184" t="s">
        <v>694</v>
      </c>
      <c r="C115" s="961" t="s">
        <v>3390</v>
      </c>
      <c r="D115" s="192">
        <v>66614</v>
      </c>
      <c r="E115" s="193">
        <v>0</v>
      </c>
      <c r="F115" s="224">
        <v>66614</v>
      </c>
      <c r="G115" s="224">
        <v>0</v>
      </c>
      <c r="H115" s="982">
        <f t="shared" si="7"/>
        <v>66614</v>
      </c>
      <c r="I115" s="962"/>
      <c r="J115" s="962">
        <v>0</v>
      </c>
      <c r="K115" s="962">
        <f t="shared" si="6"/>
        <v>0</v>
      </c>
      <c r="L115" s="962"/>
      <c r="M115" s="966">
        <v>0</v>
      </c>
      <c r="N115" s="963">
        <f t="shared" si="8"/>
        <v>0</v>
      </c>
      <c r="O115" s="175"/>
      <c r="P115" s="175">
        <v>0</v>
      </c>
      <c r="Q115" s="964">
        <v>0</v>
      </c>
      <c r="R115" s="210" t="s">
        <v>506</v>
      </c>
    </row>
    <row r="116" spans="1:18" ht="19.7" customHeight="1">
      <c r="A116" s="195" t="s">
        <v>688</v>
      </c>
      <c r="B116" s="195" t="s">
        <v>695</v>
      </c>
      <c r="C116" s="975" t="s">
        <v>3389</v>
      </c>
      <c r="D116" s="197">
        <v>31000</v>
      </c>
      <c r="E116" s="947">
        <v>0</v>
      </c>
      <c r="F116" s="947">
        <v>31000</v>
      </c>
      <c r="G116" s="947">
        <v>0</v>
      </c>
      <c r="H116" s="982">
        <f t="shared" si="7"/>
        <v>31000</v>
      </c>
      <c r="I116" s="962"/>
      <c r="J116" s="962">
        <v>0</v>
      </c>
      <c r="K116" s="962">
        <f t="shared" si="6"/>
        <v>0</v>
      </c>
      <c r="L116" s="962"/>
      <c r="M116" s="966">
        <v>0</v>
      </c>
      <c r="N116" s="963">
        <f t="shared" si="8"/>
        <v>0</v>
      </c>
      <c r="O116" s="175"/>
      <c r="P116" s="175">
        <v>0</v>
      </c>
      <c r="Q116" s="964">
        <v>0</v>
      </c>
      <c r="R116" s="210" t="s">
        <v>506</v>
      </c>
    </row>
    <row r="117" spans="1:18" ht="19.7" customHeight="1">
      <c r="A117" s="212" t="s">
        <v>698</v>
      </c>
      <c r="B117" s="195" t="s">
        <v>699</v>
      </c>
      <c r="C117" s="975" t="s">
        <v>847</v>
      </c>
      <c r="D117" s="197">
        <v>616621.42000000004</v>
      </c>
      <c r="E117" s="947">
        <v>0</v>
      </c>
      <c r="F117" s="947">
        <v>472748.92</v>
      </c>
      <c r="G117" s="947">
        <v>0</v>
      </c>
      <c r="H117" s="982">
        <f t="shared" si="7"/>
        <v>472748.92</v>
      </c>
      <c r="I117" s="962">
        <v>0</v>
      </c>
      <c r="J117" s="962">
        <v>0</v>
      </c>
      <c r="K117" s="962">
        <f t="shared" si="6"/>
        <v>0</v>
      </c>
      <c r="L117" s="963">
        <f>D117-E117-F117</f>
        <v>143872.50000000006</v>
      </c>
      <c r="M117" s="178">
        <f>D117-F117-I117-L117</f>
        <v>0</v>
      </c>
      <c r="N117" s="963">
        <f t="shared" si="8"/>
        <v>0</v>
      </c>
      <c r="O117" s="178"/>
      <c r="P117" s="175">
        <v>0</v>
      </c>
      <c r="Q117" s="964">
        <v>0</v>
      </c>
      <c r="R117" s="210" t="s">
        <v>542</v>
      </c>
    </row>
    <row r="118" spans="1:18" ht="19.7" customHeight="1">
      <c r="A118" s="983" t="s">
        <v>472</v>
      </c>
      <c r="B118" s="180" t="s">
        <v>703</v>
      </c>
      <c r="C118" s="975" t="s">
        <v>795</v>
      </c>
      <c r="D118" s="197">
        <v>495892.95</v>
      </c>
      <c r="E118" s="947">
        <v>0</v>
      </c>
      <c r="F118" s="947">
        <v>239334.79</v>
      </c>
      <c r="G118" s="947">
        <v>0</v>
      </c>
      <c r="H118" s="982">
        <f t="shared" si="7"/>
        <v>239334.79</v>
      </c>
      <c r="I118" s="962">
        <v>26843.25</v>
      </c>
      <c r="J118" s="962">
        <v>26843.25</v>
      </c>
      <c r="K118" s="962">
        <f t="shared" si="6"/>
        <v>0</v>
      </c>
      <c r="L118" s="963">
        <v>144046.34</v>
      </c>
      <c r="M118" s="175">
        <f>D118-F118-I118-L118</f>
        <v>85668.57</v>
      </c>
      <c r="N118" s="963">
        <f t="shared" si="8"/>
        <v>0</v>
      </c>
      <c r="O118" s="178"/>
      <c r="P118" s="175">
        <v>0</v>
      </c>
      <c r="Q118" s="964">
        <v>0</v>
      </c>
      <c r="R118" s="210" t="s">
        <v>479</v>
      </c>
    </row>
    <row r="119" spans="1:18" ht="19.7" customHeight="1">
      <c r="A119" s="983" t="s">
        <v>472</v>
      </c>
      <c r="B119" s="180" t="s">
        <v>704</v>
      </c>
      <c r="C119" s="972" t="s">
        <v>797</v>
      </c>
      <c r="D119" s="197">
        <v>823689.9</v>
      </c>
      <c r="E119" s="947">
        <v>0</v>
      </c>
      <c r="F119" s="947">
        <f>270635.2-270635.2</f>
        <v>0</v>
      </c>
      <c r="G119" s="188">
        <v>0</v>
      </c>
      <c r="H119" s="982">
        <f t="shared" si="7"/>
        <v>0</v>
      </c>
      <c r="I119" s="962">
        <f>D119-F119</f>
        <v>823689.9</v>
      </c>
      <c r="J119" s="962">
        <v>823689.9</v>
      </c>
      <c r="K119" s="962">
        <f t="shared" si="6"/>
        <v>0</v>
      </c>
      <c r="L119" s="962">
        <v>0</v>
      </c>
      <c r="M119" s="175">
        <f>D119-F119-I119</f>
        <v>0</v>
      </c>
      <c r="N119" s="963">
        <f t="shared" si="8"/>
        <v>0</v>
      </c>
      <c r="O119" s="178"/>
      <c r="P119" s="175">
        <v>0</v>
      </c>
      <c r="Q119" s="964">
        <v>0</v>
      </c>
      <c r="R119" s="210" t="s">
        <v>3908</v>
      </c>
    </row>
    <row r="120" spans="1:18" ht="19.7" customHeight="1">
      <c r="A120" s="190" t="s">
        <v>705</v>
      </c>
      <c r="B120" s="184" t="s">
        <v>706</v>
      </c>
      <c r="C120" s="961" t="s">
        <v>839</v>
      </c>
      <c r="D120" s="197">
        <v>364943.25</v>
      </c>
      <c r="E120" s="947">
        <v>320233.09999999998</v>
      </c>
      <c r="F120" s="947">
        <v>44710.15</v>
      </c>
      <c r="G120" s="947">
        <v>0</v>
      </c>
      <c r="H120" s="982">
        <f t="shared" si="7"/>
        <v>44710.15</v>
      </c>
      <c r="I120" s="962">
        <v>0</v>
      </c>
      <c r="J120" s="962">
        <v>0</v>
      </c>
      <c r="K120" s="962">
        <f t="shared" si="6"/>
        <v>0</v>
      </c>
      <c r="L120" s="984"/>
      <c r="M120" s="178"/>
      <c r="N120" s="963">
        <f t="shared" si="8"/>
        <v>0</v>
      </c>
      <c r="O120" s="178"/>
      <c r="P120" s="175">
        <v>0</v>
      </c>
      <c r="Q120" s="964">
        <v>0</v>
      </c>
      <c r="R120" s="210" t="s">
        <v>523</v>
      </c>
    </row>
    <row r="121" spans="1:18" ht="19.7" customHeight="1">
      <c r="A121" s="955" t="s">
        <v>707</v>
      </c>
      <c r="B121" s="184" t="s">
        <v>708</v>
      </c>
      <c r="C121" s="961" t="s">
        <v>845</v>
      </c>
      <c r="D121" s="197">
        <v>1000000</v>
      </c>
      <c r="E121" s="947">
        <v>0</v>
      </c>
      <c r="F121" s="188">
        <v>211152.52</v>
      </c>
      <c r="G121" s="188">
        <v>0</v>
      </c>
      <c r="H121" s="982">
        <f t="shared" si="7"/>
        <v>211152.52</v>
      </c>
      <c r="I121" s="962">
        <v>523903.65</v>
      </c>
      <c r="J121" s="962">
        <v>523903.64999999997</v>
      </c>
      <c r="K121" s="962">
        <f t="shared" si="6"/>
        <v>0</v>
      </c>
      <c r="L121" s="962">
        <v>0</v>
      </c>
      <c r="M121" s="175">
        <f>D121-F121-I121</f>
        <v>264943.82999999996</v>
      </c>
      <c r="N121" s="963">
        <f t="shared" si="8"/>
        <v>0</v>
      </c>
      <c r="O121" s="175"/>
      <c r="P121" s="175">
        <v>0</v>
      </c>
      <c r="Q121" s="964">
        <v>0</v>
      </c>
      <c r="R121" s="210" t="s">
        <v>479</v>
      </c>
    </row>
    <row r="122" spans="1:18" ht="19.7" customHeight="1">
      <c r="A122" s="956" t="s">
        <v>547</v>
      </c>
      <c r="B122" s="957" t="s">
        <v>710</v>
      </c>
      <c r="C122" s="958" t="s">
        <v>792</v>
      </c>
      <c r="D122" s="192">
        <v>945000</v>
      </c>
      <c r="E122" s="193">
        <v>0</v>
      </c>
      <c r="F122" s="947">
        <v>81903.19</v>
      </c>
      <c r="G122" s="188">
        <v>0</v>
      </c>
      <c r="H122" s="982">
        <f t="shared" si="7"/>
        <v>81903.19</v>
      </c>
      <c r="I122" s="962">
        <v>90832.8</v>
      </c>
      <c r="J122" s="962">
        <v>90832.8</v>
      </c>
      <c r="K122" s="962">
        <f t="shared" si="6"/>
        <v>0</v>
      </c>
      <c r="L122" s="985">
        <v>0</v>
      </c>
      <c r="M122" s="175">
        <v>200000</v>
      </c>
      <c r="N122" s="963">
        <f t="shared" si="8"/>
        <v>0</v>
      </c>
      <c r="O122" s="222"/>
      <c r="P122" s="222">
        <f>D122-F122-I122-M122</f>
        <v>572264.01</v>
      </c>
      <c r="Q122" s="964">
        <v>0</v>
      </c>
      <c r="R122" s="210" t="s">
        <v>692</v>
      </c>
    </row>
    <row r="123" spans="1:18" ht="19.7" customHeight="1">
      <c r="A123" s="974" t="s">
        <v>534</v>
      </c>
      <c r="B123" s="184" t="s">
        <v>711</v>
      </c>
      <c r="C123" s="961" t="s">
        <v>784</v>
      </c>
      <c r="D123" s="197">
        <v>308890.63</v>
      </c>
      <c r="E123" s="947">
        <v>0</v>
      </c>
      <c r="F123" s="981">
        <v>65904.08</v>
      </c>
      <c r="G123" s="948">
        <v>0</v>
      </c>
      <c r="H123" s="982">
        <f t="shared" si="7"/>
        <v>65904.08</v>
      </c>
      <c r="I123" s="962">
        <v>241224.26</v>
      </c>
      <c r="J123" s="962">
        <v>241224.26</v>
      </c>
      <c r="K123" s="962">
        <f t="shared" si="6"/>
        <v>0</v>
      </c>
      <c r="L123" s="962">
        <v>0</v>
      </c>
      <c r="M123" s="175">
        <f>D123-F123-I123</f>
        <v>1762.289999999979</v>
      </c>
      <c r="N123" s="963">
        <f t="shared" si="8"/>
        <v>0</v>
      </c>
      <c r="O123" s="175"/>
      <c r="P123" s="175">
        <v>0</v>
      </c>
      <c r="Q123" s="964">
        <v>0</v>
      </c>
      <c r="R123" s="210" t="s">
        <v>3917</v>
      </c>
    </row>
    <row r="124" spans="1:18" ht="19.7" customHeight="1">
      <c r="A124" s="212" t="s">
        <v>716</v>
      </c>
      <c r="B124" s="195" t="s">
        <v>717</v>
      </c>
      <c r="C124" s="975" t="s">
        <v>3397</v>
      </c>
      <c r="D124" s="197">
        <v>648093</v>
      </c>
      <c r="E124" s="947">
        <v>644093</v>
      </c>
      <c r="F124" s="981">
        <v>0</v>
      </c>
      <c r="G124" s="948">
        <v>4000</v>
      </c>
      <c r="H124" s="982">
        <f t="shared" si="7"/>
        <v>4000</v>
      </c>
      <c r="I124" s="962">
        <v>0</v>
      </c>
      <c r="J124" s="962">
        <v>0</v>
      </c>
      <c r="K124" s="962">
        <f t="shared" si="6"/>
        <v>0</v>
      </c>
      <c r="L124" s="962"/>
      <c r="M124" s="175">
        <v>0</v>
      </c>
      <c r="N124" s="963">
        <f t="shared" si="8"/>
        <v>0</v>
      </c>
      <c r="O124" s="222"/>
      <c r="P124" s="222">
        <v>0</v>
      </c>
      <c r="Q124" s="964">
        <v>0</v>
      </c>
      <c r="R124" s="210" t="s">
        <v>603</v>
      </c>
    </row>
    <row r="125" spans="1:18" ht="19.7" customHeight="1">
      <c r="A125" s="212" t="s">
        <v>719</v>
      </c>
      <c r="B125" s="184" t="s">
        <v>720</v>
      </c>
      <c r="C125" s="961" t="s">
        <v>844</v>
      </c>
      <c r="D125" s="197">
        <v>91908.24</v>
      </c>
      <c r="E125" s="947">
        <v>0</v>
      </c>
      <c r="F125" s="981">
        <v>0</v>
      </c>
      <c r="G125" s="948">
        <v>0</v>
      </c>
      <c r="H125" s="982">
        <f t="shared" si="7"/>
        <v>0</v>
      </c>
      <c r="I125" s="962">
        <v>91908.24</v>
      </c>
      <c r="J125" s="962">
        <v>91908.239999999991</v>
      </c>
      <c r="K125" s="962">
        <f t="shared" si="6"/>
        <v>0</v>
      </c>
      <c r="L125" s="948">
        <v>0</v>
      </c>
      <c r="M125" s="175">
        <f t="shared" ref="M125:M131" si="9">D125-F125-I125</f>
        <v>0</v>
      </c>
      <c r="N125" s="963">
        <f t="shared" si="8"/>
        <v>0</v>
      </c>
      <c r="O125" s="222"/>
      <c r="P125" s="222">
        <v>0</v>
      </c>
      <c r="Q125" s="964">
        <v>0</v>
      </c>
      <c r="R125" s="210" t="s">
        <v>3981</v>
      </c>
    </row>
    <row r="126" spans="1:18" ht="19.7" customHeight="1">
      <c r="A126" s="212" t="s">
        <v>535</v>
      </c>
      <c r="B126" s="184" t="s">
        <v>3982</v>
      </c>
      <c r="C126" s="961" t="s">
        <v>838</v>
      </c>
      <c r="D126" s="197">
        <v>19800</v>
      </c>
      <c r="E126" s="947">
        <v>0</v>
      </c>
      <c r="F126" s="981">
        <v>0</v>
      </c>
      <c r="G126" s="948"/>
      <c r="H126" s="982"/>
      <c r="I126" s="962">
        <v>19800</v>
      </c>
      <c r="J126" s="962">
        <v>19800</v>
      </c>
      <c r="K126" s="962">
        <f t="shared" si="6"/>
        <v>0</v>
      </c>
      <c r="L126" s="948">
        <v>0</v>
      </c>
      <c r="M126" s="175">
        <f t="shared" si="9"/>
        <v>0</v>
      </c>
      <c r="N126" s="963">
        <f t="shared" si="8"/>
        <v>0</v>
      </c>
      <c r="O126" s="175"/>
      <c r="P126" s="175">
        <v>0</v>
      </c>
      <c r="Q126" s="964">
        <v>0</v>
      </c>
      <c r="R126" s="210" t="s">
        <v>3922</v>
      </c>
    </row>
    <row r="127" spans="1:18" ht="19.7" customHeight="1">
      <c r="A127" s="220" t="s">
        <v>724</v>
      </c>
      <c r="B127" s="184" t="s">
        <v>725</v>
      </c>
      <c r="C127" s="961" t="s">
        <v>785</v>
      </c>
      <c r="D127" s="192">
        <v>136995.79</v>
      </c>
      <c r="E127" s="947">
        <v>0</v>
      </c>
      <c r="F127" s="981">
        <v>0</v>
      </c>
      <c r="G127" s="948">
        <v>0</v>
      </c>
      <c r="H127" s="982">
        <f>F127+G127</f>
        <v>0</v>
      </c>
      <c r="I127" s="962">
        <v>26014.6</v>
      </c>
      <c r="J127" s="962">
        <v>26014.6</v>
      </c>
      <c r="K127" s="962">
        <f t="shared" si="6"/>
        <v>0</v>
      </c>
      <c r="L127" s="962">
        <v>0</v>
      </c>
      <c r="M127" s="175">
        <f t="shared" si="9"/>
        <v>110981.19</v>
      </c>
      <c r="N127" s="963">
        <f t="shared" si="8"/>
        <v>0</v>
      </c>
      <c r="O127" s="175"/>
      <c r="P127" s="175">
        <v>0</v>
      </c>
      <c r="Q127" s="964">
        <v>0</v>
      </c>
      <c r="R127" s="210" t="s">
        <v>479</v>
      </c>
    </row>
    <row r="128" spans="1:18" ht="19.7" customHeight="1">
      <c r="A128" s="220" t="s">
        <v>726</v>
      </c>
      <c r="B128" s="184" t="s">
        <v>727</v>
      </c>
      <c r="C128" s="961" t="s">
        <v>818</v>
      </c>
      <c r="D128" s="192">
        <v>118597.34</v>
      </c>
      <c r="E128" s="947">
        <v>0</v>
      </c>
      <c r="F128" s="981">
        <v>118597.34</v>
      </c>
      <c r="G128" s="948">
        <v>0</v>
      </c>
      <c r="H128" s="982">
        <f>F128+G128</f>
        <v>118597.34</v>
      </c>
      <c r="I128" s="962"/>
      <c r="J128" s="962">
        <v>0</v>
      </c>
      <c r="K128" s="962">
        <f t="shared" si="6"/>
        <v>0</v>
      </c>
      <c r="L128" s="962"/>
      <c r="M128" s="175">
        <f t="shared" si="9"/>
        <v>0</v>
      </c>
      <c r="N128" s="963">
        <f t="shared" si="8"/>
        <v>0</v>
      </c>
      <c r="O128" s="175"/>
      <c r="P128" s="175">
        <v>0</v>
      </c>
      <c r="Q128" s="964">
        <v>0</v>
      </c>
      <c r="R128" s="210" t="s">
        <v>542</v>
      </c>
    </row>
    <row r="129" spans="1:18" ht="19.7" customHeight="1">
      <c r="A129" s="220" t="s">
        <v>728</v>
      </c>
      <c r="B129" s="184" t="s">
        <v>729</v>
      </c>
      <c r="C129" s="961" t="s">
        <v>798</v>
      </c>
      <c r="D129" s="192">
        <v>189031.28</v>
      </c>
      <c r="E129" s="947">
        <v>0</v>
      </c>
      <c r="F129" s="981">
        <v>0</v>
      </c>
      <c r="G129" s="948">
        <v>0</v>
      </c>
      <c r="H129" s="982">
        <f>F129+G129</f>
        <v>0</v>
      </c>
      <c r="I129" s="962">
        <v>189031.28</v>
      </c>
      <c r="J129" s="962">
        <v>189031.28</v>
      </c>
      <c r="K129" s="962">
        <f t="shared" si="6"/>
        <v>0</v>
      </c>
      <c r="L129" s="962">
        <v>0</v>
      </c>
      <c r="M129" s="175">
        <f t="shared" si="9"/>
        <v>0</v>
      </c>
      <c r="N129" s="963">
        <f t="shared" si="8"/>
        <v>0</v>
      </c>
      <c r="O129" s="175"/>
      <c r="P129" s="175">
        <v>0</v>
      </c>
      <c r="Q129" s="964">
        <v>0</v>
      </c>
      <c r="R129" s="210" t="s">
        <v>3961</v>
      </c>
    </row>
    <row r="130" spans="1:18" ht="19.7" customHeight="1">
      <c r="A130" s="220" t="s">
        <v>730</v>
      </c>
      <c r="B130" s="184" t="s">
        <v>731</v>
      </c>
      <c r="C130" s="961" t="s">
        <v>821</v>
      </c>
      <c r="D130" s="192">
        <v>304746.39</v>
      </c>
      <c r="E130" s="947">
        <v>0</v>
      </c>
      <c r="F130" s="981">
        <v>178225.2</v>
      </c>
      <c r="G130" s="948">
        <v>0</v>
      </c>
      <c r="H130" s="982">
        <f>F130+G130</f>
        <v>178225.2</v>
      </c>
      <c r="I130" s="962">
        <v>126521.19</v>
      </c>
      <c r="J130" s="962">
        <v>126521.19</v>
      </c>
      <c r="K130" s="962">
        <f t="shared" si="6"/>
        <v>0</v>
      </c>
      <c r="L130" s="962">
        <v>0</v>
      </c>
      <c r="M130" s="175">
        <f t="shared" si="9"/>
        <v>0</v>
      </c>
      <c r="N130" s="963">
        <f t="shared" si="8"/>
        <v>0</v>
      </c>
      <c r="O130" s="175"/>
      <c r="P130" s="175">
        <v>0</v>
      </c>
      <c r="Q130" s="964">
        <v>0</v>
      </c>
      <c r="R130" s="210" t="s">
        <v>3961</v>
      </c>
    </row>
    <row r="131" spans="1:18" ht="19.7" customHeight="1">
      <c r="A131" s="220" t="s">
        <v>534</v>
      </c>
      <c r="B131" s="184" t="s">
        <v>736</v>
      </c>
      <c r="C131" s="961" t="s">
        <v>3421</v>
      </c>
      <c r="D131" s="238">
        <v>316151.5</v>
      </c>
      <c r="E131" s="947">
        <v>0</v>
      </c>
      <c r="F131" s="981">
        <v>0</v>
      </c>
      <c r="G131" s="948">
        <v>0</v>
      </c>
      <c r="H131" s="981">
        <v>0</v>
      </c>
      <c r="I131" s="948">
        <v>284409</v>
      </c>
      <c r="J131" s="962">
        <v>284409</v>
      </c>
      <c r="K131" s="962">
        <f t="shared" ref="K131:K173" si="10">+I131-J131</f>
        <v>0</v>
      </c>
      <c r="L131" s="948">
        <v>0</v>
      </c>
      <c r="M131" s="175">
        <f t="shared" si="9"/>
        <v>31742.5</v>
      </c>
      <c r="N131" s="962">
        <f t="shared" si="8"/>
        <v>0</v>
      </c>
      <c r="O131" s="175"/>
      <c r="P131" s="175">
        <v>0</v>
      </c>
      <c r="Q131" s="964">
        <v>0</v>
      </c>
      <c r="R131" s="210" t="s">
        <v>539</v>
      </c>
    </row>
    <row r="132" spans="1:18" ht="19.7" customHeight="1">
      <c r="A132" s="220" t="s">
        <v>534</v>
      </c>
      <c r="B132" s="184" t="s">
        <v>737</v>
      </c>
      <c r="C132" s="961" t="s">
        <v>779</v>
      </c>
      <c r="D132" s="192">
        <v>950019.91</v>
      </c>
      <c r="E132" s="947">
        <v>0</v>
      </c>
      <c r="F132" s="981">
        <v>0</v>
      </c>
      <c r="G132" s="948">
        <v>0</v>
      </c>
      <c r="H132" s="981">
        <v>0</v>
      </c>
      <c r="I132" s="948">
        <v>543925.49</v>
      </c>
      <c r="J132" s="962">
        <v>543925.49</v>
      </c>
      <c r="K132" s="962">
        <f t="shared" si="10"/>
        <v>0</v>
      </c>
      <c r="L132" s="948">
        <v>0</v>
      </c>
      <c r="M132" s="175">
        <f>D132-I132</f>
        <v>406094.42000000004</v>
      </c>
      <c r="N132" s="963">
        <f t="shared" si="8"/>
        <v>0</v>
      </c>
      <c r="O132" s="175"/>
      <c r="P132" s="175">
        <v>0</v>
      </c>
      <c r="Q132" s="964">
        <v>0</v>
      </c>
      <c r="R132" s="210" t="s">
        <v>479</v>
      </c>
    </row>
    <row r="133" spans="1:18" ht="19.7" customHeight="1">
      <c r="A133" s="220" t="s">
        <v>749</v>
      </c>
      <c r="B133" s="184" t="s">
        <v>750</v>
      </c>
      <c r="C133" s="961" t="s">
        <v>860</v>
      </c>
      <c r="D133" s="192">
        <v>62169.16</v>
      </c>
      <c r="E133" s="947">
        <v>0</v>
      </c>
      <c r="F133" s="981">
        <v>0</v>
      </c>
      <c r="G133" s="948">
        <v>0</v>
      </c>
      <c r="H133" s="981">
        <v>0</v>
      </c>
      <c r="I133" s="948">
        <v>62169.16</v>
      </c>
      <c r="J133" s="962">
        <v>62169.16</v>
      </c>
      <c r="K133" s="962">
        <f t="shared" si="10"/>
        <v>0</v>
      </c>
      <c r="L133" s="948">
        <v>0</v>
      </c>
      <c r="M133" s="175">
        <f>D133-E133-F133-I133</f>
        <v>0</v>
      </c>
      <c r="N133" s="963">
        <f t="shared" si="8"/>
        <v>0</v>
      </c>
      <c r="O133" s="175"/>
      <c r="P133" s="175">
        <v>0</v>
      </c>
      <c r="Q133" s="964">
        <v>0</v>
      </c>
      <c r="R133" s="210" t="s">
        <v>3961</v>
      </c>
    </row>
    <row r="134" spans="1:18" ht="19.7" customHeight="1">
      <c r="A134" s="212" t="s">
        <v>755</v>
      </c>
      <c r="B134" s="184" t="s">
        <v>757</v>
      </c>
      <c r="C134" s="961" t="s">
        <v>3413</v>
      </c>
      <c r="D134" s="197">
        <v>39016.769999999997</v>
      </c>
      <c r="E134" s="947">
        <v>0</v>
      </c>
      <c r="F134" s="981">
        <v>0</v>
      </c>
      <c r="G134" s="948">
        <v>0</v>
      </c>
      <c r="H134" s="981">
        <v>0</v>
      </c>
      <c r="I134" s="948">
        <v>39016.769999999997</v>
      </c>
      <c r="J134" s="962">
        <v>39016.769999999997</v>
      </c>
      <c r="K134" s="962">
        <f t="shared" si="10"/>
        <v>0</v>
      </c>
      <c r="L134" s="948">
        <v>0</v>
      </c>
      <c r="M134" s="175">
        <f>D134-E134-F134-I134</f>
        <v>0</v>
      </c>
      <c r="N134" s="963">
        <f t="shared" si="8"/>
        <v>0</v>
      </c>
      <c r="O134" s="175"/>
      <c r="P134" s="175">
        <v>0</v>
      </c>
      <c r="Q134" s="964">
        <v>0</v>
      </c>
      <c r="R134" s="210" t="s">
        <v>3983</v>
      </c>
    </row>
    <row r="135" spans="1:18" ht="19.7" customHeight="1">
      <c r="A135" s="212" t="s">
        <v>755</v>
      </c>
      <c r="B135" s="184" t="s">
        <v>758</v>
      </c>
      <c r="C135" s="961" t="s">
        <v>781</v>
      </c>
      <c r="D135" s="230">
        <v>236443.76</v>
      </c>
      <c r="E135" s="947">
        <v>0</v>
      </c>
      <c r="F135" s="981">
        <v>0</v>
      </c>
      <c r="G135" s="948">
        <v>0</v>
      </c>
      <c r="H135" s="981">
        <v>0</v>
      </c>
      <c r="I135" s="948">
        <v>174596.15</v>
      </c>
      <c r="J135" s="962">
        <v>174596.15</v>
      </c>
      <c r="K135" s="962">
        <f t="shared" si="10"/>
        <v>0</v>
      </c>
      <c r="L135" s="948">
        <v>0</v>
      </c>
      <c r="M135" s="175">
        <f>D135-E135-F135-I135</f>
        <v>61847.610000000015</v>
      </c>
      <c r="N135" s="963">
        <f t="shared" si="8"/>
        <v>0</v>
      </c>
      <c r="O135" s="175"/>
      <c r="P135" s="175">
        <v>0</v>
      </c>
      <c r="Q135" s="964">
        <v>0</v>
      </c>
      <c r="R135" s="210" t="s">
        <v>3917</v>
      </c>
    </row>
    <row r="136" spans="1:18" ht="19.7" customHeight="1">
      <c r="A136" s="212" t="s">
        <v>3984</v>
      </c>
      <c r="B136" s="184" t="s">
        <v>699</v>
      </c>
      <c r="C136" s="961" t="s">
        <v>812</v>
      </c>
      <c r="D136" s="197">
        <v>39643.120000000003</v>
      </c>
      <c r="E136" s="947">
        <v>0</v>
      </c>
      <c r="F136" s="981">
        <v>0</v>
      </c>
      <c r="G136" s="948">
        <v>0</v>
      </c>
      <c r="H136" s="981">
        <v>0</v>
      </c>
      <c r="I136" s="948">
        <v>39643.120000000003</v>
      </c>
      <c r="J136" s="962">
        <v>39643.120000000003</v>
      </c>
      <c r="K136" s="962">
        <f t="shared" si="10"/>
        <v>0</v>
      </c>
      <c r="L136" s="948">
        <v>0</v>
      </c>
      <c r="M136" s="175">
        <f>D136-E136-F136-I136</f>
        <v>0</v>
      </c>
      <c r="N136" s="963">
        <f t="shared" si="8"/>
        <v>0</v>
      </c>
      <c r="O136" s="175"/>
      <c r="P136" s="175">
        <v>0</v>
      </c>
      <c r="Q136" s="964">
        <v>0</v>
      </c>
      <c r="R136" s="210" t="s">
        <v>3983</v>
      </c>
    </row>
    <row r="137" spans="1:18" ht="19.7" customHeight="1">
      <c r="A137" s="212" t="s">
        <v>755</v>
      </c>
      <c r="B137" s="184" t="s">
        <v>3985</v>
      </c>
      <c r="C137" s="961" t="s">
        <v>3414</v>
      </c>
      <c r="D137" s="230">
        <v>68212.399999999994</v>
      </c>
      <c r="E137" s="947">
        <v>0</v>
      </c>
      <c r="F137" s="948">
        <v>0</v>
      </c>
      <c r="G137" s="948">
        <v>0</v>
      </c>
      <c r="H137" s="947">
        <v>0</v>
      </c>
      <c r="I137" s="948">
        <v>20000</v>
      </c>
      <c r="J137" s="962">
        <v>20000</v>
      </c>
      <c r="K137" s="962">
        <f t="shared" si="10"/>
        <v>0</v>
      </c>
      <c r="L137" s="962">
        <v>48212.4</v>
      </c>
      <c r="M137" s="175">
        <f>D137-E137-F137-I137-L137</f>
        <v>0</v>
      </c>
      <c r="N137" s="962">
        <f t="shared" si="8"/>
        <v>0</v>
      </c>
      <c r="O137" s="175"/>
      <c r="P137" s="175">
        <v>0</v>
      </c>
      <c r="Q137" s="964">
        <v>0</v>
      </c>
      <c r="R137" s="210" t="s">
        <v>3983</v>
      </c>
    </row>
    <row r="138" spans="1:18" ht="19.7" customHeight="1">
      <c r="A138" s="212" t="s">
        <v>755</v>
      </c>
      <c r="B138" s="184" t="s">
        <v>3417</v>
      </c>
      <c r="C138" s="961" t="s">
        <v>3418</v>
      </c>
      <c r="D138" s="230">
        <v>136799.07999999999</v>
      </c>
      <c r="E138" s="947">
        <v>0</v>
      </c>
      <c r="F138" s="981">
        <v>0</v>
      </c>
      <c r="G138" s="981">
        <v>0</v>
      </c>
      <c r="H138" s="981">
        <v>0</v>
      </c>
      <c r="I138" s="948">
        <v>22000</v>
      </c>
      <c r="J138" s="962">
        <v>22000</v>
      </c>
      <c r="K138" s="962">
        <f t="shared" si="10"/>
        <v>0</v>
      </c>
      <c r="L138" s="962">
        <f>D138-I138</f>
        <v>114799.07999999999</v>
      </c>
      <c r="M138" s="175">
        <f>D138-E138-F138-I138-L138</f>
        <v>0</v>
      </c>
      <c r="N138" s="963">
        <f t="shared" si="8"/>
        <v>0</v>
      </c>
      <c r="O138" s="175"/>
      <c r="P138" s="175">
        <v>0</v>
      </c>
      <c r="Q138" s="964">
        <v>0</v>
      </c>
      <c r="R138" s="210" t="s">
        <v>3981</v>
      </c>
    </row>
    <row r="139" spans="1:18" ht="19.7" customHeight="1">
      <c r="A139" s="212" t="s">
        <v>3415</v>
      </c>
      <c r="B139" s="184" t="s">
        <v>651</v>
      </c>
      <c r="C139" s="961" t="s">
        <v>3416</v>
      </c>
      <c r="D139" s="197">
        <v>409689.13</v>
      </c>
      <c r="E139" s="947">
        <v>0</v>
      </c>
      <c r="F139" s="981">
        <v>0</v>
      </c>
      <c r="G139" s="981">
        <v>0</v>
      </c>
      <c r="H139" s="981">
        <v>0</v>
      </c>
      <c r="I139" s="948">
        <v>409689.13</v>
      </c>
      <c r="J139" s="962">
        <v>409689.13</v>
      </c>
      <c r="K139" s="962">
        <f t="shared" si="10"/>
        <v>0</v>
      </c>
      <c r="L139" s="948">
        <v>0</v>
      </c>
      <c r="M139" s="175">
        <f>D139-E139-F139-I139</f>
        <v>0</v>
      </c>
      <c r="N139" s="963">
        <f t="shared" si="8"/>
        <v>0</v>
      </c>
      <c r="O139" s="175"/>
      <c r="P139" s="175">
        <v>0</v>
      </c>
      <c r="Q139" s="964">
        <v>0</v>
      </c>
      <c r="R139" s="210" t="s">
        <v>3908</v>
      </c>
    </row>
    <row r="140" spans="1:18" ht="19.7" customHeight="1">
      <c r="A140" s="220" t="s">
        <v>755</v>
      </c>
      <c r="B140" s="184" t="s">
        <v>759</v>
      </c>
      <c r="C140" s="961" t="s">
        <v>780</v>
      </c>
      <c r="D140" s="192">
        <v>188500</v>
      </c>
      <c r="E140" s="193">
        <v>0</v>
      </c>
      <c r="F140" s="981">
        <v>0</v>
      </c>
      <c r="G140" s="981">
        <v>0</v>
      </c>
      <c r="H140" s="981">
        <v>0</v>
      </c>
      <c r="I140" s="948">
        <v>52252.06</v>
      </c>
      <c r="J140" s="962">
        <v>52252.06</v>
      </c>
      <c r="K140" s="962">
        <f t="shared" si="10"/>
        <v>0</v>
      </c>
      <c r="L140" s="948">
        <v>0</v>
      </c>
      <c r="M140" s="175">
        <f>D140-E140-F140-I140</f>
        <v>136247.94</v>
      </c>
      <c r="N140" s="963">
        <f t="shared" si="8"/>
        <v>0</v>
      </c>
      <c r="O140" s="175"/>
      <c r="P140" s="175">
        <v>0</v>
      </c>
      <c r="Q140" s="964">
        <v>0</v>
      </c>
      <c r="R140" s="210" t="s">
        <v>539</v>
      </c>
    </row>
    <row r="141" spans="1:18" ht="19.7" customHeight="1">
      <c r="A141" s="220" t="s">
        <v>762</v>
      </c>
      <c r="B141" s="184" t="s">
        <v>815</v>
      </c>
      <c r="C141" s="961" t="s">
        <v>814</v>
      </c>
      <c r="D141" s="192">
        <v>68334.28</v>
      </c>
      <c r="E141" s="193">
        <v>0</v>
      </c>
      <c r="F141" s="981">
        <v>0</v>
      </c>
      <c r="G141" s="981">
        <v>0</v>
      </c>
      <c r="H141" s="981">
        <v>0</v>
      </c>
      <c r="I141" s="948">
        <v>68334.28</v>
      </c>
      <c r="J141" s="962">
        <v>68334.28</v>
      </c>
      <c r="K141" s="962">
        <f t="shared" si="10"/>
        <v>0</v>
      </c>
      <c r="L141" s="948">
        <v>0</v>
      </c>
      <c r="M141" s="175">
        <f>D141-E141-F141-I141</f>
        <v>0</v>
      </c>
      <c r="N141" s="962">
        <f t="shared" si="8"/>
        <v>0</v>
      </c>
      <c r="O141" s="222"/>
      <c r="P141" s="175">
        <v>0</v>
      </c>
      <c r="Q141" s="964">
        <v>0</v>
      </c>
      <c r="R141" s="210" t="s">
        <v>3911</v>
      </c>
    </row>
    <row r="142" spans="1:18" ht="19.7" customHeight="1">
      <c r="A142" s="220" t="s">
        <v>592</v>
      </c>
      <c r="B142" s="184" t="s">
        <v>768</v>
      </c>
      <c r="C142" s="961" t="s">
        <v>3412</v>
      </c>
      <c r="D142" s="192">
        <v>68759.14</v>
      </c>
      <c r="E142" s="193">
        <v>0</v>
      </c>
      <c r="F142" s="981">
        <v>0</v>
      </c>
      <c r="G142" s="981">
        <v>0</v>
      </c>
      <c r="H142" s="981">
        <v>0</v>
      </c>
      <c r="I142" s="948">
        <v>68759.14</v>
      </c>
      <c r="J142" s="962">
        <v>68759.14</v>
      </c>
      <c r="K142" s="962">
        <f t="shared" si="10"/>
        <v>0</v>
      </c>
      <c r="L142" s="948">
        <v>0</v>
      </c>
      <c r="M142" s="175">
        <f>D142-E142-F142-I142</f>
        <v>0</v>
      </c>
      <c r="N142" s="962">
        <f t="shared" si="8"/>
        <v>0</v>
      </c>
      <c r="O142" s="222"/>
      <c r="P142" s="175">
        <v>0</v>
      </c>
      <c r="Q142" s="964">
        <v>0</v>
      </c>
      <c r="R142" s="210" t="s">
        <v>3981</v>
      </c>
    </row>
    <row r="143" spans="1:18" ht="19.7" customHeight="1">
      <c r="A143" s="974" t="s">
        <v>740</v>
      </c>
      <c r="B143" s="195" t="s">
        <v>741</v>
      </c>
      <c r="C143" s="975" t="s">
        <v>3986</v>
      </c>
      <c r="D143" s="197">
        <v>27687.72</v>
      </c>
      <c r="E143" s="197">
        <v>0</v>
      </c>
      <c r="F143" s="947">
        <v>0</v>
      </c>
      <c r="G143" s="188">
        <v>0</v>
      </c>
      <c r="H143" s="948">
        <v>0</v>
      </c>
      <c r="I143" s="948">
        <v>27687.72</v>
      </c>
      <c r="J143" s="962">
        <v>27687.72</v>
      </c>
      <c r="K143" s="962">
        <f t="shared" si="10"/>
        <v>0</v>
      </c>
      <c r="L143" s="948">
        <v>0</v>
      </c>
      <c r="M143" s="175">
        <f>D143-E143-F143-I143</f>
        <v>0</v>
      </c>
      <c r="N143" s="962"/>
      <c r="O143" s="175"/>
      <c r="P143" s="175">
        <v>0</v>
      </c>
      <c r="Q143" s="964">
        <v>0</v>
      </c>
      <c r="R143" s="210" t="s">
        <v>3981</v>
      </c>
    </row>
    <row r="144" spans="1:18" ht="19.7" customHeight="1">
      <c r="A144" s="220" t="s">
        <v>747</v>
      </c>
      <c r="B144" s="184" t="s">
        <v>748</v>
      </c>
      <c r="C144" s="961" t="s">
        <v>790</v>
      </c>
      <c r="D144" s="192">
        <v>230000</v>
      </c>
      <c r="E144" s="193">
        <v>0</v>
      </c>
      <c r="F144" s="981">
        <v>0</v>
      </c>
      <c r="G144" s="981">
        <v>0</v>
      </c>
      <c r="H144" s="981">
        <v>0</v>
      </c>
      <c r="I144" s="948">
        <v>0</v>
      </c>
      <c r="J144" s="962">
        <v>0</v>
      </c>
      <c r="K144" s="962">
        <f t="shared" si="10"/>
        <v>0</v>
      </c>
      <c r="L144" s="948">
        <f>11983.6*0</f>
        <v>0</v>
      </c>
      <c r="M144" s="175">
        <f>D144-E144-F144</f>
        <v>230000</v>
      </c>
      <c r="N144" s="962"/>
      <c r="O144" s="222"/>
      <c r="P144" s="175">
        <v>0</v>
      </c>
      <c r="Q144" s="964">
        <v>0</v>
      </c>
      <c r="R144" s="210" t="s">
        <v>479</v>
      </c>
    </row>
    <row r="145" spans="1:18" ht="19.7" customHeight="1">
      <c r="A145" s="220" t="s">
        <v>751</v>
      </c>
      <c r="B145" s="184" t="s">
        <v>752</v>
      </c>
      <c r="C145" s="961" t="s">
        <v>3987</v>
      </c>
      <c r="D145" s="192">
        <v>168000</v>
      </c>
      <c r="E145" s="193">
        <v>0</v>
      </c>
      <c r="F145" s="981">
        <v>0</v>
      </c>
      <c r="G145" s="981">
        <v>0</v>
      </c>
      <c r="H145" s="981">
        <v>0</v>
      </c>
      <c r="I145" s="948">
        <v>168000</v>
      </c>
      <c r="J145" s="962">
        <v>168000</v>
      </c>
      <c r="K145" s="962">
        <f t="shared" si="10"/>
        <v>0</v>
      </c>
      <c r="L145" s="948">
        <v>0</v>
      </c>
      <c r="M145" s="175">
        <f>D145-E145-F145-I145</f>
        <v>0</v>
      </c>
      <c r="N145" s="962"/>
      <c r="O145" s="222"/>
      <c r="P145" s="175">
        <v>0</v>
      </c>
      <c r="Q145" s="964">
        <v>0</v>
      </c>
      <c r="R145" s="210" t="s">
        <v>3981</v>
      </c>
    </row>
    <row r="146" spans="1:18" ht="19.7" customHeight="1">
      <c r="A146" s="220" t="s">
        <v>753</v>
      </c>
      <c r="B146" s="184" t="s">
        <v>3988</v>
      </c>
      <c r="C146" s="961" t="s">
        <v>3989</v>
      </c>
      <c r="D146" s="192">
        <v>98124</v>
      </c>
      <c r="E146" s="193">
        <v>0</v>
      </c>
      <c r="F146" s="981">
        <v>0</v>
      </c>
      <c r="G146" s="981">
        <v>0</v>
      </c>
      <c r="H146" s="981">
        <v>0</v>
      </c>
      <c r="I146" s="948">
        <v>98124</v>
      </c>
      <c r="J146" s="962">
        <v>98124</v>
      </c>
      <c r="K146" s="962">
        <f t="shared" si="10"/>
        <v>0</v>
      </c>
      <c r="L146" s="948">
        <v>0</v>
      </c>
      <c r="M146" s="175">
        <f>D146-E146-F146-I146</f>
        <v>0</v>
      </c>
      <c r="N146" s="962"/>
      <c r="O146" s="222"/>
      <c r="P146" s="175">
        <v>0</v>
      </c>
      <c r="Q146" s="964">
        <v>0</v>
      </c>
      <c r="R146" s="210" t="s">
        <v>3908</v>
      </c>
    </row>
    <row r="147" spans="1:18" ht="19.7" customHeight="1">
      <c r="A147" s="986" t="s">
        <v>3990</v>
      </c>
      <c r="B147" s="986" t="s">
        <v>3991</v>
      </c>
      <c r="C147" s="961" t="s">
        <v>3992</v>
      </c>
      <c r="D147" s="192">
        <v>616229.89</v>
      </c>
      <c r="E147" s="193">
        <v>0</v>
      </c>
      <c r="F147" s="981">
        <v>0</v>
      </c>
      <c r="G147" s="981">
        <v>0</v>
      </c>
      <c r="H147" s="981">
        <v>0</v>
      </c>
      <c r="I147" s="948">
        <v>181634.4</v>
      </c>
      <c r="J147" s="962">
        <v>181634.4</v>
      </c>
      <c r="K147" s="962">
        <f t="shared" si="10"/>
        <v>0</v>
      </c>
      <c r="L147" s="948">
        <v>0</v>
      </c>
      <c r="M147" s="175">
        <v>200000</v>
      </c>
      <c r="N147" s="962"/>
      <c r="O147" s="222"/>
      <c r="P147" s="175">
        <f>D147-E147-F147-M147-I147</f>
        <v>234595.49000000002</v>
      </c>
      <c r="Q147" s="964">
        <v>0</v>
      </c>
      <c r="R147" s="210" t="s">
        <v>685</v>
      </c>
    </row>
    <row r="148" spans="1:18" ht="19.7" customHeight="1">
      <c r="A148" s="220" t="s">
        <v>3993</v>
      </c>
      <c r="B148" s="184" t="s">
        <v>3994</v>
      </c>
      <c r="C148" s="961" t="s">
        <v>3995</v>
      </c>
      <c r="D148" s="192">
        <v>1452266</v>
      </c>
      <c r="E148" s="193">
        <v>0</v>
      </c>
      <c r="F148" s="981">
        <v>0</v>
      </c>
      <c r="G148" s="981">
        <v>0</v>
      </c>
      <c r="H148" s="981">
        <v>0</v>
      </c>
      <c r="I148" s="948">
        <v>55503.199999999997</v>
      </c>
      <c r="J148" s="962">
        <v>55503.199999999997</v>
      </c>
      <c r="K148" s="962">
        <f t="shared" si="10"/>
        <v>0</v>
      </c>
      <c r="L148" s="948">
        <v>0</v>
      </c>
      <c r="M148" s="175">
        <v>700000</v>
      </c>
      <c r="N148" s="962"/>
      <c r="O148" s="222"/>
      <c r="P148" s="175">
        <f>D148-E148-F148-M148-I148</f>
        <v>696762.8</v>
      </c>
      <c r="Q148" s="964">
        <v>0</v>
      </c>
      <c r="R148" s="210" t="s">
        <v>692</v>
      </c>
    </row>
    <row r="149" spans="1:18" ht="19.7" customHeight="1">
      <c r="A149" s="220" t="s">
        <v>3996</v>
      </c>
      <c r="B149" s="184" t="s">
        <v>3997</v>
      </c>
      <c r="C149" s="961" t="s">
        <v>3998</v>
      </c>
      <c r="D149" s="192">
        <v>2304486.86</v>
      </c>
      <c r="E149" s="193">
        <v>0</v>
      </c>
      <c r="F149" s="981">
        <v>0</v>
      </c>
      <c r="G149" s="981">
        <v>0</v>
      </c>
      <c r="H149" s="981">
        <v>0</v>
      </c>
      <c r="I149" s="948">
        <v>406130.95</v>
      </c>
      <c r="J149" s="962">
        <v>406130.95</v>
      </c>
      <c r="K149" s="962">
        <f t="shared" si="10"/>
        <v>0</v>
      </c>
      <c r="L149" s="948">
        <v>0</v>
      </c>
      <c r="M149" s="175">
        <v>800000</v>
      </c>
      <c r="N149" s="962"/>
      <c r="O149" s="222"/>
      <c r="P149" s="175">
        <f>D149-E149-F149-M149-I149</f>
        <v>1098355.9099999999</v>
      </c>
      <c r="Q149" s="964">
        <v>0</v>
      </c>
      <c r="R149" s="210" t="s">
        <v>692</v>
      </c>
    </row>
    <row r="150" spans="1:18" ht="19.7" customHeight="1">
      <c r="A150" s="220" t="s">
        <v>3999</v>
      </c>
      <c r="B150" s="184" t="s">
        <v>4000</v>
      </c>
      <c r="C150" s="961" t="s">
        <v>4001</v>
      </c>
      <c r="D150" s="238">
        <v>113489.31</v>
      </c>
      <c r="E150" s="193">
        <v>0</v>
      </c>
      <c r="F150" s="981">
        <v>0</v>
      </c>
      <c r="G150" s="981">
        <v>0</v>
      </c>
      <c r="H150" s="981">
        <v>0</v>
      </c>
      <c r="I150" s="948">
        <v>14220.21</v>
      </c>
      <c r="J150" s="962">
        <v>14220.21</v>
      </c>
      <c r="K150" s="962">
        <f t="shared" si="10"/>
        <v>0</v>
      </c>
      <c r="L150" s="948">
        <v>0</v>
      </c>
      <c r="M150" s="175">
        <f>D150-E150-F150-I150</f>
        <v>99269.1</v>
      </c>
      <c r="N150" s="962"/>
      <c r="O150" s="175"/>
      <c r="P150" s="175">
        <v>0</v>
      </c>
      <c r="Q150" s="964">
        <v>0</v>
      </c>
      <c r="R150" s="210" t="s">
        <v>735</v>
      </c>
    </row>
    <row r="151" spans="1:18" ht="19.7" customHeight="1">
      <c r="A151" s="190" t="s">
        <v>4002</v>
      </c>
      <c r="B151" s="184" t="s">
        <v>4003</v>
      </c>
      <c r="C151" s="961" t="s">
        <v>4004</v>
      </c>
      <c r="D151" s="192">
        <v>43100</v>
      </c>
      <c r="E151" s="193">
        <v>0</v>
      </c>
      <c r="F151" s="981">
        <v>0</v>
      </c>
      <c r="G151" s="981"/>
      <c r="H151" s="981"/>
      <c r="I151" s="948">
        <v>32325</v>
      </c>
      <c r="J151" s="962">
        <v>32325</v>
      </c>
      <c r="K151" s="962">
        <f t="shared" si="10"/>
        <v>0</v>
      </c>
      <c r="L151" s="948">
        <v>0</v>
      </c>
      <c r="M151" s="175">
        <f>D151-I151</f>
        <v>10775</v>
      </c>
      <c r="N151" s="962"/>
      <c r="O151" s="175"/>
      <c r="P151" s="175">
        <v>0</v>
      </c>
      <c r="Q151" s="964">
        <v>0</v>
      </c>
      <c r="R151" s="210" t="s">
        <v>3917</v>
      </c>
    </row>
    <row r="152" spans="1:18" ht="19.7" customHeight="1">
      <c r="A152" s="212" t="s">
        <v>4005</v>
      </c>
      <c r="B152" s="184" t="s">
        <v>4006</v>
      </c>
      <c r="C152" s="975" t="s">
        <v>4007</v>
      </c>
      <c r="D152" s="197">
        <v>24124.799999999999</v>
      </c>
      <c r="E152" s="947">
        <v>0</v>
      </c>
      <c r="F152" s="981">
        <v>0</v>
      </c>
      <c r="G152" s="981"/>
      <c r="H152" s="981"/>
      <c r="I152" s="948">
        <v>24124.799999999999</v>
      </c>
      <c r="J152" s="962">
        <v>24124.799999999999</v>
      </c>
      <c r="K152" s="962">
        <f t="shared" si="10"/>
        <v>0</v>
      </c>
      <c r="L152" s="948">
        <v>0</v>
      </c>
      <c r="M152" s="222">
        <v>0</v>
      </c>
      <c r="N152" s="175"/>
      <c r="O152" s="175"/>
      <c r="P152" s="175">
        <v>0</v>
      </c>
      <c r="Q152" s="987">
        <v>0</v>
      </c>
      <c r="R152" s="210" t="s">
        <v>474</v>
      </c>
    </row>
    <row r="153" spans="1:18" ht="19.7" customHeight="1">
      <c r="A153" s="220" t="s">
        <v>632</v>
      </c>
      <c r="B153" s="184" t="s">
        <v>4008</v>
      </c>
      <c r="C153" s="961" t="s">
        <v>4009</v>
      </c>
      <c r="D153" s="192">
        <v>171066.32</v>
      </c>
      <c r="E153" s="193">
        <v>0</v>
      </c>
      <c r="F153" s="981">
        <v>0</v>
      </c>
      <c r="G153" s="981"/>
      <c r="H153" s="981"/>
      <c r="I153" s="948">
        <v>95492.24</v>
      </c>
      <c r="J153" s="962">
        <v>95492.24</v>
      </c>
      <c r="K153" s="962">
        <f t="shared" si="10"/>
        <v>0</v>
      </c>
      <c r="L153" s="948">
        <v>0</v>
      </c>
      <c r="M153" s="222">
        <v>75574.080000000002</v>
      </c>
      <c r="N153" s="175"/>
      <c r="O153" s="175"/>
      <c r="P153" s="175">
        <v>0</v>
      </c>
      <c r="Q153" s="987">
        <v>0</v>
      </c>
      <c r="R153" s="210" t="s">
        <v>735</v>
      </c>
    </row>
    <row r="154" spans="1:18" ht="19.7" customHeight="1">
      <c r="A154" s="220" t="s">
        <v>4010</v>
      </c>
      <c r="B154" s="184" t="s">
        <v>4011</v>
      </c>
      <c r="C154" s="961" t="s">
        <v>4012</v>
      </c>
      <c r="D154" s="192">
        <v>1900000</v>
      </c>
      <c r="E154" s="193">
        <v>0</v>
      </c>
      <c r="F154" s="981">
        <v>0</v>
      </c>
      <c r="G154" s="981">
        <v>0</v>
      </c>
      <c r="H154" s="981">
        <v>0</v>
      </c>
      <c r="I154" s="948">
        <v>173415.4</v>
      </c>
      <c r="J154" s="962">
        <v>173415.4</v>
      </c>
      <c r="K154" s="962">
        <f t="shared" si="10"/>
        <v>0</v>
      </c>
      <c r="L154" s="948">
        <v>0</v>
      </c>
      <c r="M154" s="222">
        <v>900000</v>
      </c>
      <c r="N154" s="222"/>
      <c r="O154" s="222"/>
      <c r="P154" s="175">
        <f>D154-E154-F154-M154-I154</f>
        <v>826584.6</v>
      </c>
      <c r="Q154" s="987">
        <v>0</v>
      </c>
      <c r="R154" s="210" t="s">
        <v>692</v>
      </c>
    </row>
    <row r="155" spans="1:18" ht="19.7" customHeight="1">
      <c r="A155" s="220" t="s">
        <v>4013</v>
      </c>
      <c r="B155" s="184" t="s">
        <v>4014</v>
      </c>
      <c r="C155" s="961" t="s">
        <v>4015</v>
      </c>
      <c r="D155" s="192">
        <v>138589.53</v>
      </c>
      <c r="E155" s="193">
        <v>0</v>
      </c>
      <c r="F155" s="981">
        <v>0</v>
      </c>
      <c r="G155" s="981">
        <v>0</v>
      </c>
      <c r="H155" s="981">
        <v>0</v>
      </c>
      <c r="I155" s="948">
        <v>138589.53</v>
      </c>
      <c r="J155" s="962">
        <v>138589.53</v>
      </c>
      <c r="K155" s="962">
        <f t="shared" si="10"/>
        <v>0</v>
      </c>
      <c r="L155" s="948">
        <v>0</v>
      </c>
      <c r="M155" s="222">
        <f>D155-E155-F155-I155</f>
        <v>0</v>
      </c>
      <c r="N155" s="175"/>
      <c r="O155" s="175"/>
      <c r="P155" s="175">
        <v>0</v>
      </c>
      <c r="Q155" s="987">
        <v>0</v>
      </c>
      <c r="R155" s="210" t="s">
        <v>3981</v>
      </c>
    </row>
    <row r="156" spans="1:18" ht="19.7" customHeight="1">
      <c r="A156" s="220" t="s">
        <v>4016</v>
      </c>
      <c r="B156" s="184" t="s">
        <v>4017</v>
      </c>
      <c r="C156" s="961" t="s">
        <v>4018</v>
      </c>
      <c r="D156" s="197">
        <v>47133.1</v>
      </c>
      <c r="E156" s="193">
        <v>0</v>
      </c>
      <c r="F156" s="981">
        <v>0</v>
      </c>
      <c r="G156" s="981">
        <v>0</v>
      </c>
      <c r="H156" s="981">
        <v>0</v>
      </c>
      <c r="I156" s="948">
        <v>47133.1</v>
      </c>
      <c r="J156" s="962">
        <v>47133.1</v>
      </c>
      <c r="K156" s="962">
        <f t="shared" si="10"/>
        <v>0</v>
      </c>
      <c r="L156" s="948">
        <v>0</v>
      </c>
      <c r="M156" s="222">
        <f>D156-E156-F156-I156</f>
        <v>0</v>
      </c>
      <c r="N156" s="222"/>
      <c r="O156" s="222"/>
      <c r="P156" s="175">
        <v>0</v>
      </c>
      <c r="Q156" s="987">
        <v>0</v>
      </c>
      <c r="R156" s="210" t="s">
        <v>3911</v>
      </c>
    </row>
    <row r="157" spans="1:18" ht="19.7" customHeight="1">
      <c r="A157" s="220" t="s">
        <v>4019</v>
      </c>
      <c r="B157" s="184" t="s">
        <v>4020</v>
      </c>
      <c r="C157" s="961" t="s">
        <v>4021</v>
      </c>
      <c r="D157" s="192">
        <v>66276</v>
      </c>
      <c r="E157" s="193">
        <v>0</v>
      </c>
      <c r="F157" s="981">
        <v>0</v>
      </c>
      <c r="G157" s="981">
        <v>0</v>
      </c>
      <c r="H157" s="981">
        <v>0</v>
      </c>
      <c r="I157" s="948">
        <v>66276</v>
      </c>
      <c r="J157" s="962">
        <v>66276</v>
      </c>
      <c r="K157" s="962">
        <f t="shared" si="10"/>
        <v>0</v>
      </c>
      <c r="L157" s="948">
        <v>0</v>
      </c>
      <c r="M157" s="222">
        <f>D157-E157-F157-I157</f>
        <v>0</v>
      </c>
      <c r="N157" s="222"/>
      <c r="O157" s="222"/>
      <c r="P157" s="175">
        <v>0</v>
      </c>
      <c r="Q157" s="987">
        <v>0</v>
      </c>
      <c r="R157" s="210" t="s">
        <v>3908</v>
      </c>
    </row>
    <row r="158" spans="1:18" ht="19.7" customHeight="1">
      <c r="A158" s="220" t="s">
        <v>722</v>
      </c>
      <c r="B158" s="184" t="s">
        <v>4022</v>
      </c>
      <c r="C158" s="961" t="s">
        <v>4023</v>
      </c>
      <c r="D158" s="192">
        <v>91250</v>
      </c>
      <c r="E158" s="193">
        <v>0</v>
      </c>
      <c r="F158" s="981">
        <v>0</v>
      </c>
      <c r="G158" s="981">
        <v>0</v>
      </c>
      <c r="H158" s="981">
        <v>0</v>
      </c>
      <c r="I158" s="948">
        <v>0</v>
      </c>
      <c r="J158" s="962">
        <v>0</v>
      </c>
      <c r="K158" s="962">
        <f t="shared" si="10"/>
        <v>0</v>
      </c>
      <c r="L158" s="948">
        <v>0</v>
      </c>
      <c r="M158" s="222">
        <f>D158-E158-F158</f>
        <v>91250</v>
      </c>
      <c r="N158" s="222"/>
      <c r="O158" s="222"/>
      <c r="P158" s="175">
        <v>0</v>
      </c>
      <c r="Q158" s="987">
        <v>0</v>
      </c>
      <c r="R158" s="210" t="s">
        <v>479</v>
      </c>
    </row>
    <row r="159" spans="1:18" ht="19.7" customHeight="1">
      <c r="A159" s="986" t="s">
        <v>755</v>
      </c>
      <c r="B159" s="986" t="s">
        <v>756</v>
      </c>
      <c r="C159" s="961" t="s">
        <v>778</v>
      </c>
      <c r="D159" s="238">
        <v>546016</v>
      </c>
      <c r="E159" s="193">
        <v>0</v>
      </c>
      <c r="F159" s="981">
        <v>0</v>
      </c>
      <c r="G159" s="981">
        <v>0</v>
      </c>
      <c r="H159" s="981">
        <v>0</v>
      </c>
      <c r="I159" s="948">
        <v>273508</v>
      </c>
      <c r="J159" s="962">
        <v>273508</v>
      </c>
      <c r="K159" s="962">
        <f t="shared" si="10"/>
        <v>0</v>
      </c>
      <c r="L159" s="948">
        <v>0</v>
      </c>
      <c r="M159" s="222">
        <f>D159-E159-F159-I159</f>
        <v>272508</v>
      </c>
      <c r="N159" s="222"/>
      <c r="O159" s="222"/>
      <c r="P159" s="175">
        <v>0</v>
      </c>
      <c r="Q159" s="987">
        <v>0</v>
      </c>
      <c r="R159" s="210" t="s">
        <v>3917</v>
      </c>
    </row>
    <row r="160" spans="1:18" ht="19.7" customHeight="1">
      <c r="A160" s="986" t="s">
        <v>765</v>
      </c>
      <c r="B160" s="986" t="s">
        <v>766</v>
      </c>
      <c r="C160" s="961" t="s">
        <v>4024</v>
      </c>
      <c r="D160" s="192">
        <v>5558548.8200000003</v>
      </c>
      <c r="E160" s="193">
        <v>0</v>
      </c>
      <c r="F160" s="981">
        <v>0</v>
      </c>
      <c r="G160" s="981">
        <v>0</v>
      </c>
      <c r="H160" s="981">
        <v>0</v>
      </c>
      <c r="I160" s="948">
        <v>30472.28</v>
      </c>
      <c r="J160" s="962">
        <v>30472.28</v>
      </c>
      <c r="K160" s="962">
        <f t="shared" si="10"/>
        <v>0</v>
      </c>
      <c r="L160" s="948">
        <v>0</v>
      </c>
      <c r="M160" s="222">
        <v>2000000</v>
      </c>
      <c r="N160" s="222"/>
      <c r="O160" s="222"/>
      <c r="P160" s="175">
        <f>D160-E160-F160-M160-I160</f>
        <v>3528076.5400000005</v>
      </c>
      <c r="Q160" s="987">
        <v>0</v>
      </c>
      <c r="R160" s="210" t="s">
        <v>692</v>
      </c>
    </row>
    <row r="161" spans="1:18" ht="19.7" customHeight="1">
      <c r="A161" s="986" t="s">
        <v>765</v>
      </c>
      <c r="B161" s="986" t="s">
        <v>766</v>
      </c>
      <c r="C161" s="961" t="s">
        <v>831</v>
      </c>
      <c r="D161" s="192">
        <v>14427060.65</v>
      </c>
      <c r="E161" s="193">
        <v>0</v>
      </c>
      <c r="F161" s="981">
        <v>0</v>
      </c>
      <c r="G161" s="981">
        <v>0</v>
      </c>
      <c r="H161" s="981">
        <v>0</v>
      </c>
      <c r="I161" s="948">
        <v>215828.91</v>
      </c>
      <c r="J161" s="962">
        <v>215828.91</v>
      </c>
      <c r="K161" s="962">
        <f t="shared" si="10"/>
        <v>0</v>
      </c>
      <c r="L161" s="948">
        <v>0</v>
      </c>
      <c r="M161" s="222">
        <v>3000000</v>
      </c>
      <c r="N161" s="222"/>
      <c r="O161" s="222"/>
      <c r="P161" s="175">
        <f>D161-E161-F161-M161-I161</f>
        <v>11211231.74</v>
      </c>
      <c r="Q161" s="987">
        <v>0</v>
      </c>
      <c r="R161" s="210" t="s">
        <v>767</v>
      </c>
    </row>
    <row r="162" spans="1:18" ht="19.7" customHeight="1">
      <c r="A162" s="959" t="s">
        <v>553</v>
      </c>
      <c r="B162" s="959" t="s">
        <v>554</v>
      </c>
      <c r="C162" s="958" t="s">
        <v>801</v>
      </c>
      <c r="D162" s="192">
        <v>22876701</v>
      </c>
      <c r="E162" s="193">
        <v>0</v>
      </c>
      <c r="F162" s="981">
        <v>11715589.57</v>
      </c>
      <c r="G162" s="981">
        <v>0</v>
      </c>
      <c r="H162" s="982">
        <f>F162+G162</f>
        <v>11715589.57</v>
      </c>
      <c r="I162" s="962">
        <f>5188905.82+637311.18</f>
        <v>5826217</v>
      </c>
      <c r="J162" s="962">
        <v>5826217.0099999998</v>
      </c>
      <c r="K162" s="962">
        <f t="shared" si="10"/>
        <v>-9.9999997764825821E-3</v>
      </c>
      <c r="L162" s="962">
        <f>945246.19-637311.18</f>
        <v>307935.00999999989</v>
      </c>
      <c r="M162" s="222">
        <v>4000000</v>
      </c>
      <c r="N162" s="222">
        <f t="shared" ref="N162:N167" si="11">O162*I162</f>
        <v>0</v>
      </c>
      <c r="O162" s="222"/>
      <c r="P162" s="175">
        <f>D162-E162-F162-M162-I162-L162</f>
        <v>1026959.4199999998</v>
      </c>
      <c r="Q162" s="987">
        <v>0</v>
      </c>
      <c r="R162" s="204" t="s">
        <v>3932</v>
      </c>
    </row>
    <row r="163" spans="1:18" ht="19.7" customHeight="1">
      <c r="A163" s="986" t="s">
        <v>722</v>
      </c>
      <c r="B163" s="986" t="s">
        <v>723</v>
      </c>
      <c r="C163" s="961" t="s">
        <v>836</v>
      </c>
      <c r="D163" s="192">
        <v>96779.6</v>
      </c>
      <c r="E163" s="193">
        <v>0</v>
      </c>
      <c r="F163" s="981">
        <v>0</v>
      </c>
      <c r="G163" s="981">
        <v>0</v>
      </c>
      <c r="H163" s="982">
        <f>F163+G163</f>
        <v>0</v>
      </c>
      <c r="I163" s="962">
        <v>96779.6</v>
      </c>
      <c r="J163" s="962">
        <v>96779.609999999986</v>
      </c>
      <c r="K163" s="962">
        <f t="shared" si="10"/>
        <v>-9.9999999802093953E-3</v>
      </c>
      <c r="L163" s="948">
        <v>0</v>
      </c>
      <c r="M163" s="222">
        <f>D163-F163-I163</f>
        <v>0</v>
      </c>
      <c r="N163" s="211">
        <f t="shared" si="11"/>
        <v>0</v>
      </c>
      <c r="O163" s="222"/>
      <c r="P163" s="175">
        <v>0</v>
      </c>
      <c r="Q163" s="987">
        <v>0</v>
      </c>
      <c r="R163" s="210" t="s">
        <v>3983</v>
      </c>
    </row>
    <row r="164" spans="1:18" ht="19.7" customHeight="1">
      <c r="A164" s="986" t="s">
        <v>714</v>
      </c>
      <c r="B164" s="986" t="s">
        <v>699</v>
      </c>
      <c r="C164" s="961" t="s">
        <v>861</v>
      </c>
      <c r="D164" s="192">
        <v>79749.899999999994</v>
      </c>
      <c r="E164" s="193">
        <v>0</v>
      </c>
      <c r="F164" s="981">
        <v>67594.740000000005</v>
      </c>
      <c r="G164" s="981">
        <v>0</v>
      </c>
      <c r="H164" s="982">
        <f>F164+G164</f>
        <v>67594.740000000005</v>
      </c>
      <c r="I164" s="962">
        <v>12155.16</v>
      </c>
      <c r="J164" s="962">
        <v>12155.17</v>
      </c>
      <c r="K164" s="962">
        <f t="shared" si="10"/>
        <v>-1.0000000000218279E-2</v>
      </c>
      <c r="L164" s="948">
        <v>0</v>
      </c>
      <c r="M164" s="222">
        <f>D164-F164-I164</f>
        <v>0</v>
      </c>
      <c r="N164" s="211">
        <f t="shared" si="11"/>
        <v>0</v>
      </c>
      <c r="O164" s="222"/>
      <c r="P164" s="175">
        <v>0</v>
      </c>
      <c r="Q164" s="987">
        <v>0</v>
      </c>
      <c r="R164" s="210" t="s">
        <v>4025</v>
      </c>
    </row>
    <row r="165" spans="1:18" ht="19.7" customHeight="1">
      <c r="A165" s="988" t="s">
        <v>514</v>
      </c>
      <c r="B165" s="986" t="s">
        <v>515</v>
      </c>
      <c r="C165" s="961" t="s">
        <v>834</v>
      </c>
      <c r="D165" s="968">
        <v>1785000</v>
      </c>
      <c r="E165" s="989">
        <v>483783.69</v>
      </c>
      <c r="F165" s="981">
        <v>302422.92</v>
      </c>
      <c r="G165" s="982">
        <v>0</v>
      </c>
      <c r="H165" s="982">
        <f>F165+G165</f>
        <v>302422.92</v>
      </c>
      <c r="I165" s="962">
        <v>208100</v>
      </c>
      <c r="J165" s="962">
        <v>208100.01</v>
      </c>
      <c r="K165" s="962">
        <f t="shared" si="10"/>
        <v>-1.0000000009313226E-2</v>
      </c>
      <c r="L165" s="962">
        <v>0</v>
      </c>
      <c r="M165" s="211">
        <v>300000</v>
      </c>
      <c r="N165" s="211">
        <f t="shared" si="11"/>
        <v>0</v>
      </c>
      <c r="O165" s="211"/>
      <c r="P165" s="175">
        <f>D165-E165-F165-M165-I165</f>
        <v>490693.39000000013</v>
      </c>
      <c r="Q165" s="987">
        <v>0</v>
      </c>
      <c r="R165" s="204" t="s">
        <v>685</v>
      </c>
    </row>
    <row r="166" spans="1:18" ht="19.7" customHeight="1">
      <c r="A166" s="986" t="s">
        <v>486</v>
      </c>
      <c r="B166" s="986" t="s">
        <v>718</v>
      </c>
      <c r="C166" s="961" t="s">
        <v>799</v>
      </c>
      <c r="D166" s="192">
        <v>221900</v>
      </c>
      <c r="E166" s="193">
        <v>0</v>
      </c>
      <c r="F166" s="981">
        <v>49223</v>
      </c>
      <c r="G166" s="981">
        <v>0</v>
      </c>
      <c r="H166" s="982">
        <f>F166+G166</f>
        <v>49223</v>
      </c>
      <c r="I166" s="962">
        <v>172677</v>
      </c>
      <c r="J166" s="962">
        <v>172677.01</v>
      </c>
      <c r="K166" s="962">
        <f t="shared" si="10"/>
        <v>-1.0000000009313226E-2</v>
      </c>
      <c r="L166" s="962">
        <v>0</v>
      </c>
      <c r="M166" s="222">
        <f>D166-F166-I166</f>
        <v>0</v>
      </c>
      <c r="N166" s="211">
        <f t="shared" si="11"/>
        <v>0</v>
      </c>
      <c r="O166" s="222"/>
      <c r="P166" s="175">
        <v>0</v>
      </c>
      <c r="Q166" s="987">
        <v>0</v>
      </c>
      <c r="R166" s="210" t="s">
        <v>4026</v>
      </c>
    </row>
    <row r="167" spans="1:18" ht="19.7" customHeight="1">
      <c r="A167" s="986" t="s">
        <v>481</v>
      </c>
      <c r="B167" s="986" t="s">
        <v>3419</v>
      </c>
      <c r="C167" s="961" t="s">
        <v>3420</v>
      </c>
      <c r="D167" s="192">
        <v>452580.27</v>
      </c>
      <c r="E167" s="193">
        <v>0</v>
      </c>
      <c r="F167" s="981">
        <v>0</v>
      </c>
      <c r="G167" s="981">
        <v>0</v>
      </c>
      <c r="H167" s="981">
        <v>0</v>
      </c>
      <c r="I167" s="948">
        <v>143098.37</v>
      </c>
      <c r="J167" s="962">
        <v>143098.38</v>
      </c>
      <c r="K167" s="962">
        <f t="shared" si="10"/>
        <v>-1.0000000009313226E-2</v>
      </c>
      <c r="L167" s="948">
        <v>0</v>
      </c>
      <c r="M167" s="222">
        <f>D167-E167-F167-I167</f>
        <v>309481.90000000002</v>
      </c>
      <c r="N167" s="211">
        <f t="shared" si="11"/>
        <v>0</v>
      </c>
      <c r="O167" s="222"/>
      <c r="P167" s="175">
        <v>0</v>
      </c>
      <c r="Q167" s="987">
        <v>0</v>
      </c>
      <c r="R167" s="210" t="s">
        <v>479</v>
      </c>
    </row>
    <row r="168" spans="1:18" ht="19.7" customHeight="1">
      <c r="A168" s="986" t="s">
        <v>745</v>
      </c>
      <c r="B168" s="986" t="s">
        <v>746</v>
      </c>
      <c r="C168" s="961" t="s">
        <v>4027</v>
      </c>
      <c r="D168" s="192">
        <v>404205.96</v>
      </c>
      <c r="E168" s="193">
        <v>0</v>
      </c>
      <c r="F168" s="981">
        <v>0</v>
      </c>
      <c r="G168" s="981">
        <v>0</v>
      </c>
      <c r="H168" s="981">
        <v>0</v>
      </c>
      <c r="I168" s="948">
        <v>404205.96</v>
      </c>
      <c r="J168" s="962">
        <v>404205.99000000005</v>
      </c>
      <c r="K168" s="962">
        <f t="shared" si="10"/>
        <v>-3.0000000027939677E-2</v>
      </c>
      <c r="L168" s="948">
        <v>0</v>
      </c>
      <c r="M168" s="222">
        <f>D168-E168-F168-I168</f>
        <v>0</v>
      </c>
      <c r="N168" s="222"/>
      <c r="O168" s="222"/>
      <c r="P168" s="175">
        <v>0</v>
      </c>
      <c r="Q168" s="987">
        <v>0</v>
      </c>
      <c r="R168" s="210" t="s">
        <v>3981</v>
      </c>
    </row>
    <row r="169" spans="1:18" ht="19.7" customHeight="1">
      <c r="A169" s="986" t="s">
        <v>712</v>
      </c>
      <c r="B169" s="986" t="s">
        <v>713</v>
      </c>
      <c r="C169" s="961" t="s">
        <v>841</v>
      </c>
      <c r="D169" s="192">
        <v>280000</v>
      </c>
      <c r="E169" s="193">
        <v>0</v>
      </c>
      <c r="F169" s="981">
        <v>14365.84</v>
      </c>
      <c r="G169" s="981">
        <v>0</v>
      </c>
      <c r="H169" s="982">
        <f>F169+G169</f>
        <v>14365.84</v>
      </c>
      <c r="I169" s="962">
        <v>130125.36</v>
      </c>
      <c r="J169" s="962">
        <v>130125.91</v>
      </c>
      <c r="K169" s="962">
        <f t="shared" si="10"/>
        <v>-0.55000000000291038</v>
      </c>
      <c r="L169" s="962">
        <v>0</v>
      </c>
      <c r="M169" s="222">
        <f>D169-F169-I169</f>
        <v>135508.79999999999</v>
      </c>
      <c r="N169" s="222">
        <f>O169*I169</f>
        <v>0</v>
      </c>
      <c r="O169" s="222"/>
      <c r="P169" s="175">
        <v>0</v>
      </c>
      <c r="Q169" s="987">
        <v>0</v>
      </c>
      <c r="R169" s="210" t="s">
        <v>479</v>
      </c>
    </row>
    <row r="170" spans="1:18" ht="19.7" customHeight="1">
      <c r="A170" s="220" t="s">
        <v>700</v>
      </c>
      <c r="B170" s="184" t="s">
        <v>701</v>
      </c>
      <c r="C170" s="961" t="s">
        <v>849</v>
      </c>
      <c r="D170" s="192">
        <v>255466.48</v>
      </c>
      <c r="E170" s="193">
        <v>0</v>
      </c>
      <c r="F170" s="981">
        <v>169460.28</v>
      </c>
      <c r="G170" s="981">
        <v>0</v>
      </c>
      <c r="H170" s="982">
        <f>F170+G170</f>
        <v>169460.28</v>
      </c>
      <c r="I170" s="962">
        <v>86006.2</v>
      </c>
      <c r="J170" s="962">
        <v>86006.8</v>
      </c>
      <c r="K170" s="962">
        <f t="shared" si="10"/>
        <v>-0.60000000000582077</v>
      </c>
      <c r="L170" s="962">
        <v>0</v>
      </c>
      <c r="M170" s="175">
        <f>D170-F170-I170</f>
        <v>0</v>
      </c>
      <c r="N170" s="178">
        <f>O170*I170</f>
        <v>0</v>
      </c>
      <c r="O170" s="178"/>
      <c r="P170" s="175">
        <v>0</v>
      </c>
      <c r="Q170" s="987">
        <v>0</v>
      </c>
      <c r="R170" s="210" t="s">
        <v>3981</v>
      </c>
    </row>
    <row r="171" spans="1:18" ht="19.7" customHeight="1">
      <c r="A171" s="220" t="s">
        <v>4028</v>
      </c>
      <c r="B171" s="184" t="s">
        <v>4014</v>
      </c>
      <c r="C171" s="961" t="s">
        <v>4029</v>
      </c>
      <c r="D171" s="192">
        <v>27086.92</v>
      </c>
      <c r="E171" s="193">
        <v>0</v>
      </c>
      <c r="F171" s="981">
        <v>0</v>
      </c>
      <c r="G171" s="981">
        <v>0</v>
      </c>
      <c r="H171" s="981">
        <v>0</v>
      </c>
      <c r="I171" s="948">
        <v>27086.92</v>
      </c>
      <c r="J171" s="962">
        <v>32676.45</v>
      </c>
      <c r="K171" s="962">
        <f>+I171-J171</f>
        <v>-5589.5300000000025</v>
      </c>
      <c r="L171" s="948">
        <v>0</v>
      </c>
      <c r="M171" s="222">
        <f>D171-E171-F171-I171</f>
        <v>0</v>
      </c>
      <c r="N171" s="175"/>
      <c r="O171" s="175"/>
      <c r="P171" s="175">
        <v>0</v>
      </c>
      <c r="Q171" s="987">
        <v>0</v>
      </c>
      <c r="R171" s="210" t="s">
        <v>3908</v>
      </c>
    </row>
    <row r="172" spans="1:18" ht="19.7" customHeight="1">
      <c r="A172" s="205" t="s">
        <v>521</v>
      </c>
      <c r="B172" s="967" t="s">
        <v>4030</v>
      </c>
      <c r="C172" s="965" t="s">
        <v>3423</v>
      </c>
      <c r="D172" s="968">
        <v>200000</v>
      </c>
      <c r="E172" s="989">
        <v>0</v>
      </c>
      <c r="F172" s="981">
        <v>0</v>
      </c>
      <c r="G172" s="982">
        <v>0</v>
      </c>
      <c r="H172" s="982">
        <f>F172+G172</f>
        <v>0</v>
      </c>
      <c r="I172" s="962">
        <v>175340.4</v>
      </c>
      <c r="J172" s="962">
        <v>183353.38999999996</v>
      </c>
      <c r="K172" s="962">
        <f t="shared" si="10"/>
        <v>-8012.9899999999616</v>
      </c>
      <c r="L172" s="962"/>
      <c r="M172" s="222">
        <f>D172-E172-F172-I172</f>
        <v>24659.600000000006</v>
      </c>
      <c r="N172" s="211">
        <f>O172*I172</f>
        <v>0</v>
      </c>
      <c r="O172" s="211"/>
      <c r="P172" s="175">
        <v>0</v>
      </c>
      <c r="Q172" s="987">
        <v>0</v>
      </c>
      <c r="R172" s="210" t="s">
        <v>479</v>
      </c>
    </row>
    <row r="173" spans="1:18" ht="19.7" customHeight="1">
      <c r="A173" s="190" t="s">
        <v>3715</v>
      </c>
      <c r="B173" s="184" t="s">
        <v>4031</v>
      </c>
      <c r="C173" s="961" t="s">
        <v>823</v>
      </c>
      <c r="D173" s="192">
        <v>6616870.9299999997</v>
      </c>
      <c r="E173" s="193">
        <v>0</v>
      </c>
      <c r="F173" s="981">
        <v>657131.69999999995</v>
      </c>
      <c r="G173" s="981">
        <v>0</v>
      </c>
      <c r="H173" s="982">
        <f>F173+G173</f>
        <v>657131.69999999995</v>
      </c>
      <c r="I173" s="962">
        <v>1587196.19</v>
      </c>
      <c r="J173" s="962">
        <v>1597052.9200000002</v>
      </c>
      <c r="K173" s="962">
        <f t="shared" si="10"/>
        <v>-9856.7300000002142</v>
      </c>
      <c r="L173" s="962">
        <v>0</v>
      </c>
      <c r="M173" s="222">
        <v>1000000</v>
      </c>
      <c r="N173" s="211">
        <f>O173*I173</f>
        <v>0</v>
      </c>
      <c r="O173" s="222"/>
      <c r="P173" s="175">
        <f>D173-E173-F173-I173-M173</f>
        <v>3372543.0399999991</v>
      </c>
      <c r="Q173" s="987">
        <v>0</v>
      </c>
      <c r="R173" s="210" t="s">
        <v>555</v>
      </c>
    </row>
    <row r="174" spans="1:18" ht="19.7" customHeight="1">
      <c r="A174" s="990" t="s">
        <v>547</v>
      </c>
      <c r="B174" s="991" t="s">
        <v>549</v>
      </c>
      <c r="C174" s="992" t="s">
        <v>791</v>
      </c>
      <c r="D174" s="993">
        <v>4000000</v>
      </c>
      <c r="E174" s="993">
        <v>0</v>
      </c>
      <c r="F174" s="993">
        <v>2982111.1</v>
      </c>
      <c r="G174" s="993">
        <v>0</v>
      </c>
      <c r="H174" s="994">
        <f>F174+G174</f>
        <v>2982111.1</v>
      </c>
      <c r="I174" s="994">
        <v>876239.71</v>
      </c>
      <c r="J174" s="994">
        <v>891122.50999999978</v>
      </c>
      <c r="K174" s="994">
        <f>+I174-J174</f>
        <v>-14882.799999999814</v>
      </c>
      <c r="L174" s="994">
        <v>0</v>
      </c>
      <c r="M174" s="995">
        <f>D174-E174-F174-I174</f>
        <v>141649.18999999994</v>
      </c>
      <c r="N174" s="995">
        <f>O174*I174</f>
        <v>0</v>
      </c>
      <c r="O174" s="995"/>
      <c r="P174" s="994">
        <v>0</v>
      </c>
      <c r="Q174" s="994">
        <v>0</v>
      </c>
      <c r="R174" s="996" t="s">
        <v>479</v>
      </c>
    </row>
    <row r="175" spans="1:18" ht="19.7" customHeight="1" thickBot="1">
      <c r="A175" s="990"/>
      <c r="B175" s="991"/>
      <c r="C175" s="992"/>
      <c r="D175" s="993"/>
      <c r="E175" s="993"/>
      <c r="F175" s="993"/>
      <c r="G175" s="993"/>
      <c r="H175" s="993"/>
      <c r="I175" s="997"/>
      <c r="J175" s="997"/>
      <c r="K175" s="997"/>
      <c r="L175" s="997"/>
      <c r="M175" s="993"/>
      <c r="N175" s="993"/>
      <c r="O175" s="993"/>
      <c r="P175" s="993"/>
      <c r="Q175" s="993"/>
      <c r="R175" s="998"/>
    </row>
    <row r="176" spans="1:18" ht="19.7" customHeight="1" thickBot="1">
      <c r="A176" s="999" t="s">
        <v>732</v>
      </c>
      <c r="B176" s="1000"/>
      <c r="C176" s="1000"/>
      <c r="D176" s="1000"/>
      <c r="E176" s="1000"/>
      <c r="F176" s="1000"/>
      <c r="G176" s="1000"/>
      <c r="H176" s="1000"/>
      <c r="I176" s="1000"/>
      <c r="J176" s="1000"/>
      <c r="K176" s="1000"/>
      <c r="L176" s="1000"/>
      <c r="M176" s="1000"/>
      <c r="N176" s="1000"/>
      <c r="O176" s="1000"/>
      <c r="P176" s="1000"/>
      <c r="Q176" s="1000"/>
      <c r="R176" s="1001"/>
    </row>
    <row r="177" spans="1:18" ht="19.7" customHeight="1">
      <c r="A177" s="228" t="s">
        <v>676</v>
      </c>
      <c r="B177" s="1002" t="s">
        <v>733</v>
      </c>
      <c r="C177" s="1003" t="s">
        <v>4032</v>
      </c>
      <c r="D177" s="230">
        <v>55890</v>
      </c>
      <c r="E177" s="1004">
        <v>0</v>
      </c>
      <c r="F177" s="1005">
        <v>0</v>
      </c>
      <c r="G177" s="1005">
        <v>0</v>
      </c>
      <c r="H177" s="1005">
        <v>0</v>
      </c>
      <c r="I177" s="1006">
        <v>0</v>
      </c>
      <c r="J177" s="1006"/>
      <c r="K177" s="1006"/>
      <c r="L177" s="1006">
        <v>0</v>
      </c>
      <c r="M177" s="234">
        <f>D177-E177-F177</f>
        <v>55890</v>
      </c>
      <c r="N177" s="234"/>
      <c r="O177" s="234"/>
      <c r="P177" s="234">
        <v>0</v>
      </c>
      <c r="Q177" s="1007">
        <v>0</v>
      </c>
      <c r="R177" s="235" t="s">
        <v>474</v>
      </c>
    </row>
    <row r="178" spans="1:18" ht="19.7" customHeight="1">
      <c r="A178" s="228" t="s">
        <v>613</v>
      </c>
      <c r="B178" s="1002" t="s">
        <v>734</v>
      </c>
      <c r="C178" s="1008" t="s">
        <v>4033</v>
      </c>
      <c r="D178" s="230">
        <v>148020.48000000001</v>
      </c>
      <c r="E178" s="1004">
        <v>0</v>
      </c>
      <c r="F178" s="1005">
        <v>0</v>
      </c>
      <c r="G178" s="1005">
        <v>0</v>
      </c>
      <c r="H178" s="1005">
        <v>0</v>
      </c>
      <c r="I178" s="1006">
        <v>0</v>
      </c>
      <c r="J178" s="1006"/>
      <c r="K178" s="1006"/>
      <c r="L178" s="1006">
        <v>0</v>
      </c>
      <c r="M178" s="234">
        <v>148020.48000000001</v>
      </c>
      <c r="N178" s="234"/>
      <c r="O178" s="234"/>
      <c r="P178" s="234">
        <v>0</v>
      </c>
      <c r="Q178" s="1009">
        <v>0</v>
      </c>
      <c r="R178" s="235" t="s">
        <v>735</v>
      </c>
    </row>
    <row r="179" spans="1:18" ht="19.7" customHeight="1">
      <c r="A179" s="228" t="s">
        <v>738</v>
      </c>
      <c r="B179" s="240" t="s">
        <v>739</v>
      </c>
      <c r="C179" s="1010" t="s">
        <v>4034</v>
      </c>
      <c r="D179" s="230">
        <v>57689.43</v>
      </c>
      <c r="E179" s="1004">
        <v>0</v>
      </c>
      <c r="F179" s="1005">
        <v>0</v>
      </c>
      <c r="G179" s="1005">
        <v>0</v>
      </c>
      <c r="H179" s="1005">
        <v>0</v>
      </c>
      <c r="I179" s="1006">
        <v>0</v>
      </c>
      <c r="J179" s="1006"/>
      <c r="K179" s="1006"/>
      <c r="L179" s="1006">
        <v>0</v>
      </c>
      <c r="M179" s="234">
        <f>D179-E179-F179</f>
        <v>57689.43</v>
      </c>
      <c r="N179" s="234"/>
      <c r="O179" s="234"/>
      <c r="P179" s="234">
        <v>0</v>
      </c>
      <c r="Q179" s="1009">
        <v>0</v>
      </c>
      <c r="R179" s="235" t="s">
        <v>474</v>
      </c>
    </row>
    <row r="180" spans="1:18" ht="19.7" customHeight="1">
      <c r="A180" s="237" t="s">
        <v>742</v>
      </c>
      <c r="B180" s="240" t="s">
        <v>743</v>
      </c>
      <c r="C180" s="1010" t="s">
        <v>4035</v>
      </c>
      <c r="D180" s="238">
        <v>250000</v>
      </c>
      <c r="E180" s="239">
        <v>0</v>
      </c>
      <c r="F180" s="1005">
        <v>0</v>
      </c>
      <c r="G180" s="1005">
        <v>0</v>
      </c>
      <c r="H180" s="1005">
        <v>0</v>
      </c>
      <c r="I180" s="1006">
        <v>0</v>
      </c>
      <c r="J180" s="1006"/>
      <c r="K180" s="1006"/>
      <c r="L180" s="1006">
        <v>0</v>
      </c>
      <c r="M180" s="234">
        <f t="shared" ref="M180:M211" si="12">D180-E180-F180</f>
        <v>250000</v>
      </c>
      <c r="N180" s="234"/>
      <c r="O180" s="234"/>
      <c r="P180" s="234">
        <v>0</v>
      </c>
      <c r="Q180" s="1009">
        <v>0</v>
      </c>
      <c r="R180" s="235" t="s">
        <v>560</v>
      </c>
    </row>
    <row r="181" spans="1:18" ht="19.7" customHeight="1">
      <c r="A181" s="244" t="s">
        <v>540</v>
      </c>
      <c r="B181" s="240" t="s">
        <v>4036</v>
      </c>
      <c r="C181" s="1010" t="s">
        <v>4037</v>
      </c>
      <c r="D181" s="238">
        <v>90000</v>
      </c>
      <c r="E181" s="239">
        <v>0</v>
      </c>
      <c r="F181" s="1005">
        <v>0</v>
      </c>
      <c r="G181" s="1005">
        <v>0</v>
      </c>
      <c r="H181" s="1005">
        <v>0</v>
      </c>
      <c r="I181" s="1006">
        <v>0</v>
      </c>
      <c r="J181" s="1006"/>
      <c r="K181" s="1006"/>
      <c r="L181" s="1006">
        <v>0</v>
      </c>
      <c r="M181" s="234">
        <f>D181-E181-F181</f>
        <v>90000</v>
      </c>
      <c r="N181" s="242"/>
      <c r="O181" s="242"/>
      <c r="P181" s="234">
        <v>0</v>
      </c>
      <c r="Q181" s="1011">
        <v>0</v>
      </c>
      <c r="R181" s="235" t="s">
        <v>709</v>
      </c>
    </row>
    <row r="182" spans="1:18" ht="19.7" customHeight="1">
      <c r="A182" s="1012" t="s">
        <v>4038</v>
      </c>
      <c r="B182" s="240" t="s">
        <v>4039</v>
      </c>
      <c r="C182" s="1010" t="s">
        <v>820</v>
      </c>
      <c r="D182" s="238">
        <v>723727.02</v>
      </c>
      <c r="E182" s="239">
        <v>0</v>
      </c>
      <c r="F182" s="1005">
        <v>0</v>
      </c>
      <c r="G182" s="1005"/>
      <c r="H182" s="1005"/>
      <c r="I182" s="1006">
        <v>0</v>
      </c>
      <c r="J182" s="1006"/>
      <c r="K182" s="1006"/>
      <c r="L182" s="1006">
        <v>0</v>
      </c>
      <c r="M182" s="242">
        <v>450000</v>
      </c>
      <c r="N182" s="242"/>
      <c r="O182" s="242"/>
      <c r="P182" s="234">
        <f>D182-E182-F182-M182</f>
        <v>273727.02</v>
      </c>
      <c r="Q182" s="1009">
        <v>0</v>
      </c>
      <c r="R182" s="235" t="s">
        <v>685</v>
      </c>
    </row>
    <row r="183" spans="1:18" ht="19.7" customHeight="1">
      <c r="A183" s="1012" t="s">
        <v>4040</v>
      </c>
      <c r="B183" s="240" t="s">
        <v>4041</v>
      </c>
      <c r="C183" s="1010" t="s">
        <v>4042</v>
      </c>
      <c r="D183" s="238">
        <v>94522</v>
      </c>
      <c r="E183" s="239">
        <v>0</v>
      </c>
      <c r="F183" s="1005">
        <v>0</v>
      </c>
      <c r="G183" s="1005"/>
      <c r="H183" s="1005"/>
      <c r="I183" s="1006">
        <v>0</v>
      </c>
      <c r="J183" s="1006"/>
      <c r="K183" s="1006"/>
      <c r="L183" s="1006">
        <v>0</v>
      </c>
      <c r="M183" s="242">
        <v>94522</v>
      </c>
      <c r="N183" s="242"/>
      <c r="O183" s="242"/>
      <c r="P183" s="234">
        <v>0</v>
      </c>
      <c r="Q183" s="1009">
        <v>0</v>
      </c>
      <c r="R183" s="235" t="s">
        <v>3917</v>
      </c>
    </row>
    <row r="184" spans="1:18" ht="19.7" customHeight="1">
      <c r="A184" s="1012" t="s">
        <v>755</v>
      </c>
      <c r="B184" s="240" t="s">
        <v>4043</v>
      </c>
      <c r="C184" s="1010" t="s">
        <v>4044</v>
      </c>
      <c r="D184" s="238">
        <v>180000</v>
      </c>
      <c r="E184" s="239">
        <v>0</v>
      </c>
      <c r="F184" s="1005">
        <v>0</v>
      </c>
      <c r="G184" s="1005"/>
      <c r="H184" s="1005"/>
      <c r="I184" s="1006">
        <v>0</v>
      </c>
      <c r="J184" s="1006"/>
      <c r="K184" s="1006"/>
      <c r="L184" s="1006">
        <v>0</v>
      </c>
      <c r="M184" s="242">
        <v>180000</v>
      </c>
      <c r="N184" s="242"/>
      <c r="O184" s="242"/>
      <c r="P184" s="234">
        <v>0</v>
      </c>
      <c r="Q184" s="1009">
        <v>0</v>
      </c>
      <c r="R184" s="235" t="s">
        <v>3910</v>
      </c>
    </row>
    <row r="185" spans="1:18" ht="19.7" customHeight="1">
      <c r="A185" s="1012" t="s">
        <v>4045</v>
      </c>
      <c r="B185" s="240" t="s">
        <v>4046</v>
      </c>
      <c r="C185" s="1010" t="s">
        <v>4047</v>
      </c>
      <c r="D185" s="238" t="s">
        <v>4048</v>
      </c>
      <c r="E185" s="239">
        <v>0</v>
      </c>
      <c r="F185" s="1005">
        <v>0</v>
      </c>
      <c r="G185" s="1005">
        <v>0</v>
      </c>
      <c r="H185" s="1005">
        <v>0</v>
      </c>
      <c r="I185" s="1006">
        <v>0</v>
      </c>
      <c r="J185" s="1006"/>
      <c r="K185" s="1006"/>
      <c r="L185" s="1006">
        <v>0</v>
      </c>
      <c r="M185" s="234">
        <v>0</v>
      </c>
      <c r="N185" s="242"/>
      <c r="O185" s="242"/>
      <c r="P185" s="234">
        <v>0</v>
      </c>
      <c r="Q185" s="1009">
        <v>0</v>
      </c>
      <c r="R185" s="235" t="s">
        <v>692</v>
      </c>
    </row>
    <row r="186" spans="1:18" ht="19.7" customHeight="1">
      <c r="A186" s="1012" t="s">
        <v>4049</v>
      </c>
      <c r="B186" s="240" t="s">
        <v>4050</v>
      </c>
      <c r="C186" s="1010" t="s">
        <v>4051</v>
      </c>
      <c r="D186" s="238">
        <v>5208494.7699999996</v>
      </c>
      <c r="E186" s="239">
        <v>0</v>
      </c>
      <c r="F186" s="1005">
        <v>0</v>
      </c>
      <c r="G186" s="1005">
        <v>0</v>
      </c>
      <c r="H186" s="1005">
        <v>0</v>
      </c>
      <c r="I186" s="1006">
        <v>0</v>
      </c>
      <c r="J186" s="1006"/>
      <c r="K186" s="1006"/>
      <c r="L186" s="1006">
        <v>0</v>
      </c>
      <c r="M186" s="242">
        <v>200000</v>
      </c>
      <c r="N186" s="242"/>
      <c r="O186" s="242"/>
      <c r="P186" s="234">
        <v>2500000</v>
      </c>
      <c r="Q186" s="1009">
        <f>D186-M186-P186</f>
        <v>2508494.7699999996</v>
      </c>
      <c r="R186" s="235" t="s">
        <v>4052</v>
      </c>
    </row>
    <row r="187" spans="1:18" ht="19.7" customHeight="1">
      <c r="A187" s="1012" t="s">
        <v>4053</v>
      </c>
      <c r="B187" s="240" t="s">
        <v>4054</v>
      </c>
      <c r="C187" s="1010" t="s">
        <v>4055</v>
      </c>
      <c r="D187" s="238">
        <v>6262883.0499999998</v>
      </c>
      <c r="E187" s="239">
        <v>0</v>
      </c>
      <c r="F187" s="1005">
        <v>0</v>
      </c>
      <c r="G187" s="1005"/>
      <c r="H187" s="1005"/>
      <c r="I187" s="1006">
        <v>0</v>
      </c>
      <c r="J187" s="1006"/>
      <c r="K187" s="1006"/>
      <c r="L187" s="1006">
        <v>0</v>
      </c>
      <c r="M187" s="242">
        <v>200000</v>
      </c>
      <c r="N187" s="242"/>
      <c r="O187" s="242"/>
      <c r="P187" s="234">
        <v>3000000</v>
      </c>
      <c r="Q187" s="1009">
        <f>D187-M187-P187</f>
        <v>3062883.05</v>
      </c>
      <c r="R187" s="235" t="s">
        <v>4052</v>
      </c>
    </row>
    <row r="188" spans="1:18" ht="19.7" customHeight="1">
      <c r="A188" s="1012" t="s">
        <v>481</v>
      </c>
      <c r="B188" s="240" t="s">
        <v>4056</v>
      </c>
      <c r="C188" s="1010" t="s">
        <v>4057</v>
      </c>
      <c r="D188" s="238">
        <v>369309.36</v>
      </c>
      <c r="E188" s="239">
        <v>0</v>
      </c>
      <c r="F188" s="1005">
        <v>0</v>
      </c>
      <c r="G188" s="1005"/>
      <c r="H188" s="1005"/>
      <c r="I188" s="1006">
        <v>0</v>
      </c>
      <c r="J188" s="1006"/>
      <c r="K188" s="1006"/>
      <c r="L188" s="1006">
        <v>0</v>
      </c>
      <c r="M188" s="242">
        <v>150000</v>
      </c>
      <c r="N188" s="242"/>
      <c r="O188" s="242"/>
      <c r="P188" s="234">
        <f>D188-M188</f>
        <v>219309.36</v>
      </c>
      <c r="Q188" s="1009">
        <v>0</v>
      </c>
      <c r="R188" s="235" t="s">
        <v>692</v>
      </c>
    </row>
    <row r="189" spans="1:18" ht="19.7" customHeight="1">
      <c r="A189" s="1012" t="s">
        <v>4058</v>
      </c>
      <c r="B189" s="240" t="s">
        <v>4059</v>
      </c>
      <c r="C189" s="1010" t="s">
        <v>4060</v>
      </c>
      <c r="D189" s="238">
        <v>580078.09</v>
      </c>
      <c r="E189" s="239">
        <v>0</v>
      </c>
      <c r="F189" s="1005">
        <v>0</v>
      </c>
      <c r="G189" s="1005"/>
      <c r="H189" s="1005"/>
      <c r="I189" s="1006">
        <v>0</v>
      </c>
      <c r="J189" s="1006"/>
      <c r="K189" s="1006"/>
      <c r="L189" s="1006">
        <v>0</v>
      </c>
      <c r="M189" s="242">
        <v>200000</v>
      </c>
      <c r="N189" s="242"/>
      <c r="O189" s="242"/>
      <c r="P189" s="234">
        <v>380078.09</v>
      </c>
      <c r="Q189" s="1009">
        <v>0</v>
      </c>
      <c r="R189" s="235" t="s">
        <v>692</v>
      </c>
    </row>
    <row r="190" spans="1:18" ht="19.7" customHeight="1">
      <c r="A190" s="1012" t="s">
        <v>4058</v>
      </c>
      <c r="B190" s="240" t="s">
        <v>4061</v>
      </c>
      <c r="C190" s="1010" t="s">
        <v>4062</v>
      </c>
      <c r="D190" s="238">
        <v>3334393.6</v>
      </c>
      <c r="E190" s="239">
        <v>0</v>
      </c>
      <c r="F190" s="1005">
        <v>0</v>
      </c>
      <c r="G190" s="1005"/>
      <c r="H190" s="1005"/>
      <c r="I190" s="1006">
        <v>0</v>
      </c>
      <c r="J190" s="1006"/>
      <c r="K190" s="1006"/>
      <c r="L190" s="1006">
        <v>0</v>
      </c>
      <c r="M190" s="242">
        <v>500000</v>
      </c>
      <c r="N190" s="242"/>
      <c r="O190" s="242"/>
      <c r="P190" s="234">
        <v>2834393.6</v>
      </c>
      <c r="Q190" s="1009">
        <v>0</v>
      </c>
      <c r="R190" s="235" t="s">
        <v>555</v>
      </c>
    </row>
    <row r="191" spans="1:18" ht="19.7" customHeight="1">
      <c r="A191" s="1012" t="s">
        <v>4063</v>
      </c>
      <c r="B191" s="240" t="s">
        <v>4064</v>
      </c>
      <c r="C191" s="1010" t="s">
        <v>4065</v>
      </c>
      <c r="D191" s="238" t="s">
        <v>4048</v>
      </c>
      <c r="E191" s="239">
        <v>0</v>
      </c>
      <c r="F191" s="1005">
        <v>0</v>
      </c>
      <c r="G191" s="1005"/>
      <c r="H191" s="1005"/>
      <c r="I191" s="1006">
        <v>0</v>
      </c>
      <c r="J191" s="1006"/>
      <c r="K191" s="1006"/>
      <c r="L191" s="1006">
        <v>0</v>
      </c>
      <c r="M191" s="234">
        <v>0</v>
      </c>
      <c r="N191" s="242"/>
      <c r="O191" s="242"/>
      <c r="P191" s="234">
        <v>0</v>
      </c>
      <c r="Q191" s="1009">
        <v>0</v>
      </c>
      <c r="R191" s="235" t="s">
        <v>3932</v>
      </c>
    </row>
    <row r="192" spans="1:18" ht="19.7" customHeight="1">
      <c r="A192" s="1012" t="s">
        <v>501</v>
      </c>
      <c r="B192" s="240" t="s">
        <v>4066</v>
      </c>
      <c r="C192" s="1010" t="s">
        <v>4067</v>
      </c>
      <c r="D192" s="238">
        <v>367497.8</v>
      </c>
      <c r="E192" s="239">
        <v>0</v>
      </c>
      <c r="F192" s="1005">
        <v>0</v>
      </c>
      <c r="G192" s="1005"/>
      <c r="H192" s="1005"/>
      <c r="I192" s="1006">
        <v>0</v>
      </c>
      <c r="J192" s="1006"/>
      <c r="K192" s="1006"/>
      <c r="L192" s="1006">
        <v>0</v>
      </c>
      <c r="M192" s="242">
        <v>100000</v>
      </c>
      <c r="N192" s="242"/>
      <c r="O192" s="242"/>
      <c r="P192" s="234">
        <v>267497.8</v>
      </c>
      <c r="Q192" s="1009">
        <v>0</v>
      </c>
      <c r="R192" s="235" t="s">
        <v>3932</v>
      </c>
    </row>
    <row r="193" spans="1:18" ht="19.7" customHeight="1">
      <c r="A193" s="1012" t="s">
        <v>4068</v>
      </c>
      <c r="B193" s="240" t="s">
        <v>4069</v>
      </c>
      <c r="C193" s="1010" t="s">
        <v>4070</v>
      </c>
      <c r="D193" s="238">
        <v>110000</v>
      </c>
      <c r="E193" s="239">
        <v>0</v>
      </c>
      <c r="F193" s="1005">
        <v>0</v>
      </c>
      <c r="G193" s="1005"/>
      <c r="H193" s="1005"/>
      <c r="I193" s="1006">
        <v>0</v>
      </c>
      <c r="J193" s="1006"/>
      <c r="K193" s="1006"/>
      <c r="L193" s="1006">
        <v>0</v>
      </c>
      <c r="M193" s="242">
        <v>50000</v>
      </c>
      <c r="N193" s="242"/>
      <c r="O193" s="242"/>
      <c r="P193" s="234">
        <v>60000</v>
      </c>
      <c r="Q193" s="1009">
        <v>0</v>
      </c>
      <c r="R193" s="235" t="s">
        <v>685</v>
      </c>
    </row>
    <row r="194" spans="1:18" ht="19.7" customHeight="1">
      <c r="A194" s="1012" t="s">
        <v>3990</v>
      </c>
      <c r="B194" s="240" t="s">
        <v>4071</v>
      </c>
      <c r="C194" s="1010" t="s">
        <v>4072</v>
      </c>
      <c r="D194" s="238">
        <v>28687.200000000001</v>
      </c>
      <c r="E194" s="239">
        <v>0</v>
      </c>
      <c r="F194" s="1005">
        <v>0</v>
      </c>
      <c r="G194" s="1005"/>
      <c r="H194" s="1005"/>
      <c r="I194" s="1006">
        <v>0</v>
      </c>
      <c r="J194" s="1006"/>
      <c r="K194" s="1006"/>
      <c r="L194" s="1006">
        <v>0</v>
      </c>
      <c r="M194" s="242">
        <v>28687.200000000001</v>
      </c>
      <c r="N194" s="242"/>
      <c r="O194" s="242"/>
      <c r="P194" s="234">
        <v>0</v>
      </c>
      <c r="Q194" s="1009">
        <v>0</v>
      </c>
      <c r="R194" s="235" t="s">
        <v>735</v>
      </c>
    </row>
    <row r="195" spans="1:18" ht="19.7" customHeight="1">
      <c r="A195" s="1012" t="s">
        <v>3990</v>
      </c>
      <c r="B195" s="240" t="s">
        <v>4073</v>
      </c>
      <c r="C195" s="1010" t="s">
        <v>4074</v>
      </c>
      <c r="D195" s="238">
        <v>28083.18</v>
      </c>
      <c r="E195" s="239">
        <v>0</v>
      </c>
      <c r="F195" s="1005">
        <v>0</v>
      </c>
      <c r="G195" s="1005"/>
      <c r="H195" s="1005"/>
      <c r="I195" s="1006">
        <v>0</v>
      </c>
      <c r="J195" s="1006"/>
      <c r="K195" s="1006"/>
      <c r="L195" s="1006">
        <v>0</v>
      </c>
      <c r="M195" s="242">
        <v>28083.18</v>
      </c>
      <c r="N195" s="242"/>
      <c r="O195" s="242"/>
      <c r="P195" s="234">
        <v>0</v>
      </c>
      <c r="Q195" s="1009">
        <v>0</v>
      </c>
      <c r="R195" s="235" t="s">
        <v>735</v>
      </c>
    </row>
    <row r="196" spans="1:18" ht="19.7" customHeight="1">
      <c r="A196" s="1012" t="s">
        <v>501</v>
      </c>
      <c r="B196" s="240" t="s">
        <v>4075</v>
      </c>
      <c r="C196" s="1010" t="s">
        <v>4076</v>
      </c>
      <c r="D196" s="238">
        <v>311319.2</v>
      </c>
      <c r="E196" s="239">
        <v>0</v>
      </c>
      <c r="F196" s="1005">
        <v>0</v>
      </c>
      <c r="G196" s="1005"/>
      <c r="H196" s="1005"/>
      <c r="I196" s="1006">
        <v>0</v>
      </c>
      <c r="J196" s="1006"/>
      <c r="K196" s="1006"/>
      <c r="L196" s="1006">
        <v>0</v>
      </c>
      <c r="M196" s="242">
        <v>311319.2</v>
      </c>
      <c r="N196" s="242"/>
      <c r="O196" s="242"/>
      <c r="P196" s="234">
        <v>0</v>
      </c>
      <c r="Q196" s="1009">
        <v>0</v>
      </c>
      <c r="R196" s="235" t="s">
        <v>479</v>
      </c>
    </row>
    <row r="197" spans="1:18" ht="19.7" customHeight="1">
      <c r="A197" s="1012" t="s">
        <v>4077</v>
      </c>
      <c r="B197" s="240" t="s">
        <v>4078</v>
      </c>
      <c r="C197" s="1010" t="s">
        <v>4079</v>
      </c>
      <c r="D197" s="238">
        <v>500000</v>
      </c>
      <c r="E197" s="239">
        <v>0</v>
      </c>
      <c r="F197" s="1005">
        <v>0</v>
      </c>
      <c r="G197" s="1005"/>
      <c r="H197" s="1005"/>
      <c r="I197" s="1006">
        <v>0</v>
      </c>
      <c r="J197" s="1006"/>
      <c r="K197" s="1006"/>
      <c r="L197" s="1006">
        <v>0</v>
      </c>
      <c r="M197" s="242">
        <v>100000</v>
      </c>
      <c r="N197" s="242"/>
      <c r="O197" s="242"/>
      <c r="P197" s="234">
        <v>400000</v>
      </c>
      <c r="Q197" s="1009">
        <v>0</v>
      </c>
      <c r="R197" s="235" t="s">
        <v>3932</v>
      </c>
    </row>
    <row r="198" spans="1:18" ht="19.7" customHeight="1">
      <c r="A198" s="1012" t="s">
        <v>4080</v>
      </c>
      <c r="B198" s="240" t="s">
        <v>4081</v>
      </c>
      <c r="C198" s="1010" t="s">
        <v>4082</v>
      </c>
      <c r="D198" s="238">
        <v>270000</v>
      </c>
      <c r="E198" s="239">
        <v>0</v>
      </c>
      <c r="F198" s="1005">
        <v>0</v>
      </c>
      <c r="G198" s="1005"/>
      <c r="H198" s="1005"/>
      <c r="I198" s="1006">
        <v>0</v>
      </c>
      <c r="J198" s="1006"/>
      <c r="K198" s="1006"/>
      <c r="L198" s="1006">
        <v>0</v>
      </c>
      <c r="M198" s="242">
        <v>270000</v>
      </c>
      <c r="N198" s="242"/>
      <c r="O198" s="242"/>
      <c r="P198" s="234">
        <v>0</v>
      </c>
      <c r="Q198" s="1009">
        <v>0</v>
      </c>
      <c r="R198" s="235" t="s">
        <v>539</v>
      </c>
    </row>
    <row r="199" spans="1:18" ht="19.7" customHeight="1">
      <c r="A199" s="1012" t="s">
        <v>529</v>
      </c>
      <c r="B199" s="240" t="s">
        <v>4083</v>
      </c>
      <c r="C199" s="1010" t="s">
        <v>4084</v>
      </c>
      <c r="D199" s="238">
        <v>116097.60000000001</v>
      </c>
      <c r="E199" s="239">
        <v>0</v>
      </c>
      <c r="F199" s="1005">
        <v>0</v>
      </c>
      <c r="G199" s="1005"/>
      <c r="H199" s="1005"/>
      <c r="I199" s="1006">
        <v>0</v>
      </c>
      <c r="J199" s="1006"/>
      <c r="K199" s="1006"/>
      <c r="L199" s="1006">
        <v>0</v>
      </c>
      <c r="M199" s="242">
        <v>116097.60000000001</v>
      </c>
      <c r="N199" s="242"/>
      <c r="O199" s="242"/>
      <c r="P199" s="234">
        <v>0</v>
      </c>
      <c r="Q199" s="1009">
        <v>0</v>
      </c>
      <c r="R199" s="235" t="s">
        <v>479</v>
      </c>
    </row>
    <row r="200" spans="1:18" ht="19.7" customHeight="1">
      <c r="A200" s="1012" t="s">
        <v>4085</v>
      </c>
      <c r="B200" s="240" t="s">
        <v>4086</v>
      </c>
      <c r="C200" s="1010" t="s">
        <v>4087</v>
      </c>
      <c r="D200" s="238">
        <v>76090.75</v>
      </c>
      <c r="E200" s="239">
        <v>0</v>
      </c>
      <c r="F200" s="1005">
        <v>0</v>
      </c>
      <c r="G200" s="1005"/>
      <c r="H200" s="1005"/>
      <c r="I200" s="1006">
        <v>0</v>
      </c>
      <c r="J200" s="1006"/>
      <c r="K200" s="1006"/>
      <c r="L200" s="1006">
        <v>0</v>
      </c>
      <c r="M200" s="242">
        <v>76090.75</v>
      </c>
      <c r="N200" s="242"/>
      <c r="O200" s="242"/>
      <c r="P200" s="234">
        <v>0</v>
      </c>
      <c r="Q200" s="1009">
        <v>0</v>
      </c>
      <c r="R200" s="235" t="s">
        <v>560</v>
      </c>
    </row>
    <row r="201" spans="1:18" ht="19.7" customHeight="1">
      <c r="A201" s="1012" t="s">
        <v>4088</v>
      </c>
      <c r="B201" s="240" t="s">
        <v>723</v>
      </c>
      <c r="C201" s="1010" t="s">
        <v>4089</v>
      </c>
      <c r="D201" s="238">
        <v>129583</v>
      </c>
      <c r="E201" s="239">
        <v>0</v>
      </c>
      <c r="F201" s="1005">
        <v>0</v>
      </c>
      <c r="G201" s="1005"/>
      <c r="H201" s="1005"/>
      <c r="I201" s="1006">
        <v>0</v>
      </c>
      <c r="J201" s="1006"/>
      <c r="K201" s="1006"/>
      <c r="L201" s="1006">
        <v>0</v>
      </c>
      <c r="M201" s="242">
        <v>129583</v>
      </c>
      <c r="N201" s="242"/>
      <c r="O201" s="242"/>
      <c r="P201" s="234">
        <v>0</v>
      </c>
      <c r="Q201" s="1009">
        <v>0</v>
      </c>
      <c r="R201" s="235" t="s">
        <v>479</v>
      </c>
    </row>
    <row r="202" spans="1:18" ht="19.7" customHeight="1">
      <c r="A202" s="1012" t="s">
        <v>4090</v>
      </c>
      <c r="B202" s="240" t="s">
        <v>4091</v>
      </c>
      <c r="C202" s="1010" t="s">
        <v>4092</v>
      </c>
      <c r="D202" s="238">
        <v>238450</v>
      </c>
      <c r="E202" s="239">
        <v>0</v>
      </c>
      <c r="F202" s="1005">
        <v>0</v>
      </c>
      <c r="G202" s="1005"/>
      <c r="H202" s="1005"/>
      <c r="I202" s="1006">
        <v>0</v>
      </c>
      <c r="J202" s="1006"/>
      <c r="K202" s="1006"/>
      <c r="L202" s="1006">
        <v>0</v>
      </c>
      <c r="M202" s="242">
        <v>50000</v>
      </c>
      <c r="N202" s="242"/>
      <c r="O202" s="242"/>
      <c r="P202" s="234">
        <f>D202-M202</f>
        <v>188450</v>
      </c>
      <c r="Q202" s="1009">
        <v>0</v>
      </c>
      <c r="R202" s="235" t="s">
        <v>685</v>
      </c>
    </row>
    <row r="203" spans="1:18" ht="19.7" customHeight="1">
      <c r="A203" s="1012" t="s">
        <v>486</v>
      </c>
      <c r="B203" s="240" t="s">
        <v>4093</v>
      </c>
      <c r="C203" s="1010" t="s">
        <v>4094</v>
      </c>
      <c r="D203" s="238">
        <v>250000</v>
      </c>
      <c r="E203" s="239">
        <v>0</v>
      </c>
      <c r="F203" s="1005">
        <v>0</v>
      </c>
      <c r="G203" s="1005"/>
      <c r="H203" s="1005"/>
      <c r="I203" s="1006">
        <v>0</v>
      </c>
      <c r="J203" s="1006"/>
      <c r="K203" s="1006"/>
      <c r="L203" s="1006">
        <v>0</v>
      </c>
      <c r="M203" s="242">
        <v>50000</v>
      </c>
      <c r="N203" s="242"/>
      <c r="O203" s="242"/>
      <c r="P203" s="234">
        <v>200000</v>
      </c>
      <c r="Q203" s="1009">
        <v>0</v>
      </c>
      <c r="R203" s="235" t="s">
        <v>685</v>
      </c>
    </row>
    <row r="204" spans="1:18" ht="19.7" customHeight="1">
      <c r="A204" s="1012" t="s">
        <v>4058</v>
      </c>
      <c r="B204" s="240" t="s">
        <v>4095</v>
      </c>
      <c r="C204" s="1010" t="s">
        <v>4096</v>
      </c>
      <c r="D204" s="238">
        <v>18050</v>
      </c>
      <c r="E204" s="239">
        <v>0</v>
      </c>
      <c r="F204" s="1005">
        <v>0</v>
      </c>
      <c r="G204" s="1005"/>
      <c r="H204" s="1005"/>
      <c r="I204" s="1006">
        <v>0</v>
      </c>
      <c r="J204" s="1006"/>
      <c r="K204" s="1006"/>
      <c r="L204" s="1006">
        <v>0</v>
      </c>
      <c r="M204" s="242">
        <v>18050</v>
      </c>
      <c r="N204" s="242"/>
      <c r="O204" s="242"/>
      <c r="P204" s="234">
        <v>0</v>
      </c>
      <c r="Q204" s="1009">
        <v>0</v>
      </c>
      <c r="R204" s="235" t="s">
        <v>479</v>
      </c>
    </row>
    <row r="205" spans="1:18" ht="19.7" customHeight="1">
      <c r="A205" s="1012" t="s">
        <v>4097</v>
      </c>
      <c r="B205" s="240" t="s">
        <v>4098</v>
      </c>
      <c r="C205" s="1010" t="s">
        <v>4099</v>
      </c>
      <c r="D205" s="238" t="s">
        <v>4048</v>
      </c>
      <c r="E205" s="239">
        <v>0</v>
      </c>
      <c r="F205" s="1005">
        <v>0</v>
      </c>
      <c r="G205" s="1005"/>
      <c r="H205" s="1005"/>
      <c r="I205" s="1006">
        <v>0</v>
      </c>
      <c r="J205" s="1006"/>
      <c r="K205" s="1006"/>
      <c r="L205" s="1006">
        <v>0</v>
      </c>
      <c r="M205" s="234">
        <v>0</v>
      </c>
      <c r="N205" s="242"/>
      <c r="O205" s="242"/>
      <c r="P205" s="234">
        <v>0</v>
      </c>
      <c r="Q205" s="1009">
        <v>0</v>
      </c>
      <c r="R205" s="235" t="s">
        <v>685</v>
      </c>
    </row>
    <row r="206" spans="1:18" ht="19.7" customHeight="1">
      <c r="A206" s="1012" t="s">
        <v>4100</v>
      </c>
      <c r="B206" s="240" t="s">
        <v>4101</v>
      </c>
      <c r="C206" s="1010" t="s">
        <v>4102</v>
      </c>
      <c r="D206" s="238" t="s">
        <v>4048</v>
      </c>
      <c r="E206" s="239">
        <v>0</v>
      </c>
      <c r="F206" s="1005">
        <v>0</v>
      </c>
      <c r="G206" s="1005"/>
      <c r="H206" s="1005"/>
      <c r="I206" s="1006">
        <v>0</v>
      </c>
      <c r="J206" s="1006"/>
      <c r="K206" s="1006"/>
      <c r="L206" s="1006">
        <v>0</v>
      </c>
      <c r="M206" s="234">
        <v>0</v>
      </c>
      <c r="N206" s="242"/>
      <c r="O206" s="242"/>
      <c r="P206" s="234">
        <v>0</v>
      </c>
      <c r="Q206" s="1009">
        <v>0</v>
      </c>
      <c r="R206" s="235" t="s">
        <v>479</v>
      </c>
    </row>
    <row r="207" spans="1:18" ht="19.7" customHeight="1">
      <c r="A207" s="1012" t="s">
        <v>4100</v>
      </c>
      <c r="B207" s="240" t="s">
        <v>4103</v>
      </c>
      <c r="C207" s="1010" t="s">
        <v>4104</v>
      </c>
      <c r="D207" s="238" t="s">
        <v>4048</v>
      </c>
      <c r="E207" s="239">
        <v>0</v>
      </c>
      <c r="F207" s="1005">
        <v>0</v>
      </c>
      <c r="G207" s="1005"/>
      <c r="H207" s="1005"/>
      <c r="I207" s="1006">
        <v>0</v>
      </c>
      <c r="J207" s="1006"/>
      <c r="K207" s="1006"/>
      <c r="L207" s="1006">
        <v>0</v>
      </c>
      <c r="M207" s="234">
        <v>0</v>
      </c>
      <c r="N207" s="242"/>
      <c r="O207" s="242"/>
      <c r="P207" s="234">
        <v>0</v>
      </c>
      <c r="Q207" s="1009">
        <v>0</v>
      </c>
      <c r="R207" s="235" t="s">
        <v>479</v>
      </c>
    </row>
    <row r="208" spans="1:18" ht="19.7" customHeight="1">
      <c r="A208" s="1012" t="s">
        <v>4058</v>
      </c>
      <c r="B208" s="240" t="s">
        <v>4105</v>
      </c>
      <c r="C208" s="1010" t="s">
        <v>4106</v>
      </c>
      <c r="D208" s="238">
        <v>18050</v>
      </c>
      <c r="E208" s="239">
        <v>0</v>
      </c>
      <c r="F208" s="1005">
        <v>0</v>
      </c>
      <c r="G208" s="1005"/>
      <c r="H208" s="1005"/>
      <c r="I208" s="1006">
        <v>0</v>
      </c>
      <c r="J208" s="1006"/>
      <c r="K208" s="1006"/>
      <c r="L208" s="1006">
        <v>0</v>
      </c>
      <c r="M208" s="242">
        <v>18050</v>
      </c>
      <c r="N208" s="242"/>
      <c r="O208" s="242"/>
      <c r="P208" s="234">
        <v>0</v>
      </c>
      <c r="Q208" s="1009">
        <v>0</v>
      </c>
      <c r="R208" s="235" t="s">
        <v>479</v>
      </c>
    </row>
    <row r="209" spans="1:18" ht="19.7" customHeight="1">
      <c r="A209" s="1012" t="s">
        <v>4107</v>
      </c>
      <c r="B209" s="240" t="s">
        <v>4108</v>
      </c>
      <c r="C209" s="1010" t="s">
        <v>4109</v>
      </c>
      <c r="D209" s="238">
        <v>11023991.1</v>
      </c>
      <c r="E209" s="239">
        <v>0</v>
      </c>
      <c r="F209" s="1005">
        <v>0</v>
      </c>
      <c r="G209" s="1005"/>
      <c r="H209" s="1005"/>
      <c r="I209" s="1006">
        <v>0</v>
      </c>
      <c r="J209" s="1006"/>
      <c r="K209" s="1006"/>
      <c r="L209" s="1006">
        <v>0</v>
      </c>
      <c r="M209" s="242">
        <v>1000000</v>
      </c>
      <c r="N209" s="242"/>
      <c r="O209" s="242"/>
      <c r="P209" s="234">
        <f>D209-M209</f>
        <v>10023991.1</v>
      </c>
      <c r="Q209" s="1009">
        <v>0</v>
      </c>
      <c r="R209" s="235" t="s">
        <v>555</v>
      </c>
    </row>
    <row r="210" spans="1:18" ht="19.7" customHeight="1">
      <c r="A210" s="1013" t="s">
        <v>4110</v>
      </c>
      <c r="B210" s="1013" t="s">
        <v>4111</v>
      </c>
      <c r="C210" s="1010" t="s">
        <v>3424</v>
      </c>
      <c r="D210" s="238">
        <v>50000</v>
      </c>
      <c r="E210" s="239">
        <v>0</v>
      </c>
      <c r="F210" s="1005">
        <v>0</v>
      </c>
      <c r="G210" s="1005"/>
      <c r="H210" s="1005"/>
      <c r="I210" s="1006">
        <v>0</v>
      </c>
      <c r="J210" s="1006"/>
      <c r="K210" s="1006"/>
      <c r="L210" s="1006">
        <v>0</v>
      </c>
      <c r="M210" s="242">
        <f t="shared" ref="M210" si="13">D210-E210-F210</f>
        <v>50000</v>
      </c>
      <c r="N210" s="242"/>
      <c r="O210" s="242"/>
      <c r="P210" s="234">
        <v>0</v>
      </c>
      <c r="Q210" s="1009">
        <v>0</v>
      </c>
      <c r="R210" s="235" t="s">
        <v>680</v>
      </c>
    </row>
    <row r="211" spans="1:18" ht="19.7" customHeight="1">
      <c r="A211" s="237" t="s">
        <v>760</v>
      </c>
      <c r="B211" s="240" t="s">
        <v>679</v>
      </c>
      <c r="C211" s="1010" t="s">
        <v>848</v>
      </c>
      <c r="D211" s="238">
        <v>1200000</v>
      </c>
      <c r="E211" s="239">
        <v>0</v>
      </c>
      <c r="F211" s="1005">
        <v>0</v>
      </c>
      <c r="G211" s="1005">
        <v>0</v>
      </c>
      <c r="H211" s="1005">
        <v>0</v>
      </c>
      <c r="I211" s="1006">
        <v>0</v>
      </c>
      <c r="J211" s="1006"/>
      <c r="K211" s="1006"/>
      <c r="L211" s="1006">
        <v>0</v>
      </c>
      <c r="M211" s="234">
        <f t="shared" si="12"/>
        <v>1200000</v>
      </c>
      <c r="N211" s="234"/>
      <c r="O211" s="234"/>
      <c r="P211" s="234">
        <v>0</v>
      </c>
      <c r="Q211" s="1009">
        <v>0</v>
      </c>
      <c r="R211" s="235" t="s">
        <v>735</v>
      </c>
    </row>
    <row r="212" spans="1:18" ht="19.7" customHeight="1" thickBot="1">
      <c r="A212" s="1014" t="s">
        <v>769</v>
      </c>
      <c r="B212" s="246" t="s">
        <v>770</v>
      </c>
      <c r="C212" s="1015" t="s">
        <v>4112</v>
      </c>
      <c r="D212" s="1016">
        <v>2502964.23</v>
      </c>
      <c r="E212" s="239">
        <v>0</v>
      </c>
      <c r="F212" s="239">
        <v>0</v>
      </c>
      <c r="G212" s="239">
        <v>0</v>
      </c>
      <c r="H212" s="239">
        <v>0</v>
      </c>
      <c r="I212" s="1006">
        <v>0</v>
      </c>
      <c r="J212" s="1006"/>
      <c r="K212" s="1006"/>
      <c r="L212" s="1006">
        <v>0</v>
      </c>
      <c r="M212" s="234">
        <v>1500000</v>
      </c>
      <c r="N212" s="234"/>
      <c r="O212" s="234"/>
      <c r="P212" s="234">
        <f>D212-E212-F212-M212</f>
        <v>1002964.23</v>
      </c>
      <c r="Q212" s="1009">
        <v>0</v>
      </c>
      <c r="R212" s="235" t="s">
        <v>685</v>
      </c>
    </row>
    <row r="213" spans="1:18" ht="19.7" customHeight="1" thickBot="1">
      <c r="A213" s="1017" t="s">
        <v>771</v>
      </c>
      <c r="B213" s="1018"/>
      <c r="C213" s="1019"/>
      <c r="D213" s="249">
        <f t="shared" ref="D213:E213" si="14">SUM(D174:D212)</f>
        <v>38593871.859999999</v>
      </c>
      <c r="E213" s="249">
        <f t="shared" si="14"/>
        <v>0</v>
      </c>
      <c r="F213" s="249">
        <f>SUM(F174:F212)</f>
        <v>2982111.1</v>
      </c>
      <c r="G213" s="249">
        <f t="shared" ref="G213:L213" si="15">SUM(G174:G212)</f>
        <v>0</v>
      </c>
      <c r="H213" s="249">
        <f t="shared" si="15"/>
        <v>2982111.1</v>
      </c>
      <c r="I213" s="249">
        <f>SUM(I174:I212)</f>
        <v>876239.71</v>
      </c>
      <c r="J213" s="249">
        <f t="shared" si="15"/>
        <v>891122.50999999978</v>
      </c>
      <c r="K213" s="249">
        <f>SUM(K174:K212)</f>
        <v>-14882.799999999814</v>
      </c>
      <c r="L213" s="249">
        <f t="shared" si="15"/>
        <v>0</v>
      </c>
      <c r="M213" s="249">
        <f>SUM(M174:M212)</f>
        <v>7813732.0300000003</v>
      </c>
      <c r="N213" s="249">
        <f t="shared" ref="N213:P213" si="16">SUM(N174:N212)</f>
        <v>0</v>
      </c>
      <c r="O213" s="249">
        <f t="shared" si="16"/>
        <v>0</v>
      </c>
      <c r="P213" s="249">
        <f t="shared" si="16"/>
        <v>21350411.199999999</v>
      </c>
      <c r="Q213" s="249">
        <f>SUM(Q174:Q212)</f>
        <v>5571377.8199999994</v>
      </c>
      <c r="R213" s="252"/>
    </row>
    <row r="214" spans="1:18" ht="19.7" customHeight="1">
      <c r="A214" s="1020" t="s">
        <v>772</v>
      </c>
      <c r="B214" s="1021"/>
      <c r="C214" s="1021"/>
      <c r="D214" s="1021"/>
      <c r="E214" s="1021"/>
      <c r="F214" s="1021"/>
      <c r="G214" s="1021"/>
      <c r="H214" s="1021"/>
      <c r="I214" s="1021"/>
      <c r="J214" s="1021"/>
      <c r="K214" s="1021"/>
      <c r="L214" s="1021"/>
      <c r="M214" s="1021"/>
      <c r="N214" s="1021"/>
      <c r="O214" s="1021"/>
      <c r="P214" s="1021"/>
      <c r="Q214" s="1021"/>
      <c r="R214" s="1022"/>
    </row>
    <row r="215" spans="1:18" ht="19.7" customHeight="1" thickBot="1">
      <c r="A215" s="253" t="s">
        <v>755</v>
      </c>
      <c r="B215" s="246" t="s">
        <v>773</v>
      </c>
      <c r="C215" s="246"/>
      <c r="D215" s="1023">
        <v>500000</v>
      </c>
      <c r="E215" s="1023"/>
      <c r="F215" s="1023"/>
      <c r="G215" s="1023"/>
      <c r="H215" s="1023"/>
      <c r="I215" s="1023"/>
      <c r="J215" s="1023"/>
      <c r="K215" s="1023"/>
      <c r="L215" s="1023"/>
      <c r="M215" s="1024"/>
      <c r="N215" s="1024"/>
      <c r="O215" s="1024"/>
      <c r="P215" s="1024"/>
      <c r="Q215" s="1025"/>
      <c r="R215" s="256" t="s">
        <v>774</v>
      </c>
    </row>
    <row r="216" spans="1:18" ht="19.7" customHeight="1">
      <c r="A216" s="257"/>
      <c r="B216" s="257"/>
      <c r="C216" s="257"/>
      <c r="D216" s="257"/>
      <c r="E216" s="257"/>
      <c r="F216" s="257"/>
      <c r="G216" s="257"/>
      <c r="H216" s="257"/>
      <c r="I216" s="258"/>
      <c r="J216" s="258"/>
      <c r="K216" s="258"/>
      <c r="L216" s="258"/>
    </row>
    <row r="217" spans="1:18" ht="19.7" customHeight="1">
      <c r="I217" s="1030">
        <v>45107</v>
      </c>
      <c r="J217" s="1031" t="s">
        <v>4113</v>
      </c>
      <c r="K217" s="1026"/>
      <c r="L217" s="960"/>
      <c r="M217" s="1032" t="s">
        <v>4114</v>
      </c>
      <c r="N217" s="1026"/>
      <c r="O217" s="1026"/>
      <c r="P217" s="1032" t="s">
        <v>4115</v>
      </c>
      <c r="Q217" s="1026" t="s">
        <v>4116</v>
      </c>
    </row>
    <row r="218" spans="1:18" s="1026" customFormat="1" ht="19.7" customHeight="1" thickBot="1">
      <c r="A218" s="1027" t="s">
        <v>0</v>
      </c>
      <c r="B218" s="1027"/>
      <c r="C218" s="1027"/>
      <c r="D218" s="1028"/>
      <c r="E218" s="1028"/>
      <c r="F218" s="1028"/>
      <c r="G218" s="1028"/>
      <c r="H218" s="1028"/>
      <c r="I218" s="1029">
        <f>+SUM(I2:I212)</f>
        <v>27763808.440000013</v>
      </c>
      <c r="J218" s="1029">
        <f>+SUM(J2:J212)</f>
        <v>27794980.410000011</v>
      </c>
      <c r="K218" s="1029"/>
      <c r="L218" s="1029">
        <f>+SUM(L2:L212)</f>
        <v>1499073.9900000002</v>
      </c>
      <c r="M218" s="1029">
        <f>+SUM(M2:M212)</f>
        <v>33552350.459999997</v>
      </c>
      <c r="N218" s="1028"/>
      <c r="O218" s="1028"/>
      <c r="P218" s="1029">
        <f>+SUM(P2:P212)</f>
        <v>48668191.339999996</v>
      </c>
      <c r="Q218" s="1029">
        <f>+SUM(Q2:Q212)</f>
        <v>5571377.8199999994</v>
      </c>
      <c r="R218" s="1028"/>
    </row>
    <row r="219" spans="1:18" ht="19.7" customHeight="1" thickTop="1">
      <c r="D219" s="259"/>
      <c r="E219" s="259"/>
      <c r="F219" s="259"/>
      <c r="G219" s="259"/>
      <c r="H219" s="259"/>
      <c r="I219" s="259"/>
      <c r="J219" s="259"/>
      <c r="K219" s="259"/>
      <c r="L219" s="259"/>
      <c r="M219" s="259"/>
      <c r="N219" s="259"/>
      <c r="O219" s="259"/>
      <c r="P219" s="259"/>
      <c r="Q219" s="259"/>
      <c r="R219" s="259"/>
    </row>
    <row r="220" spans="1:18" ht="19.7" customHeight="1">
      <c r="D220" s="259"/>
      <c r="E220" s="259"/>
      <c r="F220" s="259"/>
      <c r="G220" s="259"/>
      <c r="H220" s="259"/>
      <c r="I220" s="259"/>
      <c r="J220" s="259"/>
      <c r="K220" s="259"/>
      <c r="L220" s="259"/>
      <c r="M220" s="259">
        <f>+M218+I218</f>
        <v>61316158.900000006</v>
      </c>
      <c r="N220" s="259"/>
      <c r="O220" s="259"/>
      <c r="P220" s="259"/>
      <c r="Q220" s="259"/>
      <c r="R220" s="259"/>
    </row>
    <row r="221" spans="1:18" ht="19.7" customHeight="1">
      <c r="D221" s="259"/>
      <c r="E221" s="259"/>
      <c r="F221" s="259"/>
      <c r="G221" s="259"/>
      <c r="H221" s="259"/>
      <c r="I221" s="259"/>
      <c r="J221" s="259"/>
      <c r="K221" s="259"/>
      <c r="L221" s="259"/>
      <c r="M221" s="259"/>
      <c r="N221" s="259"/>
      <c r="O221" s="259"/>
      <c r="P221" s="259"/>
      <c r="Q221" s="259"/>
      <c r="R221" s="259"/>
    </row>
    <row r="222" spans="1:18" ht="19.7" customHeight="1">
      <c r="D222" s="259"/>
      <c r="E222" s="259"/>
      <c r="F222" s="259"/>
      <c r="G222" s="259"/>
      <c r="H222" s="259"/>
      <c r="I222" s="259"/>
      <c r="J222" s="259"/>
      <c r="K222" s="259"/>
      <c r="L222" s="259"/>
      <c r="M222" s="259"/>
      <c r="N222" s="259"/>
      <c r="O222" s="259"/>
      <c r="P222" s="259"/>
      <c r="Q222" s="259"/>
      <c r="R222" s="259"/>
    </row>
    <row r="223" spans="1:18" ht="19.7" customHeight="1">
      <c r="D223" s="259"/>
      <c r="E223" s="259"/>
      <c r="F223" s="259"/>
      <c r="G223" s="259"/>
      <c r="H223" s="259"/>
      <c r="I223" s="259"/>
      <c r="J223" s="259"/>
      <c r="K223" s="259"/>
      <c r="L223" s="259"/>
      <c r="M223" s="259"/>
      <c r="N223" s="259"/>
      <c r="O223" s="259"/>
      <c r="P223" s="259"/>
      <c r="Q223" s="259"/>
      <c r="R223" s="259"/>
    </row>
    <row r="224" spans="1:18" ht="19.7" customHeight="1">
      <c r="D224" s="259"/>
      <c r="E224" s="259"/>
      <c r="F224" s="259"/>
      <c r="G224" s="259"/>
      <c r="H224" s="259"/>
      <c r="I224" s="259"/>
      <c r="J224" s="259"/>
      <c r="K224" s="259"/>
      <c r="L224" s="259"/>
      <c r="M224" s="259"/>
      <c r="N224" s="259"/>
      <c r="O224" s="259"/>
      <c r="P224" s="259"/>
      <c r="Q224" s="259"/>
      <c r="R224" s="259"/>
    </row>
    <row r="225" spans="4:18" ht="19.7" customHeight="1">
      <c r="D225" s="259"/>
      <c r="E225" s="259"/>
      <c r="F225" s="259"/>
      <c r="G225" s="259"/>
      <c r="H225" s="259"/>
      <c r="I225" s="259"/>
      <c r="J225" s="259"/>
      <c r="K225" s="259"/>
      <c r="L225" s="259"/>
      <c r="M225" s="259"/>
      <c r="N225" s="259"/>
      <c r="O225" s="259"/>
      <c r="P225" s="259"/>
      <c r="Q225" s="259"/>
      <c r="R225" s="259"/>
    </row>
    <row r="226" spans="4:18" ht="19.7" customHeight="1">
      <c r="D226" s="259"/>
      <c r="E226" s="259"/>
      <c r="F226" s="259"/>
      <c r="G226" s="259"/>
      <c r="H226" s="259"/>
      <c r="I226" s="259"/>
      <c r="J226" s="259"/>
      <c r="K226" s="259"/>
      <c r="L226" s="259"/>
      <c r="M226" s="259"/>
      <c r="N226" s="259"/>
      <c r="O226" s="259"/>
      <c r="P226" s="259"/>
      <c r="Q226" s="259"/>
      <c r="R226" s="259"/>
    </row>
    <row r="227" spans="4:18" ht="19.7" customHeight="1">
      <c r="D227" s="259"/>
      <c r="E227" s="259"/>
      <c r="F227" s="259"/>
      <c r="G227" s="259"/>
      <c r="H227" s="259"/>
      <c r="I227" s="259"/>
      <c r="J227" s="259"/>
      <c r="K227" s="259"/>
      <c r="L227" s="259"/>
      <c r="M227" s="259"/>
      <c r="N227" s="259"/>
      <c r="O227" s="259"/>
      <c r="P227" s="259"/>
      <c r="Q227" s="259"/>
      <c r="R227" s="259"/>
    </row>
    <row r="228" spans="4:18" ht="19.7" customHeight="1">
      <c r="D228" s="259"/>
      <c r="E228" s="259"/>
      <c r="F228" s="259"/>
      <c r="G228" s="259"/>
      <c r="H228" s="259"/>
      <c r="I228" s="259"/>
      <c r="J228" s="259"/>
      <c r="K228" s="259"/>
      <c r="L228" s="259"/>
      <c r="M228" s="259"/>
      <c r="N228" s="259"/>
      <c r="O228" s="259"/>
      <c r="P228" s="259"/>
      <c r="Q228" s="259"/>
      <c r="R228" s="259"/>
    </row>
    <row r="229" spans="4:18" ht="19.7" customHeight="1">
      <c r="D229" s="259"/>
      <c r="E229" s="259"/>
      <c r="F229" s="259"/>
      <c r="G229" s="259"/>
      <c r="H229" s="259"/>
      <c r="I229" s="259"/>
      <c r="J229" s="259"/>
      <c r="K229" s="259"/>
      <c r="L229" s="259"/>
      <c r="M229" s="259"/>
      <c r="N229" s="259"/>
      <c r="O229" s="259"/>
      <c r="P229" s="259"/>
      <c r="Q229" s="259"/>
      <c r="R229" s="259"/>
    </row>
    <row r="230" spans="4:18" ht="19.7" customHeight="1">
      <c r="D230" s="259"/>
      <c r="E230" s="259"/>
      <c r="F230" s="259"/>
      <c r="G230" s="259"/>
      <c r="H230" s="259"/>
      <c r="I230" s="259"/>
      <c r="J230" s="259"/>
      <c r="K230" s="259"/>
      <c r="L230" s="259"/>
      <c r="M230" s="259"/>
      <c r="N230" s="259"/>
      <c r="O230" s="259"/>
      <c r="P230" s="259"/>
      <c r="Q230" s="259"/>
      <c r="R230" s="259"/>
    </row>
    <row r="231" spans="4:18" ht="19.7" customHeight="1">
      <c r="D231" s="259"/>
      <c r="E231" s="259"/>
      <c r="F231" s="259"/>
      <c r="G231" s="259"/>
      <c r="H231" s="259"/>
      <c r="I231" s="259"/>
      <c r="J231" s="259"/>
      <c r="K231" s="259"/>
      <c r="L231" s="259"/>
      <c r="M231" s="259"/>
      <c r="N231" s="259"/>
      <c r="O231" s="259"/>
      <c r="P231" s="259"/>
      <c r="Q231" s="259"/>
      <c r="R231" s="259"/>
    </row>
    <row r="232" spans="4:18" ht="19.7" customHeight="1">
      <c r="D232" s="259"/>
      <c r="E232" s="259"/>
      <c r="F232" s="259"/>
      <c r="G232" s="259"/>
      <c r="H232" s="259"/>
      <c r="I232" s="259"/>
      <c r="J232" s="259"/>
      <c r="K232" s="259"/>
      <c r="L232" s="259"/>
      <c r="M232" s="259"/>
      <c r="N232" s="259"/>
      <c r="O232" s="259"/>
      <c r="P232" s="259"/>
      <c r="Q232" s="259"/>
      <c r="R232" s="259"/>
    </row>
    <row r="233" spans="4:18" ht="19.7" customHeight="1">
      <c r="D233" s="259"/>
      <c r="E233" s="259"/>
      <c r="F233" s="259"/>
      <c r="G233" s="259"/>
      <c r="H233" s="259"/>
      <c r="I233" s="259"/>
      <c r="J233" s="259"/>
      <c r="K233" s="259"/>
      <c r="L233" s="259"/>
      <c r="M233" s="259"/>
      <c r="N233" s="259"/>
      <c r="O233" s="259"/>
      <c r="P233" s="259"/>
      <c r="Q233" s="259"/>
      <c r="R233" s="259"/>
    </row>
    <row r="234" spans="4:18" ht="19.7" customHeight="1">
      <c r="D234" s="259"/>
      <c r="E234" s="259"/>
      <c r="F234" s="259"/>
      <c r="G234" s="259"/>
      <c r="H234" s="259"/>
      <c r="I234" s="259"/>
      <c r="J234" s="259"/>
      <c r="K234" s="259"/>
      <c r="L234" s="259"/>
      <c r="M234" s="259"/>
      <c r="N234" s="259"/>
      <c r="O234" s="259"/>
      <c r="P234" s="259"/>
      <c r="Q234" s="259"/>
      <c r="R234" s="259"/>
    </row>
    <row r="235" spans="4:18" ht="19.7" customHeight="1">
      <c r="D235" s="259"/>
      <c r="E235" s="259"/>
      <c r="F235" s="259"/>
      <c r="G235" s="259"/>
      <c r="H235" s="259"/>
      <c r="I235" s="259"/>
      <c r="J235" s="259"/>
      <c r="K235" s="259"/>
      <c r="L235" s="259"/>
      <c r="M235" s="259"/>
      <c r="N235" s="259"/>
      <c r="O235" s="259"/>
      <c r="P235" s="259"/>
      <c r="Q235" s="259"/>
      <c r="R235" s="259"/>
    </row>
    <row r="236" spans="4:18" ht="19.7" customHeight="1">
      <c r="D236" s="259"/>
      <c r="E236" s="259"/>
      <c r="F236" s="259"/>
      <c r="G236" s="259"/>
      <c r="H236" s="259"/>
      <c r="I236" s="259"/>
      <c r="J236" s="259"/>
      <c r="K236" s="259"/>
      <c r="L236" s="259"/>
      <c r="M236" s="259"/>
      <c r="N236" s="259"/>
      <c r="O236" s="259"/>
      <c r="P236" s="259"/>
      <c r="Q236" s="259"/>
      <c r="R236" s="259"/>
    </row>
    <row r="237" spans="4:18" ht="19.7" customHeight="1">
      <c r="D237" s="259"/>
      <c r="E237" s="259"/>
      <c r="F237" s="259"/>
      <c r="G237" s="259"/>
      <c r="H237" s="259"/>
      <c r="I237" s="259"/>
      <c r="J237" s="259"/>
      <c r="K237" s="259"/>
      <c r="L237" s="259"/>
      <c r="M237" s="259"/>
      <c r="N237" s="259"/>
      <c r="O237" s="259"/>
      <c r="P237" s="259"/>
      <c r="Q237" s="259"/>
      <c r="R237" s="259"/>
    </row>
    <row r="238" spans="4:18" ht="19.7" customHeight="1">
      <c r="D238" s="259"/>
      <c r="E238" s="259"/>
      <c r="F238" s="259"/>
      <c r="G238" s="259"/>
      <c r="H238" s="259"/>
      <c r="I238" s="259"/>
      <c r="J238" s="259"/>
      <c r="K238" s="259"/>
      <c r="L238" s="259"/>
      <c r="M238" s="259"/>
      <c r="N238" s="259"/>
      <c r="O238" s="259"/>
      <c r="P238" s="259"/>
      <c r="Q238" s="259"/>
      <c r="R238" s="259"/>
    </row>
    <row r="239" spans="4:18" ht="19.7" customHeight="1">
      <c r="D239" s="259"/>
      <c r="E239" s="259"/>
      <c r="F239" s="259"/>
      <c r="G239" s="259"/>
      <c r="H239" s="259"/>
      <c r="I239" s="259"/>
      <c r="J239" s="259"/>
      <c r="K239" s="259"/>
      <c r="L239" s="259"/>
      <c r="M239" s="259"/>
      <c r="N239" s="259"/>
      <c r="O239" s="259"/>
      <c r="P239" s="259"/>
      <c r="Q239" s="259"/>
      <c r="R239" s="259"/>
    </row>
    <row r="240" spans="4:18" ht="19.7" customHeight="1">
      <c r="D240" s="259"/>
      <c r="E240" s="259"/>
      <c r="F240" s="259"/>
      <c r="G240" s="259"/>
      <c r="H240" s="259"/>
      <c r="I240" s="259"/>
      <c r="J240" s="259"/>
      <c r="K240" s="259"/>
      <c r="L240" s="259"/>
      <c r="M240" s="259"/>
      <c r="N240" s="259"/>
      <c r="O240" s="259"/>
      <c r="P240" s="259"/>
      <c r="Q240" s="259"/>
      <c r="R240" s="259"/>
    </row>
    <row r="241" spans="4:18" ht="19.7" customHeight="1">
      <c r="D241" s="259"/>
      <c r="E241" s="259"/>
      <c r="F241" s="259"/>
      <c r="G241" s="259"/>
      <c r="H241" s="259"/>
      <c r="I241" s="259"/>
      <c r="J241" s="259"/>
      <c r="K241" s="259"/>
      <c r="L241" s="259"/>
      <c r="M241" s="259"/>
      <c r="N241" s="259"/>
      <c r="O241" s="259"/>
      <c r="P241" s="259"/>
      <c r="Q241" s="259"/>
      <c r="R241" s="259"/>
    </row>
    <row r="242" spans="4:18" ht="19.7" customHeight="1">
      <c r="D242" s="259"/>
      <c r="E242" s="259"/>
      <c r="F242" s="259"/>
      <c r="G242" s="259"/>
      <c r="H242" s="259"/>
      <c r="I242" s="259"/>
      <c r="J242" s="259"/>
      <c r="K242" s="259"/>
      <c r="L242" s="259"/>
      <c r="M242" s="259"/>
      <c r="N242" s="259"/>
      <c r="O242" s="259"/>
      <c r="P242" s="259"/>
      <c r="Q242" s="259"/>
      <c r="R242" s="259"/>
    </row>
    <row r="243" spans="4:18" ht="19.7" customHeight="1">
      <c r="D243" s="259"/>
      <c r="E243" s="259"/>
      <c r="F243" s="259"/>
      <c r="G243" s="259"/>
      <c r="H243" s="259"/>
      <c r="I243" s="259"/>
      <c r="J243" s="259"/>
      <c r="K243" s="259"/>
      <c r="L243" s="259"/>
      <c r="M243" s="259"/>
      <c r="N243" s="259"/>
      <c r="O243" s="259"/>
      <c r="P243" s="259"/>
      <c r="Q243" s="259"/>
      <c r="R243" s="259"/>
    </row>
    <row r="244" spans="4:18" ht="19.7" customHeight="1">
      <c r="D244" s="259"/>
      <c r="E244" s="259"/>
      <c r="F244" s="259"/>
      <c r="G244" s="259"/>
      <c r="H244" s="259"/>
      <c r="I244" s="259"/>
      <c r="J244" s="259"/>
      <c r="K244" s="259"/>
      <c r="L244" s="259"/>
      <c r="M244" s="259"/>
      <c r="N244" s="259"/>
      <c r="O244" s="259"/>
      <c r="P244" s="259"/>
      <c r="Q244" s="259"/>
      <c r="R244" s="259"/>
    </row>
    <row r="245" spans="4:18" ht="19.7" customHeight="1">
      <c r="D245" s="259"/>
      <c r="E245" s="259"/>
      <c r="F245" s="259"/>
      <c r="G245" s="259"/>
      <c r="H245" s="259"/>
      <c r="I245" s="259"/>
      <c r="J245" s="259"/>
      <c r="K245" s="259"/>
      <c r="L245" s="259"/>
      <c r="M245" s="259"/>
      <c r="N245" s="259"/>
      <c r="O245" s="259"/>
      <c r="P245" s="259"/>
      <c r="Q245" s="259"/>
      <c r="R245" s="259"/>
    </row>
    <row r="246" spans="4:18" ht="19.7" customHeight="1">
      <c r="D246" s="259"/>
      <c r="E246" s="259"/>
      <c r="F246" s="259"/>
      <c r="G246" s="259"/>
      <c r="H246" s="259"/>
      <c r="I246" s="259"/>
      <c r="J246" s="259"/>
      <c r="K246" s="259"/>
      <c r="L246" s="259"/>
      <c r="M246" s="259"/>
      <c r="N246" s="259"/>
      <c r="O246" s="259"/>
      <c r="P246" s="259"/>
      <c r="Q246" s="259"/>
      <c r="R246" s="259"/>
    </row>
    <row r="247" spans="4:18" ht="19.7" customHeight="1">
      <c r="D247" s="259"/>
      <c r="E247" s="259"/>
      <c r="F247" s="259"/>
      <c r="G247" s="259"/>
      <c r="H247" s="259"/>
      <c r="I247" s="259"/>
      <c r="J247" s="259"/>
      <c r="K247" s="259"/>
      <c r="L247" s="259"/>
      <c r="M247" s="259"/>
      <c r="N247" s="259"/>
      <c r="O247" s="259"/>
      <c r="P247" s="259"/>
      <c r="Q247" s="259"/>
      <c r="R247" s="259"/>
    </row>
    <row r="248" spans="4:18" ht="19.7" customHeight="1">
      <c r="D248" s="259"/>
      <c r="E248" s="259"/>
      <c r="F248" s="259"/>
      <c r="G248" s="259"/>
      <c r="H248" s="259"/>
      <c r="I248" s="259"/>
      <c r="J248" s="259"/>
      <c r="K248" s="259"/>
      <c r="L248" s="259"/>
      <c r="M248" s="259"/>
      <c r="N248" s="259"/>
      <c r="O248" s="259"/>
      <c r="P248" s="259"/>
      <c r="Q248" s="259"/>
      <c r="R248" s="259"/>
    </row>
    <row r="249" spans="4:18" ht="19.7" customHeight="1">
      <c r="D249" s="259"/>
      <c r="E249" s="259"/>
      <c r="F249" s="259"/>
      <c r="G249" s="259"/>
      <c r="H249" s="259"/>
      <c r="I249" s="259"/>
      <c r="J249" s="259"/>
      <c r="K249" s="259"/>
      <c r="L249" s="259"/>
      <c r="M249" s="259"/>
      <c r="N249" s="259"/>
      <c r="O249" s="259"/>
      <c r="P249" s="259"/>
      <c r="Q249" s="259"/>
      <c r="R249" s="259"/>
    </row>
    <row r="250" spans="4:18" ht="19.7" customHeight="1">
      <c r="D250" s="259"/>
      <c r="E250" s="259"/>
      <c r="F250" s="259"/>
      <c r="G250" s="259"/>
      <c r="H250" s="259"/>
      <c r="I250" s="259"/>
      <c r="J250" s="259"/>
      <c r="K250" s="259"/>
      <c r="L250" s="259"/>
      <c r="M250" s="259"/>
      <c r="N250" s="259"/>
      <c r="O250" s="259"/>
      <c r="P250" s="259"/>
      <c r="Q250" s="259"/>
      <c r="R250" s="259"/>
    </row>
    <row r="251" spans="4:18" ht="19.7" customHeight="1">
      <c r="D251" s="259"/>
      <c r="E251" s="259"/>
      <c r="F251" s="259"/>
      <c r="G251" s="259"/>
      <c r="H251" s="259"/>
      <c r="I251" s="259"/>
      <c r="J251" s="259"/>
      <c r="K251" s="259"/>
      <c r="L251" s="259"/>
      <c r="M251" s="259"/>
      <c r="N251" s="259"/>
      <c r="O251" s="259"/>
      <c r="P251" s="259"/>
      <c r="Q251" s="259"/>
      <c r="R251" s="259"/>
    </row>
    <row r="252" spans="4:18" ht="19.7" customHeight="1">
      <c r="D252" s="259"/>
      <c r="E252" s="259"/>
      <c r="F252" s="259"/>
      <c r="G252" s="259"/>
      <c r="H252" s="259"/>
      <c r="I252" s="259"/>
      <c r="J252" s="259"/>
      <c r="K252" s="259"/>
      <c r="L252" s="259"/>
      <c r="M252" s="259"/>
      <c r="N252" s="259"/>
      <c r="O252" s="259"/>
      <c r="P252" s="259"/>
      <c r="Q252" s="259"/>
      <c r="R252" s="259"/>
    </row>
    <row r="253" spans="4:18" ht="19.7" customHeight="1">
      <c r="D253" s="259"/>
      <c r="E253" s="259"/>
      <c r="F253" s="259"/>
      <c r="G253" s="259"/>
      <c r="H253" s="259"/>
      <c r="I253" s="259"/>
      <c r="J253" s="259"/>
      <c r="K253" s="259"/>
      <c r="L253" s="259"/>
      <c r="M253" s="259"/>
      <c r="N253" s="259"/>
      <c r="O253" s="259"/>
      <c r="P253" s="259"/>
      <c r="Q253" s="259"/>
      <c r="R253" s="259"/>
    </row>
    <row r="254" spans="4:18" ht="19.7" customHeight="1">
      <c r="D254" s="259"/>
      <c r="E254" s="259"/>
      <c r="F254" s="259"/>
      <c r="G254" s="259"/>
      <c r="H254" s="259"/>
      <c r="I254" s="259"/>
      <c r="J254" s="259"/>
      <c r="K254" s="259"/>
      <c r="L254" s="259"/>
      <c r="M254" s="259"/>
      <c r="N254" s="259"/>
      <c r="O254" s="259"/>
      <c r="P254" s="259"/>
      <c r="Q254" s="259"/>
      <c r="R254" s="259"/>
    </row>
    <row r="255" spans="4:18" ht="19.7" customHeight="1">
      <c r="D255" s="259"/>
      <c r="E255" s="259"/>
      <c r="F255" s="259"/>
      <c r="G255" s="259"/>
      <c r="H255" s="259"/>
      <c r="I255" s="259"/>
      <c r="J255" s="259"/>
      <c r="K255" s="259"/>
      <c r="L255" s="259"/>
      <c r="M255" s="259"/>
      <c r="N255" s="259"/>
      <c r="O255" s="259"/>
      <c r="P255" s="259"/>
      <c r="Q255" s="259"/>
      <c r="R255" s="259"/>
    </row>
    <row r="256" spans="4:18" ht="19.7" customHeight="1">
      <c r="D256" s="259"/>
      <c r="E256" s="259"/>
      <c r="F256" s="259"/>
      <c r="G256" s="259"/>
      <c r="H256" s="259"/>
      <c r="I256" s="259"/>
      <c r="J256" s="259"/>
      <c r="K256" s="259"/>
      <c r="L256" s="259"/>
      <c r="M256" s="259"/>
      <c r="N256" s="259"/>
      <c r="O256" s="259"/>
      <c r="P256" s="259"/>
      <c r="Q256" s="259"/>
      <c r="R256" s="259"/>
    </row>
    <row r="257" spans="4:18" ht="19.7" customHeight="1">
      <c r="D257" s="259"/>
      <c r="E257" s="259"/>
      <c r="F257" s="259"/>
      <c r="G257" s="259"/>
      <c r="H257" s="259"/>
      <c r="I257" s="259"/>
      <c r="J257" s="259"/>
      <c r="K257" s="259"/>
      <c r="L257" s="259"/>
      <c r="M257" s="259"/>
      <c r="N257" s="259"/>
      <c r="O257" s="259"/>
      <c r="P257" s="259"/>
      <c r="Q257" s="259"/>
      <c r="R257" s="259"/>
    </row>
    <row r="258" spans="4:18" ht="19.7" customHeight="1">
      <c r="D258" s="259"/>
      <c r="E258" s="259"/>
      <c r="F258" s="259"/>
      <c r="G258" s="259"/>
      <c r="H258" s="259"/>
      <c r="I258" s="259"/>
      <c r="J258" s="259"/>
      <c r="K258" s="259"/>
      <c r="L258" s="259"/>
      <c r="M258" s="259"/>
      <c r="N258" s="259"/>
      <c r="O258" s="259"/>
      <c r="P258" s="259"/>
      <c r="Q258" s="259"/>
      <c r="R258" s="259"/>
    </row>
    <row r="259" spans="4:18" ht="19.7" customHeight="1">
      <c r="D259" s="259"/>
      <c r="E259" s="259"/>
      <c r="F259" s="259"/>
      <c r="G259" s="259"/>
      <c r="H259" s="259"/>
      <c r="I259" s="259"/>
      <c r="J259" s="259"/>
      <c r="K259" s="259"/>
      <c r="L259" s="259"/>
      <c r="M259" s="259"/>
      <c r="N259" s="259"/>
      <c r="O259" s="259"/>
      <c r="P259" s="259"/>
      <c r="Q259" s="259"/>
      <c r="R259" s="259"/>
    </row>
    <row r="260" spans="4:18" ht="19.7" customHeight="1">
      <c r="D260" s="259"/>
      <c r="E260" s="259"/>
      <c r="F260" s="259"/>
      <c r="G260" s="259"/>
      <c r="H260" s="259"/>
      <c r="I260" s="259"/>
      <c r="J260" s="259"/>
      <c r="K260" s="259"/>
      <c r="L260" s="259"/>
      <c r="M260" s="259"/>
      <c r="N260" s="259"/>
      <c r="O260" s="259"/>
      <c r="P260" s="259"/>
      <c r="Q260" s="259"/>
      <c r="R260" s="259"/>
    </row>
    <row r="261" spans="4:18" ht="19.7" customHeight="1">
      <c r="D261" s="259"/>
      <c r="E261" s="259"/>
      <c r="F261" s="259"/>
      <c r="G261" s="259"/>
      <c r="H261" s="259"/>
      <c r="I261" s="259"/>
      <c r="J261" s="259"/>
      <c r="K261" s="259"/>
      <c r="L261" s="259"/>
      <c r="M261" s="259"/>
      <c r="N261" s="259"/>
      <c r="O261" s="259"/>
      <c r="P261" s="259"/>
      <c r="Q261" s="259"/>
      <c r="R261" s="259"/>
    </row>
    <row r="262" spans="4:18" ht="19.7" customHeight="1">
      <c r="D262" s="259"/>
      <c r="E262" s="259"/>
      <c r="F262" s="259"/>
      <c r="G262" s="259"/>
      <c r="H262" s="259"/>
      <c r="I262" s="259"/>
      <c r="J262" s="259"/>
      <c r="K262" s="259"/>
      <c r="L262" s="259"/>
      <c r="M262" s="259"/>
      <c r="N262" s="259"/>
      <c r="O262" s="259"/>
      <c r="P262" s="259"/>
      <c r="Q262" s="259"/>
      <c r="R262" s="259"/>
    </row>
    <row r="263" spans="4:18" ht="19.7" customHeight="1">
      <c r="D263" s="259"/>
      <c r="E263" s="259"/>
      <c r="F263" s="259"/>
      <c r="G263" s="259"/>
      <c r="H263" s="259"/>
      <c r="I263" s="259"/>
      <c r="J263" s="259"/>
      <c r="K263" s="259"/>
      <c r="L263" s="259"/>
      <c r="M263" s="259"/>
      <c r="N263" s="259"/>
      <c r="O263" s="259"/>
      <c r="P263" s="259"/>
      <c r="Q263" s="259"/>
      <c r="R263" s="259"/>
    </row>
    <row r="264" spans="4:18" ht="19.7" customHeight="1">
      <c r="D264" s="259"/>
      <c r="E264" s="259"/>
      <c r="F264" s="259"/>
      <c r="G264" s="259"/>
      <c r="H264" s="259"/>
      <c r="I264" s="259"/>
      <c r="J264" s="259"/>
      <c r="K264" s="259"/>
      <c r="L264" s="259"/>
      <c r="M264" s="259"/>
      <c r="N264" s="259"/>
      <c r="O264" s="259"/>
      <c r="P264" s="259"/>
      <c r="Q264" s="259"/>
      <c r="R264" s="259"/>
    </row>
    <row r="265" spans="4:18" ht="19.7" customHeight="1">
      <c r="D265" s="259"/>
      <c r="E265" s="259"/>
      <c r="F265" s="259"/>
      <c r="G265" s="259"/>
      <c r="H265" s="259"/>
      <c r="I265" s="259"/>
      <c r="J265" s="259"/>
      <c r="K265" s="259"/>
      <c r="L265" s="259"/>
      <c r="M265" s="259"/>
      <c r="N265" s="259"/>
      <c r="O265" s="259"/>
      <c r="P265" s="259"/>
      <c r="Q265" s="259"/>
      <c r="R265" s="259"/>
    </row>
    <row r="266" spans="4:18" ht="19.7" customHeight="1">
      <c r="D266" s="259"/>
      <c r="E266" s="259"/>
      <c r="F266" s="259"/>
      <c r="G266" s="259"/>
      <c r="H266" s="259"/>
      <c r="I266" s="259"/>
      <c r="J266" s="259"/>
      <c r="K266" s="259"/>
      <c r="L266" s="259"/>
      <c r="M266" s="259"/>
      <c r="N266" s="259"/>
      <c r="O266" s="259"/>
      <c r="P266" s="259"/>
      <c r="Q266" s="259"/>
      <c r="R266" s="259"/>
    </row>
    <row r="267" spans="4:18" ht="19.7" customHeight="1">
      <c r="D267" s="259"/>
      <c r="E267" s="259"/>
      <c r="F267" s="259"/>
      <c r="G267" s="259"/>
      <c r="H267" s="259"/>
      <c r="I267" s="259"/>
      <c r="J267" s="259"/>
      <c r="K267" s="259"/>
      <c r="L267" s="259"/>
      <c r="M267" s="259"/>
      <c r="N267" s="259"/>
      <c r="O267" s="259"/>
      <c r="P267" s="259"/>
      <c r="Q267" s="259"/>
      <c r="R267" s="259"/>
    </row>
    <row r="268" spans="4:18" ht="19.7" customHeight="1">
      <c r="D268" s="259"/>
      <c r="E268" s="259"/>
      <c r="F268" s="259"/>
      <c r="G268" s="259"/>
      <c r="H268" s="259"/>
      <c r="I268" s="259"/>
      <c r="J268" s="259"/>
      <c r="K268" s="259"/>
      <c r="L268" s="259"/>
      <c r="M268" s="259"/>
      <c r="N268" s="259"/>
      <c r="O268" s="259"/>
      <c r="P268" s="259"/>
      <c r="Q268" s="259"/>
      <c r="R268" s="259"/>
    </row>
    <row r="269" spans="4:18" ht="19.7" customHeight="1">
      <c r="D269" s="259"/>
      <c r="E269" s="259"/>
      <c r="F269" s="259"/>
      <c r="G269" s="259"/>
      <c r="H269" s="259"/>
      <c r="I269" s="259"/>
      <c r="J269" s="259"/>
      <c r="K269" s="259"/>
      <c r="L269" s="259"/>
      <c r="M269" s="259"/>
      <c r="N269" s="259"/>
      <c r="O269" s="259"/>
      <c r="P269" s="259"/>
      <c r="Q269" s="259"/>
      <c r="R269" s="259"/>
    </row>
    <row r="270" spans="4:18" ht="19.7" customHeight="1">
      <c r="D270" s="259"/>
      <c r="E270" s="259"/>
      <c r="F270" s="259"/>
      <c r="G270" s="259"/>
      <c r="H270" s="259"/>
      <c r="I270" s="259"/>
      <c r="J270" s="259"/>
      <c r="K270" s="259"/>
      <c r="L270" s="259"/>
      <c r="M270" s="259"/>
      <c r="N270" s="259"/>
      <c r="O270" s="259"/>
      <c r="P270" s="259"/>
      <c r="Q270" s="259"/>
      <c r="R270" s="259"/>
    </row>
    <row r="271" spans="4:18" ht="19.7" customHeight="1">
      <c r="D271" s="259"/>
      <c r="E271" s="259"/>
      <c r="F271" s="259"/>
      <c r="G271" s="259"/>
      <c r="H271" s="259"/>
      <c r="I271" s="259"/>
      <c r="J271" s="259"/>
      <c r="K271" s="259"/>
      <c r="L271" s="259"/>
      <c r="M271" s="259"/>
      <c r="N271" s="259"/>
      <c r="O271" s="259"/>
      <c r="P271" s="259"/>
      <c r="Q271" s="259"/>
      <c r="R271" s="259"/>
    </row>
    <row r="272" spans="4:18" ht="19.7" customHeight="1">
      <c r="D272" s="259"/>
      <c r="E272" s="259"/>
      <c r="F272" s="259"/>
      <c r="G272" s="259"/>
      <c r="H272" s="259"/>
      <c r="I272" s="259"/>
      <c r="J272" s="259"/>
      <c r="K272" s="259"/>
      <c r="L272" s="259"/>
      <c r="M272" s="259"/>
      <c r="N272" s="259"/>
      <c r="O272" s="259"/>
      <c r="P272" s="259"/>
      <c r="Q272" s="259"/>
      <c r="R272" s="259"/>
    </row>
    <row r="273" ht="19.7" customHeight="1"/>
    <row r="274" ht="19.7" customHeight="1"/>
    <row r="275" ht="19.7" customHeight="1"/>
    <row r="276" ht="19.7" customHeight="1"/>
    <row r="277" ht="19.7" customHeight="1"/>
    <row r="278" ht="19.7" customHeight="1"/>
    <row r="279" ht="19.7" customHeight="1"/>
    <row r="280" ht="19.7" customHeight="1"/>
    <row r="281" ht="19.7" customHeight="1"/>
    <row r="282" ht="19.7" customHeight="1"/>
    <row r="283" ht="19.7" customHeight="1"/>
    <row r="284" ht="19.7" customHeight="1"/>
    <row r="285" ht="19.7" customHeight="1"/>
    <row r="286" ht="19.7" customHeight="1"/>
    <row r="287" ht="19.7" customHeight="1"/>
    <row r="288" ht="19.7" customHeight="1"/>
    <row r="289" ht="19.7" customHeight="1"/>
    <row r="290" ht="19.7" customHeight="1"/>
    <row r="291" ht="19.7" customHeight="1"/>
    <row r="292" ht="19.7" customHeight="1"/>
    <row r="293" ht="19.7" customHeight="1"/>
    <row r="294" ht="19.7" customHeight="1"/>
    <row r="295" ht="19.7" customHeight="1"/>
    <row r="296" ht="19.7" customHeight="1"/>
    <row r="297" ht="19.7" customHeight="1"/>
    <row r="298" ht="19.7" customHeight="1"/>
    <row r="299" ht="19.7" customHeight="1"/>
    <row r="300" ht="19.7" customHeight="1"/>
    <row r="301" ht="19.7" customHeight="1"/>
    <row r="302" ht="19.7" customHeight="1"/>
    <row r="303" ht="19.7" customHeight="1"/>
    <row r="304" ht="19.7" customHeight="1"/>
    <row r="305" ht="19.7" customHeight="1"/>
    <row r="306" ht="19.7" customHeight="1"/>
    <row r="307" ht="19.7" customHeight="1"/>
    <row r="308" ht="19.7" customHeight="1"/>
    <row r="309" ht="19.7" customHeight="1"/>
    <row r="310" ht="19.7" customHeight="1"/>
    <row r="311" ht="19.7" customHeight="1"/>
    <row r="312" ht="19.7" customHeight="1"/>
    <row r="313" ht="19.7" customHeight="1"/>
    <row r="314" ht="19.7" customHeight="1"/>
    <row r="315" ht="19.7" customHeight="1"/>
    <row r="316" ht="19.7" customHeight="1"/>
    <row r="317" ht="19.7" customHeight="1"/>
    <row r="318" ht="19.7" customHeight="1"/>
    <row r="319" ht="19.7" customHeight="1"/>
    <row r="320" ht="19.7" customHeight="1"/>
    <row r="321" ht="19.7" customHeight="1"/>
    <row r="322" ht="19.7" customHeight="1"/>
    <row r="323" ht="19.7" customHeight="1"/>
    <row r="324" ht="19.7" customHeight="1"/>
    <row r="325" ht="19.7" customHeight="1"/>
    <row r="326" ht="19.7" customHeight="1"/>
    <row r="327" ht="19.7" customHeight="1"/>
    <row r="328" ht="19.7" customHeight="1"/>
    <row r="329" ht="19.7" customHeight="1"/>
    <row r="330" ht="19.7" customHeight="1"/>
    <row r="331" ht="19.7" customHeight="1"/>
    <row r="332" ht="19.7" customHeight="1"/>
    <row r="333" ht="19.7" customHeight="1"/>
    <row r="334" ht="19.7" customHeight="1"/>
    <row r="335" ht="19.7" customHeight="1"/>
    <row r="336" ht="19.7" customHeight="1"/>
    <row r="337" ht="19.7" customHeight="1"/>
    <row r="338" ht="19.7" customHeight="1"/>
    <row r="339" ht="19.7" customHeight="1"/>
    <row r="340" ht="19.7" customHeight="1"/>
    <row r="341" ht="19.7" customHeight="1"/>
    <row r="342" ht="19.7" customHeight="1"/>
    <row r="343" ht="19.7" customHeight="1"/>
    <row r="344" ht="19.7" customHeight="1"/>
    <row r="345" ht="19.7" customHeight="1"/>
    <row r="346" ht="19.7" customHeight="1"/>
    <row r="347" ht="19.7" customHeight="1"/>
    <row r="348" ht="19.7" customHeight="1"/>
    <row r="349" ht="19.7" customHeight="1"/>
    <row r="350" ht="19.7" customHeight="1"/>
    <row r="351" ht="19.7" customHeight="1"/>
    <row r="352" ht="19.7" customHeight="1"/>
    <row r="353" ht="19.7" customHeight="1"/>
    <row r="354" ht="19.7" customHeight="1"/>
    <row r="355" ht="19.7" customHeight="1"/>
    <row r="356" ht="19.7" customHeight="1"/>
    <row r="357" ht="19.7" customHeight="1"/>
    <row r="358" ht="19.7" customHeight="1"/>
    <row r="359" ht="19.7" customHeight="1"/>
    <row r="360" ht="19.7" customHeight="1"/>
    <row r="361" ht="19.7" customHeight="1"/>
    <row r="362" ht="19.7" customHeight="1"/>
    <row r="363" ht="19.7" customHeight="1"/>
    <row r="364" ht="19.7" customHeight="1"/>
    <row r="365" ht="19.7" customHeight="1"/>
    <row r="366" ht="19.7" customHeight="1"/>
    <row r="367" ht="19.7" customHeight="1"/>
    <row r="368" ht="19.7" customHeight="1"/>
    <row r="369" ht="19.7" customHeight="1"/>
    <row r="370" ht="19.7" customHeight="1"/>
    <row r="371" ht="19.7" customHeight="1"/>
    <row r="372" ht="19.7" customHeight="1"/>
    <row r="373" ht="19.7" customHeight="1"/>
    <row r="374" ht="19.7" customHeight="1"/>
    <row r="375" ht="19.7" customHeight="1"/>
    <row r="376" ht="19.7" customHeight="1"/>
    <row r="377" ht="19.7" customHeight="1"/>
    <row r="378" ht="19.7" customHeight="1"/>
    <row r="379" ht="19.7" customHeight="1"/>
    <row r="380" ht="19.7" customHeight="1"/>
    <row r="381" ht="19.7" customHeight="1"/>
    <row r="382" ht="19.7" customHeight="1"/>
    <row r="383" ht="19.7" customHeight="1"/>
    <row r="384" ht="19.7" customHeight="1"/>
    <row r="385" ht="19.7" customHeight="1"/>
    <row r="386" ht="19.7" customHeight="1"/>
    <row r="387" ht="19.7" customHeight="1"/>
    <row r="388" ht="19.7" customHeight="1"/>
    <row r="389" ht="19.7" customHeight="1"/>
    <row r="390" ht="19.7" customHeight="1"/>
    <row r="391" ht="19.7" customHeight="1"/>
    <row r="392" ht="19.7" customHeight="1"/>
    <row r="393" ht="19.7" customHeight="1"/>
    <row r="394" ht="19.7" customHeight="1"/>
    <row r="395" ht="19.7" customHeight="1"/>
    <row r="396" ht="19.7" customHeight="1"/>
    <row r="397" ht="19.7" customHeight="1"/>
    <row r="398" ht="19.7" customHeight="1"/>
    <row r="399" ht="19.7" customHeight="1"/>
    <row r="400" ht="19.7" customHeight="1"/>
    <row r="401" ht="19.7" customHeight="1"/>
    <row r="402" ht="19.7" customHeight="1"/>
    <row r="403" ht="19.7" customHeight="1"/>
    <row r="404" ht="19.7" customHeight="1"/>
    <row r="405" ht="19.7" customHeight="1"/>
    <row r="406" ht="19.7" customHeight="1"/>
    <row r="407" ht="19.7" customHeight="1"/>
    <row r="408" ht="19.7" customHeight="1"/>
    <row r="409" ht="19.7" customHeight="1"/>
    <row r="410" ht="19.7" customHeight="1"/>
    <row r="411" ht="19.7" customHeight="1"/>
    <row r="412" ht="19.7" customHeight="1"/>
    <row r="413" ht="19.7" customHeight="1"/>
    <row r="414" ht="19.7" customHeight="1"/>
    <row r="415" ht="19.7" customHeight="1"/>
    <row r="416" ht="19.7" customHeight="1"/>
    <row r="417" ht="19.7" customHeight="1"/>
    <row r="418" ht="19.7" customHeight="1"/>
    <row r="419" ht="19.7" customHeight="1"/>
    <row r="420" ht="19.7" customHeight="1"/>
    <row r="421" ht="19.7" customHeight="1"/>
    <row r="422" ht="19.7" customHeight="1"/>
    <row r="423" ht="19.7" customHeight="1"/>
    <row r="424" ht="19.7" customHeight="1"/>
    <row r="425" ht="19.7" customHeight="1"/>
    <row r="426" ht="19.7" customHeight="1"/>
    <row r="427" ht="19.7" customHeight="1"/>
    <row r="428" ht="19.7" customHeight="1"/>
    <row r="429" ht="19.7" customHeight="1"/>
    <row r="430" ht="19.7" customHeight="1"/>
    <row r="431" ht="19.7" customHeight="1"/>
    <row r="432" ht="19.7" customHeight="1"/>
    <row r="433" ht="19.7" customHeight="1"/>
    <row r="434" ht="19.7" customHeight="1"/>
    <row r="435" ht="19.7" customHeight="1"/>
    <row r="436" ht="19.7" customHeight="1"/>
    <row r="437" ht="19.7" customHeight="1"/>
    <row r="438" ht="19.7" customHeight="1"/>
    <row r="439" ht="19.7" customHeight="1"/>
    <row r="440" ht="19.7" customHeight="1"/>
    <row r="441" ht="19.7" customHeight="1"/>
    <row r="442" ht="19.7" customHeight="1"/>
    <row r="443" ht="19.7" customHeight="1"/>
    <row r="444" ht="19.7" customHeight="1"/>
    <row r="445" ht="19.7" customHeight="1"/>
    <row r="446" ht="19.7" customHeight="1"/>
    <row r="447" ht="19.7" customHeight="1"/>
    <row r="448" ht="19.7" customHeight="1"/>
    <row r="449" ht="19.7" customHeight="1"/>
    <row r="450" ht="19.7" customHeight="1"/>
    <row r="451" ht="19.7" customHeight="1"/>
    <row r="452" ht="19.7" customHeight="1"/>
    <row r="453" ht="19.7" customHeight="1"/>
    <row r="454" ht="19.7" customHeight="1"/>
    <row r="455" ht="19.7" customHeight="1"/>
    <row r="456" ht="19.7" customHeight="1"/>
    <row r="457" ht="19.7" customHeight="1"/>
    <row r="458" ht="19.7" customHeight="1"/>
    <row r="459" ht="19.7" customHeight="1"/>
    <row r="460" ht="19.7" customHeight="1"/>
    <row r="461" ht="19.7" customHeight="1"/>
    <row r="462" ht="19.7" customHeight="1"/>
    <row r="463" ht="19.7" customHeight="1"/>
    <row r="464" ht="19.7" customHeight="1"/>
    <row r="465" ht="19.7" customHeight="1"/>
    <row r="466" ht="19.7" customHeight="1"/>
    <row r="467" ht="19.7" customHeight="1"/>
    <row r="468" ht="19.7" customHeight="1"/>
    <row r="469" ht="19.7" customHeight="1"/>
    <row r="470" ht="19.7" customHeight="1"/>
    <row r="471" ht="19.7" customHeight="1"/>
    <row r="472" ht="19.7" customHeight="1"/>
    <row r="473" ht="19.7" customHeight="1"/>
    <row r="474" ht="19.7" customHeight="1"/>
    <row r="475" ht="19.7" customHeight="1"/>
    <row r="476" ht="19.7" customHeight="1"/>
    <row r="477" ht="19.7" customHeight="1"/>
    <row r="478" ht="19.7" customHeight="1"/>
    <row r="479" ht="19.7" customHeight="1"/>
    <row r="480" ht="19.7" customHeight="1"/>
    <row r="481" ht="19.7" customHeight="1"/>
    <row r="482" ht="19.7" customHeight="1"/>
    <row r="483" ht="19.7" customHeight="1"/>
    <row r="484" ht="19.7" customHeight="1"/>
    <row r="485" ht="19.7" customHeight="1"/>
    <row r="486" ht="19.7" customHeight="1"/>
    <row r="487" ht="19.7" customHeight="1"/>
    <row r="488" ht="19.7" customHeight="1"/>
    <row r="489" ht="19.7" customHeight="1"/>
    <row r="490" ht="19.7" customHeight="1"/>
    <row r="491" ht="19.7" customHeight="1"/>
    <row r="492" ht="19.7" customHeight="1"/>
    <row r="493" ht="19.7" customHeight="1"/>
    <row r="494" ht="19.7" customHeight="1"/>
    <row r="495" ht="19.7" customHeight="1"/>
    <row r="496" ht="19.7" customHeight="1"/>
    <row r="497" ht="19.7" customHeight="1"/>
    <row r="498" ht="19.7" customHeight="1"/>
    <row r="499" ht="19.7" customHeight="1"/>
  </sheetData>
  <conditionalFormatting sqref="C1:C1048576">
    <cfRule type="duplicateValues" dxfId="0" priority="1"/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B2:BX584"/>
  <sheetViews>
    <sheetView showGridLines="0" zoomScale="85" zoomScaleNormal="60" workbookViewId="0">
      <selection activeCell="B1" sqref="B1"/>
    </sheetView>
  </sheetViews>
  <sheetFormatPr defaultRowHeight="15" outlineLevelCol="1"/>
  <cols>
    <col min="1" max="1" width="2.85546875" customWidth="1"/>
    <col min="2" max="2" width="31.42578125" bestFit="1" customWidth="1"/>
    <col min="3" max="3" width="27.85546875" bestFit="1" customWidth="1"/>
    <col min="4" max="4" width="8.140625" bestFit="1" customWidth="1"/>
    <col min="5" max="5" width="17" bestFit="1" customWidth="1"/>
    <col min="6" max="13" width="17" hidden="1" customWidth="1" outlineLevel="1"/>
    <col min="14" max="14" width="2.42578125" customWidth="1" collapsed="1"/>
    <col min="15" max="15" width="20.7109375" bestFit="1" customWidth="1"/>
    <col min="16" max="16" width="18.7109375" bestFit="1" customWidth="1"/>
    <col min="17" max="17" width="17.7109375" bestFit="1" customWidth="1"/>
    <col min="18" max="18" width="19.85546875" bestFit="1" customWidth="1"/>
    <col min="19" max="19" width="16.28515625" bestFit="1" customWidth="1"/>
    <col min="20" max="20" width="19.85546875" bestFit="1" customWidth="1"/>
    <col min="21" max="21" width="18.7109375" bestFit="1" customWidth="1"/>
    <col min="22" max="22" width="17.7109375" bestFit="1" customWidth="1"/>
    <col min="23" max="33" width="12.7109375" bestFit="1" customWidth="1"/>
    <col min="34" max="34" width="13.7109375" bestFit="1" customWidth="1"/>
    <col min="35" max="39" width="12.7109375" bestFit="1" customWidth="1"/>
    <col min="40" max="40" width="20.42578125" bestFit="1" customWidth="1"/>
    <col min="41" max="74" width="12.7109375" bestFit="1" customWidth="1"/>
    <col min="77" max="80" width="12.7109375" bestFit="1" customWidth="1"/>
    <col min="81" max="81" width="11.140625" bestFit="1" customWidth="1"/>
    <col min="82" max="82" width="12.7109375" bestFit="1" customWidth="1"/>
    <col min="83" max="83" width="11.140625" bestFit="1" customWidth="1"/>
    <col min="84" max="101" width="12.7109375" bestFit="1" customWidth="1"/>
    <col min="102" max="103" width="11.140625" bestFit="1" customWidth="1"/>
    <col min="104" max="135" width="12.7109375" bestFit="1" customWidth="1"/>
  </cols>
  <sheetData>
    <row r="2" spans="2:74">
      <c r="B2" s="1" t="s">
        <v>3426</v>
      </c>
      <c r="O2" s="798" t="s">
        <v>2673</v>
      </c>
      <c r="P2" s="798"/>
      <c r="Q2" s="798"/>
      <c r="R2" s="798"/>
      <c r="S2" s="798"/>
      <c r="T2" s="798"/>
      <c r="U2" s="798"/>
      <c r="V2" s="798"/>
      <c r="W2" s="798"/>
      <c r="X2" s="798"/>
      <c r="Y2" s="798"/>
      <c r="Z2" s="798"/>
      <c r="AA2" s="798"/>
      <c r="AB2" s="798"/>
      <c r="AC2" s="798"/>
      <c r="AD2" s="798"/>
      <c r="AE2" s="798"/>
      <c r="AF2" s="798"/>
      <c r="AG2" s="798"/>
      <c r="AH2" s="798"/>
      <c r="AI2" s="798"/>
      <c r="AJ2" s="798"/>
      <c r="AK2" s="798"/>
      <c r="AL2" s="798"/>
      <c r="AM2" s="798"/>
      <c r="AN2" s="798"/>
      <c r="AO2" s="798"/>
      <c r="AP2" s="798"/>
      <c r="AQ2" s="798"/>
      <c r="AR2" s="798"/>
      <c r="AS2" s="798"/>
      <c r="AT2" s="798"/>
      <c r="AU2" s="798"/>
      <c r="AV2" s="798"/>
      <c r="AW2" s="798"/>
      <c r="AX2" s="798"/>
      <c r="AY2" s="798"/>
      <c r="AZ2" s="798"/>
      <c r="BA2" s="798"/>
      <c r="BB2" s="798"/>
      <c r="BC2" s="798"/>
      <c r="BD2" s="798"/>
      <c r="BE2" s="798"/>
      <c r="BF2" s="798"/>
      <c r="BG2" s="798"/>
      <c r="BH2" s="798"/>
      <c r="BI2" s="798"/>
      <c r="BJ2" s="798"/>
      <c r="BK2" s="798"/>
      <c r="BL2" s="798"/>
      <c r="BM2" s="798"/>
      <c r="BN2" s="798"/>
      <c r="BO2" s="798"/>
      <c r="BP2" s="798"/>
      <c r="BQ2" s="798"/>
      <c r="BR2" s="798"/>
      <c r="BS2" s="798"/>
      <c r="BT2" s="798"/>
      <c r="BU2" s="798"/>
      <c r="BV2" s="798"/>
    </row>
    <row r="3" spans="2:74">
      <c r="O3" s="798">
        <v>2018</v>
      </c>
      <c r="P3" s="798">
        <v>2018</v>
      </c>
      <c r="Q3" s="798">
        <v>2018</v>
      </c>
      <c r="R3" s="798">
        <v>2018</v>
      </c>
      <c r="S3" s="798">
        <v>2018</v>
      </c>
      <c r="T3" s="798">
        <v>2018</v>
      </c>
      <c r="U3" s="798">
        <v>2018</v>
      </c>
      <c r="V3" s="798">
        <v>2018</v>
      </c>
      <c r="W3" s="798">
        <v>2018</v>
      </c>
      <c r="X3" s="798">
        <v>2018</v>
      </c>
      <c r="Y3" s="798">
        <v>2018</v>
      </c>
      <c r="Z3" s="798">
        <v>2018</v>
      </c>
      <c r="AA3" s="798">
        <v>2019</v>
      </c>
      <c r="AB3" s="798">
        <v>2019</v>
      </c>
      <c r="AC3" s="798">
        <v>2019</v>
      </c>
      <c r="AD3" s="798">
        <v>2019</v>
      </c>
      <c r="AE3" s="798">
        <v>2019</v>
      </c>
      <c r="AF3" s="798">
        <v>2019</v>
      </c>
      <c r="AG3" s="798">
        <v>2019</v>
      </c>
      <c r="AH3" s="798">
        <v>2019</v>
      </c>
      <c r="AI3" s="798">
        <v>2019</v>
      </c>
      <c r="AJ3" s="798">
        <v>2019</v>
      </c>
      <c r="AK3" s="798">
        <v>2019</v>
      </c>
      <c r="AL3" s="798">
        <v>2019</v>
      </c>
      <c r="AM3" s="798">
        <v>2020</v>
      </c>
      <c r="AN3" s="798">
        <v>2020</v>
      </c>
      <c r="AO3" s="798">
        <v>2020</v>
      </c>
      <c r="AP3" s="798">
        <v>2020</v>
      </c>
      <c r="AQ3" s="798">
        <v>2020</v>
      </c>
      <c r="AR3" s="798">
        <v>2020</v>
      </c>
      <c r="AS3" s="798">
        <v>2020</v>
      </c>
      <c r="AT3" s="798">
        <v>2020</v>
      </c>
      <c r="AU3" s="798">
        <v>2020</v>
      </c>
      <c r="AV3" s="798">
        <v>2020</v>
      </c>
      <c r="AW3" s="798">
        <v>2020</v>
      </c>
      <c r="AX3" s="798">
        <v>2020</v>
      </c>
      <c r="AY3" s="798">
        <v>2021</v>
      </c>
      <c r="AZ3" s="798">
        <v>2021</v>
      </c>
      <c r="BA3" s="798">
        <v>2021</v>
      </c>
      <c r="BB3" s="798">
        <v>2021</v>
      </c>
      <c r="BC3" s="798">
        <v>2021</v>
      </c>
      <c r="BD3" s="798">
        <v>2021</v>
      </c>
      <c r="BE3" s="798">
        <v>2021</v>
      </c>
      <c r="BF3" s="798">
        <v>2021</v>
      </c>
      <c r="BG3" s="798">
        <v>2021</v>
      </c>
      <c r="BH3" s="798">
        <v>2021</v>
      </c>
      <c r="BI3" s="798">
        <v>2021</v>
      </c>
      <c r="BJ3" s="798">
        <v>2021</v>
      </c>
      <c r="BK3" s="798">
        <v>2022</v>
      </c>
      <c r="BL3" s="798">
        <v>2022</v>
      </c>
      <c r="BM3" s="798">
        <v>2022</v>
      </c>
      <c r="BN3" s="798">
        <v>2022</v>
      </c>
      <c r="BO3" s="798">
        <v>2022</v>
      </c>
      <c r="BP3" s="798">
        <v>2022</v>
      </c>
      <c r="BQ3" s="798">
        <v>2022</v>
      </c>
      <c r="BR3" s="798">
        <v>2022</v>
      </c>
      <c r="BS3" s="798">
        <v>2022</v>
      </c>
      <c r="BT3" s="798">
        <v>2022</v>
      </c>
      <c r="BU3" s="798">
        <v>2022</v>
      </c>
      <c r="BV3" s="798">
        <v>2022</v>
      </c>
    </row>
    <row r="4" spans="2:74">
      <c r="B4" s="792" t="s">
        <v>456</v>
      </c>
      <c r="C4" s="792" t="s">
        <v>455</v>
      </c>
      <c r="D4" s="792" t="s">
        <v>2672</v>
      </c>
      <c r="E4" s="792" t="s">
        <v>2674</v>
      </c>
      <c r="F4" s="798"/>
      <c r="G4" s="798"/>
      <c r="H4" s="798"/>
      <c r="I4" s="798"/>
      <c r="J4" s="798"/>
      <c r="K4" s="798"/>
      <c r="L4" s="798"/>
      <c r="M4" s="798"/>
      <c r="N4" s="1"/>
      <c r="O4" s="801">
        <v>43101</v>
      </c>
      <c r="P4" s="801">
        <v>43132</v>
      </c>
      <c r="Q4" s="801">
        <v>43160</v>
      </c>
      <c r="R4" s="801">
        <v>43191</v>
      </c>
      <c r="S4" s="801">
        <v>43221</v>
      </c>
      <c r="T4" s="801">
        <v>43252</v>
      </c>
      <c r="U4" s="801">
        <v>43282</v>
      </c>
      <c r="V4" s="801">
        <v>43313</v>
      </c>
      <c r="W4" s="801">
        <v>43344</v>
      </c>
      <c r="X4" s="801">
        <v>43374</v>
      </c>
      <c r="Y4" s="801">
        <v>43405</v>
      </c>
      <c r="Z4" s="801">
        <v>43435</v>
      </c>
      <c r="AA4" s="801">
        <v>43466</v>
      </c>
      <c r="AB4" s="801">
        <v>43497</v>
      </c>
      <c r="AC4" s="801">
        <v>43525</v>
      </c>
      <c r="AD4" s="801">
        <v>43556</v>
      </c>
      <c r="AE4" s="801">
        <v>43586</v>
      </c>
      <c r="AF4" s="801">
        <v>43617</v>
      </c>
      <c r="AG4" s="801">
        <v>43647</v>
      </c>
      <c r="AH4" s="801">
        <v>43678</v>
      </c>
      <c r="AI4" s="801">
        <v>43709</v>
      </c>
      <c r="AJ4" s="801">
        <v>43739</v>
      </c>
      <c r="AK4" s="801">
        <v>43770</v>
      </c>
      <c r="AL4" s="801">
        <v>43800</v>
      </c>
      <c r="AM4" s="801">
        <v>43831</v>
      </c>
      <c r="AN4" s="801">
        <v>43862</v>
      </c>
      <c r="AO4" s="801">
        <v>43891</v>
      </c>
      <c r="AP4" s="801">
        <v>43922</v>
      </c>
      <c r="AQ4" s="801">
        <v>43952</v>
      </c>
      <c r="AR4" s="801">
        <v>43983</v>
      </c>
      <c r="AS4" s="801">
        <v>44013</v>
      </c>
      <c r="AT4" s="801">
        <v>44044</v>
      </c>
      <c r="AU4" s="801">
        <v>44075</v>
      </c>
      <c r="AV4" s="801">
        <v>44105</v>
      </c>
      <c r="AW4" s="801">
        <v>44136</v>
      </c>
      <c r="AX4" s="801">
        <v>44166</v>
      </c>
      <c r="AY4" s="801">
        <v>44197</v>
      </c>
      <c r="AZ4" s="801">
        <v>44228</v>
      </c>
      <c r="BA4" s="801">
        <v>44256</v>
      </c>
      <c r="BB4" s="801">
        <v>44287</v>
      </c>
      <c r="BC4" s="801">
        <v>44317</v>
      </c>
      <c r="BD4" s="801">
        <v>44348</v>
      </c>
      <c r="BE4" s="801">
        <v>44378</v>
      </c>
      <c r="BF4" s="801">
        <v>44409</v>
      </c>
      <c r="BG4" s="801">
        <v>44440</v>
      </c>
      <c r="BH4" s="801">
        <v>44470</v>
      </c>
      <c r="BI4" s="801">
        <v>44501</v>
      </c>
      <c r="BJ4" s="801">
        <v>44531</v>
      </c>
      <c r="BK4" s="801">
        <v>44562</v>
      </c>
      <c r="BL4" s="801">
        <v>44593</v>
      </c>
      <c r="BM4" s="801">
        <v>44621</v>
      </c>
      <c r="BN4" s="801">
        <v>44652</v>
      </c>
      <c r="BO4" s="801">
        <v>44682</v>
      </c>
      <c r="BP4" s="801">
        <v>44713</v>
      </c>
      <c r="BQ4" s="801">
        <v>44743</v>
      </c>
      <c r="BR4" s="801">
        <v>44774</v>
      </c>
      <c r="BS4" s="801">
        <v>44805</v>
      </c>
      <c r="BT4" s="801">
        <v>44835</v>
      </c>
      <c r="BU4" s="801">
        <v>44866</v>
      </c>
      <c r="BV4" s="801">
        <v>44896</v>
      </c>
    </row>
    <row r="5" spans="2:74">
      <c r="B5" s="793" t="s">
        <v>576</v>
      </c>
      <c r="C5" s="793" t="s">
        <v>2675</v>
      </c>
      <c r="D5" s="793">
        <v>17</v>
      </c>
      <c r="E5" s="794">
        <v>1418057.47</v>
      </c>
      <c r="F5" s="799"/>
      <c r="G5" s="799"/>
      <c r="H5" s="799"/>
      <c r="I5" s="799"/>
      <c r="J5" s="799"/>
      <c r="K5" s="799"/>
      <c r="L5" s="799">
        <f t="shared" ref="L5:L68" si="0">+COUNTIF($AJ$5:$AJ$371,AJ5)</f>
        <v>331</v>
      </c>
      <c r="M5" s="799">
        <f>+SUM(BV5:BV486)-SUM(I6:I72)</f>
        <v>0</v>
      </c>
      <c r="N5" s="595"/>
      <c r="O5" s="794">
        <v>49476.31</v>
      </c>
      <c r="P5" s="794">
        <v>31601.38</v>
      </c>
      <c r="Q5" s="794">
        <v>26481.599999999999</v>
      </c>
      <c r="R5" s="794">
        <v>14862.7</v>
      </c>
      <c r="S5" s="794">
        <v>47402.06</v>
      </c>
      <c r="T5" s="794">
        <v>15800.69</v>
      </c>
      <c r="U5" s="794">
        <v>30223.599999999999</v>
      </c>
      <c r="V5" s="794">
        <v>0</v>
      </c>
      <c r="W5" s="794">
        <v>7968</v>
      </c>
      <c r="X5" s="794">
        <v>33757.25</v>
      </c>
      <c r="Y5" s="794">
        <v>52819.14</v>
      </c>
      <c r="Z5" s="794">
        <v>67000</v>
      </c>
      <c r="AA5" s="794">
        <v>30170</v>
      </c>
      <c r="AB5" s="794">
        <v>0</v>
      </c>
      <c r="AC5" s="794">
        <v>0</v>
      </c>
      <c r="AD5" s="794">
        <v>45283.53</v>
      </c>
      <c r="AE5" s="794">
        <v>0</v>
      </c>
      <c r="AF5" s="794">
        <v>0</v>
      </c>
      <c r="AG5" s="794">
        <v>0</v>
      </c>
      <c r="AH5" s="794">
        <v>0</v>
      </c>
      <c r="AI5" s="794">
        <v>0</v>
      </c>
      <c r="AJ5" s="794">
        <v>0</v>
      </c>
      <c r="AK5" s="794">
        <v>0</v>
      </c>
      <c r="AL5" s="794">
        <v>0</v>
      </c>
      <c r="AM5" s="794">
        <v>0</v>
      </c>
      <c r="AN5" s="794">
        <v>8000</v>
      </c>
      <c r="AO5" s="794">
        <v>0</v>
      </c>
      <c r="AP5" s="794">
        <v>0</v>
      </c>
      <c r="AQ5" s="794">
        <v>0</v>
      </c>
      <c r="AR5" s="794">
        <v>0</v>
      </c>
      <c r="AS5" s="794">
        <v>0</v>
      </c>
      <c r="AT5" s="794">
        <v>0</v>
      </c>
      <c r="AU5" s="794">
        <v>0</v>
      </c>
      <c r="AV5" s="794">
        <v>0</v>
      </c>
      <c r="AW5" s="794">
        <v>0</v>
      </c>
      <c r="AX5" s="794">
        <v>0</v>
      </c>
      <c r="AY5" s="794">
        <v>0</v>
      </c>
      <c r="AZ5" s="794">
        <v>0</v>
      </c>
      <c r="BA5" s="794">
        <v>0</v>
      </c>
      <c r="BB5" s="794">
        <v>0</v>
      </c>
      <c r="BC5" s="794">
        <v>0</v>
      </c>
      <c r="BD5" s="794">
        <v>0</v>
      </c>
      <c r="BE5" s="794">
        <v>0</v>
      </c>
      <c r="BF5" s="794">
        <v>0</v>
      </c>
      <c r="BG5" s="794">
        <v>0</v>
      </c>
      <c r="BH5" s="794">
        <v>0</v>
      </c>
      <c r="BI5" s="794">
        <v>0</v>
      </c>
      <c r="BJ5" s="794">
        <v>0</v>
      </c>
      <c r="BK5" s="794">
        <v>0</v>
      </c>
      <c r="BL5" s="794">
        <v>248461.16</v>
      </c>
      <c r="BM5" s="794">
        <v>0</v>
      </c>
      <c r="BN5" s="794">
        <v>0</v>
      </c>
      <c r="BO5" s="794">
        <v>0</v>
      </c>
      <c r="BP5" s="794">
        <v>0</v>
      </c>
      <c r="BQ5" s="794">
        <v>0</v>
      </c>
      <c r="BR5" s="794">
        <v>0</v>
      </c>
      <c r="BS5" s="794">
        <v>0</v>
      </c>
      <c r="BT5" s="794">
        <v>0</v>
      </c>
      <c r="BU5" s="794">
        <v>17900</v>
      </c>
      <c r="BV5" s="794">
        <v>0</v>
      </c>
    </row>
    <row r="6" spans="2:74">
      <c r="B6" s="793" t="s">
        <v>2676</v>
      </c>
      <c r="C6" s="793" t="s">
        <v>2677</v>
      </c>
      <c r="D6" s="793">
        <v>2</v>
      </c>
      <c r="E6" s="794">
        <v>367521.68</v>
      </c>
      <c r="F6" s="799">
        <f>+COUNTIF($J$6:$J$69,J6)</f>
        <v>1</v>
      </c>
      <c r="G6" s="800" t="s">
        <v>3317</v>
      </c>
      <c r="H6" s="800" t="s">
        <v>3318</v>
      </c>
      <c r="I6" s="800">
        <v>429880.83</v>
      </c>
      <c r="J6" s="799" t="str">
        <f>+VLOOKUP(G6,$B$5:$B$486,1,FALSE)</f>
        <v>Genova Waterfront</v>
      </c>
      <c r="K6" s="799" t="str">
        <f t="shared" ref="K6:K48" si="1">+VLOOKUP(H6,$C$5:$C$486,1,FALSE)</f>
        <v>CDS Costruzioni S.r.l.</v>
      </c>
      <c r="L6" s="799">
        <f t="shared" si="0"/>
        <v>331</v>
      </c>
      <c r="M6" s="799"/>
      <c r="N6" s="595"/>
      <c r="O6" s="794">
        <v>206962.68</v>
      </c>
      <c r="P6" s="794">
        <v>0</v>
      </c>
      <c r="Q6" s="794">
        <v>0</v>
      </c>
      <c r="R6" s="794">
        <v>0</v>
      </c>
      <c r="S6" s="794">
        <v>0</v>
      </c>
      <c r="T6" s="794">
        <v>0</v>
      </c>
      <c r="U6" s="794">
        <v>0</v>
      </c>
      <c r="V6" s="794">
        <v>0</v>
      </c>
      <c r="W6" s="794">
        <v>0</v>
      </c>
      <c r="X6" s="794">
        <v>0</v>
      </c>
      <c r="Y6" s="794">
        <v>0</v>
      </c>
      <c r="Z6" s="794">
        <v>0</v>
      </c>
      <c r="AA6" s="794">
        <v>0</v>
      </c>
      <c r="AB6" s="794">
        <v>0</v>
      </c>
      <c r="AC6" s="794">
        <v>0</v>
      </c>
      <c r="AD6" s="794">
        <v>0</v>
      </c>
      <c r="AE6" s="794">
        <v>0</v>
      </c>
      <c r="AF6" s="794">
        <v>0</v>
      </c>
      <c r="AG6" s="794">
        <v>0</v>
      </c>
      <c r="AH6" s="794">
        <v>0</v>
      </c>
      <c r="AI6" s="794">
        <v>0</v>
      </c>
      <c r="AJ6" s="794">
        <v>0</v>
      </c>
      <c r="AK6" s="794">
        <v>0</v>
      </c>
      <c r="AL6" s="794">
        <v>0</v>
      </c>
      <c r="AM6" s="794">
        <v>0</v>
      </c>
      <c r="AN6" s="794">
        <v>0</v>
      </c>
      <c r="AO6" s="794">
        <v>0</v>
      </c>
      <c r="AP6" s="794">
        <v>0</v>
      </c>
      <c r="AQ6" s="794">
        <v>0</v>
      </c>
      <c r="AR6" s="794">
        <v>0</v>
      </c>
      <c r="AS6" s="794">
        <v>0</v>
      </c>
      <c r="AT6" s="794">
        <v>0</v>
      </c>
      <c r="AU6" s="794">
        <v>0</v>
      </c>
      <c r="AV6" s="794">
        <v>0</v>
      </c>
      <c r="AW6" s="794">
        <v>0</v>
      </c>
      <c r="AX6" s="794">
        <v>0</v>
      </c>
      <c r="AY6" s="794">
        <v>0</v>
      </c>
      <c r="AZ6" s="794">
        <v>0</v>
      </c>
      <c r="BA6" s="794">
        <v>0</v>
      </c>
      <c r="BB6" s="794">
        <v>0</v>
      </c>
      <c r="BC6" s="794">
        <v>0</v>
      </c>
      <c r="BD6" s="794">
        <v>0</v>
      </c>
      <c r="BE6" s="794">
        <v>0</v>
      </c>
      <c r="BF6" s="794">
        <v>0</v>
      </c>
      <c r="BG6" s="794">
        <v>0</v>
      </c>
      <c r="BH6" s="794">
        <v>0</v>
      </c>
      <c r="BI6" s="794">
        <v>0</v>
      </c>
      <c r="BJ6" s="794">
        <v>100000</v>
      </c>
      <c r="BK6" s="794">
        <v>0</v>
      </c>
      <c r="BL6" s="794">
        <v>0</v>
      </c>
      <c r="BM6" s="794">
        <v>0</v>
      </c>
      <c r="BN6" s="794">
        <v>0</v>
      </c>
      <c r="BO6" s="794">
        <v>0</v>
      </c>
      <c r="BP6" s="794">
        <v>0</v>
      </c>
      <c r="BQ6" s="794">
        <v>0</v>
      </c>
      <c r="BR6" s="794">
        <v>0</v>
      </c>
      <c r="BS6" s="794">
        <v>0</v>
      </c>
      <c r="BT6" s="794">
        <v>0</v>
      </c>
      <c r="BU6" s="794">
        <v>0</v>
      </c>
      <c r="BV6" s="794">
        <v>0</v>
      </c>
    </row>
    <row r="7" spans="2:74">
      <c r="B7" s="793" t="s">
        <v>2678</v>
      </c>
      <c r="C7" s="793" t="s">
        <v>2679</v>
      </c>
      <c r="D7" s="793">
        <v>13</v>
      </c>
      <c r="E7" s="794">
        <v>923235.69</v>
      </c>
      <c r="F7" s="799">
        <f t="shared" ref="F7:F61" si="2">+COUNTIF($J$6:$J$69,J7)</f>
        <v>29</v>
      </c>
      <c r="G7" s="800"/>
      <c r="H7" s="800"/>
      <c r="I7" s="800"/>
      <c r="J7" s="799" t="e">
        <f t="shared" ref="J7:J48" si="3">+VLOOKUP(G7,$B$5:$B$486,1,FALSE)</f>
        <v>#N/A</v>
      </c>
      <c r="K7" s="799" t="e">
        <f t="shared" si="1"/>
        <v>#N/A</v>
      </c>
      <c r="L7" s="799">
        <f t="shared" si="0"/>
        <v>331</v>
      </c>
      <c r="M7" s="799"/>
      <c r="N7" s="595"/>
      <c r="O7" s="794">
        <v>49752.61</v>
      </c>
      <c r="P7" s="794">
        <v>68934.89</v>
      </c>
      <c r="Q7" s="794">
        <v>25584.38</v>
      </c>
      <c r="R7" s="794">
        <v>0</v>
      </c>
      <c r="S7" s="794">
        <v>99594.92</v>
      </c>
      <c r="T7" s="794">
        <v>0</v>
      </c>
      <c r="U7" s="794">
        <v>203099.68</v>
      </c>
      <c r="V7" s="794">
        <v>75275.61</v>
      </c>
      <c r="W7" s="794">
        <v>66445.179999999993</v>
      </c>
      <c r="X7" s="794">
        <v>0</v>
      </c>
      <c r="Y7" s="794">
        <v>35000</v>
      </c>
      <c r="Z7" s="794">
        <v>0</v>
      </c>
      <c r="AA7" s="794">
        <v>0</v>
      </c>
      <c r="AB7" s="794">
        <v>316528.87</v>
      </c>
      <c r="AC7" s="794">
        <v>78623</v>
      </c>
      <c r="AD7" s="794">
        <v>0</v>
      </c>
      <c r="AE7" s="794">
        <v>237167.3</v>
      </c>
      <c r="AF7" s="794">
        <v>0</v>
      </c>
      <c r="AG7" s="794">
        <v>90000</v>
      </c>
      <c r="AH7" s="794">
        <v>0</v>
      </c>
      <c r="AI7" s="794">
        <v>0</v>
      </c>
      <c r="AJ7" s="794">
        <v>0</v>
      </c>
      <c r="AK7" s="794">
        <v>0</v>
      </c>
      <c r="AL7" s="794">
        <v>0</v>
      </c>
      <c r="AM7" s="794">
        <v>0</v>
      </c>
      <c r="AN7" s="794">
        <v>0</v>
      </c>
      <c r="AO7" s="794">
        <v>0</v>
      </c>
      <c r="AP7" s="794">
        <v>0</v>
      </c>
      <c r="AQ7" s="794">
        <v>0</v>
      </c>
      <c r="AR7" s="794">
        <v>0</v>
      </c>
      <c r="AS7" s="794">
        <v>0</v>
      </c>
      <c r="AT7" s="794">
        <v>0</v>
      </c>
      <c r="AU7" s="794">
        <v>0</v>
      </c>
      <c r="AV7" s="794">
        <v>0</v>
      </c>
      <c r="AW7" s="794">
        <v>0</v>
      </c>
      <c r="AX7" s="794">
        <v>0</v>
      </c>
      <c r="AY7" s="794">
        <v>0</v>
      </c>
      <c r="AZ7" s="794">
        <v>0</v>
      </c>
      <c r="BA7" s="794">
        <v>0</v>
      </c>
      <c r="BB7" s="794">
        <v>0</v>
      </c>
      <c r="BC7" s="794">
        <v>0</v>
      </c>
      <c r="BD7" s="794">
        <v>0</v>
      </c>
      <c r="BE7" s="794">
        <v>0</v>
      </c>
      <c r="BF7" s="794">
        <v>0</v>
      </c>
      <c r="BG7" s="794">
        <v>0</v>
      </c>
      <c r="BH7" s="794">
        <v>0</v>
      </c>
      <c r="BI7" s="794">
        <v>0</v>
      </c>
      <c r="BJ7" s="794">
        <v>0</v>
      </c>
      <c r="BK7" s="794">
        <v>0</v>
      </c>
      <c r="BL7" s="794">
        <v>0</v>
      </c>
      <c r="BM7" s="794">
        <v>0</v>
      </c>
      <c r="BN7" s="794">
        <v>0</v>
      </c>
      <c r="BO7" s="794">
        <v>0</v>
      </c>
      <c r="BP7" s="794">
        <v>0</v>
      </c>
      <c r="BQ7" s="794">
        <v>0</v>
      </c>
      <c r="BR7" s="794">
        <v>0</v>
      </c>
      <c r="BS7" s="794">
        <v>0</v>
      </c>
      <c r="BT7" s="794">
        <v>0</v>
      </c>
      <c r="BU7" s="794">
        <v>0</v>
      </c>
      <c r="BV7" s="794">
        <v>0</v>
      </c>
    </row>
    <row r="8" spans="2:74">
      <c r="B8" s="793" t="s">
        <v>2680</v>
      </c>
      <c r="C8" s="793" t="s">
        <v>2681</v>
      </c>
      <c r="D8" s="793">
        <v>22</v>
      </c>
      <c r="E8" s="794">
        <v>499148.01</v>
      </c>
      <c r="F8" s="799">
        <f t="shared" si="2"/>
        <v>29</v>
      </c>
      <c r="G8" s="800"/>
      <c r="H8" s="800"/>
      <c r="I8" s="800"/>
      <c r="J8" s="799" t="e">
        <f t="shared" si="3"/>
        <v>#N/A</v>
      </c>
      <c r="K8" s="799" t="e">
        <f t="shared" si="1"/>
        <v>#N/A</v>
      </c>
      <c r="L8" s="799">
        <f t="shared" si="0"/>
        <v>331</v>
      </c>
      <c r="M8" s="799"/>
      <c r="N8" s="595"/>
      <c r="O8" s="794">
        <v>8801.4500000000007</v>
      </c>
      <c r="P8" s="794">
        <v>0</v>
      </c>
      <c r="Q8" s="794">
        <v>0</v>
      </c>
      <c r="R8" s="794">
        <v>0</v>
      </c>
      <c r="S8" s="794">
        <v>0</v>
      </c>
      <c r="T8" s="794">
        <v>0</v>
      </c>
      <c r="U8" s="794">
        <v>4827.6499999999996</v>
      </c>
      <c r="V8" s="794">
        <v>0</v>
      </c>
      <c r="W8" s="794">
        <v>0</v>
      </c>
      <c r="X8" s="794">
        <v>0</v>
      </c>
      <c r="Y8" s="794">
        <v>0</v>
      </c>
      <c r="Z8" s="794">
        <v>0</v>
      </c>
      <c r="AA8" s="794">
        <v>0</v>
      </c>
      <c r="AB8" s="794">
        <v>0</v>
      </c>
      <c r="AC8" s="794">
        <v>0</v>
      </c>
      <c r="AD8" s="794">
        <v>0</v>
      </c>
      <c r="AE8" s="794">
        <v>0</v>
      </c>
      <c r="AF8" s="794">
        <v>0</v>
      </c>
      <c r="AG8" s="794">
        <v>0</v>
      </c>
      <c r="AH8" s="794">
        <v>0</v>
      </c>
      <c r="AI8" s="794">
        <v>0</v>
      </c>
      <c r="AJ8" s="794">
        <v>0</v>
      </c>
      <c r="AK8" s="794">
        <v>0</v>
      </c>
      <c r="AL8" s="794">
        <v>3450</v>
      </c>
      <c r="AM8" s="794">
        <v>0</v>
      </c>
      <c r="AN8" s="794">
        <v>0</v>
      </c>
      <c r="AO8" s="794">
        <v>0</v>
      </c>
      <c r="AP8" s="794">
        <v>0</v>
      </c>
      <c r="AQ8" s="794">
        <v>0</v>
      </c>
      <c r="AR8" s="794">
        <v>0</v>
      </c>
      <c r="AS8" s="794">
        <v>0</v>
      </c>
      <c r="AT8" s="794">
        <v>0</v>
      </c>
      <c r="AU8" s="794">
        <v>0</v>
      </c>
      <c r="AV8" s="794">
        <v>0</v>
      </c>
      <c r="AW8" s="794">
        <v>0</v>
      </c>
      <c r="AX8" s="794">
        <v>0</v>
      </c>
      <c r="AY8" s="794">
        <v>0</v>
      </c>
      <c r="AZ8" s="794">
        <v>0</v>
      </c>
      <c r="BA8" s="794">
        <v>0</v>
      </c>
      <c r="BB8" s="794">
        <v>0</v>
      </c>
      <c r="BC8" s="794">
        <v>0</v>
      </c>
      <c r="BD8" s="794">
        <v>0</v>
      </c>
      <c r="BE8" s="794">
        <v>0</v>
      </c>
      <c r="BF8" s="794">
        <v>0</v>
      </c>
      <c r="BG8" s="794">
        <v>0</v>
      </c>
      <c r="BH8" s="794">
        <v>0</v>
      </c>
      <c r="BI8" s="794">
        <v>0</v>
      </c>
      <c r="BJ8" s="794">
        <v>0</v>
      </c>
      <c r="BK8" s="794">
        <v>0</v>
      </c>
      <c r="BL8" s="794">
        <v>0</v>
      </c>
      <c r="BM8" s="794">
        <v>0</v>
      </c>
      <c r="BN8" s="794">
        <v>0</v>
      </c>
      <c r="BO8" s="794">
        <v>0</v>
      </c>
      <c r="BP8" s="794">
        <v>0</v>
      </c>
      <c r="BQ8" s="794">
        <v>0</v>
      </c>
      <c r="BR8" s="794">
        <v>0</v>
      </c>
      <c r="BS8" s="794">
        <v>0</v>
      </c>
      <c r="BT8" s="794">
        <v>0</v>
      </c>
      <c r="BU8" s="794">
        <v>0</v>
      </c>
      <c r="BV8" s="794">
        <v>0</v>
      </c>
    </row>
    <row r="9" spans="2:74">
      <c r="B9" s="793" t="s">
        <v>2682</v>
      </c>
      <c r="C9" s="793" t="s">
        <v>2683</v>
      </c>
      <c r="D9" s="793">
        <v>3</v>
      </c>
      <c r="E9" s="794">
        <v>158720.41</v>
      </c>
      <c r="F9" s="799">
        <f t="shared" si="2"/>
        <v>29</v>
      </c>
      <c r="G9" s="800"/>
      <c r="H9" s="800"/>
      <c r="I9" s="800"/>
      <c r="J9" s="799" t="e">
        <f t="shared" si="3"/>
        <v>#N/A</v>
      </c>
      <c r="K9" s="799" t="e">
        <f t="shared" si="1"/>
        <v>#N/A</v>
      </c>
      <c r="L9" s="799">
        <f t="shared" si="0"/>
        <v>1</v>
      </c>
      <c r="M9" s="799"/>
      <c r="N9" s="595"/>
      <c r="O9" s="794">
        <v>0</v>
      </c>
      <c r="P9" s="809">
        <v>71125.88</v>
      </c>
      <c r="Q9" s="794">
        <v>91688.33</v>
      </c>
      <c r="R9" s="794">
        <v>99642.54</v>
      </c>
      <c r="S9" s="794">
        <v>72779.710000000006</v>
      </c>
      <c r="T9" s="794">
        <v>0</v>
      </c>
      <c r="U9" s="794">
        <v>176145.94</v>
      </c>
      <c r="V9" s="794">
        <v>0</v>
      </c>
      <c r="W9" s="794">
        <v>172424.78</v>
      </c>
      <c r="X9" s="794">
        <v>169508</v>
      </c>
      <c r="Y9" s="794">
        <v>157227.66</v>
      </c>
      <c r="Z9" s="794">
        <v>135510.20000000001</v>
      </c>
      <c r="AA9" s="794">
        <v>244135</v>
      </c>
      <c r="AB9" s="794">
        <v>225857.72</v>
      </c>
      <c r="AC9" s="794">
        <v>249469.49</v>
      </c>
      <c r="AD9" s="794">
        <v>264408</v>
      </c>
      <c r="AE9" s="794">
        <v>314925.25</v>
      </c>
      <c r="AF9" s="794">
        <v>261485.26</v>
      </c>
      <c r="AG9" s="794">
        <v>222993.58</v>
      </c>
      <c r="AH9" s="794">
        <v>127261.12</v>
      </c>
      <c r="AI9" s="794">
        <v>199646.8</v>
      </c>
      <c r="AJ9" s="794">
        <v>88333.71</v>
      </c>
      <c r="AK9" s="794">
        <v>110469.6</v>
      </c>
      <c r="AL9" s="794">
        <v>119408.75</v>
      </c>
      <c r="AM9" s="794">
        <v>158734.51</v>
      </c>
      <c r="AN9" s="794">
        <v>176357.68</v>
      </c>
      <c r="AO9" s="794">
        <v>63375</v>
      </c>
      <c r="AP9" s="794">
        <v>0</v>
      </c>
      <c r="AQ9" s="794">
        <v>132798.46</v>
      </c>
      <c r="AR9" s="794">
        <v>156964.5</v>
      </c>
      <c r="AS9" s="794">
        <v>137945.82</v>
      </c>
      <c r="AT9" s="794">
        <v>62968.9</v>
      </c>
      <c r="AU9" s="794">
        <v>102528.8</v>
      </c>
      <c r="AV9" s="794">
        <v>74620.84</v>
      </c>
      <c r="AW9" s="794">
        <v>137169.65</v>
      </c>
      <c r="AX9" s="794">
        <v>20119.2</v>
      </c>
      <c r="AY9" s="794">
        <v>0</v>
      </c>
      <c r="AZ9" s="794">
        <v>2854.69</v>
      </c>
      <c r="BA9" s="794">
        <v>24868.9</v>
      </c>
      <c r="BB9" s="794">
        <v>90286.78</v>
      </c>
      <c r="BC9" s="794">
        <v>32245.74</v>
      </c>
      <c r="BD9" s="794">
        <v>0</v>
      </c>
      <c r="BE9" s="794">
        <v>0</v>
      </c>
      <c r="BF9" s="794">
        <v>0</v>
      </c>
      <c r="BG9" s="794">
        <v>0</v>
      </c>
      <c r="BH9" s="794">
        <v>0</v>
      </c>
      <c r="BI9" s="794">
        <v>0</v>
      </c>
      <c r="BJ9" s="794">
        <v>0</v>
      </c>
      <c r="BK9" s="794">
        <v>0</v>
      </c>
      <c r="BL9" s="794">
        <v>0</v>
      </c>
      <c r="BM9" s="794">
        <v>0</v>
      </c>
      <c r="BN9" s="794">
        <v>0</v>
      </c>
      <c r="BO9" s="794">
        <v>0</v>
      </c>
      <c r="BP9" s="794">
        <v>0</v>
      </c>
      <c r="BQ9" s="794">
        <v>0</v>
      </c>
      <c r="BR9" s="794">
        <v>0</v>
      </c>
      <c r="BS9" s="794">
        <v>0</v>
      </c>
      <c r="BT9" s="794">
        <v>0</v>
      </c>
      <c r="BU9" s="794">
        <v>0</v>
      </c>
      <c r="BV9" s="794">
        <v>0</v>
      </c>
    </row>
    <row r="10" spans="2:74">
      <c r="B10" s="793" t="s">
        <v>2684</v>
      </c>
      <c r="C10" s="793" t="s">
        <v>2685</v>
      </c>
      <c r="D10" s="793">
        <v>2</v>
      </c>
      <c r="E10" s="794">
        <v>874445.73</v>
      </c>
      <c r="F10" s="799">
        <f t="shared" si="2"/>
        <v>1</v>
      </c>
      <c r="G10" s="800" t="s">
        <v>817</v>
      </c>
      <c r="H10" s="800" t="s">
        <v>3363</v>
      </c>
      <c r="I10" s="800">
        <v>188042.01</v>
      </c>
      <c r="J10" s="799" t="str">
        <f t="shared" si="3"/>
        <v>CEPAV Manelli Appalto 4 Peschiera</v>
      </c>
      <c r="K10" s="799" t="e">
        <f t="shared" si="1"/>
        <v>#N/A</v>
      </c>
      <c r="L10" s="799">
        <f t="shared" si="0"/>
        <v>331</v>
      </c>
      <c r="M10" s="799"/>
      <c r="N10" s="595"/>
      <c r="O10" s="794">
        <v>537080.17000000004</v>
      </c>
      <c r="P10" s="794">
        <v>394095.03</v>
      </c>
      <c r="Q10" s="794">
        <v>322123.53000000003</v>
      </c>
      <c r="R10" s="794">
        <v>305345.95</v>
      </c>
      <c r="S10" s="794">
        <v>237422.59</v>
      </c>
      <c r="T10" s="794">
        <v>0</v>
      </c>
      <c r="U10" s="794">
        <v>0</v>
      </c>
      <c r="V10" s="794">
        <v>0</v>
      </c>
      <c r="W10" s="794">
        <v>0</v>
      </c>
      <c r="X10" s="794">
        <v>0</v>
      </c>
      <c r="Y10" s="794">
        <v>0</v>
      </c>
      <c r="Z10" s="794">
        <v>0</v>
      </c>
      <c r="AA10" s="794">
        <v>0</v>
      </c>
      <c r="AB10" s="794">
        <v>0</v>
      </c>
      <c r="AC10" s="794">
        <v>0</v>
      </c>
      <c r="AD10" s="794">
        <v>0</v>
      </c>
      <c r="AE10" s="794">
        <v>0</v>
      </c>
      <c r="AF10" s="794">
        <v>0</v>
      </c>
      <c r="AG10" s="794">
        <v>0</v>
      </c>
      <c r="AH10" s="794">
        <v>0</v>
      </c>
      <c r="AI10" s="794">
        <v>0</v>
      </c>
      <c r="AJ10" s="794">
        <v>0</v>
      </c>
      <c r="AK10" s="794">
        <v>0</v>
      </c>
      <c r="AL10" s="794">
        <v>0</v>
      </c>
      <c r="AM10" s="794">
        <v>0</v>
      </c>
      <c r="AN10" s="794">
        <v>0</v>
      </c>
      <c r="AO10" s="794">
        <v>0</v>
      </c>
      <c r="AP10" s="794">
        <v>0</v>
      </c>
      <c r="AQ10" s="794">
        <v>0</v>
      </c>
      <c r="AR10" s="794">
        <v>0</v>
      </c>
      <c r="AS10" s="794">
        <v>0</v>
      </c>
      <c r="AT10" s="794">
        <v>0</v>
      </c>
      <c r="AU10" s="794">
        <v>0</v>
      </c>
      <c r="AV10" s="794">
        <v>29437.16</v>
      </c>
      <c r="AW10" s="794">
        <v>7421.84</v>
      </c>
      <c r="AX10" s="794">
        <v>0</v>
      </c>
      <c r="AY10" s="794">
        <v>0</v>
      </c>
      <c r="AZ10" s="794">
        <v>0</v>
      </c>
      <c r="BA10" s="794">
        <v>0</v>
      </c>
      <c r="BB10" s="794">
        <v>0</v>
      </c>
      <c r="BC10" s="794">
        <v>0</v>
      </c>
      <c r="BD10" s="794">
        <v>0</v>
      </c>
      <c r="BE10" s="794">
        <v>0</v>
      </c>
      <c r="BF10" s="794">
        <v>0</v>
      </c>
      <c r="BG10" s="794">
        <v>0</v>
      </c>
      <c r="BH10" s="794">
        <v>0</v>
      </c>
      <c r="BI10" s="794">
        <v>0</v>
      </c>
      <c r="BJ10" s="794">
        <v>0</v>
      </c>
      <c r="BK10" s="794">
        <v>0</v>
      </c>
      <c r="BL10" s="794">
        <v>0</v>
      </c>
      <c r="BM10" s="794">
        <v>0</v>
      </c>
      <c r="BN10" s="794">
        <v>0</v>
      </c>
      <c r="BO10" s="794">
        <v>0</v>
      </c>
      <c r="BP10" s="794">
        <v>0</v>
      </c>
      <c r="BQ10" s="794">
        <v>0</v>
      </c>
      <c r="BR10" s="794">
        <v>0</v>
      </c>
      <c r="BS10" s="794">
        <v>0</v>
      </c>
      <c r="BT10" s="794">
        <v>0</v>
      </c>
      <c r="BU10" s="794">
        <v>0</v>
      </c>
      <c r="BV10" s="794">
        <v>0</v>
      </c>
    </row>
    <row r="11" spans="2:74">
      <c r="B11" s="793" t="s">
        <v>2744</v>
      </c>
      <c r="C11" s="793" t="s">
        <v>2686</v>
      </c>
      <c r="D11" s="793">
        <v>4</v>
      </c>
      <c r="E11" s="794"/>
      <c r="F11" s="799">
        <f t="shared" si="2"/>
        <v>1</v>
      </c>
      <c r="G11" s="800" t="s">
        <v>830</v>
      </c>
      <c r="H11" s="800" t="s">
        <v>3310</v>
      </c>
      <c r="I11" s="800">
        <v>29164.53</v>
      </c>
      <c r="J11" s="799" t="str">
        <f t="shared" si="3"/>
        <v>CEPAV Manelli Appalto 6 Peschiera</v>
      </c>
      <c r="K11" s="799" t="str">
        <f t="shared" si="1"/>
        <v>Cepav-Manelli</v>
      </c>
      <c r="L11" s="799">
        <f t="shared" si="0"/>
        <v>331</v>
      </c>
      <c r="M11" s="799"/>
      <c r="N11" s="595"/>
      <c r="O11" s="794">
        <v>0</v>
      </c>
      <c r="P11" s="794">
        <v>0</v>
      </c>
      <c r="Q11" s="794">
        <v>0</v>
      </c>
      <c r="R11" s="794">
        <v>0</v>
      </c>
      <c r="S11" s="794">
        <v>0</v>
      </c>
      <c r="T11" s="794">
        <v>0</v>
      </c>
      <c r="U11" s="794">
        <v>0</v>
      </c>
      <c r="V11" s="794">
        <v>0</v>
      </c>
      <c r="W11" s="794">
        <v>209916.18</v>
      </c>
      <c r="X11" s="794">
        <v>0</v>
      </c>
      <c r="Y11" s="794">
        <v>0</v>
      </c>
      <c r="Z11" s="794">
        <v>0</v>
      </c>
      <c r="AA11" s="794">
        <v>0</v>
      </c>
      <c r="AB11" s="794">
        <v>0</v>
      </c>
      <c r="AC11" s="794">
        <v>0</v>
      </c>
      <c r="AD11" s="794">
        <v>0</v>
      </c>
      <c r="AE11" s="794">
        <v>0</v>
      </c>
      <c r="AF11" s="794">
        <v>0</v>
      </c>
      <c r="AG11" s="794">
        <v>0</v>
      </c>
      <c r="AH11" s="794">
        <v>0</v>
      </c>
      <c r="AI11" s="794">
        <v>0</v>
      </c>
      <c r="AJ11" s="794">
        <v>0</v>
      </c>
      <c r="AK11" s="794">
        <v>0</v>
      </c>
      <c r="AL11" s="794">
        <v>0</v>
      </c>
      <c r="AM11" s="794">
        <v>0</v>
      </c>
      <c r="AN11" s="794">
        <v>0</v>
      </c>
      <c r="AO11" s="794">
        <v>0</v>
      </c>
      <c r="AP11" s="794">
        <v>0</v>
      </c>
      <c r="AQ11" s="794">
        <v>0</v>
      </c>
      <c r="AR11" s="794">
        <v>0</v>
      </c>
      <c r="AS11" s="794">
        <v>0</v>
      </c>
      <c r="AT11" s="794">
        <v>0</v>
      </c>
      <c r="AU11" s="794">
        <v>0</v>
      </c>
      <c r="AV11" s="794">
        <v>0</v>
      </c>
      <c r="AW11" s="794">
        <v>0</v>
      </c>
      <c r="AX11" s="794">
        <v>0</v>
      </c>
      <c r="AY11" s="794">
        <v>0</v>
      </c>
      <c r="AZ11" s="794">
        <v>0</v>
      </c>
      <c r="BA11" s="794">
        <v>0</v>
      </c>
      <c r="BB11" s="794">
        <v>0</v>
      </c>
      <c r="BC11" s="794">
        <v>0</v>
      </c>
      <c r="BD11" s="794">
        <v>0</v>
      </c>
      <c r="BE11" s="794">
        <v>0</v>
      </c>
      <c r="BF11" s="794">
        <v>0</v>
      </c>
      <c r="BG11" s="794">
        <v>0</v>
      </c>
      <c r="BH11" s="794">
        <v>0</v>
      </c>
      <c r="BI11" s="794">
        <v>0</v>
      </c>
      <c r="BJ11" s="794">
        <v>0</v>
      </c>
      <c r="BK11" s="794">
        <v>0</v>
      </c>
      <c r="BL11" s="794">
        <v>0</v>
      </c>
      <c r="BM11" s="794">
        <v>0</v>
      </c>
      <c r="BN11" s="794">
        <v>0</v>
      </c>
      <c r="BO11" s="794">
        <v>0</v>
      </c>
      <c r="BP11" s="794">
        <v>0</v>
      </c>
      <c r="BQ11" s="794">
        <v>0</v>
      </c>
      <c r="BR11" s="794">
        <v>0</v>
      </c>
      <c r="BS11" s="794">
        <v>0</v>
      </c>
      <c r="BT11" s="794">
        <v>0</v>
      </c>
      <c r="BU11" s="794">
        <v>0</v>
      </c>
      <c r="BV11" s="794">
        <v>0</v>
      </c>
    </row>
    <row r="12" spans="2:74">
      <c r="B12" s="793" t="s">
        <v>2687</v>
      </c>
      <c r="C12" s="793" t="s">
        <v>2688</v>
      </c>
      <c r="D12" s="793">
        <v>8</v>
      </c>
      <c r="E12" s="794">
        <v>225541.72700000001</v>
      </c>
      <c r="F12" s="799">
        <f t="shared" si="2"/>
        <v>1</v>
      </c>
      <c r="G12" s="800" t="s">
        <v>789</v>
      </c>
      <c r="H12" s="800" t="s">
        <v>3343</v>
      </c>
      <c r="I12" s="800">
        <v>191394</v>
      </c>
      <c r="J12" s="799" t="str">
        <f t="shared" si="3"/>
        <v>Parma Sala Baganza</v>
      </c>
      <c r="K12" s="799" t="str">
        <f t="shared" si="1"/>
        <v>Strabag S.p.A./Baganza Scarl</v>
      </c>
      <c r="L12" s="799">
        <f t="shared" si="0"/>
        <v>1</v>
      </c>
      <c r="M12" s="799"/>
      <c r="N12" s="595"/>
      <c r="O12" s="794">
        <v>0</v>
      </c>
      <c r="P12" s="809">
        <v>85363.49</v>
      </c>
      <c r="Q12" s="794">
        <v>91710.16</v>
      </c>
      <c r="R12" s="794">
        <v>18495.63</v>
      </c>
      <c r="S12" s="794">
        <v>36383.199999999997</v>
      </c>
      <c r="T12" s="794">
        <v>31091.61</v>
      </c>
      <c r="U12" s="794">
        <v>33709</v>
      </c>
      <c r="V12" s="794">
        <v>0</v>
      </c>
      <c r="W12" s="794">
        <v>23164.5</v>
      </c>
      <c r="X12" s="794">
        <v>21033.13</v>
      </c>
      <c r="Y12" s="794">
        <v>15571.51</v>
      </c>
      <c r="Z12" s="794">
        <v>38031</v>
      </c>
      <c r="AA12" s="794">
        <v>60792.33</v>
      </c>
      <c r="AB12" s="794">
        <v>18995.75</v>
      </c>
      <c r="AC12" s="794">
        <v>21336.78</v>
      </c>
      <c r="AD12" s="794">
        <v>10078.18</v>
      </c>
      <c r="AE12" s="794">
        <v>69804.009999999995</v>
      </c>
      <c r="AF12" s="794">
        <v>4764.83</v>
      </c>
      <c r="AG12" s="794">
        <v>0</v>
      </c>
      <c r="AH12" s="794">
        <v>0</v>
      </c>
      <c r="AI12" s="794">
        <v>17159.189999999999</v>
      </c>
      <c r="AJ12" s="794">
        <v>63628</v>
      </c>
      <c r="AK12" s="794">
        <v>0</v>
      </c>
      <c r="AL12" s="794">
        <v>81348</v>
      </c>
      <c r="AM12" s="794">
        <v>0</v>
      </c>
      <c r="AN12" s="794">
        <v>0</v>
      </c>
      <c r="AO12" s="794">
        <v>0</v>
      </c>
      <c r="AP12" s="794">
        <v>0</v>
      </c>
      <c r="AQ12" s="794">
        <v>0</v>
      </c>
      <c r="AR12" s="794">
        <v>0</v>
      </c>
      <c r="AS12" s="794">
        <v>0</v>
      </c>
      <c r="AT12" s="794">
        <v>0</v>
      </c>
      <c r="AU12" s="794">
        <v>113400</v>
      </c>
      <c r="AV12" s="794">
        <v>0</v>
      </c>
      <c r="AW12" s="794">
        <v>0</v>
      </c>
      <c r="AX12" s="794">
        <v>0</v>
      </c>
      <c r="AY12" s="794">
        <v>0</v>
      </c>
      <c r="AZ12" s="794">
        <v>0</v>
      </c>
      <c r="BA12" s="794">
        <v>0</v>
      </c>
      <c r="BB12" s="794">
        <v>0</v>
      </c>
      <c r="BC12" s="794">
        <v>0</v>
      </c>
      <c r="BD12" s="794">
        <v>0</v>
      </c>
      <c r="BE12" s="794">
        <v>0</v>
      </c>
      <c r="BF12" s="794">
        <v>0</v>
      </c>
      <c r="BG12" s="794">
        <v>0</v>
      </c>
      <c r="BH12" s="794">
        <v>0</v>
      </c>
      <c r="BI12" s="794">
        <v>0</v>
      </c>
      <c r="BJ12" s="794">
        <v>0</v>
      </c>
      <c r="BK12" s="794">
        <v>0</v>
      </c>
      <c r="BL12" s="794">
        <v>0</v>
      </c>
      <c r="BM12" s="794">
        <v>0</v>
      </c>
      <c r="BN12" s="794">
        <v>0</v>
      </c>
      <c r="BO12" s="794">
        <v>0</v>
      </c>
      <c r="BP12" s="794">
        <v>0</v>
      </c>
      <c r="BQ12" s="794">
        <v>0</v>
      </c>
      <c r="BR12" s="794">
        <v>0</v>
      </c>
      <c r="BS12" s="794">
        <v>0</v>
      </c>
      <c r="BT12" s="794">
        <v>0</v>
      </c>
      <c r="BU12" s="794">
        <v>0</v>
      </c>
      <c r="BV12" s="794">
        <v>0</v>
      </c>
    </row>
    <row r="13" spans="2:74">
      <c r="B13" s="793" t="s">
        <v>2689</v>
      </c>
      <c r="C13" s="793" t="s">
        <v>2688</v>
      </c>
      <c r="D13" s="793">
        <v>7</v>
      </c>
      <c r="E13" s="794">
        <v>575773.89899999998</v>
      </c>
      <c r="F13" s="799">
        <f t="shared" si="2"/>
        <v>29</v>
      </c>
      <c r="G13" s="800"/>
      <c r="H13" s="800"/>
      <c r="I13" s="800"/>
      <c r="J13" s="799" t="e">
        <f t="shared" si="3"/>
        <v>#N/A</v>
      </c>
      <c r="K13" s="799" t="e">
        <f t="shared" si="1"/>
        <v>#N/A</v>
      </c>
      <c r="L13" s="799">
        <f t="shared" si="0"/>
        <v>331</v>
      </c>
      <c r="M13" s="799"/>
      <c r="N13" s="595"/>
      <c r="O13" s="794">
        <v>89197.09</v>
      </c>
      <c r="P13" s="794">
        <v>15451.25</v>
      </c>
      <c r="Q13" s="794">
        <v>20464.98</v>
      </c>
      <c r="R13" s="794">
        <v>75210.06</v>
      </c>
      <c r="S13" s="794">
        <v>29267.96</v>
      </c>
      <c r="T13" s="794">
        <v>24240</v>
      </c>
      <c r="U13" s="794">
        <v>71390</v>
      </c>
      <c r="V13" s="794">
        <v>30718.82</v>
      </c>
      <c r="W13" s="794">
        <v>94772.12</v>
      </c>
      <c r="X13" s="794">
        <v>37826.879999999997</v>
      </c>
      <c r="Y13" s="794">
        <v>40398.1</v>
      </c>
      <c r="Z13" s="794">
        <v>16900</v>
      </c>
      <c r="AA13" s="794">
        <v>34647.74</v>
      </c>
      <c r="AB13" s="794">
        <v>75282.740000000005</v>
      </c>
      <c r="AC13" s="794">
        <v>119818.64</v>
      </c>
      <c r="AD13" s="794">
        <v>98596.28</v>
      </c>
      <c r="AE13" s="794">
        <v>26353.4</v>
      </c>
      <c r="AF13" s="794">
        <v>76140.25</v>
      </c>
      <c r="AG13" s="794">
        <v>103361.57999999999</v>
      </c>
      <c r="AH13" s="794">
        <v>47208.42</v>
      </c>
      <c r="AI13" s="794">
        <v>46659.4</v>
      </c>
      <c r="AJ13" s="794">
        <v>0</v>
      </c>
      <c r="AK13" s="794">
        <v>0</v>
      </c>
      <c r="AL13" s="794">
        <v>0</v>
      </c>
      <c r="AM13" s="794">
        <v>0</v>
      </c>
      <c r="AN13" s="794">
        <v>0</v>
      </c>
      <c r="AO13" s="794">
        <v>0</v>
      </c>
      <c r="AP13" s="794">
        <v>0</v>
      </c>
      <c r="AQ13" s="794">
        <v>0</v>
      </c>
      <c r="AR13" s="794">
        <v>0</v>
      </c>
      <c r="AS13" s="794">
        <v>0</v>
      </c>
      <c r="AT13" s="794">
        <v>0</v>
      </c>
      <c r="AU13" s="794">
        <v>0</v>
      </c>
      <c r="AV13" s="794">
        <v>0</v>
      </c>
      <c r="AW13" s="794">
        <v>0</v>
      </c>
      <c r="AX13" s="794">
        <v>0</v>
      </c>
      <c r="AY13" s="794">
        <v>0</v>
      </c>
      <c r="AZ13" s="794">
        <v>0</v>
      </c>
      <c r="BA13" s="794">
        <v>0</v>
      </c>
      <c r="BB13" s="794">
        <v>0</v>
      </c>
      <c r="BC13" s="794">
        <v>0</v>
      </c>
      <c r="BD13" s="794">
        <v>0</v>
      </c>
      <c r="BE13" s="794">
        <v>0</v>
      </c>
      <c r="BF13" s="794">
        <v>0</v>
      </c>
      <c r="BG13" s="794">
        <v>0</v>
      </c>
      <c r="BH13" s="794">
        <v>0</v>
      </c>
      <c r="BI13" s="794">
        <v>0</v>
      </c>
      <c r="BJ13" s="794">
        <v>0</v>
      </c>
      <c r="BK13" s="794">
        <v>0</v>
      </c>
      <c r="BL13" s="794">
        <v>0</v>
      </c>
      <c r="BM13" s="794">
        <v>0</v>
      </c>
      <c r="BN13" s="794">
        <v>0</v>
      </c>
      <c r="BO13" s="794">
        <v>0</v>
      </c>
      <c r="BP13" s="794">
        <v>0</v>
      </c>
      <c r="BQ13" s="794">
        <v>0</v>
      </c>
      <c r="BR13" s="794">
        <v>0</v>
      </c>
      <c r="BS13" s="794">
        <v>0</v>
      </c>
      <c r="BT13" s="794">
        <v>0</v>
      </c>
      <c r="BU13" s="794">
        <v>0</v>
      </c>
      <c r="BV13" s="794">
        <v>0</v>
      </c>
    </row>
    <row r="14" spans="2:74">
      <c r="B14" s="793" t="s">
        <v>2690</v>
      </c>
      <c r="C14" s="793" t="s">
        <v>2691</v>
      </c>
      <c r="D14" s="793">
        <v>2</v>
      </c>
      <c r="E14" s="794">
        <v>534002.01</v>
      </c>
      <c r="F14" s="799">
        <f t="shared" si="2"/>
        <v>1</v>
      </c>
      <c r="G14" s="800" t="s">
        <v>651</v>
      </c>
      <c r="H14" s="800" t="s">
        <v>3222</v>
      </c>
      <c r="I14" s="800"/>
      <c r="J14" s="799" t="str">
        <f t="shared" si="3"/>
        <v>MILANO VIALE ORTLES</v>
      </c>
      <c r="K14" s="799" t="str">
        <f t="shared" si="1"/>
        <v>COVIVIO-Colombo Severo S.p.A.</v>
      </c>
      <c r="L14" s="799">
        <f t="shared" si="0"/>
        <v>331</v>
      </c>
      <c r="M14" s="799"/>
      <c r="N14" s="595"/>
      <c r="O14" s="794">
        <v>473628.99</v>
      </c>
      <c r="P14" s="794">
        <v>820143.78</v>
      </c>
      <c r="Q14" s="794">
        <v>602921.97</v>
      </c>
      <c r="R14" s="794">
        <v>231037.36</v>
      </c>
      <c r="S14" s="794">
        <v>228355.9</v>
      </c>
      <c r="T14" s="794">
        <v>200699.81</v>
      </c>
      <c r="U14" s="794">
        <v>0</v>
      </c>
      <c r="V14" s="794">
        <v>0</v>
      </c>
      <c r="W14" s="794">
        <v>0</v>
      </c>
      <c r="X14" s="794">
        <v>0</v>
      </c>
      <c r="Y14" s="794">
        <v>0</v>
      </c>
      <c r="Z14" s="794">
        <v>0</v>
      </c>
      <c r="AA14" s="794">
        <v>0</v>
      </c>
      <c r="AB14" s="794">
        <v>0</v>
      </c>
      <c r="AC14" s="794">
        <v>0</v>
      </c>
      <c r="AD14" s="794">
        <v>0</v>
      </c>
      <c r="AE14" s="794">
        <v>0</v>
      </c>
      <c r="AF14" s="794">
        <v>0</v>
      </c>
      <c r="AG14" s="794">
        <v>0</v>
      </c>
      <c r="AH14" s="794">
        <v>0</v>
      </c>
      <c r="AI14" s="794">
        <v>0</v>
      </c>
      <c r="AJ14" s="794">
        <v>0</v>
      </c>
      <c r="AK14" s="794">
        <v>0</v>
      </c>
      <c r="AL14" s="794">
        <v>0</v>
      </c>
      <c r="AM14" s="794">
        <v>0</v>
      </c>
      <c r="AN14" s="794">
        <v>0</v>
      </c>
      <c r="AO14" s="794">
        <v>0</v>
      </c>
      <c r="AP14" s="794">
        <v>0</v>
      </c>
      <c r="AQ14" s="794">
        <v>0</v>
      </c>
      <c r="AR14" s="794">
        <v>0</v>
      </c>
      <c r="AS14" s="794">
        <v>0</v>
      </c>
      <c r="AT14" s="794">
        <v>0</v>
      </c>
      <c r="AU14" s="794">
        <v>0</v>
      </c>
      <c r="AV14" s="794">
        <v>0</v>
      </c>
      <c r="AW14" s="794">
        <v>0</v>
      </c>
      <c r="AX14" s="794">
        <v>0</v>
      </c>
      <c r="AY14" s="794">
        <v>0</v>
      </c>
      <c r="AZ14" s="794">
        <v>0</v>
      </c>
      <c r="BA14" s="794">
        <v>0</v>
      </c>
      <c r="BB14" s="794">
        <v>0</v>
      </c>
      <c r="BC14" s="794">
        <v>0</v>
      </c>
      <c r="BD14" s="794">
        <v>0</v>
      </c>
      <c r="BE14" s="794">
        <v>0</v>
      </c>
      <c r="BF14" s="794">
        <v>0</v>
      </c>
      <c r="BG14" s="794">
        <v>0</v>
      </c>
      <c r="BH14" s="794">
        <v>0</v>
      </c>
      <c r="BI14" s="794">
        <v>0</v>
      </c>
      <c r="BJ14" s="794">
        <v>0</v>
      </c>
      <c r="BK14" s="794">
        <v>0</v>
      </c>
      <c r="BL14" s="794">
        <v>0</v>
      </c>
      <c r="BM14" s="794">
        <v>0</v>
      </c>
      <c r="BN14" s="794">
        <v>0</v>
      </c>
      <c r="BO14" s="794">
        <v>0</v>
      </c>
      <c r="BP14" s="794">
        <v>0</v>
      </c>
      <c r="BQ14" s="794">
        <v>0</v>
      </c>
      <c r="BR14" s="794">
        <v>0</v>
      </c>
      <c r="BS14" s="794">
        <v>0</v>
      </c>
      <c r="BT14" s="794">
        <v>0</v>
      </c>
      <c r="BU14" s="794">
        <v>0</v>
      </c>
      <c r="BV14" s="794">
        <v>0</v>
      </c>
    </row>
    <row r="15" spans="2:74">
      <c r="B15" s="793" t="s">
        <v>2692</v>
      </c>
      <c r="C15" s="793" t="s">
        <v>2679</v>
      </c>
      <c r="D15" s="793">
        <v>1</v>
      </c>
      <c r="E15" s="794">
        <v>13392.57</v>
      </c>
      <c r="F15" s="799">
        <f t="shared" si="2"/>
        <v>1</v>
      </c>
      <c r="G15" s="800" t="s">
        <v>559</v>
      </c>
      <c r="H15" s="800" t="s">
        <v>558</v>
      </c>
      <c r="I15" s="800">
        <v>35000</v>
      </c>
      <c r="J15" s="799" t="str">
        <f t="shared" si="3"/>
        <v>Viadotto Tassonaro (LU)</v>
      </c>
      <c r="K15" s="799" t="str">
        <f t="shared" si="1"/>
        <v>D'Addetta S.r.l.</v>
      </c>
      <c r="L15" s="799">
        <f t="shared" si="0"/>
        <v>331</v>
      </c>
      <c r="M15" s="799"/>
      <c r="N15" s="595"/>
      <c r="O15" s="794">
        <v>0</v>
      </c>
      <c r="P15" s="809">
        <v>103203.5</v>
      </c>
      <c r="Q15" s="794">
        <v>171192.52</v>
      </c>
      <c r="R15" s="794">
        <v>87605.59</v>
      </c>
      <c r="S15" s="794">
        <v>0</v>
      </c>
      <c r="T15" s="794">
        <v>0</v>
      </c>
      <c r="U15" s="794">
        <v>0</v>
      </c>
      <c r="V15" s="794">
        <v>26865.599999999999</v>
      </c>
      <c r="W15" s="794">
        <v>0</v>
      </c>
      <c r="X15" s="794">
        <v>69990.100000000006</v>
      </c>
      <c r="Y15" s="794">
        <v>88608.11</v>
      </c>
      <c r="Z15" s="794">
        <v>0</v>
      </c>
      <c r="AA15" s="794">
        <v>0</v>
      </c>
      <c r="AB15" s="794">
        <v>0</v>
      </c>
      <c r="AC15" s="794">
        <v>0</v>
      </c>
      <c r="AD15" s="794">
        <v>0</v>
      </c>
      <c r="AE15" s="794">
        <v>0</v>
      </c>
      <c r="AF15" s="794">
        <v>0</v>
      </c>
      <c r="AG15" s="794">
        <v>0</v>
      </c>
      <c r="AH15" s="794">
        <v>0</v>
      </c>
      <c r="AI15" s="794">
        <v>0</v>
      </c>
      <c r="AJ15" s="794">
        <v>0</v>
      </c>
      <c r="AK15" s="794">
        <v>0</v>
      </c>
      <c r="AL15" s="794">
        <v>0</v>
      </c>
      <c r="AM15" s="794">
        <v>0</v>
      </c>
      <c r="AN15" s="794">
        <v>0</v>
      </c>
      <c r="AO15" s="794">
        <v>0</v>
      </c>
      <c r="AP15" s="794">
        <v>0</v>
      </c>
      <c r="AQ15" s="794">
        <v>0</v>
      </c>
      <c r="AR15" s="794">
        <v>0</v>
      </c>
      <c r="AS15" s="794">
        <v>0</v>
      </c>
      <c r="AT15" s="794">
        <v>0</v>
      </c>
      <c r="AU15" s="794">
        <v>0</v>
      </c>
      <c r="AV15" s="794">
        <v>0</v>
      </c>
      <c r="AW15" s="794">
        <v>0</v>
      </c>
      <c r="AX15" s="794">
        <v>0</v>
      </c>
      <c r="AY15" s="794">
        <v>0</v>
      </c>
      <c r="AZ15" s="794">
        <v>0</v>
      </c>
      <c r="BA15" s="794">
        <v>0</v>
      </c>
      <c r="BB15" s="794">
        <v>0</v>
      </c>
      <c r="BC15" s="794">
        <v>0</v>
      </c>
      <c r="BD15" s="794">
        <v>0</v>
      </c>
      <c r="BE15" s="794">
        <v>0</v>
      </c>
      <c r="BF15" s="794">
        <v>0</v>
      </c>
      <c r="BG15" s="794">
        <v>0</v>
      </c>
      <c r="BH15" s="794">
        <v>0</v>
      </c>
      <c r="BI15" s="794">
        <v>0</v>
      </c>
      <c r="BJ15" s="794">
        <v>0</v>
      </c>
      <c r="BK15" s="794">
        <v>0</v>
      </c>
      <c r="BL15" s="794">
        <v>0</v>
      </c>
      <c r="BM15" s="794">
        <v>0</v>
      </c>
      <c r="BN15" s="794">
        <v>0</v>
      </c>
      <c r="BO15" s="794">
        <v>0</v>
      </c>
      <c r="BP15" s="794">
        <v>0</v>
      </c>
      <c r="BQ15" s="794">
        <v>0</v>
      </c>
      <c r="BR15" s="794">
        <v>0</v>
      </c>
      <c r="BS15" s="794">
        <v>0</v>
      </c>
      <c r="BT15" s="794">
        <v>0</v>
      </c>
      <c r="BU15" s="794">
        <v>0</v>
      </c>
      <c r="BV15" s="794">
        <v>0</v>
      </c>
    </row>
    <row r="16" spans="2:74">
      <c r="B16" s="793" t="s">
        <v>2693</v>
      </c>
      <c r="C16" s="793" t="s">
        <v>2694</v>
      </c>
      <c r="D16" s="793">
        <v>2</v>
      </c>
      <c r="E16" s="794"/>
      <c r="F16" s="799">
        <f t="shared" si="2"/>
        <v>1</v>
      </c>
      <c r="G16" s="800" t="s">
        <v>859</v>
      </c>
      <c r="H16" s="800" t="s">
        <v>495</v>
      </c>
      <c r="I16" s="800">
        <v>6900</v>
      </c>
      <c r="J16" s="799" t="str">
        <f t="shared" si="3"/>
        <v>COCIV Valico dei Giovi</v>
      </c>
      <c r="K16" s="799" t="str">
        <f t="shared" si="1"/>
        <v>Valico dei Giovi S.c.a.r.l.</v>
      </c>
      <c r="L16" s="799">
        <f t="shared" si="0"/>
        <v>331</v>
      </c>
      <c r="M16" s="799"/>
      <c r="N16" s="595"/>
      <c r="O16" s="794">
        <v>0</v>
      </c>
      <c r="P16" s="809">
        <v>159370.88</v>
      </c>
      <c r="Q16" s="794">
        <v>261736.12</v>
      </c>
      <c r="R16" s="794">
        <v>179923.14</v>
      </c>
      <c r="S16" s="794">
        <v>92246.7</v>
      </c>
      <c r="T16" s="794">
        <v>60000</v>
      </c>
      <c r="U16" s="794">
        <v>0</v>
      </c>
      <c r="V16" s="794">
        <v>0</v>
      </c>
      <c r="W16" s="794">
        <v>0</v>
      </c>
      <c r="X16" s="794">
        <v>0</v>
      </c>
      <c r="Y16" s="794">
        <v>0</v>
      </c>
      <c r="Z16" s="794">
        <v>0</v>
      </c>
      <c r="AA16" s="794">
        <v>0</v>
      </c>
      <c r="AB16" s="794">
        <v>0</v>
      </c>
      <c r="AC16" s="794">
        <v>0</v>
      </c>
      <c r="AD16" s="794">
        <v>0</v>
      </c>
      <c r="AE16" s="794">
        <v>0</v>
      </c>
      <c r="AF16" s="794">
        <v>0</v>
      </c>
      <c r="AG16" s="794">
        <v>0</v>
      </c>
      <c r="AH16" s="794">
        <v>0</v>
      </c>
      <c r="AI16" s="794">
        <v>0</v>
      </c>
      <c r="AJ16" s="794">
        <v>0</v>
      </c>
      <c r="AK16" s="794">
        <v>0</v>
      </c>
      <c r="AL16" s="794">
        <v>0</v>
      </c>
      <c r="AM16" s="794">
        <v>0</v>
      </c>
      <c r="AN16" s="794">
        <v>0</v>
      </c>
      <c r="AO16" s="794">
        <v>0</v>
      </c>
      <c r="AP16" s="794">
        <v>0</v>
      </c>
      <c r="AQ16" s="794">
        <v>0</v>
      </c>
      <c r="AR16" s="794">
        <v>0</v>
      </c>
      <c r="AS16" s="794">
        <v>0</v>
      </c>
      <c r="AT16" s="794">
        <v>0</v>
      </c>
      <c r="AU16" s="794">
        <v>0</v>
      </c>
      <c r="AV16" s="794">
        <v>0</v>
      </c>
      <c r="AW16" s="794">
        <v>0</v>
      </c>
      <c r="AX16" s="794">
        <v>0</v>
      </c>
      <c r="AY16" s="794">
        <v>0</v>
      </c>
      <c r="AZ16" s="794">
        <v>0</v>
      </c>
      <c r="BA16" s="794">
        <v>0</v>
      </c>
      <c r="BB16" s="794">
        <v>0</v>
      </c>
      <c r="BC16" s="794">
        <v>0</v>
      </c>
      <c r="BD16" s="794">
        <v>0</v>
      </c>
      <c r="BE16" s="794">
        <v>0</v>
      </c>
      <c r="BF16" s="794">
        <v>0</v>
      </c>
      <c r="BG16" s="794">
        <v>0</v>
      </c>
      <c r="BH16" s="794">
        <v>0</v>
      </c>
      <c r="BI16" s="794">
        <v>0</v>
      </c>
      <c r="BJ16" s="794">
        <v>0</v>
      </c>
      <c r="BK16" s="794">
        <v>0</v>
      </c>
      <c r="BL16" s="794">
        <v>0</v>
      </c>
      <c r="BM16" s="794">
        <v>0</v>
      </c>
      <c r="BN16" s="794">
        <v>0</v>
      </c>
      <c r="BO16" s="794">
        <v>0</v>
      </c>
      <c r="BP16" s="794">
        <v>0</v>
      </c>
      <c r="BQ16" s="794">
        <v>0</v>
      </c>
      <c r="BR16" s="794">
        <v>0</v>
      </c>
      <c r="BS16" s="794">
        <v>0</v>
      </c>
      <c r="BT16" s="794">
        <v>0</v>
      </c>
      <c r="BU16" s="794">
        <v>0</v>
      </c>
      <c r="BV16" s="794">
        <v>0</v>
      </c>
    </row>
    <row r="17" spans="2:74">
      <c r="B17" s="793" t="s">
        <v>2695</v>
      </c>
      <c r="C17" s="793" t="s">
        <v>2696</v>
      </c>
      <c r="D17" s="793"/>
      <c r="E17" s="794">
        <v>4210207.12</v>
      </c>
      <c r="F17" s="799">
        <f t="shared" si="2"/>
        <v>1</v>
      </c>
      <c r="G17" s="800" t="s">
        <v>802</v>
      </c>
      <c r="H17" s="800" t="s">
        <v>3351</v>
      </c>
      <c r="I17" s="800">
        <v>2765678.75</v>
      </c>
      <c r="J17" s="799" t="str">
        <f t="shared" si="3"/>
        <v>Montebello (VI)</v>
      </c>
      <c r="K17" s="799" t="str">
        <f t="shared" si="1"/>
        <v>Salcef-Iricav</v>
      </c>
      <c r="L17" s="799">
        <f t="shared" si="0"/>
        <v>331</v>
      </c>
      <c r="M17" s="799"/>
      <c r="N17" s="595"/>
      <c r="O17" s="794">
        <v>0</v>
      </c>
      <c r="P17" s="809">
        <v>20538.240000000002</v>
      </c>
      <c r="Q17" s="794">
        <v>32075.8</v>
      </c>
      <c r="R17" s="794">
        <v>144979.31</v>
      </c>
      <c r="S17" s="794">
        <v>267671.38</v>
      </c>
      <c r="T17" s="794">
        <v>209609.2</v>
      </c>
      <c r="U17" s="794">
        <v>198618.12</v>
      </c>
      <c r="V17" s="794">
        <v>151694.75</v>
      </c>
      <c r="W17" s="794">
        <v>82060.53</v>
      </c>
      <c r="X17" s="794">
        <v>0</v>
      </c>
      <c r="Y17" s="794">
        <v>199675.1</v>
      </c>
      <c r="Z17" s="794">
        <v>151018.09</v>
      </c>
      <c r="AA17" s="794">
        <v>0</v>
      </c>
      <c r="AB17" s="794">
        <v>0</v>
      </c>
      <c r="AC17" s="794">
        <v>0</v>
      </c>
      <c r="AD17" s="794">
        <v>0</v>
      </c>
      <c r="AE17" s="794">
        <v>0</v>
      </c>
      <c r="AF17" s="794">
        <v>0</v>
      </c>
      <c r="AG17" s="794">
        <v>0</v>
      </c>
      <c r="AH17" s="794">
        <v>0</v>
      </c>
      <c r="AI17" s="794">
        <v>0</v>
      </c>
      <c r="AJ17" s="794">
        <v>0</v>
      </c>
      <c r="AK17" s="794">
        <v>0</v>
      </c>
      <c r="AL17" s="794">
        <v>0</v>
      </c>
      <c r="AM17" s="794">
        <v>0</v>
      </c>
      <c r="AN17" s="794">
        <v>0</v>
      </c>
      <c r="AO17" s="794">
        <v>0</v>
      </c>
      <c r="AP17" s="794">
        <v>0</v>
      </c>
      <c r="AQ17" s="794">
        <v>0</v>
      </c>
      <c r="AR17" s="794">
        <v>0</v>
      </c>
      <c r="AS17" s="794">
        <v>0</v>
      </c>
      <c r="AT17" s="794">
        <v>0</v>
      </c>
      <c r="AU17" s="794">
        <v>0</v>
      </c>
      <c r="AV17" s="794">
        <v>0</v>
      </c>
      <c r="AW17" s="794">
        <v>0</v>
      </c>
      <c r="AX17" s="794">
        <v>0</v>
      </c>
      <c r="AY17" s="794">
        <v>0</v>
      </c>
      <c r="AZ17" s="794">
        <v>0</v>
      </c>
      <c r="BA17" s="794">
        <v>0</v>
      </c>
      <c r="BB17" s="794">
        <v>0</v>
      </c>
      <c r="BC17" s="794">
        <v>0</v>
      </c>
      <c r="BD17" s="794">
        <v>0</v>
      </c>
      <c r="BE17" s="794">
        <v>0</v>
      </c>
      <c r="BF17" s="794">
        <v>0</v>
      </c>
      <c r="BG17" s="794">
        <v>0</v>
      </c>
      <c r="BH17" s="794">
        <v>0</v>
      </c>
      <c r="BI17" s="794">
        <v>0</v>
      </c>
      <c r="BJ17" s="794">
        <v>0</v>
      </c>
      <c r="BK17" s="794">
        <v>0</v>
      </c>
      <c r="BL17" s="794">
        <v>0</v>
      </c>
      <c r="BM17" s="794">
        <v>0</v>
      </c>
      <c r="BN17" s="794">
        <v>0</v>
      </c>
      <c r="BO17" s="794">
        <v>0</v>
      </c>
      <c r="BP17" s="794">
        <v>0</v>
      </c>
      <c r="BQ17" s="794">
        <v>0</v>
      </c>
      <c r="BR17" s="794">
        <v>0</v>
      </c>
      <c r="BS17" s="794">
        <v>0</v>
      </c>
      <c r="BT17" s="794">
        <v>0</v>
      </c>
      <c r="BU17" s="794">
        <v>0</v>
      </c>
      <c r="BV17" s="794">
        <v>0</v>
      </c>
    </row>
    <row r="18" spans="2:74">
      <c r="B18" s="793" t="s">
        <v>2697</v>
      </c>
      <c r="C18" s="793" t="s">
        <v>2698</v>
      </c>
      <c r="D18" s="793" t="s">
        <v>2699</v>
      </c>
      <c r="E18" s="794"/>
      <c r="F18" s="799">
        <f t="shared" si="2"/>
        <v>29</v>
      </c>
      <c r="G18" s="800"/>
      <c r="H18" s="800"/>
      <c r="I18" s="800"/>
      <c r="J18" s="799" t="e">
        <f t="shared" si="3"/>
        <v>#N/A</v>
      </c>
      <c r="K18" s="799" t="e">
        <f t="shared" si="1"/>
        <v>#N/A</v>
      </c>
      <c r="L18" s="799">
        <f t="shared" si="0"/>
        <v>331</v>
      </c>
      <c r="M18" s="799"/>
      <c r="N18" s="595"/>
      <c r="O18" s="794">
        <v>0</v>
      </c>
      <c r="P18" s="794">
        <v>0</v>
      </c>
      <c r="Q18" s="794">
        <v>0</v>
      </c>
      <c r="R18" s="794">
        <v>16226.14</v>
      </c>
      <c r="S18" s="794">
        <v>0</v>
      </c>
      <c r="T18" s="794">
        <v>0</v>
      </c>
      <c r="U18" s="794">
        <v>0</v>
      </c>
      <c r="V18" s="794">
        <v>0</v>
      </c>
      <c r="W18" s="794">
        <v>0</v>
      </c>
      <c r="X18" s="794">
        <v>0</v>
      </c>
      <c r="Y18" s="794">
        <v>0</v>
      </c>
      <c r="Z18" s="794">
        <v>0</v>
      </c>
      <c r="AA18" s="794">
        <v>0</v>
      </c>
      <c r="AB18" s="794">
        <v>0</v>
      </c>
      <c r="AC18" s="794">
        <v>0</v>
      </c>
      <c r="AD18" s="794">
        <v>0</v>
      </c>
      <c r="AE18" s="794">
        <v>0</v>
      </c>
      <c r="AF18" s="794">
        <v>0</v>
      </c>
      <c r="AG18" s="794">
        <v>0</v>
      </c>
      <c r="AH18" s="794">
        <v>0</v>
      </c>
      <c r="AI18" s="794">
        <v>0</v>
      </c>
      <c r="AJ18" s="794">
        <v>0</v>
      </c>
      <c r="AK18" s="794">
        <v>0</v>
      </c>
      <c r="AL18" s="794">
        <v>0</v>
      </c>
      <c r="AM18" s="794">
        <v>0</v>
      </c>
      <c r="AN18" s="794">
        <v>0</v>
      </c>
      <c r="AO18" s="794">
        <v>0</v>
      </c>
      <c r="AP18" s="794">
        <v>0</v>
      </c>
      <c r="AQ18" s="794">
        <v>0</v>
      </c>
      <c r="AR18" s="794">
        <v>0</v>
      </c>
      <c r="AS18" s="794">
        <v>0</v>
      </c>
      <c r="AT18" s="794">
        <v>0</v>
      </c>
      <c r="AU18" s="794">
        <v>0</v>
      </c>
      <c r="AV18" s="794">
        <v>0</v>
      </c>
      <c r="AW18" s="794">
        <v>0</v>
      </c>
      <c r="AX18" s="794">
        <v>0</v>
      </c>
      <c r="AY18" s="794">
        <v>0</v>
      </c>
      <c r="AZ18" s="794">
        <v>0</v>
      </c>
      <c r="BA18" s="794">
        <v>0</v>
      </c>
      <c r="BB18" s="794">
        <v>0</v>
      </c>
      <c r="BC18" s="794">
        <v>0</v>
      </c>
      <c r="BD18" s="794">
        <v>0</v>
      </c>
      <c r="BE18" s="794">
        <v>0</v>
      </c>
      <c r="BF18" s="794">
        <v>0</v>
      </c>
      <c r="BG18" s="794">
        <v>0</v>
      </c>
      <c r="BH18" s="794">
        <v>0</v>
      </c>
      <c r="BI18" s="794">
        <v>0</v>
      </c>
      <c r="BJ18" s="794">
        <v>0</v>
      </c>
      <c r="BK18" s="794">
        <v>0</v>
      </c>
      <c r="BL18" s="794">
        <v>0</v>
      </c>
      <c r="BM18" s="794">
        <v>0</v>
      </c>
      <c r="BN18" s="794">
        <v>0</v>
      </c>
      <c r="BO18" s="794">
        <v>0</v>
      </c>
      <c r="BP18" s="794">
        <v>0</v>
      </c>
      <c r="BQ18" s="794">
        <v>0</v>
      </c>
      <c r="BR18" s="794">
        <v>0</v>
      </c>
      <c r="BS18" s="794">
        <v>0</v>
      </c>
      <c r="BT18" s="794">
        <v>0</v>
      </c>
      <c r="BU18" s="794">
        <v>0</v>
      </c>
      <c r="BV18" s="794">
        <v>0</v>
      </c>
    </row>
    <row r="19" spans="2:74">
      <c r="B19" s="793" t="s">
        <v>2700</v>
      </c>
      <c r="C19" s="793" t="s">
        <v>481</v>
      </c>
      <c r="D19" s="793"/>
      <c r="E19" s="794"/>
      <c r="F19" s="799">
        <f t="shared" si="2"/>
        <v>1</v>
      </c>
      <c r="G19" s="800" t="s">
        <v>833</v>
      </c>
      <c r="H19" s="800" t="s">
        <v>3353</v>
      </c>
      <c r="I19" s="800">
        <v>36454.9</v>
      </c>
      <c r="J19" s="799" t="str">
        <f t="shared" si="3"/>
        <v>Genova Metropolitana</v>
      </c>
      <c r="K19" s="799" t="str">
        <f t="shared" si="1"/>
        <v>Metro Genova S.c.a.r.l.</v>
      </c>
      <c r="L19" s="799">
        <f t="shared" si="0"/>
        <v>331</v>
      </c>
      <c r="M19" s="799"/>
      <c r="N19" s="595"/>
      <c r="O19" s="794">
        <v>0</v>
      </c>
      <c r="P19" s="809">
        <v>144337.88</v>
      </c>
      <c r="Q19" s="794">
        <v>59936.36</v>
      </c>
      <c r="R19" s="794">
        <v>0</v>
      </c>
      <c r="S19" s="794">
        <v>0</v>
      </c>
      <c r="T19" s="794">
        <v>0</v>
      </c>
      <c r="U19" s="794">
        <v>0</v>
      </c>
      <c r="V19" s="794">
        <v>0</v>
      </c>
      <c r="W19" s="794">
        <v>0</v>
      </c>
      <c r="X19" s="794">
        <v>0</v>
      </c>
      <c r="Y19" s="794">
        <v>0</v>
      </c>
      <c r="Z19" s="794">
        <v>0</v>
      </c>
      <c r="AA19" s="794">
        <v>0</v>
      </c>
      <c r="AB19" s="794">
        <v>0</v>
      </c>
      <c r="AC19" s="794">
        <v>0</v>
      </c>
      <c r="AD19" s="794">
        <v>0</v>
      </c>
      <c r="AE19" s="794">
        <v>0</v>
      </c>
      <c r="AF19" s="794">
        <v>0</v>
      </c>
      <c r="AG19" s="794">
        <v>0</v>
      </c>
      <c r="AH19" s="794">
        <v>0</v>
      </c>
      <c r="AI19" s="794">
        <v>0</v>
      </c>
      <c r="AJ19" s="794">
        <v>0</v>
      </c>
      <c r="AK19" s="794">
        <v>0</v>
      </c>
      <c r="AL19" s="794">
        <v>0</v>
      </c>
      <c r="AM19" s="794">
        <v>0</v>
      </c>
      <c r="AN19" s="794">
        <v>0</v>
      </c>
      <c r="AO19" s="794">
        <v>0</v>
      </c>
      <c r="AP19" s="794">
        <v>0</v>
      </c>
      <c r="AQ19" s="794">
        <v>0</v>
      </c>
      <c r="AR19" s="794">
        <v>0</v>
      </c>
      <c r="AS19" s="794">
        <v>0</v>
      </c>
      <c r="AT19" s="794">
        <v>0</v>
      </c>
      <c r="AU19" s="794">
        <v>0</v>
      </c>
      <c r="AV19" s="794">
        <v>0</v>
      </c>
      <c r="AW19" s="794">
        <v>0</v>
      </c>
      <c r="AX19" s="794">
        <v>0</v>
      </c>
      <c r="AY19" s="794">
        <v>0</v>
      </c>
      <c r="AZ19" s="794">
        <v>0</v>
      </c>
      <c r="BA19" s="794">
        <v>0</v>
      </c>
      <c r="BB19" s="794">
        <v>0</v>
      </c>
      <c r="BC19" s="794">
        <v>0</v>
      </c>
      <c r="BD19" s="794">
        <v>0</v>
      </c>
      <c r="BE19" s="794">
        <v>0</v>
      </c>
      <c r="BF19" s="794">
        <v>0</v>
      </c>
      <c r="BG19" s="794">
        <v>0</v>
      </c>
      <c r="BH19" s="794">
        <v>0</v>
      </c>
      <c r="BI19" s="794">
        <v>0</v>
      </c>
      <c r="BJ19" s="794">
        <v>0</v>
      </c>
      <c r="BK19" s="794">
        <v>0</v>
      </c>
      <c r="BL19" s="794">
        <v>0</v>
      </c>
      <c r="BM19" s="794">
        <v>0</v>
      </c>
      <c r="BN19" s="794">
        <v>0</v>
      </c>
      <c r="BO19" s="794">
        <v>0</v>
      </c>
      <c r="BP19" s="794">
        <v>0</v>
      </c>
      <c r="BQ19" s="794">
        <v>0</v>
      </c>
      <c r="BR19" s="794">
        <v>0</v>
      </c>
      <c r="BS19" s="794">
        <v>0</v>
      </c>
      <c r="BT19" s="794">
        <v>0</v>
      </c>
      <c r="BU19" s="794">
        <v>0</v>
      </c>
      <c r="BV19" s="794">
        <v>0</v>
      </c>
    </row>
    <row r="20" spans="2:74">
      <c r="B20" s="793" t="s">
        <v>2701</v>
      </c>
      <c r="C20" s="793" t="s">
        <v>2702</v>
      </c>
      <c r="D20" s="793" t="s">
        <v>2703</v>
      </c>
      <c r="E20" s="794"/>
      <c r="F20" s="799">
        <f t="shared" si="2"/>
        <v>1</v>
      </c>
      <c r="G20" s="800" t="s">
        <v>806</v>
      </c>
      <c r="H20" s="800" t="s">
        <v>619</v>
      </c>
      <c r="I20" s="800">
        <v>26553</v>
      </c>
      <c r="J20" s="799" t="str">
        <f t="shared" si="3"/>
        <v>Sanremo (IM)</v>
      </c>
      <c r="K20" s="799" t="str">
        <f t="shared" si="1"/>
        <v>Contract S.r.l.</v>
      </c>
      <c r="L20" s="799">
        <f t="shared" si="0"/>
        <v>331</v>
      </c>
      <c r="M20" s="799"/>
      <c r="N20" s="595"/>
      <c r="O20" s="794">
        <v>0</v>
      </c>
      <c r="P20" s="794">
        <v>0</v>
      </c>
      <c r="Q20" s="794">
        <v>0</v>
      </c>
      <c r="R20" s="794">
        <v>0</v>
      </c>
      <c r="S20" s="794">
        <v>0</v>
      </c>
      <c r="T20" s="794">
        <v>0</v>
      </c>
      <c r="U20" s="794">
        <v>0</v>
      </c>
      <c r="V20" s="794">
        <v>0</v>
      </c>
      <c r="W20" s="794">
        <v>0</v>
      </c>
      <c r="X20" s="794">
        <v>0</v>
      </c>
      <c r="Y20" s="794">
        <v>0</v>
      </c>
      <c r="Z20" s="794">
        <v>0</v>
      </c>
      <c r="AA20" s="794">
        <v>0</v>
      </c>
      <c r="AB20" s="794">
        <v>0</v>
      </c>
      <c r="AC20" s="794">
        <v>0</v>
      </c>
      <c r="AD20" s="794">
        <v>0</v>
      </c>
      <c r="AE20" s="794">
        <v>0</v>
      </c>
      <c r="AF20" s="794">
        <v>0</v>
      </c>
      <c r="AG20" s="794">
        <v>0</v>
      </c>
      <c r="AH20" s="794">
        <v>0</v>
      </c>
      <c r="AI20" s="794">
        <v>0</v>
      </c>
      <c r="AJ20" s="794">
        <v>0</v>
      </c>
      <c r="AK20" s="794">
        <v>0</v>
      </c>
      <c r="AL20" s="794">
        <v>0</v>
      </c>
      <c r="AM20" s="794">
        <v>0</v>
      </c>
      <c r="AN20" s="794">
        <v>0</v>
      </c>
      <c r="AO20" s="794">
        <v>0</v>
      </c>
      <c r="AP20" s="794">
        <v>0</v>
      </c>
      <c r="AQ20" s="794">
        <v>0</v>
      </c>
      <c r="AR20" s="794">
        <v>0</v>
      </c>
      <c r="AS20" s="794">
        <v>0</v>
      </c>
      <c r="AT20" s="794">
        <v>0</v>
      </c>
      <c r="AU20" s="794">
        <v>0</v>
      </c>
      <c r="AV20" s="794">
        <v>0</v>
      </c>
      <c r="AW20" s="794">
        <v>0</v>
      </c>
      <c r="AX20" s="794">
        <v>0</v>
      </c>
      <c r="AY20" s="794">
        <v>0</v>
      </c>
      <c r="AZ20" s="794">
        <v>0</v>
      </c>
      <c r="BA20" s="794">
        <v>0</v>
      </c>
      <c r="BB20" s="794">
        <v>0</v>
      </c>
      <c r="BC20" s="794">
        <v>0</v>
      </c>
      <c r="BD20" s="794">
        <v>0</v>
      </c>
      <c r="BE20" s="794">
        <v>0</v>
      </c>
      <c r="BF20" s="794">
        <v>0</v>
      </c>
      <c r="BG20" s="794">
        <v>0</v>
      </c>
      <c r="BH20" s="794">
        <v>0</v>
      </c>
      <c r="BI20" s="794">
        <v>0</v>
      </c>
      <c r="BJ20" s="794">
        <v>0</v>
      </c>
      <c r="BK20" s="794">
        <v>0</v>
      </c>
      <c r="BL20" s="794">
        <v>0</v>
      </c>
      <c r="BM20" s="794">
        <v>0</v>
      </c>
      <c r="BN20" s="794">
        <v>0</v>
      </c>
      <c r="BO20" s="794">
        <v>0</v>
      </c>
      <c r="BP20" s="794">
        <v>0</v>
      </c>
      <c r="BQ20" s="794">
        <v>0</v>
      </c>
      <c r="BR20" s="794">
        <v>0</v>
      </c>
      <c r="BS20" s="794">
        <v>0</v>
      </c>
      <c r="BT20" s="794">
        <v>0</v>
      </c>
      <c r="BU20" s="794">
        <v>0</v>
      </c>
      <c r="BV20" s="794">
        <v>0</v>
      </c>
    </row>
    <row r="21" spans="2:74">
      <c r="B21" s="793" t="s">
        <v>2704</v>
      </c>
      <c r="C21" s="793" t="s">
        <v>2705</v>
      </c>
      <c r="D21" s="793">
        <v>4</v>
      </c>
      <c r="E21" s="794">
        <v>206377.05</v>
      </c>
      <c r="F21" s="799">
        <f t="shared" si="2"/>
        <v>1</v>
      </c>
      <c r="G21" s="800" t="s">
        <v>777</v>
      </c>
      <c r="H21" s="800" t="s">
        <v>3329</v>
      </c>
      <c r="I21" s="800">
        <v>70000</v>
      </c>
      <c r="J21" s="799" t="str">
        <f t="shared" si="3"/>
        <v>Casalpusterlengo (LO)</v>
      </c>
      <c r="K21" s="799" t="str">
        <f t="shared" si="1"/>
        <v>Aleandri S.p.A.</v>
      </c>
      <c r="L21" s="799">
        <f t="shared" si="0"/>
        <v>331</v>
      </c>
      <c r="M21" s="799"/>
      <c r="N21" s="595"/>
      <c r="O21" s="794">
        <v>0</v>
      </c>
      <c r="P21" s="809">
        <v>58635</v>
      </c>
      <c r="Q21" s="794">
        <v>0</v>
      </c>
      <c r="R21" s="794">
        <v>0</v>
      </c>
      <c r="S21" s="794">
        <v>0</v>
      </c>
      <c r="T21" s="794">
        <v>0</v>
      </c>
      <c r="U21" s="794">
        <v>0</v>
      </c>
      <c r="V21" s="794">
        <v>0</v>
      </c>
      <c r="W21" s="794">
        <v>0</v>
      </c>
      <c r="X21" s="794">
        <v>0</v>
      </c>
      <c r="Y21" s="794">
        <v>0</v>
      </c>
      <c r="Z21" s="794">
        <v>0</v>
      </c>
      <c r="AA21" s="794">
        <v>0</v>
      </c>
      <c r="AB21" s="794">
        <v>0</v>
      </c>
      <c r="AC21" s="794">
        <v>0</v>
      </c>
      <c r="AD21" s="794">
        <v>0</v>
      </c>
      <c r="AE21" s="794">
        <v>0</v>
      </c>
      <c r="AF21" s="794">
        <v>0</v>
      </c>
      <c r="AG21" s="794">
        <v>0</v>
      </c>
      <c r="AH21" s="794">
        <v>0</v>
      </c>
      <c r="AI21" s="794">
        <v>0</v>
      </c>
      <c r="AJ21" s="794">
        <v>0</v>
      </c>
      <c r="AK21" s="794">
        <v>0</v>
      </c>
      <c r="AL21" s="794">
        <v>0</v>
      </c>
      <c r="AM21" s="794">
        <v>0</v>
      </c>
      <c r="AN21" s="794">
        <v>0</v>
      </c>
      <c r="AO21" s="794">
        <v>0</v>
      </c>
      <c r="AP21" s="794">
        <v>0</v>
      </c>
      <c r="AQ21" s="794">
        <v>0</v>
      </c>
      <c r="AR21" s="794">
        <v>0</v>
      </c>
      <c r="AS21" s="794">
        <v>0</v>
      </c>
      <c r="AT21" s="794">
        <v>0</v>
      </c>
      <c r="AU21" s="794">
        <v>0</v>
      </c>
      <c r="AV21" s="794">
        <v>0</v>
      </c>
      <c r="AW21" s="794">
        <v>0</v>
      </c>
      <c r="AX21" s="794">
        <v>0</v>
      </c>
      <c r="AY21" s="794">
        <v>0</v>
      </c>
      <c r="AZ21" s="794">
        <v>0</v>
      </c>
      <c r="BA21" s="794">
        <v>0</v>
      </c>
      <c r="BB21" s="794">
        <v>0</v>
      </c>
      <c r="BC21" s="794">
        <v>0</v>
      </c>
      <c r="BD21" s="794">
        <v>0</v>
      </c>
      <c r="BE21" s="794">
        <v>0</v>
      </c>
      <c r="BF21" s="794">
        <v>0</v>
      </c>
      <c r="BG21" s="794">
        <v>0</v>
      </c>
      <c r="BH21" s="794">
        <v>0</v>
      </c>
      <c r="BI21" s="794">
        <v>0</v>
      </c>
      <c r="BJ21" s="794">
        <v>0</v>
      </c>
      <c r="BK21" s="794">
        <v>0</v>
      </c>
      <c r="BL21" s="794">
        <v>0</v>
      </c>
      <c r="BM21" s="794">
        <v>0</v>
      </c>
      <c r="BN21" s="794">
        <v>0</v>
      </c>
      <c r="BO21" s="794">
        <v>0</v>
      </c>
      <c r="BP21" s="794">
        <v>0</v>
      </c>
      <c r="BQ21" s="794">
        <v>0</v>
      </c>
      <c r="BR21" s="794">
        <v>0</v>
      </c>
      <c r="BS21" s="794">
        <v>0</v>
      </c>
      <c r="BT21" s="794">
        <v>0</v>
      </c>
      <c r="BU21" s="794">
        <v>0</v>
      </c>
      <c r="BV21" s="794">
        <v>0</v>
      </c>
    </row>
    <row r="22" spans="2:74">
      <c r="B22" s="793" t="s">
        <v>2706</v>
      </c>
      <c r="C22" s="793" t="s">
        <v>2707</v>
      </c>
      <c r="D22" s="793">
        <v>2</v>
      </c>
      <c r="E22" s="794"/>
      <c r="F22" s="799">
        <f t="shared" si="2"/>
        <v>1</v>
      </c>
      <c r="G22" s="800" t="s">
        <v>843</v>
      </c>
      <c r="H22" s="800" t="s">
        <v>3300</v>
      </c>
      <c r="I22" s="800">
        <v>51323.32</v>
      </c>
      <c r="J22" s="799" t="str">
        <f t="shared" si="3"/>
        <v>A4 Valtrompia</v>
      </c>
      <c r="K22" s="799" t="str">
        <f t="shared" si="1"/>
        <v>Salc-ICS</v>
      </c>
      <c r="L22" s="799">
        <f t="shared" si="0"/>
        <v>331</v>
      </c>
      <c r="M22" s="799"/>
      <c r="N22" s="595"/>
      <c r="O22" s="794">
        <v>0</v>
      </c>
      <c r="P22" s="809">
        <v>28000</v>
      </c>
      <c r="Q22" s="794">
        <v>0</v>
      </c>
      <c r="R22" s="794">
        <v>0</v>
      </c>
      <c r="S22" s="794">
        <v>0</v>
      </c>
      <c r="T22" s="794">
        <v>0</v>
      </c>
      <c r="U22" s="794">
        <v>0</v>
      </c>
      <c r="V22" s="794">
        <v>0</v>
      </c>
      <c r="W22" s="794">
        <v>0</v>
      </c>
      <c r="X22" s="794">
        <v>0</v>
      </c>
      <c r="Y22" s="794">
        <v>0</v>
      </c>
      <c r="Z22" s="794">
        <v>0</v>
      </c>
      <c r="AA22" s="794">
        <v>0</v>
      </c>
      <c r="AB22" s="794">
        <v>0</v>
      </c>
      <c r="AC22" s="794">
        <v>0</v>
      </c>
      <c r="AD22" s="794">
        <v>0</v>
      </c>
      <c r="AE22" s="794">
        <v>0</v>
      </c>
      <c r="AF22" s="794">
        <v>0</v>
      </c>
      <c r="AG22" s="794">
        <v>0</v>
      </c>
      <c r="AH22" s="794">
        <v>0</v>
      </c>
      <c r="AI22" s="794">
        <v>0</v>
      </c>
      <c r="AJ22" s="794">
        <v>0</v>
      </c>
      <c r="AK22" s="794">
        <v>0</v>
      </c>
      <c r="AL22" s="794">
        <v>0</v>
      </c>
      <c r="AM22" s="794">
        <v>0</v>
      </c>
      <c r="AN22" s="794">
        <v>0</v>
      </c>
      <c r="AO22" s="794">
        <v>0</v>
      </c>
      <c r="AP22" s="794">
        <v>0</v>
      </c>
      <c r="AQ22" s="794">
        <v>0</v>
      </c>
      <c r="AR22" s="794">
        <v>0</v>
      </c>
      <c r="AS22" s="794">
        <v>0</v>
      </c>
      <c r="AT22" s="794">
        <v>0</v>
      </c>
      <c r="AU22" s="794">
        <v>0</v>
      </c>
      <c r="AV22" s="794">
        <v>0</v>
      </c>
      <c r="AW22" s="794">
        <v>0</v>
      </c>
      <c r="AX22" s="794">
        <v>0</v>
      </c>
      <c r="AY22" s="794">
        <v>0</v>
      </c>
      <c r="AZ22" s="794">
        <v>0</v>
      </c>
      <c r="BA22" s="794">
        <v>0</v>
      </c>
      <c r="BB22" s="794">
        <v>0</v>
      </c>
      <c r="BC22" s="794">
        <v>0</v>
      </c>
      <c r="BD22" s="794">
        <v>0</v>
      </c>
      <c r="BE22" s="794">
        <v>0</v>
      </c>
      <c r="BF22" s="794">
        <v>0</v>
      </c>
      <c r="BG22" s="794">
        <v>0</v>
      </c>
      <c r="BH22" s="794">
        <v>0</v>
      </c>
      <c r="BI22" s="794">
        <v>0</v>
      </c>
      <c r="BJ22" s="794">
        <v>0</v>
      </c>
      <c r="BK22" s="794">
        <v>0</v>
      </c>
      <c r="BL22" s="794">
        <v>0</v>
      </c>
      <c r="BM22" s="794">
        <v>0</v>
      </c>
      <c r="BN22" s="794">
        <v>0</v>
      </c>
      <c r="BO22" s="794">
        <v>0</v>
      </c>
      <c r="BP22" s="794">
        <v>0</v>
      </c>
      <c r="BQ22" s="794">
        <v>0</v>
      </c>
      <c r="BR22" s="794">
        <v>0</v>
      </c>
      <c r="BS22" s="794">
        <v>0</v>
      </c>
      <c r="BT22" s="794">
        <v>0</v>
      </c>
      <c r="BU22" s="794">
        <v>0</v>
      </c>
      <c r="BV22" s="794">
        <v>0</v>
      </c>
    </row>
    <row r="23" spans="2:74">
      <c r="B23" s="793" t="s">
        <v>2708</v>
      </c>
      <c r="C23" s="793" t="s">
        <v>2709</v>
      </c>
      <c r="D23" s="793">
        <v>2</v>
      </c>
      <c r="E23" s="794"/>
      <c r="F23" s="799">
        <f t="shared" si="2"/>
        <v>1</v>
      </c>
      <c r="G23" s="800" t="s">
        <v>517</v>
      </c>
      <c r="H23" s="800" t="s">
        <v>3319</v>
      </c>
      <c r="I23" s="800">
        <v>1600</v>
      </c>
      <c r="J23" s="799" t="str">
        <f t="shared" si="3"/>
        <v>Torino Politecnico</v>
      </c>
      <c r="K23" s="799" t="str">
        <f t="shared" si="1"/>
        <v>La Cittadella S.c.a.r.l.</v>
      </c>
      <c r="L23" s="799">
        <f t="shared" si="0"/>
        <v>331</v>
      </c>
      <c r="M23" s="799"/>
      <c r="N23" s="595"/>
      <c r="O23" s="794">
        <v>0</v>
      </c>
      <c r="P23" s="794">
        <v>0</v>
      </c>
      <c r="Q23" s="794">
        <v>0</v>
      </c>
      <c r="R23" s="794">
        <v>0</v>
      </c>
      <c r="S23" s="794">
        <v>0</v>
      </c>
      <c r="T23" s="794">
        <v>0</v>
      </c>
      <c r="U23" s="794">
        <v>0</v>
      </c>
      <c r="V23" s="794">
        <v>0</v>
      </c>
      <c r="W23" s="794">
        <v>0</v>
      </c>
      <c r="X23" s="794">
        <v>0</v>
      </c>
      <c r="Y23" s="794">
        <v>0</v>
      </c>
      <c r="Z23" s="794">
        <v>0</v>
      </c>
      <c r="AA23" s="794">
        <v>0</v>
      </c>
      <c r="AB23" s="794">
        <v>0</v>
      </c>
      <c r="AC23" s="794">
        <v>0</v>
      </c>
      <c r="AD23" s="794">
        <v>0</v>
      </c>
      <c r="AE23" s="794">
        <v>0</v>
      </c>
      <c r="AF23" s="794">
        <v>0</v>
      </c>
      <c r="AG23" s="794">
        <v>0</v>
      </c>
      <c r="AH23" s="794">
        <v>0</v>
      </c>
      <c r="AI23" s="794">
        <v>0</v>
      </c>
      <c r="AJ23" s="794">
        <v>0</v>
      </c>
      <c r="AK23" s="794">
        <v>0</v>
      </c>
      <c r="AL23" s="794">
        <v>0</v>
      </c>
      <c r="AM23" s="794">
        <v>0</v>
      </c>
      <c r="AN23" s="794">
        <v>0</v>
      </c>
      <c r="AO23" s="794">
        <v>0</v>
      </c>
      <c r="AP23" s="794">
        <v>0</v>
      </c>
      <c r="AQ23" s="794">
        <v>0</v>
      </c>
      <c r="AR23" s="794">
        <v>0</v>
      </c>
      <c r="AS23" s="794">
        <v>0</v>
      </c>
      <c r="AT23" s="794">
        <v>0</v>
      </c>
      <c r="AU23" s="794">
        <v>0</v>
      </c>
      <c r="AV23" s="794">
        <v>0</v>
      </c>
      <c r="AW23" s="794">
        <v>0</v>
      </c>
      <c r="AX23" s="794">
        <v>0</v>
      </c>
      <c r="AY23" s="794">
        <v>0</v>
      </c>
      <c r="AZ23" s="794">
        <v>0</v>
      </c>
      <c r="BA23" s="794">
        <v>0</v>
      </c>
      <c r="BB23" s="794">
        <v>0</v>
      </c>
      <c r="BC23" s="794">
        <v>0</v>
      </c>
      <c r="BD23" s="794">
        <v>0</v>
      </c>
      <c r="BE23" s="794">
        <v>0</v>
      </c>
      <c r="BF23" s="794">
        <v>0</v>
      </c>
      <c r="BG23" s="794">
        <v>0</v>
      </c>
      <c r="BH23" s="794">
        <v>0</v>
      </c>
      <c r="BI23" s="794">
        <v>0</v>
      </c>
      <c r="BJ23" s="794">
        <v>0</v>
      </c>
      <c r="BK23" s="794">
        <v>0</v>
      </c>
      <c r="BL23" s="794">
        <v>0</v>
      </c>
      <c r="BM23" s="794">
        <v>0</v>
      </c>
      <c r="BN23" s="794">
        <v>0</v>
      </c>
      <c r="BO23" s="794">
        <v>0</v>
      </c>
      <c r="BP23" s="794">
        <v>0</v>
      </c>
      <c r="BQ23" s="794">
        <v>0</v>
      </c>
      <c r="BR23" s="794">
        <v>0</v>
      </c>
      <c r="BS23" s="794">
        <v>0</v>
      </c>
      <c r="BT23" s="794">
        <v>0</v>
      </c>
      <c r="BU23" s="794">
        <v>0</v>
      </c>
      <c r="BV23" s="794">
        <v>0</v>
      </c>
    </row>
    <row r="24" spans="2:74">
      <c r="B24" s="793" t="s">
        <v>2710</v>
      </c>
      <c r="C24" s="793" t="s">
        <v>2711</v>
      </c>
      <c r="D24" s="793">
        <v>2</v>
      </c>
      <c r="E24" s="794"/>
      <c r="F24" s="799">
        <f t="shared" si="2"/>
        <v>1</v>
      </c>
      <c r="G24" s="800" t="s">
        <v>3365</v>
      </c>
      <c r="H24" s="800" t="s">
        <v>3366</v>
      </c>
      <c r="I24" s="800">
        <v>318900.34000000003</v>
      </c>
      <c r="J24" s="799" t="str">
        <f t="shared" si="3"/>
        <v xml:space="preserve">San Bonifacio (VR) </v>
      </c>
      <c r="K24" s="799" t="str">
        <f t="shared" si="1"/>
        <v>Iricav Due</v>
      </c>
      <c r="L24" s="799">
        <f t="shared" si="0"/>
        <v>331</v>
      </c>
      <c r="M24" s="799"/>
      <c r="N24" s="595"/>
      <c r="O24" s="794">
        <v>0</v>
      </c>
      <c r="P24" s="809">
        <v>11488</v>
      </c>
      <c r="Q24" s="794">
        <v>4014</v>
      </c>
      <c r="R24" s="794">
        <v>0</v>
      </c>
      <c r="S24" s="794">
        <v>0</v>
      </c>
      <c r="T24" s="794">
        <v>0</v>
      </c>
      <c r="U24" s="794">
        <v>0</v>
      </c>
      <c r="V24" s="794">
        <v>0</v>
      </c>
      <c r="W24" s="794">
        <v>0</v>
      </c>
      <c r="X24" s="794">
        <v>0</v>
      </c>
      <c r="Y24" s="794">
        <v>0</v>
      </c>
      <c r="Z24" s="794">
        <v>0</v>
      </c>
      <c r="AA24" s="794">
        <v>0</v>
      </c>
      <c r="AB24" s="794">
        <v>0</v>
      </c>
      <c r="AC24" s="794">
        <v>0</v>
      </c>
      <c r="AD24" s="794">
        <v>0</v>
      </c>
      <c r="AE24" s="794">
        <v>0</v>
      </c>
      <c r="AF24" s="794">
        <v>0</v>
      </c>
      <c r="AG24" s="794">
        <v>0</v>
      </c>
      <c r="AH24" s="794">
        <v>0</v>
      </c>
      <c r="AI24" s="794">
        <v>0</v>
      </c>
      <c r="AJ24" s="794">
        <v>0</v>
      </c>
      <c r="AK24" s="794">
        <v>0</v>
      </c>
      <c r="AL24" s="794">
        <v>0</v>
      </c>
      <c r="AM24" s="794">
        <v>0</v>
      </c>
      <c r="AN24" s="794">
        <v>0</v>
      </c>
      <c r="AO24" s="794">
        <v>0</v>
      </c>
      <c r="AP24" s="794">
        <v>0</v>
      </c>
      <c r="AQ24" s="794">
        <v>0</v>
      </c>
      <c r="AR24" s="794">
        <v>0</v>
      </c>
      <c r="AS24" s="794">
        <v>0</v>
      </c>
      <c r="AT24" s="794">
        <v>0</v>
      </c>
      <c r="AU24" s="794">
        <v>0</v>
      </c>
      <c r="AV24" s="794">
        <v>0</v>
      </c>
      <c r="AW24" s="794">
        <v>0</v>
      </c>
      <c r="AX24" s="794">
        <v>0</v>
      </c>
      <c r="AY24" s="794">
        <v>0</v>
      </c>
      <c r="AZ24" s="794">
        <v>0</v>
      </c>
      <c r="BA24" s="794">
        <v>0</v>
      </c>
      <c r="BB24" s="794">
        <v>0</v>
      </c>
      <c r="BC24" s="794">
        <v>0</v>
      </c>
      <c r="BD24" s="794">
        <v>0</v>
      </c>
      <c r="BE24" s="794">
        <v>0</v>
      </c>
      <c r="BF24" s="794">
        <v>0</v>
      </c>
      <c r="BG24" s="794">
        <v>0</v>
      </c>
      <c r="BH24" s="794">
        <v>0</v>
      </c>
      <c r="BI24" s="794">
        <v>0</v>
      </c>
      <c r="BJ24" s="794">
        <v>0</v>
      </c>
      <c r="BK24" s="794">
        <v>0</v>
      </c>
      <c r="BL24" s="794">
        <v>0</v>
      </c>
      <c r="BM24" s="794">
        <v>0</v>
      </c>
      <c r="BN24" s="794">
        <v>0</v>
      </c>
      <c r="BO24" s="794">
        <v>0</v>
      </c>
      <c r="BP24" s="794">
        <v>0</v>
      </c>
      <c r="BQ24" s="794">
        <v>0</v>
      </c>
      <c r="BR24" s="794">
        <v>0</v>
      </c>
      <c r="BS24" s="794">
        <v>0</v>
      </c>
      <c r="BT24" s="794">
        <v>0</v>
      </c>
      <c r="BU24" s="794">
        <v>0</v>
      </c>
      <c r="BV24" s="794">
        <v>0</v>
      </c>
    </row>
    <row r="25" spans="2:74">
      <c r="B25" s="793" t="s">
        <v>2712</v>
      </c>
      <c r="C25" s="793" t="s">
        <v>584</v>
      </c>
      <c r="D25" s="793">
        <v>8</v>
      </c>
      <c r="E25" s="794"/>
      <c r="F25" s="799">
        <f t="shared" si="2"/>
        <v>1</v>
      </c>
      <c r="G25" s="800" t="s">
        <v>846</v>
      </c>
      <c r="H25" s="800" t="s">
        <v>3351</v>
      </c>
      <c r="I25" s="800">
        <v>145499.9</v>
      </c>
      <c r="J25" s="799" t="str">
        <f t="shared" si="3"/>
        <v>IRICAV DUE Bando1 Verona Est</v>
      </c>
      <c r="K25" s="799" t="str">
        <f t="shared" si="1"/>
        <v>Salcef-Iricav</v>
      </c>
      <c r="L25" s="799">
        <f t="shared" si="0"/>
        <v>331</v>
      </c>
      <c r="M25" s="799"/>
      <c r="N25" s="595"/>
      <c r="O25" s="794">
        <v>0</v>
      </c>
      <c r="P25" s="794">
        <v>0</v>
      </c>
      <c r="Q25" s="794">
        <v>0</v>
      </c>
      <c r="R25" s="794">
        <v>0</v>
      </c>
      <c r="S25" s="794">
        <v>0</v>
      </c>
      <c r="T25" s="794">
        <v>0</v>
      </c>
      <c r="U25" s="794">
        <v>0</v>
      </c>
      <c r="V25" s="794">
        <v>0</v>
      </c>
      <c r="W25" s="794">
        <v>0</v>
      </c>
      <c r="X25" s="794">
        <v>0</v>
      </c>
      <c r="Y25" s="794">
        <v>0</v>
      </c>
      <c r="Z25" s="794">
        <v>0</v>
      </c>
      <c r="AA25" s="794">
        <v>0</v>
      </c>
      <c r="AB25" s="794">
        <v>0</v>
      </c>
      <c r="AC25" s="794">
        <v>0</v>
      </c>
      <c r="AD25" s="794">
        <v>0</v>
      </c>
      <c r="AE25" s="794">
        <v>0</v>
      </c>
      <c r="AF25" s="794">
        <v>0</v>
      </c>
      <c r="AG25" s="794">
        <v>0</v>
      </c>
      <c r="AH25" s="794">
        <v>0</v>
      </c>
      <c r="AI25" s="794">
        <v>0</v>
      </c>
      <c r="AJ25" s="794">
        <v>0</v>
      </c>
      <c r="AK25" s="794">
        <v>0</v>
      </c>
      <c r="AL25" s="794">
        <v>0</v>
      </c>
      <c r="AM25" s="794">
        <v>0</v>
      </c>
      <c r="AN25" s="794">
        <v>0</v>
      </c>
      <c r="AO25" s="794">
        <v>0</v>
      </c>
      <c r="AP25" s="794">
        <v>0</v>
      </c>
      <c r="AQ25" s="794">
        <v>0</v>
      </c>
      <c r="AR25" s="794">
        <v>0</v>
      </c>
      <c r="AS25" s="794">
        <v>0</v>
      </c>
      <c r="AT25" s="794">
        <v>0</v>
      </c>
      <c r="AU25" s="794">
        <v>0</v>
      </c>
      <c r="AV25" s="794">
        <v>0</v>
      </c>
      <c r="AW25" s="794">
        <v>0</v>
      </c>
      <c r="AX25" s="794">
        <v>0</v>
      </c>
      <c r="AY25" s="794">
        <v>0</v>
      </c>
      <c r="AZ25" s="794">
        <v>0</v>
      </c>
      <c r="BA25" s="794">
        <v>0</v>
      </c>
      <c r="BB25" s="794">
        <v>0</v>
      </c>
      <c r="BC25" s="794">
        <v>0</v>
      </c>
      <c r="BD25" s="794">
        <v>0</v>
      </c>
      <c r="BE25" s="794">
        <v>0</v>
      </c>
      <c r="BF25" s="794">
        <v>0</v>
      </c>
      <c r="BG25" s="794">
        <v>0</v>
      </c>
      <c r="BH25" s="794">
        <v>0</v>
      </c>
      <c r="BI25" s="794">
        <v>0</v>
      </c>
      <c r="BJ25" s="794">
        <v>0</v>
      </c>
      <c r="BK25" s="794">
        <v>0</v>
      </c>
      <c r="BL25" s="794">
        <v>0</v>
      </c>
      <c r="BM25" s="794">
        <v>0</v>
      </c>
      <c r="BN25" s="794">
        <v>0</v>
      </c>
      <c r="BO25" s="794">
        <v>0</v>
      </c>
      <c r="BP25" s="794">
        <v>0</v>
      </c>
      <c r="BQ25" s="794">
        <v>0</v>
      </c>
      <c r="BR25" s="794">
        <v>0</v>
      </c>
      <c r="BS25" s="794">
        <v>0</v>
      </c>
      <c r="BT25" s="794">
        <v>0</v>
      </c>
      <c r="BU25" s="794">
        <v>0</v>
      </c>
      <c r="BV25" s="794">
        <v>0</v>
      </c>
    </row>
    <row r="26" spans="2:74">
      <c r="B26" s="793" t="s">
        <v>2713</v>
      </c>
      <c r="C26" s="793" t="s">
        <v>2714</v>
      </c>
      <c r="D26" s="793" t="s">
        <v>2703</v>
      </c>
      <c r="E26" s="794"/>
      <c r="F26" s="799">
        <f t="shared" si="2"/>
        <v>1</v>
      </c>
      <c r="G26" s="800" t="s">
        <v>796</v>
      </c>
      <c r="H26" s="800" t="s">
        <v>3101</v>
      </c>
      <c r="I26" s="800">
        <v>122020.21</v>
      </c>
      <c r="J26" s="799" t="str">
        <f t="shared" si="3"/>
        <v>AV/AC - CEPAV DUE (BS-VR) - ctr. 0800143</v>
      </c>
      <c r="K26" s="799" t="str">
        <f t="shared" si="1"/>
        <v>Cepav Due - RFI S.p.A.</v>
      </c>
      <c r="L26" s="799">
        <f t="shared" si="0"/>
        <v>331</v>
      </c>
      <c r="M26" s="799"/>
      <c r="N26" s="595"/>
      <c r="O26" s="794">
        <v>0</v>
      </c>
      <c r="P26" s="794">
        <v>0</v>
      </c>
      <c r="Q26" s="794">
        <v>0</v>
      </c>
      <c r="R26" s="794">
        <v>0</v>
      </c>
      <c r="S26" s="794">
        <v>0</v>
      </c>
      <c r="T26" s="794">
        <v>0</v>
      </c>
      <c r="U26" s="794">
        <v>0</v>
      </c>
      <c r="V26" s="794">
        <v>0</v>
      </c>
      <c r="W26" s="794">
        <v>0</v>
      </c>
      <c r="X26" s="794">
        <v>0</v>
      </c>
      <c r="Y26" s="794">
        <v>0</v>
      </c>
      <c r="Z26" s="794">
        <v>0</v>
      </c>
      <c r="AA26" s="794">
        <v>0</v>
      </c>
      <c r="AB26" s="794">
        <v>0</v>
      </c>
      <c r="AC26" s="794">
        <v>0</v>
      </c>
      <c r="AD26" s="794">
        <v>0</v>
      </c>
      <c r="AE26" s="794">
        <v>0</v>
      </c>
      <c r="AF26" s="794">
        <v>0</v>
      </c>
      <c r="AG26" s="794">
        <v>0</v>
      </c>
      <c r="AH26" s="794">
        <v>0</v>
      </c>
      <c r="AI26" s="794">
        <v>0</v>
      </c>
      <c r="AJ26" s="794">
        <v>0</v>
      </c>
      <c r="AK26" s="794">
        <v>0</v>
      </c>
      <c r="AL26" s="794">
        <v>0</v>
      </c>
      <c r="AM26" s="794">
        <v>0</v>
      </c>
      <c r="AN26" s="794">
        <v>0</v>
      </c>
      <c r="AO26" s="794">
        <v>0</v>
      </c>
      <c r="AP26" s="794">
        <v>0</v>
      </c>
      <c r="AQ26" s="794">
        <v>0</v>
      </c>
      <c r="AR26" s="794">
        <v>0</v>
      </c>
      <c r="AS26" s="794">
        <v>0</v>
      </c>
      <c r="AT26" s="794">
        <v>0</v>
      </c>
      <c r="AU26" s="794">
        <v>0</v>
      </c>
      <c r="AV26" s="794">
        <v>0</v>
      </c>
      <c r="AW26" s="794">
        <v>0</v>
      </c>
      <c r="AX26" s="794">
        <v>0</v>
      </c>
      <c r="AY26" s="794">
        <v>0</v>
      </c>
      <c r="AZ26" s="794">
        <v>0</v>
      </c>
      <c r="BA26" s="794">
        <v>0</v>
      </c>
      <c r="BB26" s="794">
        <v>0</v>
      </c>
      <c r="BC26" s="794">
        <v>0</v>
      </c>
      <c r="BD26" s="794">
        <v>0</v>
      </c>
      <c r="BE26" s="794">
        <v>0</v>
      </c>
      <c r="BF26" s="794">
        <v>0</v>
      </c>
      <c r="BG26" s="794">
        <v>0</v>
      </c>
      <c r="BH26" s="794">
        <v>0</v>
      </c>
      <c r="BI26" s="794">
        <v>0</v>
      </c>
      <c r="BJ26" s="794">
        <v>0</v>
      </c>
      <c r="BK26" s="794">
        <v>0</v>
      </c>
      <c r="BL26" s="794">
        <v>0</v>
      </c>
      <c r="BM26" s="794">
        <v>0</v>
      </c>
      <c r="BN26" s="794">
        <v>0</v>
      </c>
      <c r="BO26" s="794">
        <v>0</v>
      </c>
      <c r="BP26" s="794">
        <v>0</v>
      </c>
      <c r="BQ26" s="794">
        <v>0</v>
      </c>
      <c r="BR26" s="794">
        <v>0</v>
      </c>
      <c r="BS26" s="794">
        <v>0</v>
      </c>
      <c r="BT26" s="794">
        <v>0</v>
      </c>
      <c r="BU26" s="794">
        <v>0</v>
      </c>
      <c r="BV26" s="794">
        <v>0</v>
      </c>
    </row>
    <row r="27" spans="2:74">
      <c r="B27" s="793" t="s">
        <v>2715</v>
      </c>
      <c r="C27" s="793" t="s">
        <v>2679</v>
      </c>
      <c r="D27" s="793" t="s">
        <v>2699</v>
      </c>
      <c r="E27" s="794"/>
      <c r="F27" s="799">
        <f t="shared" si="2"/>
        <v>29</v>
      </c>
      <c r="G27" s="800"/>
      <c r="H27" s="800"/>
      <c r="I27" s="800"/>
      <c r="J27" s="799" t="e">
        <f t="shared" si="3"/>
        <v>#N/A</v>
      </c>
      <c r="K27" s="799" t="e">
        <f t="shared" si="1"/>
        <v>#N/A</v>
      </c>
      <c r="L27" s="799">
        <f t="shared" si="0"/>
        <v>1</v>
      </c>
      <c r="M27" s="799"/>
      <c r="N27" s="595"/>
      <c r="O27" s="794">
        <v>0</v>
      </c>
      <c r="P27" s="794">
        <v>0</v>
      </c>
      <c r="Q27" s="794">
        <v>0</v>
      </c>
      <c r="R27" s="794">
        <v>0</v>
      </c>
      <c r="S27" s="794">
        <v>0</v>
      </c>
      <c r="T27" s="794">
        <v>0</v>
      </c>
      <c r="U27" s="794">
        <v>0</v>
      </c>
      <c r="V27" s="794">
        <v>0</v>
      </c>
      <c r="W27" s="794">
        <v>0</v>
      </c>
      <c r="X27" s="794">
        <v>0</v>
      </c>
      <c r="Y27" s="794">
        <v>0</v>
      </c>
      <c r="Z27" s="794">
        <v>0</v>
      </c>
      <c r="AA27" s="794">
        <v>0</v>
      </c>
      <c r="AB27" s="794">
        <v>271623.23</v>
      </c>
      <c r="AC27" s="794">
        <v>0</v>
      </c>
      <c r="AD27" s="794">
        <v>0</v>
      </c>
      <c r="AE27" s="794">
        <v>0</v>
      </c>
      <c r="AF27" s="794">
        <v>0</v>
      </c>
      <c r="AG27" s="794">
        <v>0</v>
      </c>
      <c r="AH27" s="794">
        <v>0</v>
      </c>
      <c r="AI27" s="794">
        <v>16324.5</v>
      </c>
      <c r="AJ27" s="794">
        <v>112671.2</v>
      </c>
      <c r="AK27" s="794">
        <v>0</v>
      </c>
      <c r="AL27" s="794">
        <v>0</v>
      </c>
      <c r="AM27" s="794">
        <v>0</v>
      </c>
      <c r="AN27" s="794">
        <v>0</v>
      </c>
      <c r="AO27" s="794">
        <v>0</v>
      </c>
      <c r="AP27" s="794">
        <v>0</v>
      </c>
      <c r="AQ27" s="794">
        <v>0</v>
      </c>
      <c r="AR27" s="794">
        <v>21233.5</v>
      </c>
      <c r="AS27" s="794">
        <v>0</v>
      </c>
      <c r="AT27" s="794">
        <v>0</v>
      </c>
      <c r="AU27" s="794">
        <v>0</v>
      </c>
      <c r="AV27" s="794">
        <v>0</v>
      </c>
      <c r="AW27" s="794">
        <v>0</v>
      </c>
      <c r="AX27" s="794">
        <v>0</v>
      </c>
      <c r="AY27" s="794">
        <v>0</v>
      </c>
      <c r="AZ27" s="794">
        <v>0</v>
      </c>
      <c r="BA27" s="794">
        <v>0</v>
      </c>
      <c r="BB27" s="794">
        <v>0</v>
      </c>
      <c r="BC27" s="794">
        <v>0</v>
      </c>
      <c r="BD27" s="794">
        <v>0</v>
      </c>
      <c r="BE27" s="794">
        <v>0</v>
      </c>
      <c r="BF27" s="794">
        <v>0</v>
      </c>
      <c r="BG27" s="794">
        <v>0</v>
      </c>
      <c r="BH27" s="794">
        <v>0</v>
      </c>
      <c r="BI27" s="794">
        <v>0</v>
      </c>
      <c r="BJ27" s="794">
        <v>0</v>
      </c>
      <c r="BK27" s="794">
        <v>0</v>
      </c>
      <c r="BL27" s="794">
        <v>0</v>
      </c>
      <c r="BM27" s="794">
        <v>0</v>
      </c>
      <c r="BN27" s="794">
        <v>0</v>
      </c>
      <c r="BO27" s="794">
        <v>0</v>
      </c>
      <c r="BP27" s="794">
        <v>0</v>
      </c>
      <c r="BQ27" s="794">
        <v>0</v>
      </c>
      <c r="BR27" s="794">
        <v>0</v>
      </c>
      <c r="BS27" s="794">
        <v>0</v>
      </c>
      <c r="BT27" s="794">
        <v>0</v>
      </c>
      <c r="BU27" s="794">
        <v>0</v>
      </c>
      <c r="BV27" s="794">
        <v>0</v>
      </c>
    </row>
    <row r="28" spans="2:74">
      <c r="B28" s="793" t="s">
        <v>2716</v>
      </c>
      <c r="C28" s="793" t="s">
        <v>2717</v>
      </c>
      <c r="D28" s="793">
        <v>1</v>
      </c>
      <c r="E28" s="794">
        <v>25300.18</v>
      </c>
      <c r="F28" s="799">
        <f t="shared" si="2"/>
        <v>1</v>
      </c>
      <c r="G28" s="800" t="s">
        <v>850</v>
      </c>
      <c r="H28" s="800" t="s">
        <v>700</v>
      </c>
      <c r="I28" s="800">
        <v>22000</v>
      </c>
      <c r="J28" s="799" t="str">
        <f t="shared" si="3"/>
        <v>Casale di Mezzani (PR)</v>
      </c>
      <c r="K28" s="799" t="str">
        <f t="shared" si="1"/>
        <v>Stabili S.r.l.</v>
      </c>
      <c r="L28" s="799">
        <f t="shared" si="0"/>
        <v>331</v>
      </c>
      <c r="M28" s="799"/>
      <c r="N28" s="595"/>
      <c r="O28" s="794">
        <v>0</v>
      </c>
      <c r="P28" s="809">
        <v>78193.820000000007</v>
      </c>
      <c r="Q28" s="794">
        <v>0</v>
      </c>
      <c r="R28" s="794">
        <v>24047.79</v>
      </c>
      <c r="S28" s="794">
        <v>100000</v>
      </c>
      <c r="T28" s="794">
        <v>20622.29</v>
      </c>
      <c r="U28" s="794">
        <v>0</v>
      </c>
      <c r="V28" s="794">
        <v>0</v>
      </c>
      <c r="W28" s="794">
        <v>0</v>
      </c>
      <c r="X28" s="794">
        <v>0</v>
      </c>
      <c r="Y28" s="794">
        <v>0</v>
      </c>
      <c r="Z28" s="794">
        <v>0</v>
      </c>
      <c r="AA28" s="794">
        <v>0</v>
      </c>
      <c r="AB28" s="794">
        <v>0</v>
      </c>
      <c r="AC28" s="794">
        <v>0</v>
      </c>
      <c r="AD28" s="794">
        <v>0</v>
      </c>
      <c r="AE28" s="794">
        <v>0</v>
      </c>
      <c r="AF28" s="794">
        <v>0</v>
      </c>
      <c r="AG28" s="794">
        <v>0</v>
      </c>
      <c r="AH28" s="794">
        <v>0</v>
      </c>
      <c r="AI28" s="794">
        <v>0</v>
      </c>
      <c r="AJ28" s="794">
        <v>0</v>
      </c>
      <c r="AK28" s="794">
        <v>0</v>
      </c>
      <c r="AL28" s="794">
        <v>0</v>
      </c>
      <c r="AM28" s="794">
        <v>0</v>
      </c>
      <c r="AN28" s="794">
        <v>0</v>
      </c>
      <c r="AO28" s="794">
        <v>0</v>
      </c>
      <c r="AP28" s="794">
        <v>0</v>
      </c>
      <c r="AQ28" s="794">
        <v>0</v>
      </c>
      <c r="AR28" s="794">
        <v>0</v>
      </c>
      <c r="AS28" s="794">
        <v>0</v>
      </c>
      <c r="AT28" s="794">
        <v>0</v>
      </c>
      <c r="AU28" s="794">
        <v>0</v>
      </c>
      <c r="AV28" s="794">
        <v>0</v>
      </c>
      <c r="AW28" s="794">
        <v>0</v>
      </c>
      <c r="AX28" s="794">
        <v>0</v>
      </c>
      <c r="AY28" s="794">
        <v>0</v>
      </c>
      <c r="AZ28" s="794">
        <v>0</v>
      </c>
      <c r="BA28" s="794">
        <v>0</v>
      </c>
      <c r="BB28" s="794">
        <v>0</v>
      </c>
      <c r="BC28" s="794">
        <v>0</v>
      </c>
      <c r="BD28" s="794">
        <v>0</v>
      </c>
      <c r="BE28" s="794">
        <v>0</v>
      </c>
      <c r="BF28" s="794">
        <v>0</v>
      </c>
      <c r="BG28" s="794">
        <v>0</v>
      </c>
      <c r="BH28" s="794">
        <v>0</v>
      </c>
      <c r="BI28" s="794">
        <v>0</v>
      </c>
      <c r="BJ28" s="794">
        <v>0</v>
      </c>
      <c r="BK28" s="794">
        <v>0</v>
      </c>
      <c r="BL28" s="794">
        <v>0</v>
      </c>
      <c r="BM28" s="794">
        <v>0</v>
      </c>
      <c r="BN28" s="794">
        <v>0</v>
      </c>
      <c r="BO28" s="794">
        <v>0</v>
      </c>
      <c r="BP28" s="794">
        <v>0</v>
      </c>
      <c r="BQ28" s="794">
        <v>0</v>
      </c>
      <c r="BR28" s="794">
        <v>0</v>
      </c>
      <c r="BS28" s="794">
        <v>0</v>
      </c>
      <c r="BT28" s="794">
        <v>0</v>
      </c>
      <c r="BU28" s="794">
        <v>0</v>
      </c>
      <c r="BV28" s="794">
        <v>0</v>
      </c>
    </row>
    <row r="29" spans="2:74">
      <c r="B29" s="793" t="s">
        <v>2718</v>
      </c>
      <c r="C29" s="793" t="s">
        <v>2719</v>
      </c>
      <c r="D29" s="793">
        <v>1</v>
      </c>
      <c r="E29" s="794">
        <v>31660</v>
      </c>
      <c r="F29" s="799">
        <f t="shared" si="2"/>
        <v>1</v>
      </c>
      <c r="G29" s="800" t="s">
        <v>811</v>
      </c>
      <c r="H29" s="800" t="s">
        <v>3377</v>
      </c>
      <c r="I29" s="800">
        <v>91283.46</v>
      </c>
      <c r="J29" s="799" t="str">
        <f t="shared" si="3"/>
        <v>Reggio Emilia</v>
      </c>
      <c r="K29" s="799" t="e">
        <f t="shared" si="1"/>
        <v>#N/A</v>
      </c>
      <c r="L29" s="799">
        <f t="shared" si="0"/>
        <v>331</v>
      </c>
      <c r="M29" s="799"/>
      <c r="N29" s="595"/>
      <c r="O29" s="794">
        <v>0</v>
      </c>
      <c r="P29" s="809">
        <v>18000</v>
      </c>
      <c r="Q29" s="794">
        <v>0</v>
      </c>
      <c r="R29" s="794">
        <v>62800</v>
      </c>
      <c r="S29" s="794">
        <v>0</v>
      </c>
      <c r="T29" s="794">
        <v>0</v>
      </c>
      <c r="U29" s="794">
        <v>0</v>
      </c>
      <c r="V29" s="794">
        <v>0</v>
      </c>
      <c r="W29" s="794">
        <v>0</v>
      </c>
      <c r="X29" s="794">
        <v>17116.400000000001</v>
      </c>
      <c r="Y29" s="794">
        <v>17446.95</v>
      </c>
      <c r="Z29" s="794">
        <v>8510.2199999999993</v>
      </c>
      <c r="AA29" s="794">
        <v>43670.720000000001</v>
      </c>
      <c r="AB29" s="794">
        <v>0</v>
      </c>
      <c r="AC29" s="794">
        <v>41699.94</v>
      </c>
      <c r="AD29" s="794">
        <v>14961.69</v>
      </c>
      <c r="AE29" s="794">
        <v>0</v>
      </c>
      <c r="AF29" s="794">
        <v>0</v>
      </c>
      <c r="AG29" s="794">
        <v>0</v>
      </c>
      <c r="AH29" s="794">
        <v>0</v>
      </c>
      <c r="AI29" s="794">
        <v>0</v>
      </c>
      <c r="AJ29" s="794">
        <v>0</v>
      </c>
      <c r="AK29" s="794">
        <v>0</v>
      </c>
      <c r="AL29" s="794">
        <v>0</v>
      </c>
      <c r="AM29" s="794">
        <v>0</v>
      </c>
      <c r="AN29" s="794">
        <v>0</v>
      </c>
      <c r="AO29" s="794">
        <v>0</v>
      </c>
      <c r="AP29" s="794">
        <v>0</v>
      </c>
      <c r="AQ29" s="794">
        <v>0</v>
      </c>
      <c r="AR29" s="794">
        <v>0</v>
      </c>
      <c r="AS29" s="794">
        <v>0</v>
      </c>
      <c r="AT29" s="794">
        <v>0</v>
      </c>
      <c r="AU29" s="794">
        <v>0</v>
      </c>
      <c r="AV29" s="794">
        <v>0</v>
      </c>
      <c r="AW29" s="794">
        <v>0</v>
      </c>
      <c r="AX29" s="794">
        <v>0</v>
      </c>
      <c r="AY29" s="794">
        <v>0</v>
      </c>
      <c r="AZ29" s="794">
        <v>0</v>
      </c>
      <c r="BA29" s="794">
        <v>0</v>
      </c>
      <c r="BB29" s="794">
        <v>0</v>
      </c>
      <c r="BC29" s="794">
        <v>0</v>
      </c>
      <c r="BD29" s="794">
        <v>0</v>
      </c>
      <c r="BE29" s="794">
        <v>0</v>
      </c>
      <c r="BF29" s="794">
        <v>0</v>
      </c>
      <c r="BG29" s="794">
        <v>0</v>
      </c>
      <c r="BH29" s="794">
        <v>0</v>
      </c>
      <c r="BI29" s="794">
        <v>0</v>
      </c>
      <c r="BJ29" s="794">
        <v>0</v>
      </c>
      <c r="BK29" s="794">
        <v>0</v>
      </c>
      <c r="BL29" s="794">
        <v>0</v>
      </c>
      <c r="BM29" s="794">
        <v>0</v>
      </c>
      <c r="BN29" s="794">
        <v>0</v>
      </c>
      <c r="BO29" s="794">
        <v>0</v>
      </c>
      <c r="BP29" s="794">
        <v>0</v>
      </c>
      <c r="BQ29" s="794">
        <v>0</v>
      </c>
      <c r="BR29" s="794">
        <v>0</v>
      </c>
      <c r="BS29" s="794">
        <v>0</v>
      </c>
      <c r="BT29" s="794">
        <v>0</v>
      </c>
      <c r="BU29" s="794">
        <v>0</v>
      </c>
      <c r="BV29" s="794">
        <v>0</v>
      </c>
    </row>
    <row r="30" spans="2:74">
      <c r="B30" s="793" t="s">
        <v>2720</v>
      </c>
      <c r="C30" s="793" t="s">
        <v>2721</v>
      </c>
      <c r="D30" s="793"/>
      <c r="E30" s="794"/>
      <c r="F30" s="799">
        <f t="shared" si="2"/>
        <v>1</v>
      </c>
      <c r="G30" s="800" t="s">
        <v>824</v>
      </c>
      <c r="H30" s="800" t="s">
        <v>825</v>
      </c>
      <c r="I30" s="800">
        <v>88365.82</v>
      </c>
      <c r="J30" s="799" t="str">
        <f t="shared" si="3"/>
        <v>Tirano (SO)</v>
      </c>
      <c r="K30" s="799" t="str">
        <f t="shared" si="1"/>
        <v>INC SPA</v>
      </c>
      <c r="L30" s="799">
        <f t="shared" si="0"/>
        <v>331</v>
      </c>
      <c r="M30" s="799"/>
      <c r="N30" s="595"/>
      <c r="O30" s="794">
        <v>0</v>
      </c>
      <c r="P30" s="809">
        <v>14601.6</v>
      </c>
      <c r="Q30" s="794">
        <v>0</v>
      </c>
      <c r="R30" s="794">
        <v>0</v>
      </c>
      <c r="S30" s="794">
        <v>0</v>
      </c>
      <c r="T30" s="794">
        <v>0</v>
      </c>
      <c r="U30" s="794">
        <v>0</v>
      </c>
      <c r="V30" s="794">
        <v>0</v>
      </c>
      <c r="W30" s="794">
        <v>0</v>
      </c>
      <c r="X30" s="794">
        <v>0</v>
      </c>
      <c r="Y30" s="794">
        <v>0</v>
      </c>
      <c r="Z30" s="794">
        <v>0</v>
      </c>
      <c r="AA30" s="794">
        <v>0</v>
      </c>
      <c r="AB30" s="794">
        <v>0</v>
      </c>
      <c r="AC30" s="794">
        <v>0</v>
      </c>
      <c r="AD30" s="794">
        <v>0</v>
      </c>
      <c r="AE30" s="794">
        <v>0</v>
      </c>
      <c r="AF30" s="794">
        <v>0</v>
      </c>
      <c r="AG30" s="794">
        <v>0</v>
      </c>
      <c r="AH30" s="794">
        <v>0</v>
      </c>
      <c r="AI30" s="794">
        <v>0</v>
      </c>
      <c r="AJ30" s="794">
        <v>0</v>
      </c>
      <c r="AK30" s="794">
        <v>0</v>
      </c>
      <c r="AL30" s="794">
        <v>0</v>
      </c>
      <c r="AM30" s="794">
        <v>0</v>
      </c>
      <c r="AN30" s="794">
        <v>0</v>
      </c>
      <c r="AO30" s="794">
        <v>0</v>
      </c>
      <c r="AP30" s="794">
        <v>0</v>
      </c>
      <c r="AQ30" s="794">
        <v>0</v>
      </c>
      <c r="AR30" s="794">
        <v>0</v>
      </c>
      <c r="AS30" s="794">
        <v>0</v>
      </c>
      <c r="AT30" s="794">
        <v>0</v>
      </c>
      <c r="AU30" s="794">
        <v>0</v>
      </c>
      <c r="AV30" s="794">
        <v>0</v>
      </c>
      <c r="AW30" s="794">
        <v>0</v>
      </c>
      <c r="AX30" s="794">
        <v>0</v>
      </c>
      <c r="AY30" s="794">
        <v>0</v>
      </c>
      <c r="AZ30" s="794">
        <v>0</v>
      </c>
      <c r="BA30" s="794">
        <v>0</v>
      </c>
      <c r="BB30" s="794">
        <v>0</v>
      </c>
      <c r="BC30" s="794">
        <v>0</v>
      </c>
      <c r="BD30" s="794">
        <v>0</v>
      </c>
      <c r="BE30" s="794">
        <v>0</v>
      </c>
      <c r="BF30" s="794">
        <v>0</v>
      </c>
      <c r="BG30" s="794">
        <v>0</v>
      </c>
      <c r="BH30" s="794">
        <v>0</v>
      </c>
      <c r="BI30" s="794">
        <v>0</v>
      </c>
      <c r="BJ30" s="794">
        <v>0</v>
      </c>
      <c r="BK30" s="794">
        <v>0</v>
      </c>
      <c r="BL30" s="794">
        <v>0</v>
      </c>
      <c r="BM30" s="794">
        <v>0</v>
      </c>
      <c r="BN30" s="794">
        <v>0</v>
      </c>
      <c r="BO30" s="794">
        <v>0</v>
      </c>
      <c r="BP30" s="794">
        <v>0</v>
      </c>
      <c r="BQ30" s="794">
        <v>0</v>
      </c>
      <c r="BR30" s="794">
        <v>0</v>
      </c>
      <c r="BS30" s="794">
        <v>0</v>
      </c>
      <c r="BT30" s="794">
        <v>0</v>
      </c>
      <c r="BU30" s="794">
        <v>0</v>
      </c>
      <c r="BV30" s="794">
        <v>0</v>
      </c>
    </row>
    <row r="31" spans="2:74">
      <c r="B31" s="793" t="s">
        <v>2722</v>
      </c>
      <c r="C31" s="793" t="s">
        <v>2723</v>
      </c>
      <c r="D31" s="793"/>
      <c r="E31" s="794"/>
      <c r="F31" s="799">
        <f t="shared" si="2"/>
        <v>1</v>
      </c>
      <c r="G31" s="800" t="s">
        <v>783</v>
      </c>
      <c r="H31" s="800" t="s">
        <v>755</v>
      </c>
      <c r="I31" s="800">
        <v>39037</v>
      </c>
      <c r="J31" s="799" t="str">
        <f t="shared" si="3"/>
        <v>Grassobbio (BG)</v>
      </c>
      <c r="K31" s="799" t="e">
        <f t="shared" si="1"/>
        <v>#N/A</v>
      </c>
      <c r="L31" s="799">
        <f t="shared" si="0"/>
        <v>331</v>
      </c>
      <c r="M31" s="799"/>
      <c r="N31" s="595"/>
      <c r="O31" s="794">
        <v>0</v>
      </c>
      <c r="P31" s="809">
        <v>52531</v>
      </c>
      <c r="Q31" s="794">
        <v>69925.72</v>
      </c>
      <c r="R31" s="794">
        <v>11045.36</v>
      </c>
      <c r="S31" s="794">
        <v>0</v>
      </c>
      <c r="T31" s="794">
        <v>0</v>
      </c>
      <c r="U31" s="794">
        <v>0</v>
      </c>
      <c r="V31" s="794">
        <v>0</v>
      </c>
      <c r="W31" s="794">
        <v>0</v>
      </c>
      <c r="X31" s="794">
        <v>0</v>
      </c>
      <c r="Y31" s="794">
        <v>0</v>
      </c>
      <c r="Z31" s="794">
        <v>0</v>
      </c>
      <c r="AA31" s="794">
        <v>0</v>
      </c>
      <c r="AB31" s="794">
        <v>0</v>
      </c>
      <c r="AC31" s="794">
        <v>0</v>
      </c>
      <c r="AD31" s="794">
        <v>0</v>
      </c>
      <c r="AE31" s="794">
        <v>0</v>
      </c>
      <c r="AF31" s="794">
        <v>0</v>
      </c>
      <c r="AG31" s="794">
        <v>0</v>
      </c>
      <c r="AH31" s="794">
        <v>0</v>
      </c>
      <c r="AI31" s="794">
        <v>0</v>
      </c>
      <c r="AJ31" s="794">
        <v>0</v>
      </c>
      <c r="AK31" s="794">
        <v>0</v>
      </c>
      <c r="AL31" s="794">
        <v>0</v>
      </c>
      <c r="AM31" s="794">
        <v>0</v>
      </c>
      <c r="AN31" s="794">
        <v>0</v>
      </c>
      <c r="AO31" s="794">
        <v>0</v>
      </c>
      <c r="AP31" s="794">
        <v>0</v>
      </c>
      <c r="AQ31" s="794">
        <v>0</v>
      </c>
      <c r="AR31" s="794">
        <v>0</v>
      </c>
      <c r="AS31" s="794">
        <v>0</v>
      </c>
      <c r="AT31" s="794">
        <v>0</v>
      </c>
      <c r="AU31" s="794">
        <v>0</v>
      </c>
      <c r="AV31" s="794">
        <v>0</v>
      </c>
      <c r="AW31" s="794">
        <v>0</v>
      </c>
      <c r="AX31" s="794">
        <v>0</v>
      </c>
      <c r="AY31" s="794">
        <v>0</v>
      </c>
      <c r="AZ31" s="794">
        <v>0</v>
      </c>
      <c r="BA31" s="794">
        <v>0</v>
      </c>
      <c r="BB31" s="794">
        <v>0</v>
      </c>
      <c r="BC31" s="794">
        <v>0</v>
      </c>
      <c r="BD31" s="794">
        <v>0</v>
      </c>
      <c r="BE31" s="794">
        <v>0</v>
      </c>
      <c r="BF31" s="794">
        <v>0</v>
      </c>
      <c r="BG31" s="794">
        <v>0</v>
      </c>
      <c r="BH31" s="794">
        <v>0</v>
      </c>
      <c r="BI31" s="794">
        <v>0</v>
      </c>
      <c r="BJ31" s="794">
        <v>0</v>
      </c>
      <c r="BK31" s="794">
        <v>0</v>
      </c>
      <c r="BL31" s="794">
        <v>0</v>
      </c>
      <c r="BM31" s="794">
        <v>0</v>
      </c>
      <c r="BN31" s="794">
        <v>0</v>
      </c>
      <c r="BO31" s="794">
        <v>0</v>
      </c>
      <c r="BP31" s="794">
        <v>0</v>
      </c>
      <c r="BQ31" s="794">
        <v>0</v>
      </c>
      <c r="BR31" s="794">
        <v>0</v>
      </c>
      <c r="BS31" s="794">
        <v>0</v>
      </c>
      <c r="BT31" s="794">
        <v>0</v>
      </c>
      <c r="BU31" s="794">
        <v>0</v>
      </c>
      <c r="BV31" s="794">
        <v>0</v>
      </c>
    </row>
    <row r="32" spans="2:74">
      <c r="B32" s="793" t="s">
        <v>2724</v>
      </c>
      <c r="C32" s="793" t="s">
        <v>2725</v>
      </c>
      <c r="D32" s="793" t="s">
        <v>2699</v>
      </c>
      <c r="E32" s="794"/>
      <c r="F32" s="799">
        <f t="shared" si="2"/>
        <v>1</v>
      </c>
      <c r="G32" s="800" t="s">
        <v>855</v>
      </c>
      <c r="H32" s="800" t="s">
        <v>3259</v>
      </c>
      <c r="I32" s="800">
        <v>35050</v>
      </c>
      <c r="J32" s="799" t="str">
        <f t="shared" si="3"/>
        <v>Bologna Via Castelfidardo</v>
      </c>
      <c r="K32" s="799" t="str">
        <f t="shared" si="1"/>
        <v>Termal Green Building</v>
      </c>
      <c r="L32" s="799">
        <f t="shared" si="0"/>
        <v>331</v>
      </c>
      <c r="M32" s="799"/>
      <c r="N32" s="595"/>
      <c r="O32" s="794">
        <v>0</v>
      </c>
      <c r="P32" s="794">
        <v>0</v>
      </c>
      <c r="Q32" s="794">
        <v>0</v>
      </c>
      <c r="R32" s="794">
        <v>0</v>
      </c>
      <c r="S32" s="794">
        <v>0</v>
      </c>
      <c r="T32" s="794">
        <v>0</v>
      </c>
      <c r="U32" s="794">
        <v>0</v>
      </c>
      <c r="V32" s="794">
        <v>0</v>
      </c>
      <c r="W32" s="794">
        <v>0</v>
      </c>
      <c r="X32" s="794">
        <v>0</v>
      </c>
      <c r="Y32" s="794">
        <v>0</v>
      </c>
      <c r="Z32" s="794">
        <v>0</v>
      </c>
      <c r="AA32" s="794">
        <v>0</v>
      </c>
      <c r="AB32" s="794">
        <v>0</v>
      </c>
      <c r="AC32" s="794">
        <v>0</v>
      </c>
      <c r="AD32" s="794">
        <v>0</v>
      </c>
      <c r="AE32" s="794">
        <v>0</v>
      </c>
      <c r="AF32" s="794">
        <v>0</v>
      </c>
      <c r="AG32" s="794">
        <v>0</v>
      </c>
      <c r="AH32" s="794">
        <v>0</v>
      </c>
      <c r="AI32" s="794">
        <v>0</v>
      </c>
      <c r="AJ32" s="794">
        <v>0</v>
      </c>
      <c r="AK32" s="794">
        <v>0</v>
      </c>
      <c r="AL32" s="794">
        <v>0</v>
      </c>
      <c r="AM32" s="794">
        <v>0</v>
      </c>
      <c r="AN32" s="794">
        <v>0</v>
      </c>
      <c r="AO32" s="794">
        <v>0</v>
      </c>
      <c r="AP32" s="794">
        <v>0</v>
      </c>
      <c r="AQ32" s="794">
        <v>0</v>
      </c>
      <c r="AR32" s="794">
        <v>0</v>
      </c>
      <c r="AS32" s="794">
        <v>0</v>
      </c>
      <c r="AT32" s="794">
        <v>0</v>
      </c>
      <c r="AU32" s="794">
        <v>0</v>
      </c>
      <c r="AV32" s="794">
        <v>0</v>
      </c>
      <c r="AW32" s="794">
        <v>0</v>
      </c>
      <c r="AX32" s="794">
        <v>0</v>
      </c>
      <c r="AY32" s="794">
        <v>0</v>
      </c>
      <c r="AZ32" s="794">
        <v>0</v>
      </c>
      <c r="BA32" s="794">
        <v>0</v>
      </c>
      <c r="BB32" s="794">
        <v>0</v>
      </c>
      <c r="BC32" s="794">
        <v>0</v>
      </c>
      <c r="BD32" s="794">
        <v>0</v>
      </c>
      <c r="BE32" s="794">
        <v>0</v>
      </c>
      <c r="BF32" s="794">
        <v>0</v>
      </c>
      <c r="BG32" s="794">
        <v>0</v>
      </c>
      <c r="BH32" s="794">
        <v>0</v>
      </c>
      <c r="BI32" s="794">
        <v>0</v>
      </c>
      <c r="BJ32" s="794">
        <v>0</v>
      </c>
      <c r="BK32" s="794">
        <v>0</v>
      </c>
      <c r="BL32" s="794">
        <v>0</v>
      </c>
      <c r="BM32" s="794">
        <v>0</v>
      </c>
      <c r="BN32" s="794">
        <v>0</v>
      </c>
      <c r="BO32" s="794">
        <v>0</v>
      </c>
      <c r="BP32" s="794">
        <v>0</v>
      </c>
      <c r="BQ32" s="794">
        <v>0</v>
      </c>
      <c r="BR32" s="794">
        <v>0</v>
      </c>
      <c r="BS32" s="794">
        <v>0</v>
      </c>
      <c r="BT32" s="794">
        <v>0</v>
      </c>
      <c r="BU32" s="794">
        <v>0</v>
      </c>
      <c r="BV32" s="794">
        <v>0</v>
      </c>
    </row>
    <row r="33" spans="2:74">
      <c r="B33" s="793" t="s">
        <v>2726</v>
      </c>
      <c r="C33" s="793" t="s">
        <v>2727</v>
      </c>
      <c r="D33" s="793">
        <v>4</v>
      </c>
      <c r="E33" s="794"/>
      <c r="F33" s="799">
        <f>+COUNTIF($J$6:$J$69,J33)</f>
        <v>29</v>
      </c>
      <c r="G33" s="800"/>
      <c r="H33" s="800"/>
      <c r="I33" s="800"/>
      <c r="J33" s="799" t="e">
        <f t="shared" si="3"/>
        <v>#N/A</v>
      </c>
      <c r="K33" s="799" t="e">
        <f t="shared" si="1"/>
        <v>#N/A</v>
      </c>
      <c r="L33" s="799">
        <f t="shared" si="0"/>
        <v>331</v>
      </c>
      <c r="M33" s="799"/>
      <c r="N33" s="595"/>
      <c r="O33" s="794">
        <v>0</v>
      </c>
      <c r="P33" s="794">
        <v>0</v>
      </c>
      <c r="Q33" s="809">
        <v>25473</v>
      </c>
      <c r="R33" s="794">
        <v>0</v>
      </c>
      <c r="S33" s="794">
        <v>0</v>
      </c>
      <c r="T33" s="794">
        <v>0</v>
      </c>
      <c r="U33" s="794">
        <v>0</v>
      </c>
      <c r="V33" s="794">
        <v>0</v>
      </c>
      <c r="W33" s="794">
        <v>0</v>
      </c>
      <c r="X33" s="794">
        <v>0</v>
      </c>
      <c r="Y33" s="794">
        <v>0</v>
      </c>
      <c r="Z33" s="794">
        <v>0</v>
      </c>
      <c r="AA33" s="794">
        <v>0</v>
      </c>
      <c r="AB33" s="794">
        <v>0</v>
      </c>
      <c r="AC33" s="794">
        <v>0</v>
      </c>
      <c r="AD33" s="794">
        <v>0</v>
      </c>
      <c r="AE33" s="794">
        <v>0</v>
      </c>
      <c r="AF33" s="794">
        <v>0</v>
      </c>
      <c r="AG33" s="794">
        <v>0</v>
      </c>
      <c r="AH33" s="794">
        <v>0</v>
      </c>
      <c r="AI33" s="794">
        <v>0</v>
      </c>
      <c r="AJ33" s="794">
        <v>0</v>
      </c>
      <c r="AK33" s="794">
        <v>0</v>
      </c>
      <c r="AL33" s="794">
        <v>0</v>
      </c>
      <c r="AM33" s="794">
        <v>0</v>
      </c>
      <c r="AN33" s="794">
        <v>0</v>
      </c>
      <c r="AO33" s="794">
        <v>0</v>
      </c>
      <c r="AP33" s="794">
        <v>0</v>
      </c>
      <c r="AQ33" s="794">
        <v>0</v>
      </c>
      <c r="AR33" s="794">
        <v>0</v>
      </c>
      <c r="AS33" s="794">
        <v>0</v>
      </c>
      <c r="AT33" s="794">
        <v>0</v>
      </c>
      <c r="AU33" s="794">
        <v>0</v>
      </c>
      <c r="AV33" s="794">
        <v>0</v>
      </c>
      <c r="AW33" s="794">
        <v>0</v>
      </c>
      <c r="AX33" s="794">
        <v>0</v>
      </c>
      <c r="AY33" s="794">
        <v>0</v>
      </c>
      <c r="AZ33" s="794">
        <v>0</v>
      </c>
      <c r="BA33" s="794">
        <v>0</v>
      </c>
      <c r="BB33" s="794">
        <v>0</v>
      </c>
      <c r="BC33" s="794">
        <v>0</v>
      </c>
      <c r="BD33" s="794">
        <v>0</v>
      </c>
      <c r="BE33" s="794">
        <v>0</v>
      </c>
      <c r="BF33" s="794">
        <v>0</v>
      </c>
      <c r="BG33" s="794">
        <v>0</v>
      </c>
      <c r="BH33" s="794">
        <v>0</v>
      </c>
      <c r="BI33" s="794">
        <v>0</v>
      </c>
      <c r="BJ33" s="794">
        <v>0</v>
      </c>
      <c r="BK33" s="794">
        <v>0</v>
      </c>
      <c r="BL33" s="794">
        <v>0</v>
      </c>
      <c r="BM33" s="794">
        <v>0</v>
      </c>
      <c r="BN33" s="794">
        <v>0</v>
      </c>
      <c r="BO33" s="794">
        <v>0</v>
      </c>
      <c r="BP33" s="794">
        <v>0</v>
      </c>
      <c r="BQ33" s="794">
        <v>0</v>
      </c>
      <c r="BR33" s="794">
        <v>0</v>
      </c>
      <c r="BS33" s="794">
        <v>0</v>
      </c>
      <c r="BT33" s="794">
        <v>0</v>
      </c>
      <c r="BU33" s="794">
        <v>0</v>
      </c>
      <c r="BV33" s="794">
        <v>0</v>
      </c>
    </row>
    <row r="34" spans="2:74">
      <c r="B34" s="793" t="s">
        <v>2728</v>
      </c>
      <c r="C34" s="793" t="s">
        <v>2729</v>
      </c>
      <c r="D34" s="793"/>
      <c r="E34" s="794"/>
      <c r="F34" s="799">
        <f t="shared" si="2"/>
        <v>1</v>
      </c>
      <c r="G34" s="800" t="s">
        <v>524</v>
      </c>
      <c r="H34" s="800" t="s">
        <v>640</v>
      </c>
      <c r="I34" s="800">
        <v>23872</v>
      </c>
      <c r="J34" s="799" t="str">
        <f t="shared" si="3"/>
        <v>FREJUS</v>
      </c>
      <c r="K34" s="799" t="str">
        <f t="shared" si="1"/>
        <v>Manelli S.p.A.</v>
      </c>
      <c r="L34" s="799">
        <f t="shared" si="0"/>
        <v>331</v>
      </c>
      <c r="M34" s="799"/>
      <c r="N34" s="595"/>
      <c r="O34" s="794">
        <v>51000</v>
      </c>
      <c r="P34" s="794">
        <v>76447</v>
      </c>
      <c r="Q34" s="794">
        <v>0</v>
      </c>
      <c r="R34" s="794">
        <v>0</v>
      </c>
      <c r="S34" s="794">
        <v>0</v>
      </c>
      <c r="T34" s="794">
        <v>0</v>
      </c>
      <c r="U34" s="794">
        <v>0</v>
      </c>
      <c r="V34" s="794">
        <v>0</v>
      </c>
      <c r="W34" s="794">
        <v>0</v>
      </c>
      <c r="X34" s="794">
        <v>0</v>
      </c>
      <c r="Y34" s="794">
        <v>0</v>
      </c>
      <c r="Z34" s="794">
        <v>0</v>
      </c>
      <c r="AA34" s="794">
        <v>0</v>
      </c>
      <c r="AB34" s="794">
        <v>0</v>
      </c>
      <c r="AC34" s="794">
        <v>0</v>
      </c>
      <c r="AD34" s="794">
        <v>0</v>
      </c>
      <c r="AE34" s="794">
        <v>0</v>
      </c>
      <c r="AF34" s="794">
        <v>0</v>
      </c>
      <c r="AG34" s="794">
        <v>0</v>
      </c>
      <c r="AH34" s="794">
        <v>0</v>
      </c>
      <c r="AI34" s="794">
        <v>0</v>
      </c>
      <c r="AJ34" s="794">
        <v>0</v>
      </c>
      <c r="AK34" s="794">
        <v>0</v>
      </c>
      <c r="AL34" s="794">
        <v>0</v>
      </c>
      <c r="AM34" s="794">
        <v>0</v>
      </c>
      <c r="AN34" s="794">
        <v>0</v>
      </c>
      <c r="AO34" s="794">
        <v>0</v>
      </c>
      <c r="AP34" s="794">
        <v>0</v>
      </c>
      <c r="AQ34" s="794">
        <v>0</v>
      </c>
      <c r="AR34" s="794">
        <v>0</v>
      </c>
      <c r="AS34" s="794">
        <v>0</v>
      </c>
      <c r="AT34" s="794">
        <v>0</v>
      </c>
      <c r="AU34" s="794">
        <v>0</v>
      </c>
      <c r="AV34" s="794">
        <v>0</v>
      </c>
      <c r="AW34" s="794">
        <v>0</v>
      </c>
      <c r="AX34" s="794">
        <v>0</v>
      </c>
      <c r="AY34" s="794">
        <v>0</v>
      </c>
      <c r="AZ34" s="794">
        <v>0</v>
      </c>
      <c r="BA34" s="794">
        <v>0</v>
      </c>
      <c r="BB34" s="794">
        <v>0</v>
      </c>
      <c r="BC34" s="794">
        <v>0</v>
      </c>
      <c r="BD34" s="794">
        <v>0</v>
      </c>
      <c r="BE34" s="794">
        <v>0</v>
      </c>
      <c r="BF34" s="794">
        <v>0</v>
      </c>
      <c r="BG34" s="794">
        <v>0</v>
      </c>
      <c r="BH34" s="794">
        <v>0</v>
      </c>
      <c r="BI34" s="794">
        <v>0</v>
      </c>
      <c r="BJ34" s="794">
        <v>0</v>
      </c>
      <c r="BK34" s="794">
        <v>0</v>
      </c>
      <c r="BL34" s="794">
        <v>0</v>
      </c>
      <c r="BM34" s="794">
        <v>0</v>
      </c>
      <c r="BN34" s="794">
        <v>0</v>
      </c>
      <c r="BO34" s="794">
        <v>0</v>
      </c>
      <c r="BP34" s="794">
        <v>0</v>
      </c>
      <c r="BQ34" s="794">
        <v>0</v>
      </c>
      <c r="BR34" s="794">
        <v>0</v>
      </c>
      <c r="BS34" s="794">
        <v>0</v>
      </c>
      <c r="BT34" s="794">
        <v>0</v>
      </c>
      <c r="BU34" s="794">
        <v>0</v>
      </c>
      <c r="BV34" s="794">
        <v>0</v>
      </c>
    </row>
    <row r="35" spans="2:74">
      <c r="B35" s="793" t="s">
        <v>2730</v>
      </c>
      <c r="C35" s="793" t="s">
        <v>2731</v>
      </c>
      <c r="D35" s="793" t="s">
        <v>2699</v>
      </c>
      <c r="E35" s="794"/>
      <c r="F35" s="799">
        <f t="shared" si="2"/>
        <v>1</v>
      </c>
      <c r="G35" s="800" t="s">
        <v>813</v>
      </c>
      <c r="H35" s="800" t="s">
        <v>3395</v>
      </c>
      <c r="I35" s="800">
        <v>54930.96</v>
      </c>
      <c r="J35" s="799" t="str">
        <f t="shared" si="3"/>
        <v>San Zeno Naviglio (BS)</v>
      </c>
      <c r="K35" s="799" t="e">
        <f t="shared" si="1"/>
        <v>#N/A</v>
      </c>
      <c r="L35" s="799">
        <f t="shared" si="0"/>
        <v>331</v>
      </c>
      <c r="M35" s="799"/>
      <c r="N35" s="595"/>
      <c r="O35" s="794">
        <v>1465899.2999999998</v>
      </c>
      <c r="P35" s="794">
        <v>0</v>
      </c>
      <c r="Q35" s="794">
        <v>0</v>
      </c>
      <c r="R35" s="794">
        <v>0</v>
      </c>
      <c r="S35" s="794">
        <v>0</v>
      </c>
      <c r="T35" s="794">
        <v>0</v>
      </c>
      <c r="U35" s="794">
        <v>0</v>
      </c>
      <c r="V35" s="794">
        <v>0</v>
      </c>
      <c r="W35" s="794">
        <v>0</v>
      </c>
      <c r="X35" s="794">
        <v>0</v>
      </c>
      <c r="Y35" s="794">
        <v>0</v>
      </c>
      <c r="Z35" s="794">
        <v>0</v>
      </c>
      <c r="AA35" s="794">
        <v>0</v>
      </c>
      <c r="AB35" s="794">
        <v>0</v>
      </c>
      <c r="AC35" s="794">
        <v>0</v>
      </c>
      <c r="AD35" s="794">
        <v>0</v>
      </c>
      <c r="AE35" s="794">
        <v>0</v>
      </c>
      <c r="AF35" s="794">
        <v>0</v>
      </c>
      <c r="AG35" s="794">
        <v>0</v>
      </c>
      <c r="AH35" s="794">
        <v>0</v>
      </c>
      <c r="AI35" s="794">
        <v>0</v>
      </c>
      <c r="AJ35" s="794">
        <v>0</v>
      </c>
      <c r="AK35" s="794">
        <v>0</v>
      </c>
      <c r="AL35" s="794">
        <v>0</v>
      </c>
      <c r="AM35" s="794">
        <v>0</v>
      </c>
      <c r="AN35" s="794">
        <v>0</v>
      </c>
      <c r="AO35" s="794">
        <v>0</v>
      </c>
      <c r="AP35" s="794">
        <v>0</v>
      </c>
      <c r="AQ35" s="794">
        <v>0</v>
      </c>
      <c r="AR35" s="794">
        <v>0</v>
      </c>
      <c r="AS35" s="794">
        <v>0</v>
      </c>
      <c r="AT35" s="794">
        <v>0</v>
      </c>
      <c r="AU35" s="794">
        <v>0</v>
      </c>
      <c r="AV35" s="794">
        <v>0</v>
      </c>
      <c r="AW35" s="794">
        <v>0</v>
      </c>
      <c r="AX35" s="794">
        <v>0</v>
      </c>
      <c r="AY35" s="794">
        <v>0</v>
      </c>
      <c r="AZ35" s="794">
        <v>0</v>
      </c>
      <c r="BA35" s="794">
        <v>0</v>
      </c>
      <c r="BB35" s="794">
        <v>0</v>
      </c>
      <c r="BC35" s="794">
        <v>0</v>
      </c>
      <c r="BD35" s="794">
        <v>0</v>
      </c>
      <c r="BE35" s="794">
        <v>0</v>
      </c>
      <c r="BF35" s="794">
        <v>0</v>
      </c>
      <c r="BG35" s="794">
        <v>0</v>
      </c>
      <c r="BH35" s="794">
        <v>0</v>
      </c>
      <c r="BI35" s="794">
        <v>0</v>
      </c>
      <c r="BJ35" s="794">
        <v>0</v>
      </c>
      <c r="BK35" s="794">
        <v>0</v>
      </c>
      <c r="BL35" s="794">
        <v>0</v>
      </c>
      <c r="BM35" s="794">
        <v>0</v>
      </c>
      <c r="BN35" s="794">
        <v>0</v>
      </c>
      <c r="BO35" s="794">
        <v>0</v>
      </c>
      <c r="BP35" s="794">
        <v>0</v>
      </c>
      <c r="BQ35" s="794">
        <v>0</v>
      </c>
      <c r="BR35" s="794">
        <v>0</v>
      </c>
      <c r="BS35" s="794">
        <v>0</v>
      </c>
      <c r="BT35" s="794">
        <v>0</v>
      </c>
      <c r="BU35" s="794">
        <v>0</v>
      </c>
      <c r="BV35" s="794">
        <v>0</v>
      </c>
    </row>
    <row r="36" spans="2:74">
      <c r="B36" s="793" t="s">
        <v>2733</v>
      </c>
      <c r="C36" s="793" t="s">
        <v>2734</v>
      </c>
      <c r="D36" s="793">
        <v>1</v>
      </c>
      <c r="E36" s="794">
        <v>88119</v>
      </c>
      <c r="F36" s="799">
        <f t="shared" si="2"/>
        <v>1</v>
      </c>
      <c r="G36" s="800" t="s">
        <v>819</v>
      </c>
      <c r="H36" s="800" t="s">
        <v>3396</v>
      </c>
      <c r="I36" s="800">
        <v>114597.34</v>
      </c>
      <c r="J36" s="799" t="str">
        <f t="shared" si="3"/>
        <v>Lumezzane (BS)</v>
      </c>
      <c r="K36" s="799" t="e">
        <f t="shared" si="1"/>
        <v>#N/A</v>
      </c>
      <c r="L36" s="799">
        <f t="shared" si="0"/>
        <v>331</v>
      </c>
      <c r="M36" s="799"/>
      <c r="N36" s="595"/>
      <c r="O36" s="794">
        <v>0</v>
      </c>
      <c r="P36" s="809">
        <v>79307.100000000006</v>
      </c>
      <c r="Q36" s="794">
        <v>48129.919999999998</v>
      </c>
      <c r="R36" s="794">
        <v>0</v>
      </c>
      <c r="S36" s="794">
        <v>0</v>
      </c>
      <c r="T36" s="794">
        <v>0</v>
      </c>
      <c r="U36" s="794">
        <v>0</v>
      </c>
      <c r="V36" s="794">
        <v>0</v>
      </c>
      <c r="W36" s="794">
        <v>0</v>
      </c>
      <c r="X36" s="794">
        <v>0</v>
      </c>
      <c r="Y36" s="794">
        <v>0</v>
      </c>
      <c r="Z36" s="794">
        <v>0</v>
      </c>
      <c r="AA36" s="794">
        <v>0</v>
      </c>
      <c r="AB36" s="794">
        <v>0</v>
      </c>
      <c r="AC36" s="794">
        <v>0</v>
      </c>
      <c r="AD36" s="794">
        <v>0</v>
      </c>
      <c r="AE36" s="794">
        <v>0</v>
      </c>
      <c r="AF36" s="794">
        <v>0</v>
      </c>
      <c r="AG36" s="794">
        <v>0</v>
      </c>
      <c r="AH36" s="794">
        <v>0</v>
      </c>
      <c r="AI36" s="794">
        <v>0</v>
      </c>
      <c r="AJ36" s="794">
        <v>0</v>
      </c>
      <c r="AK36" s="794">
        <v>0</v>
      </c>
      <c r="AL36" s="794">
        <v>0</v>
      </c>
      <c r="AM36" s="794">
        <v>0</v>
      </c>
      <c r="AN36" s="794">
        <v>0</v>
      </c>
      <c r="AO36" s="794">
        <v>0</v>
      </c>
      <c r="AP36" s="794">
        <v>0</v>
      </c>
      <c r="AQ36" s="794">
        <v>0</v>
      </c>
      <c r="AR36" s="794">
        <v>0</v>
      </c>
      <c r="AS36" s="794">
        <v>0</v>
      </c>
      <c r="AT36" s="794">
        <v>0</v>
      </c>
      <c r="AU36" s="794">
        <v>0</v>
      </c>
      <c r="AV36" s="794">
        <v>0</v>
      </c>
      <c r="AW36" s="794">
        <v>0</v>
      </c>
      <c r="AX36" s="794">
        <v>0</v>
      </c>
      <c r="AY36" s="794">
        <v>0</v>
      </c>
      <c r="AZ36" s="794">
        <v>0</v>
      </c>
      <c r="BA36" s="794">
        <v>0</v>
      </c>
      <c r="BB36" s="794">
        <v>0</v>
      </c>
      <c r="BC36" s="794">
        <v>0</v>
      </c>
      <c r="BD36" s="794">
        <v>0</v>
      </c>
      <c r="BE36" s="794">
        <v>0</v>
      </c>
      <c r="BF36" s="794">
        <v>0</v>
      </c>
      <c r="BG36" s="794">
        <v>0</v>
      </c>
      <c r="BH36" s="794">
        <v>0</v>
      </c>
      <c r="BI36" s="794">
        <v>0</v>
      </c>
      <c r="BJ36" s="794">
        <v>0</v>
      </c>
      <c r="BK36" s="794">
        <v>0</v>
      </c>
      <c r="BL36" s="794">
        <v>0</v>
      </c>
      <c r="BM36" s="794">
        <v>0</v>
      </c>
      <c r="BN36" s="794">
        <v>0</v>
      </c>
      <c r="BO36" s="794">
        <v>0</v>
      </c>
      <c r="BP36" s="794">
        <v>0</v>
      </c>
      <c r="BQ36" s="794">
        <v>0</v>
      </c>
      <c r="BR36" s="794">
        <v>0</v>
      </c>
      <c r="BS36" s="794">
        <v>0</v>
      </c>
      <c r="BT36" s="794">
        <v>0</v>
      </c>
      <c r="BU36" s="794">
        <v>0</v>
      </c>
      <c r="BV36" s="794">
        <v>0</v>
      </c>
    </row>
    <row r="37" spans="2:74">
      <c r="B37" s="793" t="s">
        <v>2735</v>
      </c>
      <c r="C37" s="793" t="s">
        <v>2736</v>
      </c>
      <c r="D37" s="793">
        <v>1</v>
      </c>
      <c r="E37" s="794">
        <v>24442</v>
      </c>
      <c r="F37" s="799">
        <f t="shared" si="2"/>
        <v>1</v>
      </c>
      <c r="G37" s="799" t="s">
        <v>822</v>
      </c>
      <c r="H37" s="799" t="s">
        <v>2872</v>
      </c>
      <c r="I37" s="799">
        <v>178225.2</v>
      </c>
      <c r="J37" s="799" t="str">
        <f t="shared" si="3"/>
        <v>Bergamo Via Bianzana</v>
      </c>
      <c r="K37" s="799" t="str">
        <f t="shared" si="1"/>
        <v>Percassi S.p.A.</v>
      </c>
      <c r="L37" s="799">
        <f t="shared" si="0"/>
        <v>331</v>
      </c>
      <c r="M37" s="799"/>
      <c r="N37" s="595"/>
      <c r="O37" s="794">
        <v>0</v>
      </c>
      <c r="P37" s="809">
        <v>24442</v>
      </c>
      <c r="Q37" s="794">
        <v>127486</v>
      </c>
      <c r="R37" s="794">
        <v>67289</v>
      </c>
      <c r="S37" s="794">
        <v>0</v>
      </c>
      <c r="T37" s="794">
        <v>0</v>
      </c>
      <c r="U37" s="794">
        <v>0</v>
      </c>
      <c r="V37" s="794">
        <v>0</v>
      </c>
      <c r="W37" s="794">
        <v>0</v>
      </c>
      <c r="X37" s="794">
        <v>0</v>
      </c>
      <c r="Y37" s="794">
        <v>0</v>
      </c>
      <c r="Z37" s="794">
        <v>0</v>
      </c>
      <c r="AA37" s="794">
        <v>0</v>
      </c>
      <c r="AB37" s="794">
        <v>0</v>
      </c>
      <c r="AC37" s="794">
        <v>0</v>
      </c>
      <c r="AD37" s="794">
        <v>0</v>
      </c>
      <c r="AE37" s="794">
        <v>0</v>
      </c>
      <c r="AF37" s="794">
        <v>0</v>
      </c>
      <c r="AG37" s="794">
        <v>0</v>
      </c>
      <c r="AH37" s="794">
        <v>0</v>
      </c>
      <c r="AI37" s="794">
        <v>0</v>
      </c>
      <c r="AJ37" s="794">
        <v>0</v>
      </c>
      <c r="AK37" s="794">
        <v>0</v>
      </c>
      <c r="AL37" s="794">
        <v>0</v>
      </c>
      <c r="AM37" s="794">
        <v>0</v>
      </c>
      <c r="AN37" s="794">
        <v>0</v>
      </c>
      <c r="AO37" s="794">
        <v>0</v>
      </c>
      <c r="AP37" s="794">
        <v>0</v>
      </c>
      <c r="AQ37" s="794">
        <v>0</v>
      </c>
      <c r="AR37" s="794">
        <v>0</v>
      </c>
      <c r="AS37" s="794">
        <v>0</v>
      </c>
      <c r="AT37" s="794">
        <v>0</v>
      </c>
      <c r="AU37" s="794">
        <v>0</v>
      </c>
      <c r="AV37" s="794">
        <v>0</v>
      </c>
      <c r="AW37" s="794">
        <v>0</v>
      </c>
      <c r="AX37" s="794">
        <v>0</v>
      </c>
      <c r="AY37" s="794">
        <v>0</v>
      </c>
      <c r="AZ37" s="794">
        <v>0</v>
      </c>
      <c r="BA37" s="794">
        <v>0</v>
      </c>
      <c r="BB37" s="794">
        <v>0</v>
      </c>
      <c r="BC37" s="794">
        <v>0</v>
      </c>
      <c r="BD37" s="794">
        <v>0</v>
      </c>
      <c r="BE37" s="794">
        <v>0</v>
      </c>
      <c r="BF37" s="794">
        <v>0</v>
      </c>
      <c r="BG37" s="794">
        <v>0</v>
      </c>
      <c r="BH37" s="794">
        <v>0</v>
      </c>
      <c r="BI37" s="794">
        <v>0</v>
      </c>
      <c r="BJ37" s="794">
        <v>0</v>
      </c>
      <c r="BK37" s="794">
        <v>0</v>
      </c>
      <c r="BL37" s="794">
        <v>0</v>
      </c>
      <c r="BM37" s="794">
        <v>0</v>
      </c>
      <c r="BN37" s="794">
        <v>0</v>
      </c>
      <c r="BO37" s="794">
        <v>0</v>
      </c>
      <c r="BP37" s="794">
        <v>0</v>
      </c>
      <c r="BQ37" s="794">
        <v>0</v>
      </c>
      <c r="BR37" s="794">
        <v>0</v>
      </c>
      <c r="BS37" s="794">
        <v>0</v>
      </c>
      <c r="BT37" s="794">
        <v>0</v>
      </c>
      <c r="BU37" s="794">
        <v>0</v>
      </c>
      <c r="BV37" s="794">
        <v>0</v>
      </c>
    </row>
    <row r="38" spans="2:74">
      <c r="B38" s="793" t="s">
        <v>2737</v>
      </c>
      <c r="C38" s="793" t="s">
        <v>2738</v>
      </c>
      <c r="D38" s="793" t="s">
        <v>2732</v>
      </c>
      <c r="E38" s="794"/>
      <c r="F38" s="799">
        <f t="shared" si="2"/>
        <v>1</v>
      </c>
      <c r="G38" s="799" t="s">
        <v>800</v>
      </c>
      <c r="H38" s="799" t="s">
        <v>3402</v>
      </c>
      <c r="I38" s="799">
        <v>49223</v>
      </c>
      <c r="J38" s="799" t="str">
        <f t="shared" si="3"/>
        <v>Germignaga (VA)</v>
      </c>
      <c r="K38" s="799" t="str">
        <f t="shared" si="1"/>
        <v>Civelli S.p.A.</v>
      </c>
      <c r="L38" s="799">
        <f t="shared" si="0"/>
        <v>331</v>
      </c>
      <c r="M38" s="799"/>
      <c r="N38" s="595"/>
      <c r="O38" s="794">
        <v>0</v>
      </c>
      <c r="P38" s="794">
        <v>0</v>
      </c>
      <c r="Q38" s="809">
        <v>39864</v>
      </c>
      <c r="R38" s="794">
        <v>0</v>
      </c>
      <c r="S38" s="794">
        <v>0</v>
      </c>
      <c r="T38" s="794">
        <v>0</v>
      </c>
      <c r="U38" s="794">
        <v>0</v>
      </c>
      <c r="V38" s="794">
        <v>0</v>
      </c>
      <c r="W38" s="794">
        <v>0</v>
      </c>
      <c r="X38" s="794">
        <v>0</v>
      </c>
      <c r="Y38" s="794">
        <v>0</v>
      </c>
      <c r="Z38" s="794">
        <v>0</v>
      </c>
      <c r="AA38" s="794">
        <v>0</v>
      </c>
      <c r="AB38" s="794">
        <v>0</v>
      </c>
      <c r="AC38" s="794">
        <v>0</v>
      </c>
      <c r="AD38" s="794">
        <v>0</v>
      </c>
      <c r="AE38" s="794">
        <v>0</v>
      </c>
      <c r="AF38" s="794">
        <v>0</v>
      </c>
      <c r="AG38" s="794">
        <v>0</v>
      </c>
      <c r="AH38" s="794">
        <v>0</v>
      </c>
      <c r="AI38" s="794">
        <v>0</v>
      </c>
      <c r="AJ38" s="794">
        <v>0</v>
      </c>
      <c r="AK38" s="794">
        <v>0</v>
      </c>
      <c r="AL38" s="794">
        <v>0</v>
      </c>
      <c r="AM38" s="794">
        <v>0</v>
      </c>
      <c r="AN38" s="794">
        <v>0</v>
      </c>
      <c r="AO38" s="794">
        <v>0</v>
      </c>
      <c r="AP38" s="794">
        <v>0</v>
      </c>
      <c r="AQ38" s="794">
        <v>0</v>
      </c>
      <c r="AR38" s="794">
        <v>0</v>
      </c>
      <c r="AS38" s="794">
        <v>0</v>
      </c>
      <c r="AT38" s="794">
        <v>0</v>
      </c>
      <c r="AU38" s="794">
        <v>0</v>
      </c>
      <c r="AV38" s="794">
        <v>0</v>
      </c>
      <c r="AW38" s="794">
        <v>0</v>
      </c>
      <c r="AX38" s="794">
        <v>0</v>
      </c>
      <c r="AY38" s="794">
        <v>0</v>
      </c>
      <c r="AZ38" s="794">
        <v>0</v>
      </c>
      <c r="BA38" s="794">
        <v>0</v>
      </c>
      <c r="BB38" s="794">
        <v>0</v>
      </c>
      <c r="BC38" s="794">
        <v>0</v>
      </c>
      <c r="BD38" s="794">
        <v>0</v>
      </c>
      <c r="BE38" s="794">
        <v>0</v>
      </c>
      <c r="BF38" s="794">
        <v>0</v>
      </c>
      <c r="BG38" s="794">
        <v>0</v>
      </c>
      <c r="BH38" s="794">
        <v>0</v>
      </c>
      <c r="BI38" s="794">
        <v>0</v>
      </c>
      <c r="BJ38" s="794">
        <v>0</v>
      </c>
      <c r="BK38" s="794">
        <v>0</v>
      </c>
      <c r="BL38" s="794">
        <v>0</v>
      </c>
      <c r="BM38" s="794">
        <v>0</v>
      </c>
      <c r="BN38" s="794">
        <v>0</v>
      </c>
      <c r="BO38" s="794">
        <v>0</v>
      </c>
      <c r="BP38" s="794">
        <v>0</v>
      </c>
      <c r="BQ38" s="794">
        <v>0</v>
      </c>
      <c r="BR38" s="794">
        <v>0</v>
      </c>
      <c r="BS38" s="794">
        <v>0</v>
      </c>
      <c r="BT38" s="794">
        <v>0</v>
      </c>
      <c r="BU38" s="794">
        <v>0</v>
      </c>
      <c r="BV38" s="794">
        <v>0</v>
      </c>
    </row>
    <row r="39" spans="2:74">
      <c r="B39" s="793" t="s">
        <v>2740</v>
      </c>
      <c r="C39" s="793" t="s">
        <v>2741</v>
      </c>
      <c r="D39" s="793">
        <v>1</v>
      </c>
      <c r="E39" s="794">
        <v>40957.800000000003</v>
      </c>
      <c r="F39" s="799">
        <f t="shared" si="2"/>
        <v>1</v>
      </c>
      <c r="G39" s="799" t="s">
        <v>3403</v>
      </c>
      <c r="H39" s="799" t="s">
        <v>3404</v>
      </c>
      <c r="I39" s="799">
        <v>14365.84</v>
      </c>
      <c r="J39" s="799" t="str">
        <f t="shared" si="3"/>
        <v>Annone (LC)</v>
      </c>
      <c r="K39" s="799" t="str">
        <f t="shared" si="1"/>
        <v>PAL S.p.A.</v>
      </c>
      <c r="L39" s="799">
        <f t="shared" si="0"/>
        <v>331</v>
      </c>
      <c r="M39" s="799"/>
      <c r="N39" s="595"/>
      <c r="O39" s="794">
        <v>0</v>
      </c>
      <c r="P39" s="809">
        <v>40957.800000000003</v>
      </c>
      <c r="Q39" s="794">
        <v>0</v>
      </c>
      <c r="R39" s="794">
        <v>0</v>
      </c>
      <c r="S39" s="794">
        <v>0</v>
      </c>
      <c r="T39" s="794">
        <v>0</v>
      </c>
      <c r="U39" s="794">
        <v>0</v>
      </c>
      <c r="V39" s="794">
        <v>0</v>
      </c>
      <c r="W39" s="794">
        <v>0</v>
      </c>
      <c r="X39" s="794">
        <v>0</v>
      </c>
      <c r="Y39" s="794">
        <v>0</v>
      </c>
      <c r="Z39" s="794">
        <v>0</v>
      </c>
      <c r="AA39" s="794">
        <v>0</v>
      </c>
      <c r="AB39" s="794">
        <v>0</v>
      </c>
      <c r="AC39" s="794">
        <v>0</v>
      </c>
      <c r="AD39" s="794">
        <v>0</v>
      </c>
      <c r="AE39" s="794">
        <v>0</v>
      </c>
      <c r="AF39" s="794">
        <v>0</v>
      </c>
      <c r="AG39" s="794">
        <v>0</v>
      </c>
      <c r="AH39" s="794">
        <v>0</v>
      </c>
      <c r="AI39" s="794">
        <v>0</v>
      </c>
      <c r="AJ39" s="794">
        <v>0</v>
      </c>
      <c r="AK39" s="794">
        <v>0</v>
      </c>
      <c r="AL39" s="794">
        <v>0</v>
      </c>
      <c r="AM39" s="794">
        <v>0</v>
      </c>
      <c r="AN39" s="794">
        <v>0</v>
      </c>
      <c r="AO39" s="794">
        <v>0</v>
      </c>
      <c r="AP39" s="794">
        <v>0</v>
      </c>
      <c r="AQ39" s="794">
        <v>0</v>
      </c>
      <c r="AR39" s="794">
        <v>0</v>
      </c>
      <c r="AS39" s="794">
        <v>0</v>
      </c>
      <c r="AT39" s="794">
        <v>0</v>
      </c>
      <c r="AU39" s="794">
        <v>0</v>
      </c>
      <c r="AV39" s="794">
        <v>0</v>
      </c>
      <c r="AW39" s="794">
        <v>0</v>
      </c>
      <c r="AX39" s="794">
        <v>0</v>
      </c>
      <c r="AY39" s="794">
        <v>0</v>
      </c>
      <c r="AZ39" s="794">
        <v>0</v>
      </c>
      <c r="BA39" s="794">
        <v>0</v>
      </c>
      <c r="BB39" s="794">
        <v>0</v>
      </c>
      <c r="BC39" s="794">
        <v>0</v>
      </c>
      <c r="BD39" s="794">
        <v>0</v>
      </c>
      <c r="BE39" s="794">
        <v>0</v>
      </c>
      <c r="BF39" s="794">
        <v>0</v>
      </c>
      <c r="BG39" s="794">
        <v>0</v>
      </c>
      <c r="BH39" s="794">
        <v>0</v>
      </c>
      <c r="BI39" s="794">
        <v>0</v>
      </c>
      <c r="BJ39" s="794">
        <v>0</v>
      </c>
      <c r="BK39" s="794">
        <v>0</v>
      </c>
      <c r="BL39" s="794">
        <v>0</v>
      </c>
      <c r="BM39" s="794">
        <v>0</v>
      </c>
      <c r="BN39" s="794">
        <v>0</v>
      </c>
      <c r="BO39" s="794">
        <v>0</v>
      </c>
      <c r="BP39" s="794">
        <v>0</v>
      </c>
      <c r="BQ39" s="794">
        <v>0</v>
      </c>
      <c r="BR39" s="794">
        <v>0</v>
      </c>
      <c r="BS39" s="794">
        <v>0</v>
      </c>
      <c r="BT39" s="794">
        <v>0</v>
      </c>
      <c r="BU39" s="794">
        <v>0</v>
      </c>
      <c r="BV39" s="794">
        <v>0</v>
      </c>
    </row>
    <row r="40" spans="2:74">
      <c r="B40" s="793" t="s">
        <v>2742</v>
      </c>
      <c r="C40" s="793" t="s">
        <v>2743</v>
      </c>
      <c r="D40" s="793">
        <v>1</v>
      </c>
      <c r="E40" s="794"/>
      <c r="F40" s="799">
        <f t="shared" si="2"/>
        <v>1</v>
      </c>
      <c r="G40" s="799" t="s">
        <v>498</v>
      </c>
      <c r="H40" s="799" t="s">
        <v>497</v>
      </c>
      <c r="I40" s="799">
        <v>18638.25</v>
      </c>
      <c r="J40" s="799" t="str">
        <f t="shared" si="3"/>
        <v>Novara</v>
      </c>
      <c r="K40" s="799" t="str">
        <f t="shared" si="1"/>
        <v>Novara S.c.a.r.l.</v>
      </c>
      <c r="L40" s="799">
        <f t="shared" si="0"/>
        <v>331</v>
      </c>
      <c r="M40" s="799"/>
      <c r="N40" s="595"/>
      <c r="O40" s="794">
        <v>0</v>
      </c>
      <c r="P40" s="809">
        <v>40957.19</v>
      </c>
      <c r="Q40" s="794">
        <v>0</v>
      </c>
      <c r="R40" s="794">
        <v>0</v>
      </c>
      <c r="S40" s="794">
        <v>0</v>
      </c>
      <c r="T40" s="794">
        <v>0</v>
      </c>
      <c r="U40" s="794">
        <v>0</v>
      </c>
      <c r="V40" s="794">
        <v>0</v>
      </c>
      <c r="W40" s="794">
        <v>0</v>
      </c>
      <c r="X40" s="794">
        <v>0</v>
      </c>
      <c r="Y40" s="794">
        <v>0</v>
      </c>
      <c r="Z40" s="794">
        <v>0</v>
      </c>
      <c r="AA40" s="794">
        <v>0</v>
      </c>
      <c r="AB40" s="794">
        <v>0</v>
      </c>
      <c r="AC40" s="794">
        <v>0</v>
      </c>
      <c r="AD40" s="794">
        <v>0</v>
      </c>
      <c r="AE40" s="794">
        <v>0</v>
      </c>
      <c r="AF40" s="794">
        <v>0</v>
      </c>
      <c r="AG40" s="794">
        <v>0</v>
      </c>
      <c r="AH40" s="794">
        <v>0</v>
      </c>
      <c r="AI40" s="794">
        <v>0</v>
      </c>
      <c r="AJ40" s="794">
        <v>0</v>
      </c>
      <c r="AK40" s="794">
        <v>0</v>
      </c>
      <c r="AL40" s="794">
        <v>0</v>
      </c>
      <c r="AM40" s="794">
        <v>0</v>
      </c>
      <c r="AN40" s="794">
        <v>0</v>
      </c>
      <c r="AO40" s="794">
        <v>0</v>
      </c>
      <c r="AP40" s="794">
        <v>0</v>
      </c>
      <c r="AQ40" s="794">
        <v>0</v>
      </c>
      <c r="AR40" s="794">
        <v>0</v>
      </c>
      <c r="AS40" s="794">
        <v>0</v>
      </c>
      <c r="AT40" s="794">
        <v>0</v>
      </c>
      <c r="AU40" s="794">
        <v>0</v>
      </c>
      <c r="AV40" s="794">
        <v>0</v>
      </c>
      <c r="AW40" s="794">
        <v>0</v>
      </c>
      <c r="AX40" s="794">
        <v>0</v>
      </c>
      <c r="AY40" s="794">
        <v>0</v>
      </c>
      <c r="AZ40" s="794">
        <v>0</v>
      </c>
      <c r="BA40" s="794">
        <v>0</v>
      </c>
      <c r="BB40" s="794">
        <v>0</v>
      </c>
      <c r="BC40" s="794">
        <v>0</v>
      </c>
      <c r="BD40" s="794">
        <v>0</v>
      </c>
      <c r="BE40" s="794">
        <v>0</v>
      </c>
      <c r="BF40" s="794">
        <v>0</v>
      </c>
      <c r="BG40" s="794">
        <v>0</v>
      </c>
      <c r="BH40" s="794">
        <v>0</v>
      </c>
      <c r="BI40" s="794">
        <v>0</v>
      </c>
      <c r="BJ40" s="794">
        <v>0</v>
      </c>
      <c r="BK40" s="794">
        <v>0</v>
      </c>
      <c r="BL40" s="794">
        <v>0</v>
      </c>
      <c r="BM40" s="794">
        <v>0</v>
      </c>
      <c r="BN40" s="794">
        <v>0</v>
      </c>
      <c r="BO40" s="794">
        <v>0</v>
      </c>
      <c r="BP40" s="794">
        <v>0</v>
      </c>
      <c r="BQ40" s="794">
        <v>0</v>
      </c>
      <c r="BR40" s="794">
        <v>0</v>
      </c>
      <c r="BS40" s="794">
        <v>0</v>
      </c>
      <c r="BT40" s="794">
        <v>0</v>
      </c>
      <c r="BU40" s="794">
        <v>0</v>
      </c>
      <c r="BV40" s="794">
        <v>0</v>
      </c>
    </row>
    <row r="41" spans="2:74">
      <c r="B41" s="793" t="s">
        <v>2745</v>
      </c>
      <c r="C41" s="793" t="s">
        <v>2746</v>
      </c>
      <c r="D41" s="793">
        <v>38</v>
      </c>
      <c r="E41" s="794">
        <v>1769402.13</v>
      </c>
      <c r="F41" s="799">
        <f t="shared" si="2"/>
        <v>1</v>
      </c>
      <c r="G41" s="799" t="s">
        <v>3324</v>
      </c>
      <c r="H41" s="799" t="s">
        <v>755</v>
      </c>
      <c r="I41" s="799">
        <v>48547.08</v>
      </c>
      <c r="J41" s="799" t="str">
        <f t="shared" si="3"/>
        <v>A1 Firenze Sud</v>
      </c>
      <c r="K41" s="799" t="e">
        <f t="shared" si="1"/>
        <v>#N/A</v>
      </c>
      <c r="L41" s="799">
        <f t="shared" si="0"/>
        <v>331</v>
      </c>
      <c r="M41" s="799"/>
      <c r="N41" s="595"/>
      <c r="O41" s="794">
        <v>0</v>
      </c>
      <c r="P41" s="809">
        <v>37581.81</v>
      </c>
      <c r="Q41" s="794">
        <v>48866.8</v>
      </c>
      <c r="R41" s="794">
        <v>19745.689999999999</v>
      </c>
      <c r="S41" s="794">
        <v>26012.75</v>
      </c>
      <c r="T41" s="794">
        <v>22808.91</v>
      </c>
      <c r="U41" s="794">
        <v>0</v>
      </c>
      <c r="V41" s="794">
        <v>14257.5</v>
      </c>
      <c r="W41" s="794">
        <v>11272.2</v>
      </c>
      <c r="X41" s="794">
        <v>31042.12</v>
      </c>
      <c r="Y41" s="794">
        <v>15147.86</v>
      </c>
      <c r="Z41" s="794">
        <v>0</v>
      </c>
      <c r="AA41" s="794">
        <v>0</v>
      </c>
      <c r="AB41" s="794">
        <v>0</v>
      </c>
      <c r="AC41" s="794">
        <v>0</v>
      </c>
      <c r="AD41" s="794">
        <v>0</v>
      </c>
      <c r="AE41" s="794">
        <v>0</v>
      </c>
      <c r="AF41" s="794">
        <v>0</v>
      </c>
      <c r="AG41" s="794">
        <v>0</v>
      </c>
      <c r="AH41" s="794">
        <v>0</v>
      </c>
      <c r="AI41" s="794">
        <v>0</v>
      </c>
      <c r="AJ41" s="794">
        <v>0</v>
      </c>
      <c r="AK41" s="794">
        <v>0</v>
      </c>
      <c r="AL41" s="794">
        <v>0</v>
      </c>
      <c r="AM41" s="794">
        <v>0</v>
      </c>
      <c r="AN41" s="794">
        <v>0</v>
      </c>
      <c r="AO41" s="794">
        <v>0</v>
      </c>
      <c r="AP41" s="794">
        <v>0</v>
      </c>
      <c r="AQ41" s="794">
        <v>0</v>
      </c>
      <c r="AR41" s="794">
        <v>0</v>
      </c>
      <c r="AS41" s="794">
        <v>0</v>
      </c>
      <c r="AT41" s="794">
        <v>0</v>
      </c>
      <c r="AU41" s="794">
        <v>0</v>
      </c>
      <c r="AV41" s="794">
        <v>0</v>
      </c>
      <c r="AW41" s="794">
        <v>0</v>
      </c>
      <c r="AX41" s="794">
        <v>0</v>
      </c>
      <c r="AY41" s="794">
        <v>0</v>
      </c>
      <c r="AZ41" s="794">
        <v>0</v>
      </c>
      <c r="BA41" s="794">
        <v>0</v>
      </c>
      <c r="BB41" s="794">
        <v>0</v>
      </c>
      <c r="BC41" s="794">
        <v>0</v>
      </c>
      <c r="BD41" s="794">
        <v>0</v>
      </c>
      <c r="BE41" s="794">
        <v>0</v>
      </c>
      <c r="BF41" s="794">
        <v>0</v>
      </c>
      <c r="BG41" s="794">
        <v>0</v>
      </c>
      <c r="BH41" s="794">
        <v>0</v>
      </c>
      <c r="BI41" s="794">
        <v>0</v>
      </c>
      <c r="BJ41" s="794">
        <v>0</v>
      </c>
      <c r="BK41" s="794">
        <v>0</v>
      </c>
      <c r="BL41" s="794">
        <v>0</v>
      </c>
      <c r="BM41" s="794">
        <v>0</v>
      </c>
      <c r="BN41" s="794">
        <v>0</v>
      </c>
      <c r="BO41" s="794">
        <v>0</v>
      </c>
      <c r="BP41" s="794">
        <v>0</v>
      </c>
      <c r="BQ41" s="794">
        <v>0</v>
      </c>
      <c r="BR41" s="794">
        <v>0</v>
      </c>
      <c r="BS41" s="794">
        <v>0</v>
      </c>
      <c r="BT41" s="794">
        <v>0</v>
      </c>
      <c r="BU41" s="794">
        <v>0</v>
      </c>
      <c r="BV41" s="794">
        <v>0</v>
      </c>
    </row>
    <row r="42" spans="2:74">
      <c r="B42" s="793" t="s">
        <v>2747</v>
      </c>
      <c r="C42" s="793" t="s">
        <v>2748</v>
      </c>
      <c r="D42" s="793"/>
      <c r="E42" s="794"/>
      <c r="F42" s="799">
        <f t="shared" si="2"/>
        <v>1</v>
      </c>
      <c r="G42" s="799" t="s">
        <v>857</v>
      </c>
      <c r="H42" s="799" t="s">
        <v>3352</v>
      </c>
      <c r="I42" s="799">
        <v>1020795.6599999999</v>
      </c>
      <c r="J42" s="799" t="str">
        <f t="shared" si="3"/>
        <v>Casalecchio di Reno (BO)</v>
      </c>
      <c r="K42" s="799" t="str">
        <f t="shared" si="1"/>
        <v>Tunnel64</v>
      </c>
      <c r="L42" s="799">
        <f t="shared" si="0"/>
        <v>331</v>
      </c>
      <c r="M42" s="799"/>
      <c r="N42" s="595"/>
      <c r="O42" s="794">
        <v>0</v>
      </c>
      <c r="P42" s="794">
        <v>0</v>
      </c>
      <c r="Q42" s="809">
        <v>28809.64</v>
      </c>
      <c r="R42" s="794">
        <v>0</v>
      </c>
      <c r="S42" s="794">
        <v>0</v>
      </c>
      <c r="T42" s="794">
        <v>0</v>
      </c>
      <c r="U42" s="794">
        <v>0</v>
      </c>
      <c r="V42" s="794">
        <v>0</v>
      </c>
      <c r="W42" s="794">
        <v>0</v>
      </c>
      <c r="X42" s="794">
        <v>0</v>
      </c>
      <c r="Y42" s="794">
        <v>0</v>
      </c>
      <c r="Z42" s="794">
        <v>0</v>
      </c>
      <c r="AA42" s="794">
        <v>0</v>
      </c>
      <c r="AB42" s="794">
        <v>0</v>
      </c>
      <c r="AC42" s="794">
        <v>0</v>
      </c>
      <c r="AD42" s="794">
        <v>0</v>
      </c>
      <c r="AE42" s="794">
        <v>0</v>
      </c>
      <c r="AF42" s="794">
        <v>0</v>
      </c>
      <c r="AG42" s="794">
        <v>0</v>
      </c>
      <c r="AH42" s="794">
        <v>0</v>
      </c>
      <c r="AI42" s="794">
        <v>0</v>
      </c>
      <c r="AJ42" s="794">
        <v>0</v>
      </c>
      <c r="AK42" s="794">
        <v>0</v>
      </c>
      <c r="AL42" s="794">
        <v>0</v>
      </c>
      <c r="AM42" s="794">
        <v>0</v>
      </c>
      <c r="AN42" s="794">
        <v>0</v>
      </c>
      <c r="AO42" s="794">
        <v>0</v>
      </c>
      <c r="AP42" s="794">
        <v>0</v>
      </c>
      <c r="AQ42" s="794">
        <v>0</v>
      </c>
      <c r="AR42" s="794">
        <v>0</v>
      </c>
      <c r="AS42" s="794">
        <v>0</v>
      </c>
      <c r="AT42" s="794">
        <v>0</v>
      </c>
      <c r="AU42" s="794">
        <v>0</v>
      </c>
      <c r="AV42" s="794">
        <v>0</v>
      </c>
      <c r="AW42" s="794">
        <v>0</v>
      </c>
      <c r="AX42" s="794">
        <v>0</v>
      </c>
      <c r="AY42" s="794">
        <v>0</v>
      </c>
      <c r="AZ42" s="794">
        <v>0</v>
      </c>
      <c r="BA42" s="794">
        <v>0</v>
      </c>
      <c r="BB42" s="794">
        <v>0</v>
      </c>
      <c r="BC42" s="794">
        <v>0</v>
      </c>
      <c r="BD42" s="794">
        <v>0</v>
      </c>
      <c r="BE42" s="794">
        <v>0</v>
      </c>
      <c r="BF42" s="794">
        <v>0</v>
      </c>
      <c r="BG42" s="794">
        <v>0</v>
      </c>
      <c r="BH42" s="794">
        <v>0</v>
      </c>
      <c r="BI42" s="794">
        <v>0</v>
      </c>
      <c r="BJ42" s="794">
        <v>0</v>
      </c>
      <c r="BK42" s="794">
        <v>0</v>
      </c>
      <c r="BL42" s="794">
        <v>0</v>
      </c>
      <c r="BM42" s="794">
        <v>0</v>
      </c>
      <c r="BN42" s="794">
        <v>0</v>
      </c>
      <c r="BO42" s="794">
        <v>0</v>
      </c>
      <c r="BP42" s="794">
        <v>0</v>
      </c>
      <c r="BQ42" s="794">
        <v>0</v>
      </c>
      <c r="BR42" s="794">
        <v>0</v>
      </c>
      <c r="BS42" s="794">
        <v>0</v>
      </c>
      <c r="BT42" s="794">
        <v>0</v>
      </c>
      <c r="BU42" s="794">
        <v>0</v>
      </c>
      <c r="BV42" s="794">
        <v>0</v>
      </c>
    </row>
    <row r="43" spans="2:74">
      <c r="B43" s="793" t="s">
        <v>2749</v>
      </c>
      <c r="C43" s="793" t="s">
        <v>2750</v>
      </c>
      <c r="D43" s="793"/>
      <c r="E43" s="794"/>
      <c r="F43" s="799">
        <f t="shared" si="2"/>
        <v>29</v>
      </c>
      <c r="G43" s="799"/>
      <c r="H43" s="799"/>
      <c r="I43" s="799"/>
      <c r="J43" s="799" t="e">
        <f t="shared" si="3"/>
        <v>#N/A</v>
      </c>
      <c r="K43" s="799" t="e">
        <f t="shared" si="1"/>
        <v>#N/A</v>
      </c>
      <c r="L43" s="799">
        <f t="shared" si="0"/>
        <v>331</v>
      </c>
      <c r="M43" s="799"/>
      <c r="N43" s="595"/>
      <c r="O43" s="794">
        <v>0</v>
      </c>
      <c r="P43" s="794">
        <v>0</v>
      </c>
      <c r="Q43" s="809">
        <v>42926.36</v>
      </c>
      <c r="R43" s="794">
        <v>0</v>
      </c>
      <c r="S43" s="794">
        <v>12073.64</v>
      </c>
      <c r="T43" s="794">
        <v>0</v>
      </c>
      <c r="U43" s="794">
        <v>10000</v>
      </c>
      <c r="V43" s="794">
        <v>0</v>
      </c>
      <c r="W43" s="794">
        <v>0</v>
      </c>
      <c r="X43" s="794">
        <v>0</v>
      </c>
      <c r="Y43" s="794">
        <v>0</v>
      </c>
      <c r="Z43" s="794">
        <v>0</v>
      </c>
      <c r="AA43" s="794">
        <v>0</v>
      </c>
      <c r="AB43" s="794">
        <v>0</v>
      </c>
      <c r="AC43" s="794">
        <v>0</v>
      </c>
      <c r="AD43" s="794">
        <v>0</v>
      </c>
      <c r="AE43" s="794">
        <v>0</v>
      </c>
      <c r="AF43" s="794">
        <v>0</v>
      </c>
      <c r="AG43" s="794">
        <v>0</v>
      </c>
      <c r="AH43" s="794">
        <v>0</v>
      </c>
      <c r="AI43" s="794">
        <v>0</v>
      </c>
      <c r="AJ43" s="794">
        <v>0</v>
      </c>
      <c r="AK43" s="794">
        <v>0</v>
      </c>
      <c r="AL43" s="794">
        <v>0</v>
      </c>
      <c r="AM43" s="794">
        <v>0</v>
      </c>
      <c r="AN43" s="794">
        <v>0</v>
      </c>
      <c r="AO43" s="794">
        <v>0</v>
      </c>
      <c r="AP43" s="794">
        <v>0</v>
      </c>
      <c r="AQ43" s="794">
        <v>0</v>
      </c>
      <c r="AR43" s="794">
        <v>0</v>
      </c>
      <c r="AS43" s="794">
        <v>0</v>
      </c>
      <c r="AT43" s="794">
        <v>0</v>
      </c>
      <c r="AU43" s="794">
        <v>0</v>
      </c>
      <c r="AV43" s="794">
        <v>0</v>
      </c>
      <c r="AW43" s="794">
        <v>0</v>
      </c>
      <c r="AX43" s="794">
        <v>0</v>
      </c>
      <c r="AY43" s="794">
        <v>0</v>
      </c>
      <c r="AZ43" s="794">
        <v>0</v>
      </c>
      <c r="BA43" s="794">
        <v>0</v>
      </c>
      <c r="BB43" s="794">
        <v>0</v>
      </c>
      <c r="BC43" s="794">
        <v>0</v>
      </c>
      <c r="BD43" s="794">
        <v>0</v>
      </c>
      <c r="BE43" s="794">
        <v>0</v>
      </c>
      <c r="BF43" s="794">
        <v>0</v>
      </c>
      <c r="BG43" s="794">
        <v>0</v>
      </c>
      <c r="BH43" s="794">
        <v>0</v>
      </c>
      <c r="BI43" s="794">
        <v>0</v>
      </c>
      <c r="BJ43" s="794">
        <v>0</v>
      </c>
      <c r="BK43" s="794">
        <v>0</v>
      </c>
      <c r="BL43" s="794">
        <v>0</v>
      </c>
      <c r="BM43" s="794">
        <v>0</v>
      </c>
      <c r="BN43" s="794">
        <v>0</v>
      </c>
      <c r="BO43" s="794">
        <v>0</v>
      </c>
      <c r="BP43" s="794">
        <v>0</v>
      </c>
      <c r="BQ43" s="794">
        <v>0</v>
      </c>
      <c r="BR43" s="794">
        <v>0</v>
      </c>
      <c r="BS43" s="794">
        <v>0</v>
      </c>
      <c r="BT43" s="794">
        <v>0</v>
      </c>
      <c r="BU43" s="794">
        <v>0</v>
      </c>
      <c r="BV43" s="794">
        <v>0</v>
      </c>
    </row>
    <row r="44" spans="2:74">
      <c r="B44" s="793" t="s">
        <v>2751</v>
      </c>
      <c r="C44" s="793" t="s">
        <v>2752</v>
      </c>
      <c r="D44" s="793"/>
      <c r="E44" s="794"/>
      <c r="F44" s="799">
        <f t="shared" si="2"/>
        <v>1</v>
      </c>
      <c r="G44" s="799" t="s">
        <v>3405</v>
      </c>
      <c r="H44" s="799" t="s">
        <v>3406</v>
      </c>
      <c r="I44" s="799">
        <v>6279.78</v>
      </c>
      <c r="J44" s="799" t="str">
        <f t="shared" si="3"/>
        <v>MONTECCHIO</v>
      </c>
      <c r="K44" s="799" t="str">
        <f t="shared" si="1"/>
        <v>Montecchio SCARL</v>
      </c>
      <c r="L44" s="799">
        <f t="shared" si="0"/>
        <v>331</v>
      </c>
      <c r="M44" s="799"/>
      <c r="N44" s="595"/>
      <c r="O44" s="794">
        <v>0</v>
      </c>
      <c r="P44" s="794">
        <v>0</v>
      </c>
      <c r="Q44" s="809">
        <v>7869</v>
      </c>
      <c r="R44" s="794">
        <v>0</v>
      </c>
      <c r="S44" s="794">
        <v>0</v>
      </c>
      <c r="T44" s="794">
        <v>0</v>
      </c>
      <c r="U44" s="794">
        <v>0</v>
      </c>
      <c r="V44" s="794">
        <v>0</v>
      </c>
      <c r="W44" s="794">
        <v>0</v>
      </c>
      <c r="X44" s="794">
        <v>0</v>
      </c>
      <c r="Y44" s="794">
        <v>0</v>
      </c>
      <c r="Z44" s="794">
        <v>0</v>
      </c>
      <c r="AA44" s="794">
        <v>0</v>
      </c>
      <c r="AB44" s="794">
        <v>0</v>
      </c>
      <c r="AC44" s="794">
        <v>0</v>
      </c>
      <c r="AD44" s="794">
        <v>0</v>
      </c>
      <c r="AE44" s="794">
        <v>0</v>
      </c>
      <c r="AF44" s="794">
        <v>0</v>
      </c>
      <c r="AG44" s="794">
        <v>0</v>
      </c>
      <c r="AH44" s="794">
        <v>0</v>
      </c>
      <c r="AI44" s="794">
        <v>0</v>
      </c>
      <c r="AJ44" s="794">
        <v>0</v>
      </c>
      <c r="AK44" s="794">
        <v>0</v>
      </c>
      <c r="AL44" s="794">
        <v>0</v>
      </c>
      <c r="AM44" s="794">
        <v>0</v>
      </c>
      <c r="AN44" s="794">
        <v>0</v>
      </c>
      <c r="AO44" s="794">
        <v>0</v>
      </c>
      <c r="AP44" s="794">
        <v>0</v>
      </c>
      <c r="AQ44" s="794">
        <v>0</v>
      </c>
      <c r="AR44" s="794">
        <v>0</v>
      </c>
      <c r="AS44" s="794">
        <v>0</v>
      </c>
      <c r="AT44" s="794">
        <v>0</v>
      </c>
      <c r="AU44" s="794">
        <v>0</v>
      </c>
      <c r="AV44" s="794">
        <v>0</v>
      </c>
      <c r="AW44" s="794">
        <v>0</v>
      </c>
      <c r="AX44" s="794">
        <v>0</v>
      </c>
      <c r="AY44" s="794">
        <v>0</v>
      </c>
      <c r="AZ44" s="794">
        <v>0</v>
      </c>
      <c r="BA44" s="794">
        <v>0</v>
      </c>
      <c r="BB44" s="794">
        <v>0</v>
      </c>
      <c r="BC44" s="794">
        <v>0</v>
      </c>
      <c r="BD44" s="794">
        <v>0</v>
      </c>
      <c r="BE44" s="794">
        <v>0</v>
      </c>
      <c r="BF44" s="794">
        <v>0</v>
      </c>
      <c r="BG44" s="794">
        <v>0</v>
      </c>
      <c r="BH44" s="794">
        <v>0</v>
      </c>
      <c r="BI44" s="794">
        <v>0</v>
      </c>
      <c r="BJ44" s="794">
        <v>0</v>
      </c>
      <c r="BK44" s="794">
        <v>0</v>
      </c>
      <c r="BL44" s="794">
        <v>0</v>
      </c>
      <c r="BM44" s="794">
        <v>0</v>
      </c>
      <c r="BN44" s="794">
        <v>0</v>
      </c>
      <c r="BO44" s="794">
        <v>0</v>
      </c>
      <c r="BP44" s="794">
        <v>0</v>
      </c>
      <c r="BQ44" s="794">
        <v>0</v>
      </c>
      <c r="BR44" s="794">
        <v>0</v>
      </c>
      <c r="BS44" s="794">
        <v>0</v>
      </c>
      <c r="BT44" s="794">
        <v>0</v>
      </c>
      <c r="BU44" s="794">
        <v>0</v>
      </c>
      <c r="BV44" s="794">
        <v>0</v>
      </c>
    </row>
    <row r="45" spans="2:74">
      <c r="B45" s="793" t="s">
        <v>2753</v>
      </c>
      <c r="C45" s="793" t="s">
        <v>2754</v>
      </c>
      <c r="D45" s="793"/>
      <c r="E45" s="794"/>
      <c r="F45" s="799">
        <f t="shared" si="2"/>
        <v>1</v>
      </c>
      <c r="G45" s="799" t="s">
        <v>2859</v>
      </c>
      <c r="H45" s="799" t="s">
        <v>2860</v>
      </c>
      <c r="I45" s="799">
        <v>32129.769999999997</v>
      </c>
      <c r="J45" s="799" t="str">
        <f t="shared" si="3"/>
        <v>Milano Politecnico</v>
      </c>
      <c r="K45" s="799" t="str">
        <f t="shared" si="1"/>
        <v>CMSA</v>
      </c>
      <c r="L45" s="799">
        <f t="shared" si="0"/>
        <v>331</v>
      </c>
      <c r="M45" s="799"/>
      <c r="N45" s="595"/>
      <c r="O45" s="794">
        <v>0</v>
      </c>
      <c r="P45" s="794">
        <v>0</v>
      </c>
      <c r="Q45" s="809">
        <v>22110</v>
      </c>
      <c r="R45" s="794">
        <v>0</v>
      </c>
      <c r="S45" s="794">
        <v>0</v>
      </c>
      <c r="T45" s="794">
        <v>0</v>
      </c>
      <c r="U45" s="794">
        <v>0</v>
      </c>
      <c r="V45" s="794">
        <v>0</v>
      </c>
      <c r="W45" s="794">
        <v>0</v>
      </c>
      <c r="X45" s="794">
        <v>0</v>
      </c>
      <c r="Y45" s="794">
        <v>0</v>
      </c>
      <c r="Z45" s="794">
        <v>0</v>
      </c>
      <c r="AA45" s="794">
        <v>0</v>
      </c>
      <c r="AB45" s="794">
        <v>0</v>
      </c>
      <c r="AC45" s="794">
        <v>0</v>
      </c>
      <c r="AD45" s="794">
        <v>0</v>
      </c>
      <c r="AE45" s="794">
        <v>0</v>
      </c>
      <c r="AF45" s="794">
        <v>0</v>
      </c>
      <c r="AG45" s="794">
        <v>0</v>
      </c>
      <c r="AH45" s="794">
        <v>0</v>
      </c>
      <c r="AI45" s="794">
        <v>0</v>
      </c>
      <c r="AJ45" s="794">
        <v>0</v>
      </c>
      <c r="AK45" s="794">
        <v>0</v>
      </c>
      <c r="AL45" s="794">
        <v>0</v>
      </c>
      <c r="AM45" s="794">
        <v>0</v>
      </c>
      <c r="AN45" s="794">
        <v>0</v>
      </c>
      <c r="AO45" s="794">
        <v>0</v>
      </c>
      <c r="AP45" s="794">
        <v>0</v>
      </c>
      <c r="AQ45" s="794">
        <v>0</v>
      </c>
      <c r="AR45" s="794">
        <v>0</v>
      </c>
      <c r="AS45" s="794">
        <v>0</v>
      </c>
      <c r="AT45" s="794">
        <v>0</v>
      </c>
      <c r="AU45" s="794">
        <v>0</v>
      </c>
      <c r="AV45" s="794">
        <v>0</v>
      </c>
      <c r="AW45" s="794">
        <v>0</v>
      </c>
      <c r="AX45" s="794">
        <v>0</v>
      </c>
      <c r="AY45" s="794">
        <v>0</v>
      </c>
      <c r="AZ45" s="794">
        <v>0</v>
      </c>
      <c r="BA45" s="794">
        <v>0</v>
      </c>
      <c r="BB45" s="794">
        <v>0</v>
      </c>
      <c r="BC45" s="794">
        <v>0</v>
      </c>
      <c r="BD45" s="794">
        <v>0</v>
      </c>
      <c r="BE45" s="794">
        <v>0</v>
      </c>
      <c r="BF45" s="794">
        <v>0</v>
      </c>
      <c r="BG45" s="794">
        <v>0</v>
      </c>
      <c r="BH45" s="794">
        <v>0</v>
      </c>
      <c r="BI45" s="794">
        <v>0</v>
      </c>
      <c r="BJ45" s="794">
        <v>0</v>
      </c>
      <c r="BK45" s="794">
        <v>0</v>
      </c>
      <c r="BL45" s="794">
        <v>0</v>
      </c>
      <c r="BM45" s="794">
        <v>0</v>
      </c>
      <c r="BN45" s="794">
        <v>0</v>
      </c>
      <c r="BO45" s="794">
        <v>0</v>
      </c>
      <c r="BP45" s="794">
        <v>0</v>
      </c>
      <c r="BQ45" s="794">
        <v>0</v>
      </c>
      <c r="BR45" s="794">
        <v>0</v>
      </c>
      <c r="BS45" s="794">
        <v>0</v>
      </c>
      <c r="BT45" s="794">
        <v>0</v>
      </c>
      <c r="BU45" s="794">
        <v>0</v>
      </c>
      <c r="BV45" s="794">
        <v>0</v>
      </c>
    </row>
    <row r="46" spans="2:74">
      <c r="B46" s="793" t="s">
        <v>2755</v>
      </c>
      <c r="C46" s="793" t="s">
        <v>2754</v>
      </c>
      <c r="D46" s="793"/>
      <c r="E46" s="794"/>
      <c r="F46" s="799">
        <f t="shared" si="2"/>
        <v>29</v>
      </c>
      <c r="G46" s="799"/>
      <c r="H46" s="799"/>
      <c r="I46" s="799"/>
      <c r="J46" s="799" t="e">
        <f t="shared" si="3"/>
        <v>#N/A</v>
      </c>
      <c r="K46" s="799" t="e">
        <f t="shared" si="1"/>
        <v>#N/A</v>
      </c>
      <c r="L46" s="799">
        <f t="shared" si="0"/>
        <v>331</v>
      </c>
      <c r="M46" s="799"/>
      <c r="N46" s="595"/>
      <c r="O46" s="794">
        <v>0</v>
      </c>
      <c r="P46" s="794">
        <v>0</v>
      </c>
      <c r="Q46" s="809">
        <v>44063.35</v>
      </c>
      <c r="R46" s="794">
        <v>0</v>
      </c>
      <c r="S46" s="794">
        <v>0</v>
      </c>
      <c r="T46" s="794">
        <v>0</v>
      </c>
      <c r="U46" s="794">
        <v>0</v>
      </c>
      <c r="V46" s="794">
        <v>0</v>
      </c>
      <c r="W46" s="794">
        <v>0</v>
      </c>
      <c r="X46" s="794">
        <v>0</v>
      </c>
      <c r="Y46" s="794">
        <v>0</v>
      </c>
      <c r="Z46" s="794">
        <v>0</v>
      </c>
      <c r="AA46" s="794">
        <v>0</v>
      </c>
      <c r="AB46" s="794">
        <v>0</v>
      </c>
      <c r="AC46" s="794">
        <v>0</v>
      </c>
      <c r="AD46" s="794">
        <v>0</v>
      </c>
      <c r="AE46" s="794">
        <v>0</v>
      </c>
      <c r="AF46" s="794">
        <v>0</v>
      </c>
      <c r="AG46" s="794">
        <v>0</v>
      </c>
      <c r="AH46" s="794">
        <v>0</v>
      </c>
      <c r="AI46" s="794">
        <v>0</v>
      </c>
      <c r="AJ46" s="794">
        <v>0</v>
      </c>
      <c r="AK46" s="794">
        <v>0</v>
      </c>
      <c r="AL46" s="794">
        <v>0</v>
      </c>
      <c r="AM46" s="794">
        <v>0</v>
      </c>
      <c r="AN46" s="794">
        <v>0</v>
      </c>
      <c r="AO46" s="794">
        <v>0</v>
      </c>
      <c r="AP46" s="794">
        <v>0</v>
      </c>
      <c r="AQ46" s="794">
        <v>0</v>
      </c>
      <c r="AR46" s="794">
        <v>0</v>
      </c>
      <c r="AS46" s="794">
        <v>0</v>
      </c>
      <c r="AT46" s="794">
        <v>0</v>
      </c>
      <c r="AU46" s="794">
        <v>0</v>
      </c>
      <c r="AV46" s="794">
        <v>0</v>
      </c>
      <c r="AW46" s="794">
        <v>0</v>
      </c>
      <c r="AX46" s="794">
        <v>0</v>
      </c>
      <c r="AY46" s="794">
        <v>0</v>
      </c>
      <c r="AZ46" s="794">
        <v>0</v>
      </c>
      <c r="BA46" s="794">
        <v>0</v>
      </c>
      <c r="BB46" s="794">
        <v>0</v>
      </c>
      <c r="BC46" s="794">
        <v>0</v>
      </c>
      <c r="BD46" s="794">
        <v>0</v>
      </c>
      <c r="BE46" s="794">
        <v>0</v>
      </c>
      <c r="BF46" s="794">
        <v>0</v>
      </c>
      <c r="BG46" s="794">
        <v>0</v>
      </c>
      <c r="BH46" s="794">
        <v>0</v>
      </c>
      <c r="BI46" s="794">
        <v>0</v>
      </c>
      <c r="BJ46" s="794">
        <v>0</v>
      </c>
      <c r="BK46" s="794">
        <v>0</v>
      </c>
      <c r="BL46" s="794">
        <v>0</v>
      </c>
      <c r="BM46" s="794">
        <v>0</v>
      </c>
      <c r="BN46" s="794">
        <v>0</v>
      </c>
      <c r="BO46" s="794">
        <v>0</v>
      </c>
      <c r="BP46" s="794">
        <v>0</v>
      </c>
      <c r="BQ46" s="794">
        <v>0</v>
      </c>
      <c r="BR46" s="794">
        <v>0</v>
      </c>
      <c r="BS46" s="794">
        <v>0</v>
      </c>
      <c r="BT46" s="794">
        <v>0</v>
      </c>
      <c r="BU46" s="794">
        <v>0</v>
      </c>
      <c r="BV46" s="794">
        <v>0</v>
      </c>
    </row>
    <row r="47" spans="2:74">
      <c r="B47" s="793" t="s">
        <v>2756</v>
      </c>
      <c r="C47" s="793" t="s">
        <v>2757</v>
      </c>
      <c r="D47" s="793"/>
      <c r="E47" s="794"/>
      <c r="F47" s="799">
        <f t="shared" si="2"/>
        <v>1</v>
      </c>
      <c r="G47" s="799" t="s">
        <v>3407</v>
      </c>
      <c r="H47" s="799" t="s">
        <v>3222</v>
      </c>
      <c r="I47" s="799">
        <v>200000</v>
      </c>
      <c r="J47" s="799" t="str">
        <f t="shared" si="3"/>
        <v>Milano Via Serio</v>
      </c>
      <c r="K47" s="799" t="str">
        <f t="shared" si="1"/>
        <v>COVIVIO-Colombo Severo S.p.A.</v>
      </c>
      <c r="L47" s="799">
        <f t="shared" si="0"/>
        <v>331</v>
      </c>
      <c r="M47" s="799"/>
      <c r="N47" s="595"/>
      <c r="O47" s="794">
        <v>0</v>
      </c>
      <c r="P47" s="794">
        <v>0</v>
      </c>
      <c r="Q47" s="794">
        <v>0</v>
      </c>
      <c r="R47" s="809">
        <v>47000</v>
      </c>
      <c r="S47" s="794">
        <v>0</v>
      </c>
      <c r="T47" s="794">
        <v>0</v>
      </c>
      <c r="U47" s="794">
        <v>0</v>
      </c>
      <c r="V47" s="794">
        <v>0</v>
      </c>
      <c r="W47" s="794">
        <v>0</v>
      </c>
      <c r="X47" s="794">
        <v>0</v>
      </c>
      <c r="Y47" s="794">
        <v>0</v>
      </c>
      <c r="Z47" s="794">
        <v>0</v>
      </c>
      <c r="AA47" s="794">
        <v>0</v>
      </c>
      <c r="AB47" s="794">
        <v>0</v>
      </c>
      <c r="AC47" s="794">
        <v>0</v>
      </c>
      <c r="AD47" s="794">
        <v>0</v>
      </c>
      <c r="AE47" s="794">
        <v>0</v>
      </c>
      <c r="AF47" s="794">
        <v>0</v>
      </c>
      <c r="AG47" s="794">
        <v>0</v>
      </c>
      <c r="AH47" s="794">
        <v>0</v>
      </c>
      <c r="AI47" s="794">
        <v>0</v>
      </c>
      <c r="AJ47" s="794">
        <v>0</v>
      </c>
      <c r="AK47" s="794">
        <v>0</v>
      </c>
      <c r="AL47" s="794">
        <v>0</v>
      </c>
      <c r="AM47" s="794">
        <v>0</v>
      </c>
      <c r="AN47" s="794">
        <v>0</v>
      </c>
      <c r="AO47" s="794">
        <v>0</v>
      </c>
      <c r="AP47" s="794">
        <v>0</v>
      </c>
      <c r="AQ47" s="794">
        <v>0</v>
      </c>
      <c r="AR47" s="794">
        <v>0</v>
      </c>
      <c r="AS47" s="794">
        <v>0</v>
      </c>
      <c r="AT47" s="794">
        <v>0</v>
      </c>
      <c r="AU47" s="794">
        <v>0</v>
      </c>
      <c r="AV47" s="794">
        <v>0</v>
      </c>
      <c r="AW47" s="794">
        <v>0</v>
      </c>
      <c r="AX47" s="794">
        <v>0</v>
      </c>
      <c r="AY47" s="794">
        <v>0</v>
      </c>
      <c r="AZ47" s="794">
        <v>0</v>
      </c>
      <c r="BA47" s="794">
        <v>0</v>
      </c>
      <c r="BB47" s="794">
        <v>0</v>
      </c>
      <c r="BC47" s="794">
        <v>0</v>
      </c>
      <c r="BD47" s="794">
        <v>0</v>
      </c>
      <c r="BE47" s="794">
        <v>0</v>
      </c>
      <c r="BF47" s="794">
        <v>0</v>
      </c>
      <c r="BG47" s="794">
        <v>0</v>
      </c>
      <c r="BH47" s="794">
        <v>0</v>
      </c>
      <c r="BI47" s="794">
        <v>0</v>
      </c>
      <c r="BJ47" s="794">
        <v>0</v>
      </c>
      <c r="BK47" s="794">
        <v>0</v>
      </c>
      <c r="BL47" s="794">
        <v>0</v>
      </c>
      <c r="BM47" s="794">
        <v>0</v>
      </c>
      <c r="BN47" s="794">
        <v>0</v>
      </c>
      <c r="BO47" s="794">
        <v>0</v>
      </c>
      <c r="BP47" s="794">
        <v>0</v>
      </c>
      <c r="BQ47" s="794">
        <v>0</v>
      </c>
      <c r="BR47" s="794">
        <v>0</v>
      </c>
      <c r="BS47" s="794">
        <v>0</v>
      </c>
      <c r="BT47" s="794">
        <v>0</v>
      </c>
      <c r="BU47" s="794">
        <v>0</v>
      </c>
      <c r="BV47" s="794">
        <v>0</v>
      </c>
    </row>
    <row r="48" spans="2:74">
      <c r="B48" s="793" t="s">
        <v>2758</v>
      </c>
      <c r="C48" s="793" t="s">
        <v>2759</v>
      </c>
      <c r="D48" s="793"/>
      <c r="E48" s="794"/>
      <c r="F48" s="799">
        <f t="shared" si="2"/>
        <v>1</v>
      </c>
      <c r="G48" s="799" t="s">
        <v>3408</v>
      </c>
      <c r="H48" s="799" t="s">
        <v>3108</v>
      </c>
      <c r="I48" s="799">
        <v>117914.86</v>
      </c>
      <c r="J48" s="799" t="str">
        <f t="shared" si="3"/>
        <v>GAVARDO - DEPURATORE</v>
      </c>
      <c r="K48" s="799" t="str">
        <f t="shared" si="1"/>
        <v>A2A</v>
      </c>
      <c r="L48" s="799">
        <f t="shared" si="0"/>
        <v>331</v>
      </c>
      <c r="M48" s="799"/>
      <c r="N48" s="595"/>
      <c r="O48" s="794">
        <v>0</v>
      </c>
      <c r="P48" s="794">
        <v>0</v>
      </c>
      <c r="Q48" s="809">
        <v>14900</v>
      </c>
      <c r="R48" s="794">
        <v>0</v>
      </c>
      <c r="S48" s="794">
        <v>0</v>
      </c>
      <c r="T48" s="794">
        <v>0</v>
      </c>
      <c r="U48" s="794">
        <v>0</v>
      </c>
      <c r="V48" s="794">
        <v>0</v>
      </c>
      <c r="W48" s="794">
        <v>0</v>
      </c>
      <c r="X48" s="794">
        <v>0</v>
      </c>
      <c r="Y48" s="794">
        <v>0</v>
      </c>
      <c r="Z48" s="794">
        <v>0</v>
      </c>
      <c r="AA48" s="794">
        <v>0</v>
      </c>
      <c r="AB48" s="794">
        <v>0</v>
      </c>
      <c r="AC48" s="794">
        <v>0</v>
      </c>
      <c r="AD48" s="794">
        <v>0</v>
      </c>
      <c r="AE48" s="794">
        <v>0</v>
      </c>
      <c r="AF48" s="794">
        <v>0</v>
      </c>
      <c r="AG48" s="794">
        <v>0</v>
      </c>
      <c r="AH48" s="794">
        <v>0</v>
      </c>
      <c r="AI48" s="794">
        <v>0</v>
      </c>
      <c r="AJ48" s="794">
        <v>0</v>
      </c>
      <c r="AK48" s="794">
        <v>0</v>
      </c>
      <c r="AL48" s="794">
        <v>0</v>
      </c>
      <c r="AM48" s="794">
        <v>0</v>
      </c>
      <c r="AN48" s="794">
        <v>0</v>
      </c>
      <c r="AO48" s="794">
        <v>0</v>
      </c>
      <c r="AP48" s="794">
        <v>0</v>
      </c>
      <c r="AQ48" s="794">
        <v>0</v>
      </c>
      <c r="AR48" s="794">
        <v>0</v>
      </c>
      <c r="AS48" s="794">
        <v>0</v>
      </c>
      <c r="AT48" s="794">
        <v>0</v>
      </c>
      <c r="AU48" s="794">
        <v>0</v>
      </c>
      <c r="AV48" s="794">
        <v>0</v>
      </c>
      <c r="AW48" s="794">
        <v>0</v>
      </c>
      <c r="AX48" s="794">
        <v>0</v>
      </c>
      <c r="AY48" s="794">
        <v>0</v>
      </c>
      <c r="AZ48" s="794">
        <v>0</v>
      </c>
      <c r="BA48" s="794">
        <v>0</v>
      </c>
      <c r="BB48" s="794">
        <v>0</v>
      </c>
      <c r="BC48" s="794">
        <v>0</v>
      </c>
      <c r="BD48" s="794">
        <v>0</v>
      </c>
      <c r="BE48" s="794">
        <v>0</v>
      </c>
      <c r="BF48" s="794">
        <v>0</v>
      </c>
      <c r="BG48" s="794">
        <v>0</v>
      </c>
      <c r="BH48" s="794">
        <v>0</v>
      </c>
      <c r="BI48" s="794">
        <v>0</v>
      </c>
      <c r="BJ48" s="794">
        <v>0</v>
      </c>
      <c r="BK48" s="794">
        <v>0</v>
      </c>
      <c r="BL48" s="794">
        <v>0</v>
      </c>
      <c r="BM48" s="794">
        <v>0</v>
      </c>
      <c r="BN48" s="794">
        <v>0</v>
      </c>
      <c r="BO48" s="794">
        <v>0</v>
      </c>
      <c r="BP48" s="794">
        <v>0</v>
      </c>
      <c r="BQ48" s="794">
        <v>0</v>
      </c>
      <c r="BR48" s="794">
        <v>0</v>
      </c>
      <c r="BS48" s="794">
        <v>0</v>
      </c>
      <c r="BT48" s="794">
        <v>0</v>
      </c>
      <c r="BU48" s="794">
        <v>0</v>
      </c>
      <c r="BV48" s="794">
        <v>0</v>
      </c>
    </row>
    <row r="49" spans="2:74">
      <c r="B49" s="793" t="s">
        <v>2760</v>
      </c>
      <c r="C49" s="793" t="s">
        <v>2761</v>
      </c>
      <c r="D49" s="793"/>
      <c r="E49" s="794"/>
      <c r="F49" s="799">
        <f t="shared" si="2"/>
        <v>1</v>
      </c>
      <c r="G49" s="799" t="s">
        <v>3409</v>
      </c>
      <c r="H49" s="799" t="s">
        <v>3410</v>
      </c>
      <c r="I49" s="799">
        <v>18000</v>
      </c>
      <c r="J49" s="799" t="str">
        <f>+VLOOKUP(G49,$B$5:$B$486,1,FALSE)</f>
        <v>MI PIAZZALE LUGANO</v>
      </c>
      <c r="K49" s="799" t="str">
        <f>+VLOOKUP(H49,$C$5:$C$486,1,FALSE)</f>
        <v>CONS.ATLANTE</v>
      </c>
      <c r="L49" s="799">
        <f t="shared" si="0"/>
        <v>331</v>
      </c>
      <c r="M49" s="799"/>
      <c r="N49" s="595"/>
      <c r="O49" s="794">
        <v>0</v>
      </c>
      <c r="P49" s="794">
        <v>0</v>
      </c>
      <c r="Q49" s="809">
        <v>700</v>
      </c>
      <c r="R49" s="794">
        <v>0</v>
      </c>
      <c r="S49" s="794">
        <v>0</v>
      </c>
      <c r="T49" s="794">
        <v>0</v>
      </c>
      <c r="U49" s="794">
        <v>0</v>
      </c>
      <c r="V49" s="794">
        <v>0</v>
      </c>
      <c r="W49" s="794">
        <v>0</v>
      </c>
      <c r="X49" s="794">
        <v>0</v>
      </c>
      <c r="Y49" s="794">
        <v>0</v>
      </c>
      <c r="Z49" s="794">
        <v>0</v>
      </c>
      <c r="AA49" s="794">
        <v>0</v>
      </c>
      <c r="AB49" s="794">
        <v>0</v>
      </c>
      <c r="AC49" s="794">
        <v>0</v>
      </c>
      <c r="AD49" s="794">
        <v>0</v>
      </c>
      <c r="AE49" s="794">
        <v>0</v>
      </c>
      <c r="AF49" s="794">
        <v>0</v>
      </c>
      <c r="AG49" s="794">
        <v>0</v>
      </c>
      <c r="AH49" s="794">
        <v>0</v>
      </c>
      <c r="AI49" s="794">
        <v>0</v>
      </c>
      <c r="AJ49" s="794">
        <v>0</v>
      </c>
      <c r="AK49" s="794">
        <v>0</v>
      </c>
      <c r="AL49" s="794">
        <v>0</v>
      </c>
      <c r="AM49" s="794">
        <v>0</v>
      </c>
      <c r="AN49" s="794">
        <v>0</v>
      </c>
      <c r="AO49" s="794">
        <v>0</v>
      </c>
      <c r="AP49" s="794">
        <v>0</v>
      </c>
      <c r="AQ49" s="794">
        <v>0</v>
      </c>
      <c r="AR49" s="794">
        <v>0</v>
      </c>
      <c r="AS49" s="794">
        <v>0</v>
      </c>
      <c r="AT49" s="794">
        <v>0</v>
      </c>
      <c r="AU49" s="794">
        <v>0</v>
      </c>
      <c r="AV49" s="794">
        <v>0</v>
      </c>
      <c r="AW49" s="794">
        <v>0</v>
      </c>
      <c r="AX49" s="794">
        <v>0</v>
      </c>
      <c r="AY49" s="794">
        <v>0</v>
      </c>
      <c r="AZ49" s="794">
        <v>0</v>
      </c>
      <c r="BA49" s="794">
        <v>0</v>
      </c>
      <c r="BB49" s="794">
        <v>0</v>
      </c>
      <c r="BC49" s="794">
        <v>0</v>
      </c>
      <c r="BD49" s="794">
        <v>0</v>
      </c>
      <c r="BE49" s="794">
        <v>0</v>
      </c>
      <c r="BF49" s="794">
        <v>0</v>
      </c>
      <c r="BG49" s="794">
        <v>0</v>
      </c>
      <c r="BH49" s="794">
        <v>0</v>
      </c>
      <c r="BI49" s="794">
        <v>0</v>
      </c>
      <c r="BJ49" s="794">
        <v>0</v>
      </c>
      <c r="BK49" s="794">
        <v>0</v>
      </c>
      <c r="BL49" s="794">
        <v>0</v>
      </c>
      <c r="BM49" s="794">
        <v>0</v>
      </c>
      <c r="BN49" s="794">
        <v>0</v>
      </c>
      <c r="BO49" s="794">
        <v>0</v>
      </c>
      <c r="BP49" s="794">
        <v>0</v>
      </c>
      <c r="BQ49" s="794">
        <v>0</v>
      </c>
      <c r="BR49" s="794">
        <v>0</v>
      </c>
      <c r="BS49" s="794">
        <v>0</v>
      </c>
      <c r="BT49" s="794">
        <v>0</v>
      </c>
      <c r="BU49" s="794">
        <v>0</v>
      </c>
      <c r="BV49" s="794">
        <v>0</v>
      </c>
    </row>
    <row r="50" spans="2:74">
      <c r="B50" s="793" t="s">
        <v>2763</v>
      </c>
      <c r="C50" s="793" t="s">
        <v>2764</v>
      </c>
      <c r="D50" s="793"/>
      <c r="E50" s="794"/>
      <c r="F50" s="799">
        <f t="shared" si="2"/>
        <v>29</v>
      </c>
      <c r="G50" s="799"/>
      <c r="H50" s="799"/>
      <c r="I50" s="799"/>
      <c r="J50" s="799" t="e">
        <f t="shared" ref="J50:J76" si="4">+VLOOKUP(G50,$B$5:$B$486,1,FALSE)</f>
        <v>#N/A</v>
      </c>
      <c r="K50" s="799" t="e">
        <f t="shared" ref="K50:K76" si="5">+VLOOKUP(H50,$C$5:$C$486,1,FALSE)</f>
        <v>#N/A</v>
      </c>
      <c r="L50" s="799">
        <f t="shared" si="0"/>
        <v>331</v>
      </c>
      <c r="M50" s="799"/>
      <c r="N50" s="595"/>
      <c r="O50" s="794">
        <v>0</v>
      </c>
      <c r="P50" s="794">
        <v>0</v>
      </c>
      <c r="Q50" s="794">
        <v>0</v>
      </c>
      <c r="R50" s="809">
        <v>75575.83</v>
      </c>
      <c r="S50" s="794">
        <v>86200.85</v>
      </c>
      <c r="T50" s="794">
        <v>0</v>
      </c>
      <c r="U50" s="794">
        <v>0</v>
      </c>
      <c r="V50" s="794">
        <v>0</v>
      </c>
      <c r="W50" s="794">
        <v>0</v>
      </c>
      <c r="X50" s="794">
        <v>0</v>
      </c>
      <c r="Y50" s="794">
        <v>0</v>
      </c>
      <c r="Z50" s="794">
        <v>0</v>
      </c>
      <c r="AA50" s="794">
        <v>0</v>
      </c>
      <c r="AB50" s="794">
        <v>0</v>
      </c>
      <c r="AC50" s="794">
        <v>0</v>
      </c>
      <c r="AD50" s="794">
        <v>0</v>
      </c>
      <c r="AE50" s="794">
        <v>0</v>
      </c>
      <c r="AF50" s="794">
        <v>0</v>
      </c>
      <c r="AG50" s="794">
        <v>0</v>
      </c>
      <c r="AH50" s="794">
        <v>0</v>
      </c>
      <c r="AI50" s="794">
        <v>0</v>
      </c>
      <c r="AJ50" s="794">
        <v>0</v>
      </c>
      <c r="AK50" s="794">
        <v>0</v>
      </c>
      <c r="AL50" s="794">
        <v>0</v>
      </c>
      <c r="AM50" s="794">
        <v>0</v>
      </c>
      <c r="AN50" s="794">
        <v>0</v>
      </c>
      <c r="AO50" s="794">
        <v>0</v>
      </c>
      <c r="AP50" s="794">
        <v>0</v>
      </c>
      <c r="AQ50" s="794">
        <v>0</v>
      </c>
      <c r="AR50" s="794">
        <v>0</v>
      </c>
      <c r="AS50" s="794">
        <v>0</v>
      </c>
      <c r="AT50" s="794">
        <v>0</v>
      </c>
      <c r="AU50" s="794">
        <v>0</v>
      </c>
      <c r="AV50" s="794">
        <v>0</v>
      </c>
      <c r="AW50" s="794">
        <v>0</v>
      </c>
      <c r="AX50" s="794">
        <v>0</v>
      </c>
      <c r="AY50" s="794">
        <v>0</v>
      </c>
      <c r="AZ50" s="794">
        <v>0</v>
      </c>
      <c r="BA50" s="794">
        <v>0</v>
      </c>
      <c r="BB50" s="794">
        <v>0</v>
      </c>
      <c r="BC50" s="794">
        <v>0</v>
      </c>
      <c r="BD50" s="794">
        <v>0</v>
      </c>
      <c r="BE50" s="794">
        <v>0</v>
      </c>
      <c r="BF50" s="794">
        <v>0</v>
      </c>
      <c r="BG50" s="794">
        <v>0</v>
      </c>
      <c r="BH50" s="794">
        <v>0</v>
      </c>
      <c r="BI50" s="794">
        <v>0</v>
      </c>
      <c r="BJ50" s="794">
        <v>0</v>
      </c>
      <c r="BK50" s="794">
        <v>0</v>
      </c>
      <c r="BL50" s="794">
        <v>0</v>
      </c>
      <c r="BM50" s="794">
        <v>0</v>
      </c>
      <c r="BN50" s="794">
        <v>0</v>
      </c>
      <c r="BO50" s="794">
        <v>0</v>
      </c>
      <c r="BP50" s="794">
        <v>0</v>
      </c>
      <c r="BQ50" s="794">
        <v>0</v>
      </c>
      <c r="BR50" s="794">
        <v>0</v>
      </c>
      <c r="BS50" s="794">
        <v>0</v>
      </c>
      <c r="BT50" s="794">
        <v>0</v>
      </c>
      <c r="BU50" s="794">
        <v>0</v>
      </c>
      <c r="BV50" s="794">
        <v>0</v>
      </c>
    </row>
    <row r="51" spans="2:74">
      <c r="B51" s="793" t="s">
        <v>2765</v>
      </c>
      <c r="C51" s="793" t="s">
        <v>2766</v>
      </c>
      <c r="D51" s="793"/>
      <c r="E51" s="794"/>
      <c r="F51" s="799">
        <f t="shared" si="2"/>
        <v>29</v>
      </c>
      <c r="G51" s="799"/>
      <c r="H51" s="799"/>
      <c r="I51" s="799"/>
      <c r="J51" s="799" t="e">
        <f t="shared" si="4"/>
        <v>#N/A</v>
      </c>
      <c r="K51" s="799" t="e">
        <f t="shared" si="5"/>
        <v>#N/A</v>
      </c>
      <c r="L51" s="799">
        <f t="shared" si="0"/>
        <v>331</v>
      </c>
      <c r="M51" s="799"/>
      <c r="N51" s="595"/>
      <c r="O51" s="794">
        <v>0</v>
      </c>
      <c r="P51" s="794">
        <v>0</v>
      </c>
      <c r="Q51" s="794">
        <v>0</v>
      </c>
      <c r="R51" s="809">
        <v>7406</v>
      </c>
      <c r="S51" s="794">
        <v>0</v>
      </c>
      <c r="T51" s="794">
        <v>0</v>
      </c>
      <c r="U51" s="794">
        <v>0</v>
      </c>
      <c r="V51" s="794">
        <v>0</v>
      </c>
      <c r="W51" s="794">
        <v>0</v>
      </c>
      <c r="X51" s="794">
        <v>0</v>
      </c>
      <c r="Y51" s="794">
        <v>0</v>
      </c>
      <c r="Z51" s="794">
        <v>0</v>
      </c>
      <c r="AA51" s="794">
        <v>0</v>
      </c>
      <c r="AB51" s="794">
        <v>0</v>
      </c>
      <c r="AC51" s="794">
        <v>0</v>
      </c>
      <c r="AD51" s="794">
        <v>0</v>
      </c>
      <c r="AE51" s="794">
        <v>0</v>
      </c>
      <c r="AF51" s="794">
        <v>0</v>
      </c>
      <c r="AG51" s="794">
        <v>0</v>
      </c>
      <c r="AH51" s="794">
        <v>0</v>
      </c>
      <c r="AI51" s="794">
        <v>0</v>
      </c>
      <c r="AJ51" s="794">
        <v>0</v>
      </c>
      <c r="AK51" s="794">
        <v>0</v>
      </c>
      <c r="AL51" s="794">
        <v>0</v>
      </c>
      <c r="AM51" s="794">
        <v>0</v>
      </c>
      <c r="AN51" s="794">
        <v>0</v>
      </c>
      <c r="AO51" s="794">
        <v>0</v>
      </c>
      <c r="AP51" s="794">
        <v>0</v>
      </c>
      <c r="AQ51" s="794">
        <v>0</v>
      </c>
      <c r="AR51" s="794">
        <v>0</v>
      </c>
      <c r="AS51" s="794">
        <v>0</v>
      </c>
      <c r="AT51" s="794">
        <v>0</v>
      </c>
      <c r="AU51" s="794">
        <v>0</v>
      </c>
      <c r="AV51" s="794">
        <v>0</v>
      </c>
      <c r="AW51" s="794">
        <v>0</v>
      </c>
      <c r="AX51" s="794">
        <v>0</v>
      </c>
      <c r="AY51" s="794">
        <v>0</v>
      </c>
      <c r="AZ51" s="794">
        <v>0</v>
      </c>
      <c r="BA51" s="794">
        <v>0</v>
      </c>
      <c r="BB51" s="794">
        <v>0</v>
      </c>
      <c r="BC51" s="794">
        <v>0</v>
      </c>
      <c r="BD51" s="794">
        <v>0</v>
      </c>
      <c r="BE51" s="794">
        <v>0</v>
      </c>
      <c r="BF51" s="794">
        <v>0</v>
      </c>
      <c r="BG51" s="794">
        <v>0</v>
      </c>
      <c r="BH51" s="794">
        <v>0</v>
      </c>
      <c r="BI51" s="794">
        <v>0</v>
      </c>
      <c r="BJ51" s="794">
        <v>0</v>
      </c>
      <c r="BK51" s="794">
        <v>0</v>
      </c>
      <c r="BL51" s="794">
        <v>0</v>
      </c>
      <c r="BM51" s="794">
        <v>0</v>
      </c>
      <c r="BN51" s="794">
        <v>0</v>
      </c>
      <c r="BO51" s="794">
        <v>0</v>
      </c>
      <c r="BP51" s="794">
        <v>0</v>
      </c>
      <c r="BQ51" s="794">
        <v>0</v>
      </c>
      <c r="BR51" s="794">
        <v>0</v>
      </c>
      <c r="BS51" s="794">
        <v>0</v>
      </c>
      <c r="BT51" s="794">
        <v>0</v>
      </c>
      <c r="BU51" s="794">
        <v>0</v>
      </c>
      <c r="BV51" s="794">
        <v>0</v>
      </c>
    </row>
    <row r="52" spans="2:74">
      <c r="B52" s="793" t="s">
        <v>2767</v>
      </c>
      <c r="C52" s="793" t="s">
        <v>2768</v>
      </c>
      <c r="D52" s="793"/>
      <c r="E52" s="794"/>
      <c r="F52" s="799">
        <f t="shared" si="2"/>
        <v>29</v>
      </c>
      <c r="G52" s="799"/>
      <c r="H52" s="799"/>
      <c r="I52" s="799"/>
      <c r="J52" s="799" t="e">
        <f t="shared" si="4"/>
        <v>#N/A</v>
      </c>
      <c r="K52" s="799" t="e">
        <f t="shared" si="5"/>
        <v>#N/A</v>
      </c>
      <c r="L52" s="799">
        <f t="shared" si="0"/>
        <v>331</v>
      </c>
      <c r="M52" s="799"/>
      <c r="N52" s="595"/>
      <c r="O52" s="794">
        <v>0</v>
      </c>
      <c r="P52" s="794">
        <v>0</v>
      </c>
      <c r="Q52" s="794">
        <v>0</v>
      </c>
      <c r="R52" s="809">
        <v>11223</v>
      </c>
      <c r="S52" s="794">
        <v>53551.8</v>
      </c>
      <c r="T52" s="794">
        <v>54683</v>
      </c>
      <c r="U52" s="794">
        <v>89864.82</v>
      </c>
      <c r="V52" s="794">
        <v>14122.8</v>
      </c>
      <c r="W52" s="794">
        <v>0</v>
      </c>
      <c r="X52" s="794">
        <v>0</v>
      </c>
      <c r="Y52" s="794">
        <v>0</v>
      </c>
      <c r="Z52" s="794">
        <v>0</v>
      </c>
      <c r="AA52" s="794">
        <v>0</v>
      </c>
      <c r="AB52" s="794">
        <v>0</v>
      </c>
      <c r="AC52" s="794">
        <v>0</v>
      </c>
      <c r="AD52" s="794">
        <v>0</v>
      </c>
      <c r="AE52" s="794">
        <v>0</v>
      </c>
      <c r="AF52" s="794">
        <v>0</v>
      </c>
      <c r="AG52" s="794">
        <v>0</v>
      </c>
      <c r="AH52" s="794">
        <v>0</v>
      </c>
      <c r="AI52" s="794">
        <v>0</v>
      </c>
      <c r="AJ52" s="794">
        <v>0</v>
      </c>
      <c r="AK52" s="794">
        <v>0</v>
      </c>
      <c r="AL52" s="794">
        <v>0</v>
      </c>
      <c r="AM52" s="794">
        <v>0</v>
      </c>
      <c r="AN52" s="794">
        <v>0</v>
      </c>
      <c r="AO52" s="794">
        <v>0</v>
      </c>
      <c r="AP52" s="794">
        <v>0</v>
      </c>
      <c r="AQ52" s="794">
        <v>0</v>
      </c>
      <c r="AR52" s="794">
        <v>0</v>
      </c>
      <c r="AS52" s="794">
        <v>0</v>
      </c>
      <c r="AT52" s="794">
        <v>0</v>
      </c>
      <c r="AU52" s="794">
        <v>0</v>
      </c>
      <c r="AV52" s="794">
        <v>0</v>
      </c>
      <c r="AW52" s="794">
        <v>0</v>
      </c>
      <c r="AX52" s="794">
        <v>0</v>
      </c>
      <c r="AY52" s="794">
        <v>0</v>
      </c>
      <c r="AZ52" s="794">
        <v>0</v>
      </c>
      <c r="BA52" s="794">
        <v>0</v>
      </c>
      <c r="BB52" s="794">
        <v>0</v>
      </c>
      <c r="BC52" s="794">
        <v>0</v>
      </c>
      <c r="BD52" s="794">
        <v>0</v>
      </c>
      <c r="BE52" s="794">
        <v>0</v>
      </c>
      <c r="BF52" s="794">
        <v>0</v>
      </c>
      <c r="BG52" s="794">
        <v>0</v>
      </c>
      <c r="BH52" s="794">
        <v>0</v>
      </c>
      <c r="BI52" s="794">
        <v>0</v>
      </c>
      <c r="BJ52" s="794">
        <v>0</v>
      </c>
      <c r="BK52" s="794">
        <v>0</v>
      </c>
      <c r="BL52" s="794">
        <v>0</v>
      </c>
      <c r="BM52" s="794">
        <v>0</v>
      </c>
      <c r="BN52" s="794">
        <v>0</v>
      </c>
      <c r="BO52" s="794">
        <v>0</v>
      </c>
      <c r="BP52" s="794">
        <v>0</v>
      </c>
      <c r="BQ52" s="794">
        <v>0</v>
      </c>
      <c r="BR52" s="794">
        <v>0</v>
      </c>
      <c r="BS52" s="794">
        <v>0</v>
      </c>
      <c r="BT52" s="794">
        <v>0</v>
      </c>
      <c r="BU52" s="794">
        <v>0</v>
      </c>
      <c r="BV52" s="794">
        <v>0</v>
      </c>
    </row>
    <row r="53" spans="2:74">
      <c r="B53" s="793" t="s">
        <v>2769</v>
      </c>
      <c r="C53" s="793" t="s">
        <v>2770</v>
      </c>
      <c r="D53" s="793"/>
      <c r="E53" s="794"/>
      <c r="F53" s="799">
        <f t="shared" si="2"/>
        <v>29</v>
      </c>
      <c r="G53" s="799"/>
      <c r="H53" s="799"/>
      <c r="I53" s="799"/>
      <c r="J53" s="799" t="e">
        <f t="shared" si="4"/>
        <v>#N/A</v>
      </c>
      <c r="K53" s="799" t="e">
        <f t="shared" si="5"/>
        <v>#N/A</v>
      </c>
      <c r="L53" s="799">
        <f t="shared" si="0"/>
        <v>331</v>
      </c>
      <c r="M53" s="799"/>
      <c r="N53" s="595"/>
      <c r="O53" s="794">
        <v>0</v>
      </c>
      <c r="P53" s="794">
        <v>0</v>
      </c>
      <c r="Q53" s="794">
        <v>0</v>
      </c>
      <c r="R53" s="809">
        <v>42330</v>
      </c>
      <c r="S53" s="794">
        <v>0</v>
      </c>
      <c r="T53" s="794">
        <v>0</v>
      </c>
      <c r="U53" s="794">
        <v>0</v>
      </c>
      <c r="V53" s="794">
        <v>0</v>
      </c>
      <c r="W53" s="794">
        <v>0</v>
      </c>
      <c r="X53" s="794">
        <v>0</v>
      </c>
      <c r="Y53" s="794">
        <v>0</v>
      </c>
      <c r="Z53" s="794">
        <v>0</v>
      </c>
      <c r="AA53" s="794">
        <v>0</v>
      </c>
      <c r="AB53" s="794">
        <v>0</v>
      </c>
      <c r="AC53" s="794">
        <v>0</v>
      </c>
      <c r="AD53" s="794">
        <v>0</v>
      </c>
      <c r="AE53" s="794">
        <v>0</v>
      </c>
      <c r="AF53" s="794">
        <v>0</v>
      </c>
      <c r="AG53" s="794">
        <v>0</v>
      </c>
      <c r="AH53" s="794">
        <v>0</v>
      </c>
      <c r="AI53" s="794">
        <v>0</v>
      </c>
      <c r="AJ53" s="794">
        <v>0</v>
      </c>
      <c r="AK53" s="794">
        <v>0</v>
      </c>
      <c r="AL53" s="794">
        <v>0</v>
      </c>
      <c r="AM53" s="794">
        <v>0</v>
      </c>
      <c r="AN53" s="794">
        <v>0</v>
      </c>
      <c r="AO53" s="794">
        <v>0</v>
      </c>
      <c r="AP53" s="794">
        <v>0</v>
      </c>
      <c r="AQ53" s="794">
        <v>0</v>
      </c>
      <c r="AR53" s="794">
        <v>0</v>
      </c>
      <c r="AS53" s="794">
        <v>0</v>
      </c>
      <c r="AT53" s="794">
        <v>0</v>
      </c>
      <c r="AU53" s="794">
        <v>0</v>
      </c>
      <c r="AV53" s="794">
        <v>0</v>
      </c>
      <c r="AW53" s="794">
        <v>0</v>
      </c>
      <c r="AX53" s="794">
        <v>0</v>
      </c>
      <c r="AY53" s="794">
        <v>0</v>
      </c>
      <c r="AZ53" s="794">
        <v>0</v>
      </c>
      <c r="BA53" s="794">
        <v>0</v>
      </c>
      <c r="BB53" s="794">
        <v>0</v>
      </c>
      <c r="BC53" s="794">
        <v>0</v>
      </c>
      <c r="BD53" s="794">
        <v>0</v>
      </c>
      <c r="BE53" s="794">
        <v>0</v>
      </c>
      <c r="BF53" s="794">
        <v>0</v>
      </c>
      <c r="BG53" s="794">
        <v>0</v>
      </c>
      <c r="BH53" s="794">
        <v>0</v>
      </c>
      <c r="BI53" s="794">
        <v>0</v>
      </c>
      <c r="BJ53" s="794">
        <v>0</v>
      </c>
      <c r="BK53" s="794">
        <v>0</v>
      </c>
      <c r="BL53" s="794">
        <v>0</v>
      </c>
      <c r="BM53" s="794">
        <v>0</v>
      </c>
      <c r="BN53" s="794">
        <v>0</v>
      </c>
      <c r="BO53" s="794">
        <v>0</v>
      </c>
      <c r="BP53" s="794">
        <v>0</v>
      </c>
      <c r="BQ53" s="794">
        <v>0</v>
      </c>
      <c r="BR53" s="794">
        <v>0</v>
      </c>
      <c r="BS53" s="794">
        <v>0</v>
      </c>
      <c r="BT53" s="794">
        <v>0</v>
      </c>
      <c r="BU53" s="794">
        <v>0</v>
      </c>
      <c r="BV53" s="794">
        <v>0</v>
      </c>
    </row>
    <row r="54" spans="2:74">
      <c r="B54" s="793" t="s">
        <v>2773</v>
      </c>
      <c r="C54" s="793" t="s">
        <v>2774</v>
      </c>
      <c r="D54" s="793"/>
      <c r="E54" s="794"/>
      <c r="F54" s="799">
        <f t="shared" si="2"/>
        <v>29</v>
      </c>
      <c r="G54" s="799"/>
      <c r="H54" s="799"/>
      <c r="I54" s="799"/>
      <c r="J54" s="799" t="e">
        <f t="shared" si="4"/>
        <v>#N/A</v>
      </c>
      <c r="K54" s="799" t="e">
        <f t="shared" si="5"/>
        <v>#N/A</v>
      </c>
      <c r="L54" s="799">
        <f t="shared" si="0"/>
        <v>331</v>
      </c>
      <c r="M54" s="799"/>
      <c r="N54" s="595"/>
      <c r="O54" s="794">
        <v>0</v>
      </c>
      <c r="P54" s="794">
        <v>0</v>
      </c>
      <c r="Q54" s="794">
        <v>0</v>
      </c>
      <c r="R54" s="809">
        <v>13470</v>
      </c>
      <c r="S54" s="794">
        <v>0</v>
      </c>
      <c r="T54" s="794">
        <v>0</v>
      </c>
      <c r="U54" s="794">
        <v>0</v>
      </c>
      <c r="V54" s="794">
        <v>0</v>
      </c>
      <c r="W54" s="794">
        <v>0</v>
      </c>
      <c r="X54" s="794">
        <v>0</v>
      </c>
      <c r="Y54" s="794">
        <v>0</v>
      </c>
      <c r="Z54" s="794">
        <v>0</v>
      </c>
      <c r="AA54" s="794">
        <v>0</v>
      </c>
      <c r="AB54" s="794">
        <v>0</v>
      </c>
      <c r="AC54" s="794">
        <v>0</v>
      </c>
      <c r="AD54" s="794">
        <v>0</v>
      </c>
      <c r="AE54" s="794">
        <v>0</v>
      </c>
      <c r="AF54" s="794">
        <v>0</v>
      </c>
      <c r="AG54" s="794">
        <v>0</v>
      </c>
      <c r="AH54" s="794">
        <v>0</v>
      </c>
      <c r="AI54" s="794">
        <v>0</v>
      </c>
      <c r="AJ54" s="794">
        <v>0</v>
      </c>
      <c r="AK54" s="794">
        <v>0</v>
      </c>
      <c r="AL54" s="794">
        <v>0</v>
      </c>
      <c r="AM54" s="794">
        <v>0</v>
      </c>
      <c r="AN54" s="794">
        <v>0</v>
      </c>
      <c r="AO54" s="794">
        <v>0</v>
      </c>
      <c r="AP54" s="794">
        <v>0</v>
      </c>
      <c r="AQ54" s="794">
        <v>0</v>
      </c>
      <c r="AR54" s="794">
        <v>0</v>
      </c>
      <c r="AS54" s="794">
        <v>0</v>
      </c>
      <c r="AT54" s="794">
        <v>0</v>
      </c>
      <c r="AU54" s="794">
        <v>0</v>
      </c>
      <c r="AV54" s="794">
        <v>0</v>
      </c>
      <c r="AW54" s="794">
        <v>0</v>
      </c>
      <c r="AX54" s="794">
        <v>0</v>
      </c>
      <c r="AY54" s="794">
        <v>0</v>
      </c>
      <c r="AZ54" s="794">
        <v>0</v>
      </c>
      <c r="BA54" s="794">
        <v>0</v>
      </c>
      <c r="BB54" s="794">
        <v>0</v>
      </c>
      <c r="BC54" s="794">
        <v>0</v>
      </c>
      <c r="BD54" s="794">
        <v>0</v>
      </c>
      <c r="BE54" s="794">
        <v>0</v>
      </c>
      <c r="BF54" s="794">
        <v>0</v>
      </c>
      <c r="BG54" s="794">
        <v>0</v>
      </c>
      <c r="BH54" s="794">
        <v>0</v>
      </c>
      <c r="BI54" s="794">
        <v>0</v>
      </c>
      <c r="BJ54" s="794">
        <v>0</v>
      </c>
      <c r="BK54" s="794">
        <v>0</v>
      </c>
      <c r="BL54" s="794">
        <v>0</v>
      </c>
      <c r="BM54" s="794">
        <v>0</v>
      </c>
      <c r="BN54" s="794">
        <v>0</v>
      </c>
      <c r="BO54" s="794">
        <v>0</v>
      </c>
      <c r="BP54" s="794">
        <v>0</v>
      </c>
      <c r="BQ54" s="794">
        <v>0</v>
      </c>
      <c r="BR54" s="794">
        <v>0</v>
      </c>
      <c r="BS54" s="794">
        <v>0</v>
      </c>
      <c r="BT54" s="794">
        <v>0</v>
      </c>
      <c r="BU54" s="794">
        <v>0</v>
      </c>
      <c r="BV54" s="794">
        <v>0</v>
      </c>
    </row>
    <row r="55" spans="2:74">
      <c r="B55" s="793" t="s">
        <v>2775</v>
      </c>
      <c r="C55" s="793" t="s">
        <v>2776</v>
      </c>
      <c r="D55" s="793"/>
      <c r="E55" s="794"/>
      <c r="F55" s="799">
        <f t="shared" si="2"/>
        <v>29</v>
      </c>
      <c r="G55" s="799"/>
      <c r="H55" s="799"/>
      <c r="I55" s="799"/>
      <c r="J55" s="799" t="e">
        <f t="shared" si="4"/>
        <v>#N/A</v>
      </c>
      <c r="K55" s="799" t="e">
        <f t="shared" si="5"/>
        <v>#N/A</v>
      </c>
      <c r="L55" s="799">
        <f t="shared" si="0"/>
        <v>331</v>
      </c>
      <c r="M55" s="799"/>
      <c r="N55" s="595"/>
      <c r="O55" s="794">
        <v>0</v>
      </c>
      <c r="P55" s="794">
        <v>0</v>
      </c>
      <c r="Q55" s="794">
        <v>0</v>
      </c>
      <c r="R55" s="809">
        <v>137737.42000000001</v>
      </c>
      <c r="S55" s="794">
        <v>86892.85</v>
      </c>
      <c r="T55" s="794">
        <v>121602.58</v>
      </c>
      <c r="U55" s="794">
        <v>0</v>
      </c>
      <c r="V55" s="794">
        <v>0</v>
      </c>
      <c r="W55" s="794">
        <v>0</v>
      </c>
      <c r="X55" s="794">
        <v>0</v>
      </c>
      <c r="Y55" s="794">
        <v>0</v>
      </c>
      <c r="Z55" s="794">
        <v>0</v>
      </c>
      <c r="AA55" s="794">
        <v>0</v>
      </c>
      <c r="AB55" s="794">
        <v>0</v>
      </c>
      <c r="AC55" s="794">
        <v>0</v>
      </c>
      <c r="AD55" s="794">
        <v>0</v>
      </c>
      <c r="AE55" s="794">
        <v>0</v>
      </c>
      <c r="AF55" s="794">
        <v>0</v>
      </c>
      <c r="AG55" s="794">
        <v>0</v>
      </c>
      <c r="AH55" s="794">
        <v>0</v>
      </c>
      <c r="AI55" s="794">
        <v>0</v>
      </c>
      <c r="AJ55" s="794">
        <v>0</v>
      </c>
      <c r="AK55" s="794">
        <v>0</v>
      </c>
      <c r="AL55" s="794">
        <v>0</v>
      </c>
      <c r="AM55" s="794">
        <v>0</v>
      </c>
      <c r="AN55" s="794">
        <v>0</v>
      </c>
      <c r="AO55" s="794">
        <v>0</v>
      </c>
      <c r="AP55" s="794">
        <v>0</v>
      </c>
      <c r="AQ55" s="794">
        <v>0</v>
      </c>
      <c r="AR55" s="794">
        <v>0</v>
      </c>
      <c r="AS55" s="794">
        <v>0</v>
      </c>
      <c r="AT55" s="794">
        <v>0</v>
      </c>
      <c r="AU55" s="794">
        <v>0</v>
      </c>
      <c r="AV55" s="794">
        <v>0</v>
      </c>
      <c r="AW55" s="794">
        <v>0</v>
      </c>
      <c r="AX55" s="794">
        <v>0</v>
      </c>
      <c r="AY55" s="794">
        <v>0</v>
      </c>
      <c r="AZ55" s="794">
        <v>0</v>
      </c>
      <c r="BA55" s="794">
        <v>0</v>
      </c>
      <c r="BB55" s="794">
        <v>0</v>
      </c>
      <c r="BC55" s="794">
        <v>0</v>
      </c>
      <c r="BD55" s="794">
        <v>0</v>
      </c>
      <c r="BE55" s="794">
        <v>0</v>
      </c>
      <c r="BF55" s="794">
        <v>0</v>
      </c>
      <c r="BG55" s="794">
        <v>0</v>
      </c>
      <c r="BH55" s="794">
        <v>0</v>
      </c>
      <c r="BI55" s="794">
        <v>0</v>
      </c>
      <c r="BJ55" s="794">
        <v>0</v>
      </c>
      <c r="BK55" s="794">
        <v>0</v>
      </c>
      <c r="BL55" s="794">
        <v>0</v>
      </c>
      <c r="BM55" s="794">
        <v>0</v>
      </c>
      <c r="BN55" s="794">
        <v>0</v>
      </c>
      <c r="BO55" s="794">
        <v>0</v>
      </c>
      <c r="BP55" s="794">
        <v>0</v>
      </c>
      <c r="BQ55" s="794">
        <v>0</v>
      </c>
      <c r="BR55" s="794">
        <v>0</v>
      </c>
      <c r="BS55" s="794">
        <v>0</v>
      </c>
      <c r="BT55" s="794">
        <v>0</v>
      </c>
      <c r="BU55" s="794">
        <v>0</v>
      </c>
      <c r="BV55" s="794">
        <v>0</v>
      </c>
    </row>
    <row r="56" spans="2:74">
      <c r="B56" s="793" t="s">
        <v>2777</v>
      </c>
      <c r="C56" s="793" t="s">
        <v>2778</v>
      </c>
      <c r="D56" s="793"/>
      <c r="E56" s="794"/>
      <c r="F56" s="799">
        <f t="shared" si="2"/>
        <v>29</v>
      </c>
      <c r="G56" s="799"/>
      <c r="H56" s="799"/>
      <c r="I56" s="799"/>
      <c r="J56" s="799" t="e">
        <f t="shared" si="4"/>
        <v>#N/A</v>
      </c>
      <c r="K56" s="799" t="e">
        <f t="shared" si="5"/>
        <v>#N/A</v>
      </c>
      <c r="L56" s="799">
        <f t="shared" si="0"/>
        <v>331</v>
      </c>
      <c r="M56" s="799"/>
      <c r="N56" s="595"/>
      <c r="O56" s="794">
        <v>0</v>
      </c>
      <c r="P56" s="794">
        <v>0</v>
      </c>
      <c r="Q56" s="794">
        <v>0</v>
      </c>
      <c r="R56" s="809">
        <v>27309</v>
      </c>
      <c r="S56" s="794">
        <v>123636</v>
      </c>
      <c r="T56" s="794">
        <v>0</v>
      </c>
      <c r="U56" s="794">
        <v>0</v>
      </c>
      <c r="V56" s="794">
        <v>0</v>
      </c>
      <c r="W56" s="794">
        <v>0</v>
      </c>
      <c r="X56" s="794">
        <v>0</v>
      </c>
      <c r="Y56" s="794">
        <v>0</v>
      </c>
      <c r="Z56" s="794">
        <v>0</v>
      </c>
      <c r="AA56" s="794">
        <v>0</v>
      </c>
      <c r="AB56" s="794">
        <v>0</v>
      </c>
      <c r="AC56" s="794">
        <v>0</v>
      </c>
      <c r="AD56" s="794">
        <v>0</v>
      </c>
      <c r="AE56" s="794">
        <v>0</v>
      </c>
      <c r="AF56" s="794">
        <v>0</v>
      </c>
      <c r="AG56" s="794">
        <v>0</v>
      </c>
      <c r="AH56" s="794">
        <v>0</v>
      </c>
      <c r="AI56" s="794">
        <v>0</v>
      </c>
      <c r="AJ56" s="794">
        <v>0</v>
      </c>
      <c r="AK56" s="794">
        <v>0</v>
      </c>
      <c r="AL56" s="794">
        <v>0</v>
      </c>
      <c r="AM56" s="794">
        <v>0</v>
      </c>
      <c r="AN56" s="794">
        <v>0</v>
      </c>
      <c r="AO56" s="794">
        <v>0</v>
      </c>
      <c r="AP56" s="794">
        <v>0</v>
      </c>
      <c r="AQ56" s="794">
        <v>0</v>
      </c>
      <c r="AR56" s="794">
        <v>0</v>
      </c>
      <c r="AS56" s="794">
        <v>0</v>
      </c>
      <c r="AT56" s="794">
        <v>0</v>
      </c>
      <c r="AU56" s="794">
        <v>0</v>
      </c>
      <c r="AV56" s="794">
        <v>0</v>
      </c>
      <c r="AW56" s="794">
        <v>0</v>
      </c>
      <c r="AX56" s="794">
        <v>0</v>
      </c>
      <c r="AY56" s="794">
        <v>0</v>
      </c>
      <c r="AZ56" s="794">
        <v>0</v>
      </c>
      <c r="BA56" s="794">
        <v>0</v>
      </c>
      <c r="BB56" s="794">
        <v>0</v>
      </c>
      <c r="BC56" s="794">
        <v>0</v>
      </c>
      <c r="BD56" s="794">
        <v>0</v>
      </c>
      <c r="BE56" s="794">
        <v>0</v>
      </c>
      <c r="BF56" s="794">
        <v>0</v>
      </c>
      <c r="BG56" s="794">
        <v>0</v>
      </c>
      <c r="BH56" s="794">
        <v>0</v>
      </c>
      <c r="BI56" s="794">
        <v>0</v>
      </c>
      <c r="BJ56" s="794">
        <v>0</v>
      </c>
      <c r="BK56" s="794">
        <v>0</v>
      </c>
      <c r="BL56" s="794">
        <v>0</v>
      </c>
      <c r="BM56" s="794">
        <v>0</v>
      </c>
      <c r="BN56" s="794">
        <v>0</v>
      </c>
      <c r="BO56" s="794">
        <v>0</v>
      </c>
      <c r="BP56" s="794">
        <v>0</v>
      </c>
      <c r="BQ56" s="794">
        <v>0</v>
      </c>
      <c r="BR56" s="794">
        <v>0</v>
      </c>
      <c r="BS56" s="794">
        <v>0</v>
      </c>
      <c r="BT56" s="794">
        <v>0</v>
      </c>
      <c r="BU56" s="794">
        <v>0</v>
      </c>
      <c r="BV56" s="794">
        <v>0</v>
      </c>
    </row>
    <row r="57" spans="2:74">
      <c r="B57" s="793" t="s">
        <v>2762</v>
      </c>
      <c r="C57" s="793" t="s">
        <v>2679</v>
      </c>
      <c r="D57" s="793"/>
      <c r="E57" s="794"/>
      <c r="F57" s="799">
        <f t="shared" si="2"/>
        <v>29</v>
      </c>
      <c r="G57" s="799"/>
      <c r="H57" s="799"/>
      <c r="I57" s="799"/>
      <c r="J57" s="799" t="e">
        <f t="shared" si="4"/>
        <v>#N/A</v>
      </c>
      <c r="K57" s="799" t="e">
        <f t="shared" si="5"/>
        <v>#N/A</v>
      </c>
      <c r="L57" s="799">
        <f t="shared" si="0"/>
        <v>331</v>
      </c>
      <c r="M57" s="799"/>
      <c r="N57" s="595"/>
      <c r="O57" s="794">
        <v>0</v>
      </c>
      <c r="P57" s="794">
        <v>0</v>
      </c>
      <c r="Q57" s="794">
        <v>0</v>
      </c>
      <c r="R57" s="809">
        <v>28390.802</v>
      </c>
      <c r="S57" s="794">
        <v>0</v>
      </c>
      <c r="T57" s="794">
        <v>0</v>
      </c>
      <c r="U57" s="794">
        <v>0</v>
      </c>
      <c r="V57" s="794">
        <v>0</v>
      </c>
      <c r="W57" s="794">
        <v>0</v>
      </c>
      <c r="X57" s="794">
        <v>0</v>
      </c>
      <c r="Y57" s="794">
        <v>0</v>
      </c>
      <c r="Z57" s="794">
        <v>0</v>
      </c>
      <c r="AA57" s="794">
        <v>0</v>
      </c>
      <c r="AB57" s="794">
        <v>0</v>
      </c>
      <c r="AC57" s="794">
        <v>0</v>
      </c>
      <c r="AD57" s="794">
        <v>0</v>
      </c>
      <c r="AE57" s="794">
        <v>0</v>
      </c>
      <c r="AF57" s="794">
        <v>0</v>
      </c>
      <c r="AG57" s="794">
        <v>0</v>
      </c>
      <c r="AH57" s="794">
        <v>0</v>
      </c>
      <c r="AI57" s="794">
        <v>0</v>
      </c>
      <c r="AJ57" s="794">
        <v>0</v>
      </c>
      <c r="AK57" s="794">
        <v>0</v>
      </c>
      <c r="AL57" s="794">
        <v>0</v>
      </c>
      <c r="AM57" s="794">
        <v>0</v>
      </c>
      <c r="AN57" s="794">
        <v>0</v>
      </c>
      <c r="AO57" s="794">
        <v>0</v>
      </c>
      <c r="AP57" s="794">
        <v>0</v>
      </c>
      <c r="AQ57" s="794">
        <v>0</v>
      </c>
      <c r="AR57" s="794">
        <v>0</v>
      </c>
      <c r="AS57" s="794">
        <v>0</v>
      </c>
      <c r="AT57" s="794">
        <v>0</v>
      </c>
      <c r="AU57" s="794">
        <v>0</v>
      </c>
      <c r="AV57" s="794">
        <v>0</v>
      </c>
      <c r="AW57" s="794">
        <v>0</v>
      </c>
      <c r="AX57" s="794">
        <v>0</v>
      </c>
      <c r="AY57" s="794">
        <v>0</v>
      </c>
      <c r="AZ57" s="794">
        <v>0</v>
      </c>
      <c r="BA57" s="794">
        <v>0</v>
      </c>
      <c r="BB57" s="794">
        <v>0</v>
      </c>
      <c r="BC57" s="794">
        <v>0</v>
      </c>
      <c r="BD57" s="794">
        <v>0</v>
      </c>
      <c r="BE57" s="794">
        <v>0</v>
      </c>
      <c r="BF57" s="794">
        <v>0</v>
      </c>
      <c r="BG57" s="794">
        <v>0</v>
      </c>
      <c r="BH57" s="794">
        <v>0</v>
      </c>
      <c r="BI57" s="794">
        <v>0</v>
      </c>
      <c r="BJ57" s="794">
        <v>0</v>
      </c>
      <c r="BK57" s="794">
        <v>0</v>
      </c>
      <c r="BL57" s="794">
        <v>0</v>
      </c>
      <c r="BM57" s="794">
        <v>0</v>
      </c>
      <c r="BN57" s="794">
        <v>0</v>
      </c>
      <c r="BO57" s="794">
        <v>0</v>
      </c>
      <c r="BP57" s="794">
        <v>0</v>
      </c>
      <c r="BQ57" s="794">
        <v>0</v>
      </c>
      <c r="BR57" s="794">
        <v>0</v>
      </c>
      <c r="BS57" s="794">
        <v>0</v>
      </c>
      <c r="BT57" s="794">
        <v>0</v>
      </c>
      <c r="BU57" s="794">
        <v>0</v>
      </c>
      <c r="BV57" s="794">
        <v>0</v>
      </c>
    </row>
    <row r="58" spans="2:74">
      <c r="B58" s="793" t="s">
        <v>2771</v>
      </c>
      <c r="C58" s="793" t="s">
        <v>2772</v>
      </c>
      <c r="D58" s="793"/>
      <c r="E58" s="794"/>
      <c r="F58" s="799">
        <f t="shared" si="2"/>
        <v>29</v>
      </c>
      <c r="G58" s="799"/>
      <c r="H58" s="799"/>
      <c r="I58" s="799"/>
      <c r="J58" s="799" t="e">
        <f t="shared" si="4"/>
        <v>#N/A</v>
      </c>
      <c r="K58" s="799" t="e">
        <f t="shared" si="5"/>
        <v>#N/A</v>
      </c>
      <c r="L58" s="799">
        <f t="shared" si="0"/>
        <v>331</v>
      </c>
      <c r="M58" s="799"/>
      <c r="N58" s="595"/>
      <c r="O58" s="794">
        <v>0</v>
      </c>
      <c r="P58" s="794">
        <v>0</v>
      </c>
      <c r="Q58" s="794">
        <v>0</v>
      </c>
      <c r="R58" s="809">
        <v>11045.36</v>
      </c>
      <c r="S58" s="794">
        <v>36886.639999999999</v>
      </c>
      <c r="T58" s="794">
        <v>0</v>
      </c>
      <c r="U58" s="794">
        <v>56866.9</v>
      </c>
      <c r="V58" s="794">
        <v>0</v>
      </c>
      <c r="W58" s="794">
        <v>0</v>
      </c>
      <c r="X58" s="794">
        <v>0</v>
      </c>
      <c r="Y58" s="794">
        <v>0</v>
      </c>
      <c r="Z58" s="794">
        <v>0</v>
      </c>
      <c r="AA58" s="794">
        <v>0</v>
      </c>
      <c r="AB58" s="794">
        <v>0</v>
      </c>
      <c r="AC58" s="794">
        <v>0</v>
      </c>
      <c r="AD58" s="794">
        <v>0</v>
      </c>
      <c r="AE58" s="794">
        <v>0</v>
      </c>
      <c r="AF58" s="794">
        <v>0</v>
      </c>
      <c r="AG58" s="794">
        <v>0</v>
      </c>
      <c r="AH58" s="794">
        <v>0</v>
      </c>
      <c r="AI58" s="794">
        <v>0</v>
      </c>
      <c r="AJ58" s="794">
        <v>0</v>
      </c>
      <c r="AK58" s="794">
        <v>0</v>
      </c>
      <c r="AL58" s="794">
        <v>0</v>
      </c>
      <c r="AM58" s="794">
        <v>0</v>
      </c>
      <c r="AN58" s="794">
        <v>0</v>
      </c>
      <c r="AO58" s="794">
        <v>0</v>
      </c>
      <c r="AP58" s="794">
        <v>0</v>
      </c>
      <c r="AQ58" s="794">
        <v>0</v>
      </c>
      <c r="AR58" s="794">
        <v>0</v>
      </c>
      <c r="AS58" s="794">
        <v>0</v>
      </c>
      <c r="AT58" s="794">
        <v>0</v>
      </c>
      <c r="AU58" s="794">
        <v>0</v>
      </c>
      <c r="AV58" s="794">
        <v>0</v>
      </c>
      <c r="AW58" s="794">
        <v>0</v>
      </c>
      <c r="AX58" s="794">
        <v>0</v>
      </c>
      <c r="AY58" s="794">
        <v>0</v>
      </c>
      <c r="AZ58" s="794">
        <v>0</v>
      </c>
      <c r="BA58" s="794">
        <v>0</v>
      </c>
      <c r="BB58" s="794">
        <v>0</v>
      </c>
      <c r="BC58" s="794">
        <v>0</v>
      </c>
      <c r="BD58" s="794">
        <v>0</v>
      </c>
      <c r="BE58" s="794">
        <v>0</v>
      </c>
      <c r="BF58" s="794">
        <v>0</v>
      </c>
      <c r="BG58" s="794">
        <v>0</v>
      </c>
      <c r="BH58" s="794">
        <v>0</v>
      </c>
      <c r="BI58" s="794">
        <v>0</v>
      </c>
      <c r="BJ58" s="794">
        <v>0</v>
      </c>
      <c r="BK58" s="794">
        <v>0</v>
      </c>
      <c r="BL58" s="794">
        <v>0</v>
      </c>
      <c r="BM58" s="794">
        <v>0</v>
      </c>
      <c r="BN58" s="794">
        <v>0</v>
      </c>
      <c r="BO58" s="794">
        <v>0</v>
      </c>
      <c r="BP58" s="794">
        <v>0</v>
      </c>
      <c r="BQ58" s="794">
        <v>0</v>
      </c>
      <c r="BR58" s="794">
        <v>0</v>
      </c>
      <c r="BS58" s="794">
        <v>0</v>
      </c>
      <c r="BT58" s="794">
        <v>0</v>
      </c>
      <c r="BU58" s="794">
        <v>0</v>
      </c>
      <c r="BV58" s="794">
        <v>0</v>
      </c>
    </row>
    <row r="59" spans="2:74">
      <c r="B59" s="793" t="s">
        <v>2779</v>
      </c>
      <c r="C59" s="793" t="s">
        <v>2739</v>
      </c>
      <c r="D59" s="793"/>
      <c r="E59" s="794"/>
      <c r="F59" s="799">
        <f t="shared" si="2"/>
        <v>29</v>
      </c>
      <c r="G59" s="799"/>
      <c r="H59" s="799"/>
      <c r="I59" s="799"/>
      <c r="J59" s="799" t="e">
        <f t="shared" si="4"/>
        <v>#N/A</v>
      </c>
      <c r="K59" s="799" t="e">
        <f t="shared" si="5"/>
        <v>#N/A</v>
      </c>
      <c r="L59" s="799">
        <f t="shared" si="0"/>
        <v>331</v>
      </c>
      <c r="M59" s="799"/>
      <c r="N59" s="595"/>
      <c r="O59" s="794">
        <v>0</v>
      </c>
      <c r="P59" s="794">
        <v>0</v>
      </c>
      <c r="Q59" s="794">
        <v>0</v>
      </c>
      <c r="R59" s="794">
        <v>0</v>
      </c>
      <c r="S59" s="809">
        <v>17407.5</v>
      </c>
      <c r="T59" s="794">
        <v>0</v>
      </c>
      <c r="U59" s="794">
        <v>59836.15</v>
      </c>
      <c r="V59" s="794">
        <v>23315.599999999999</v>
      </c>
      <c r="W59" s="794">
        <v>38699.25</v>
      </c>
      <c r="X59" s="794">
        <v>0</v>
      </c>
      <c r="Y59" s="794">
        <v>0</v>
      </c>
      <c r="Z59" s="794">
        <v>0</v>
      </c>
      <c r="AA59" s="794">
        <v>0</v>
      </c>
      <c r="AB59" s="794">
        <v>0</v>
      </c>
      <c r="AC59" s="794">
        <v>0</v>
      </c>
      <c r="AD59" s="794">
        <v>0</v>
      </c>
      <c r="AE59" s="794">
        <v>0</v>
      </c>
      <c r="AF59" s="794">
        <v>0</v>
      </c>
      <c r="AG59" s="794">
        <v>0</v>
      </c>
      <c r="AH59" s="794">
        <v>0</v>
      </c>
      <c r="AI59" s="794">
        <v>0</v>
      </c>
      <c r="AJ59" s="794">
        <v>0</v>
      </c>
      <c r="AK59" s="794">
        <v>0</v>
      </c>
      <c r="AL59" s="794">
        <v>0</v>
      </c>
      <c r="AM59" s="794">
        <v>0</v>
      </c>
      <c r="AN59" s="794">
        <v>0</v>
      </c>
      <c r="AO59" s="794">
        <v>0</v>
      </c>
      <c r="AP59" s="794">
        <v>0</v>
      </c>
      <c r="AQ59" s="794">
        <v>0</v>
      </c>
      <c r="AR59" s="794">
        <v>0</v>
      </c>
      <c r="AS59" s="794">
        <v>0</v>
      </c>
      <c r="AT59" s="794">
        <v>0</v>
      </c>
      <c r="AU59" s="794">
        <v>0</v>
      </c>
      <c r="AV59" s="794">
        <v>0</v>
      </c>
      <c r="AW59" s="794">
        <v>0</v>
      </c>
      <c r="AX59" s="794">
        <v>0</v>
      </c>
      <c r="AY59" s="794">
        <v>0</v>
      </c>
      <c r="AZ59" s="794">
        <v>0</v>
      </c>
      <c r="BA59" s="794">
        <v>0</v>
      </c>
      <c r="BB59" s="794">
        <v>0</v>
      </c>
      <c r="BC59" s="794">
        <v>0</v>
      </c>
      <c r="BD59" s="794">
        <v>0</v>
      </c>
      <c r="BE59" s="794">
        <v>0</v>
      </c>
      <c r="BF59" s="794">
        <v>0</v>
      </c>
      <c r="BG59" s="794">
        <v>0</v>
      </c>
      <c r="BH59" s="794">
        <v>0</v>
      </c>
      <c r="BI59" s="794">
        <v>0</v>
      </c>
      <c r="BJ59" s="794">
        <v>0</v>
      </c>
      <c r="BK59" s="794">
        <v>0</v>
      </c>
      <c r="BL59" s="794">
        <v>0</v>
      </c>
      <c r="BM59" s="794">
        <v>0</v>
      </c>
      <c r="BN59" s="794">
        <v>0</v>
      </c>
      <c r="BO59" s="794">
        <v>0</v>
      </c>
      <c r="BP59" s="794">
        <v>0</v>
      </c>
      <c r="BQ59" s="794">
        <v>0</v>
      </c>
      <c r="BR59" s="794">
        <v>0</v>
      </c>
      <c r="BS59" s="794">
        <v>0</v>
      </c>
      <c r="BT59" s="794">
        <v>0</v>
      </c>
      <c r="BU59" s="794">
        <v>0</v>
      </c>
      <c r="BV59" s="794">
        <v>0</v>
      </c>
    </row>
    <row r="60" spans="2:74">
      <c r="B60" s="793" t="s">
        <v>2780</v>
      </c>
      <c r="C60" s="793" t="s">
        <v>535</v>
      </c>
      <c r="D60" s="793"/>
      <c r="E60" s="794"/>
      <c r="F60" s="799">
        <f>+COUNTIF($J$6:$J$69,J60)</f>
        <v>29</v>
      </c>
      <c r="G60" s="799"/>
      <c r="H60" s="799"/>
      <c r="I60" s="799"/>
      <c r="J60" s="799" t="e">
        <f t="shared" si="4"/>
        <v>#N/A</v>
      </c>
      <c r="K60" s="799" t="e">
        <f t="shared" si="5"/>
        <v>#N/A</v>
      </c>
      <c r="L60" s="799">
        <f t="shared" si="0"/>
        <v>331</v>
      </c>
      <c r="M60" s="799"/>
      <c r="N60" s="595"/>
      <c r="O60" s="794">
        <v>0</v>
      </c>
      <c r="P60" s="794">
        <v>0</v>
      </c>
      <c r="Q60" s="794">
        <v>0</v>
      </c>
      <c r="R60" s="794">
        <v>0</v>
      </c>
      <c r="S60" s="809">
        <v>55425.89</v>
      </c>
      <c r="T60" s="794">
        <v>94945.18</v>
      </c>
      <c r="U60" s="794">
        <v>134335.51999999999</v>
      </c>
      <c r="V60" s="794">
        <v>67507.09</v>
      </c>
      <c r="W60" s="794">
        <v>67875.95</v>
      </c>
      <c r="X60" s="794">
        <v>0</v>
      </c>
      <c r="Y60" s="794">
        <v>0</v>
      </c>
      <c r="Z60" s="794">
        <v>0</v>
      </c>
      <c r="AA60" s="794">
        <v>0</v>
      </c>
      <c r="AB60" s="794">
        <v>0</v>
      </c>
      <c r="AC60" s="794">
        <v>0</v>
      </c>
      <c r="AD60" s="794">
        <v>0</v>
      </c>
      <c r="AE60" s="794">
        <v>0</v>
      </c>
      <c r="AF60" s="794">
        <v>0</v>
      </c>
      <c r="AG60" s="794">
        <v>0</v>
      </c>
      <c r="AH60" s="794">
        <v>0</v>
      </c>
      <c r="AI60" s="794">
        <v>0</v>
      </c>
      <c r="AJ60" s="794">
        <v>0</v>
      </c>
      <c r="AK60" s="794">
        <v>0</v>
      </c>
      <c r="AL60" s="794">
        <v>0</v>
      </c>
      <c r="AM60" s="794">
        <v>0</v>
      </c>
      <c r="AN60" s="794">
        <v>0</v>
      </c>
      <c r="AO60" s="794">
        <v>0</v>
      </c>
      <c r="AP60" s="794">
        <v>0</v>
      </c>
      <c r="AQ60" s="794">
        <v>0</v>
      </c>
      <c r="AR60" s="794">
        <v>0</v>
      </c>
      <c r="AS60" s="794">
        <v>0</v>
      </c>
      <c r="AT60" s="794">
        <v>0</v>
      </c>
      <c r="AU60" s="794">
        <v>0</v>
      </c>
      <c r="AV60" s="794">
        <v>0</v>
      </c>
      <c r="AW60" s="794">
        <v>0</v>
      </c>
      <c r="AX60" s="794">
        <v>0</v>
      </c>
      <c r="AY60" s="794">
        <v>0</v>
      </c>
      <c r="AZ60" s="794">
        <v>0</v>
      </c>
      <c r="BA60" s="794">
        <v>0</v>
      </c>
      <c r="BB60" s="794">
        <v>0</v>
      </c>
      <c r="BC60" s="794">
        <v>0</v>
      </c>
      <c r="BD60" s="794">
        <v>0</v>
      </c>
      <c r="BE60" s="794">
        <v>0</v>
      </c>
      <c r="BF60" s="794">
        <v>0</v>
      </c>
      <c r="BG60" s="794">
        <v>0</v>
      </c>
      <c r="BH60" s="794">
        <v>0</v>
      </c>
      <c r="BI60" s="794">
        <v>0</v>
      </c>
      <c r="BJ60" s="794">
        <v>0</v>
      </c>
      <c r="BK60" s="794">
        <v>0</v>
      </c>
      <c r="BL60" s="794">
        <v>0</v>
      </c>
      <c r="BM60" s="794">
        <v>0</v>
      </c>
      <c r="BN60" s="794">
        <v>0</v>
      </c>
      <c r="BO60" s="794">
        <v>0</v>
      </c>
      <c r="BP60" s="794">
        <v>0</v>
      </c>
      <c r="BQ60" s="794">
        <v>0</v>
      </c>
      <c r="BR60" s="794">
        <v>0</v>
      </c>
      <c r="BS60" s="794">
        <v>0</v>
      </c>
      <c r="BT60" s="794">
        <v>0</v>
      </c>
      <c r="BU60" s="794">
        <v>0</v>
      </c>
      <c r="BV60" s="794">
        <v>0</v>
      </c>
    </row>
    <row r="61" spans="2:74">
      <c r="B61" s="793" t="s">
        <v>2781</v>
      </c>
      <c r="C61" s="793" t="s">
        <v>2782</v>
      </c>
      <c r="D61" s="793"/>
      <c r="E61" s="794"/>
      <c r="F61" s="799">
        <f t="shared" si="2"/>
        <v>29</v>
      </c>
      <c r="G61" s="799"/>
      <c r="H61" s="799"/>
      <c r="I61" s="799"/>
      <c r="J61" s="799" t="e">
        <f t="shared" si="4"/>
        <v>#N/A</v>
      </c>
      <c r="K61" s="799" t="e">
        <f t="shared" si="5"/>
        <v>#N/A</v>
      </c>
      <c r="L61" s="799">
        <f t="shared" si="0"/>
        <v>331</v>
      </c>
      <c r="M61" s="799"/>
      <c r="N61" s="595"/>
      <c r="O61" s="794">
        <v>0</v>
      </c>
      <c r="P61" s="794">
        <v>0</v>
      </c>
      <c r="Q61" s="794">
        <v>0</v>
      </c>
      <c r="R61" s="794">
        <v>0</v>
      </c>
      <c r="S61" s="809">
        <v>17800</v>
      </c>
      <c r="T61" s="794">
        <v>60210</v>
      </c>
      <c r="U61" s="794">
        <v>0</v>
      </c>
      <c r="V61" s="794">
        <v>0</v>
      </c>
      <c r="W61" s="794">
        <v>0</v>
      </c>
      <c r="X61" s="794">
        <v>0</v>
      </c>
      <c r="Y61" s="794">
        <v>0</v>
      </c>
      <c r="Z61" s="794">
        <v>0</v>
      </c>
      <c r="AA61" s="794">
        <v>0</v>
      </c>
      <c r="AB61" s="794">
        <v>0</v>
      </c>
      <c r="AC61" s="794">
        <v>0</v>
      </c>
      <c r="AD61" s="794">
        <v>0</v>
      </c>
      <c r="AE61" s="794">
        <v>0</v>
      </c>
      <c r="AF61" s="794">
        <v>0</v>
      </c>
      <c r="AG61" s="794">
        <v>0</v>
      </c>
      <c r="AH61" s="794">
        <v>0</v>
      </c>
      <c r="AI61" s="794">
        <v>0</v>
      </c>
      <c r="AJ61" s="794">
        <v>0</v>
      </c>
      <c r="AK61" s="794">
        <v>0</v>
      </c>
      <c r="AL61" s="794">
        <v>0</v>
      </c>
      <c r="AM61" s="794">
        <v>0</v>
      </c>
      <c r="AN61" s="794">
        <v>0</v>
      </c>
      <c r="AO61" s="794">
        <v>0</v>
      </c>
      <c r="AP61" s="794">
        <v>0</v>
      </c>
      <c r="AQ61" s="794">
        <v>0</v>
      </c>
      <c r="AR61" s="794">
        <v>0</v>
      </c>
      <c r="AS61" s="794">
        <v>0</v>
      </c>
      <c r="AT61" s="794">
        <v>0</v>
      </c>
      <c r="AU61" s="794">
        <v>0</v>
      </c>
      <c r="AV61" s="794">
        <v>0</v>
      </c>
      <c r="AW61" s="794">
        <v>0</v>
      </c>
      <c r="AX61" s="794">
        <v>0</v>
      </c>
      <c r="AY61" s="794">
        <v>0</v>
      </c>
      <c r="AZ61" s="794">
        <v>0</v>
      </c>
      <c r="BA61" s="794">
        <v>0</v>
      </c>
      <c r="BB61" s="794">
        <v>0</v>
      </c>
      <c r="BC61" s="794">
        <v>0</v>
      </c>
      <c r="BD61" s="794">
        <v>0</v>
      </c>
      <c r="BE61" s="794">
        <v>0</v>
      </c>
      <c r="BF61" s="794">
        <v>0</v>
      </c>
      <c r="BG61" s="794">
        <v>0</v>
      </c>
      <c r="BH61" s="794">
        <v>0</v>
      </c>
      <c r="BI61" s="794">
        <v>0</v>
      </c>
      <c r="BJ61" s="794">
        <v>0</v>
      </c>
      <c r="BK61" s="794">
        <v>0</v>
      </c>
      <c r="BL61" s="794">
        <v>0</v>
      </c>
      <c r="BM61" s="794">
        <v>0</v>
      </c>
      <c r="BN61" s="794">
        <v>0</v>
      </c>
      <c r="BO61" s="794">
        <v>0</v>
      </c>
      <c r="BP61" s="794">
        <v>0</v>
      </c>
      <c r="BQ61" s="794">
        <v>0</v>
      </c>
      <c r="BR61" s="794">
        <v>0</v>
      </c>
      <c r="BS61" s="794">
        <v>0</v>
      </c>
      <c r="BT61" s="794">
        <v>0</v>
      </c>
      <c r="BU61" s="794">
        <v>0</v>
      </c>
      <c r="BV61" s="794">
        <v>0</v>
      </c>
    </row>
    <row r="62" spans="2:74">
      <c r="B62" s="793" t="s">
        <v>2783</v>
      </c>
      <c r="C62" s="793" t="s">
        <v>2784</v>
      </c>
      <c r="D62" s="793"/>
      <c r="E62" s="794"/>
      <c r="F62" s="799"/>
      <c r="G62" s="799"/>
      <c r="H62" s="799"/>
      <c r="I62" s="799"/>
      <c r="J62" s="799" t="e">
        <f t="shared" si="4"/>
        <v>#N/A</v>
      </c>
      <c r="K62" s="799" t="e">
        <f t="shared" si="5"/>
        <v>#N/A</v>
      </c>
      <c r="L62" s="799">
        <f t="shared" si="0"/>
        <v>331</v>
      </c>
      <c r="M62" s="799"/>
      <c r="N62" s="595"/>
      <c r="O62" s="794">
        <v>0</v>
      </c>
      <c r="P62" s="794">
        <v>0</v>
      </c>
      <c r="Q62" s="794">
        <v>0</v>
      </c>
      <c r="R62" s="794">
        <v>0</v>
      </c>
      <c r="S62" s="809">
        <v>44322.34</v>
      </c>
      <c r="T62" s="794">
        <v>0</v>
      </c>
      <c r="U62" s="794">
        <v>0</v>
      </c>
      <c r="V62" s="794">
        <v>0</v>
      </c>
      <c r="W62" s="794">
        <v>0</v>
      </c>
      <c r="X62" s="794">
        <v>0</v>
      </c>
      <c r="Y62" s="794">
        <v>0</v>
      </c>
      <c r="Z62" s="794">
        <v>0</v>
      </c>
      <c r="AA62" s="794">
        <v>0</v>
      </c>
      <c r="AB62" s="794">
        <v>0</v>
      </c>
      <c r="AC62" s="794">
        <v>0</v>
      </c>
      <c r="AD62" s="794">
        <v>0</v>
      </c>
      <c r="AE62" s="794">
        <v>0</v>
      </c>
      <c r="AF62" s="794">
        <v>0</v>
      </c>
      <c r="AG62" s="794">
        <v>0</v>
      </c>
      <c r="AH62" s="794">
        <v>0</v>
      </c>
      <c r="AI62" s="794">
        <v>0</v>
      </c>
      <c r="AJ62" s="794">
        <v>0</v>
      </c>
      <c r="AK62" s="794">
        <v>0</v>
      </c>
      <c r="AL62" s="794">
        <v>0</v>
      </c>
      <c r="AM62" s="794">
        <v>0</v>
      </c>
      <c r="AN62" s="794">
        <v>0</v>
      </c>
      <c r="AO62" s="794">
        <v>0</v>
      </c>
      <c r="AP62" s="794">
        <v>0</v>
      </c>
      <c r="AQ62" s="794">
        <v>0</v>
      </c>
      <c r="AR62" s="794">
        <v>0</v>
      </c>
      <c r="AS62" s="794">
        <v>0</v>
      </c>
      <c r="AT62" s="794">
        <v>0</v>
      </c>
      <c r="AU62" s="794">
        <v>0</v>
      </c>
      <c r="AV62" s="794">
        <v>0</v>
      </c>
      <c r="AW62" s="794">
        <v>0</v>
      </c>
      <c r="AX62" s="794">
        <v>0</v>
      </c>
      <c r="AY62" s="794">
        <v>0</v>
      </c>
      <c r="AZ62" s="794">
        <v>0</v>
      </c>
      <c r="BA62" s="794">
        <v>0</v>
      </c>
      <c r="BB62" s="794">
        <v>0</v>
      </c>
      <c r="BC62" s="794">
        <v>0</v>
      </c>
      <c r="BD62" s="794">
        <v>0</v>
      </c>
      <c r="BE62" s="794">
        <v>0</v>
      </c>
      <c r="BF62" s="794">
        <v>0</v>
      </c>
      <c r="BG62" s="794">
        <v>0</v>
      </c>
      <c r="BH62" s="794">
        <v>0</v>
      </c>
      <c r="BI62" s="794">
        <v>0</v>
      </c>
      <c r="BJ62" s="794">
        <v>0</v>
      </c>
      <c r="BK62" s="794">
        <v>0</v>
      </c>
      <c r="BL62" s="794">
        <v>0</v>
      </c>
      <c r="BM62" s="794">
        <v>0</v>
      </c>
      <c r="BN62" s="794">
        <v>0</v>
      </c>
      <c r="BO62" s="794">
        <v>0</v>
      </c>
      <c r="BP62" s="794">
        <v>0</v>
      </c>
      <c r="BQ62" s="794">
        <v>0</v>
      </c>
      <c r="BR62" s="794">
        <v>0</v>
      </c>
      <c r="BS62" s="794">
        <v>0</v>
      </c>
      <c r="BT62" s="794">
        <v>0</v>
      </c>
      <c r="BU62" s="794">
        <v>0</v>
      </c>
      <c r="BV62" s="794">
        <v>0</v>
      </c>
    </row>
    <row r="63" spans="2:74">
      <c r="B63" s="793" t="s">
        <v>2785</v>
      </c>
      <c r="C63" s="793" t="s">
        <v>2786</v>
      </c>
      <c r="D63" s="793"/>
      <c r="E63" s="794"/>
      <c r="F63" s="799"/>
      <c r="G63" s="799"/>
      <c r="H63" s="799"/>
      <c r="I63" s="799"/>
      <c r="J63" s="799" t="e">
        <f t="shared" si="4"/>
        <v>#N/A</v>
      </c>
      <c r="K63" s="799" t="e">
        <f t="shared" si="5"/>
        <v>#N/A</v>
      </c>
      <c r="L63" s="799">
        <f t="shared" si="0"/>
        <v>331</v>
      </c>
      <c r="M63" s="799"/>
      <c r="N63" s="595"/>
      <c r="O63" s="794">
        <v>0</v>
      </c>
      <c r="P63" s="794">
        <v>0</v>
      </c>
      <c r="Q63" s="794">
        <v>0</v>
      </c>
      <c r="R63" s="794">
        <v>0</v>
      </c>
      <c r="S63" s="809">
        <v>46910</v>
      </c>
      <c r="T63" s="794">
        <v>0</v>
      </c>
      <c r="U63" s="794">
        <v>0</v>
      </c>
      <c r="V63" s="794">
        <v>0</v>
      </c>
      <c r="W63" s="794">
        <v>0</v>
      </c>
      <c r="X63" s="794">
        <v>0</v>
      </c>
      <c r="Y63" s="794">
        <v>0</v>
      </c>
      <c r="Z63" s="794">
        <v>0</v>
      </c>
      <c r="AA63" s="794">
        <v>0</v>
      </c>
      <c r="AB63" s="794">
        <v>0</v>
      </c>
      <c r="AC63" s="794">
        <v>0</v>
      </c>
      <c r="AD63" s="794">
        <v>0</v>
      </c>
      <c r="AE63" s="794">
        <v>0</v>
      </c>
      <c r="AF63" s="794">
        <v>0</v>
      </c>
      <c r="AG63" s="794">
        <v>0</v>
      </c>
      <c r="AH63" s="794">
        <v>0</v>
      </c>
      <c r="AI63" s="794">
        <v>0</v>
      </c>
      <c r="AJ63" s="794">
        <v>0</v>
      </c>
      <c r="AK63" s="794">
        <v>0</v>
      </c>
      <c r="AL63" s="794">
        <v>0</v>
      </c>
      <c r="AM63" s="794">
        <v>0</v>
      </c>
      <c r="AN63" s="794">
        <v>0</v>
      </c>
      <c r="AO63" s="794">
        <v>0</v>
      </c>
      <c r="AP63" s="794">
        <v>0</v>
      </c>
      <c r="AQ63" s="794">
        <v>0</v>
      </c>
      <c r="AR63" s="794">
        <v>0</v>
      </c>
      <c r="AS63" s="794">
        <v>0</v>
      </c>
      <c r="AT63" s="794">
        <v>0</v>
      </c>
      <c r="AU63" s="794">
        <v>0</v>
      </c>
      <c r="AV63" s="794">
        <v>0</v>
      </c>
      <c r="AW63" s="794">
        <v>0</v>
      </c>
      <c r="AX63" s="794">
        <v>0</v>
      </c>
      <c r="AY63" s="794">
        <v>0</v>
      </c>
      <c r="AZ63" s="794">
        <v>0</v>
      </c>
      <c r="BA63" s="794">
        <v>0</v>
      </c>
      <c r="BB63" s="794">
        <v>0</v>
      </c>
      <c r="BC63" s="794">
        <v>0</v>
      </c>
      <c r="BD63" s="794">
        <v>0</v>
      </c>
      <c r="BE63" s="794">
        <v>0</v>
      </c>
      <c r="BF63" s="794">
        <v>0</v>
      </c>
      <c r="BG63" s="794">
        <v>0</v>
      </c>
      <c r="BH63" s="794">
        <v>0</v>
      </c>
      <c r="BI63" s="794">
        <v>0</v>
      </c>
      <c r="BJ63" s="794">
        <v>0</v>
      </c>
      <c r="BK63" s="794">
        <v>0</v>
      </c>
      <c r="BL63" s="794">
        <v>0</v>
      </c>
      <c r="BM63" s="794">
        <v>0</v>
      </c>
      <c r="BN63" s="794">
        <v>0</v>
      </c>
      <c r="BO63" s="794">
        <v>0</v>
      </c>
      <c r="BP63" s="794">
        <v>0</v>
      </c>
      <c r="BQ63" s="794">
        <v>0</v>
      </c>
      <c r="BR63" s="794">
        <v>0</v>
      </c>
      <c r="BS63" s="794">
        <v>0</v>
      </c>
      <c r="BT63" s="794">
        <v>0</v>
      </c>
      <c r="BU63" s="794">
        <v>0</v>
      </c>
      <c r="BV63" s="794">
        <v>0</v>
      </c>
    </row>
    <row r="64" spans="2:74">
      <c r="B64" s="793" t="s">
        <v>2787</v>
      </c>
      <c r="C64" s="793" t="s">
        <v>2788</v>
      </c>
      <c r="D64" s="793"/>
      <c r="E64" s="794"/>
      <c r="F64" s="799"/>
      <c r="G64" s="799"/>
      <c r="H64" s="799"/>
      <c r="I64" s="799"/>
      <c r="J64" s="799" t="e">
        <f t="shared" si="4"/>
        <v>#N/A</v>
      </c>
      <c r="K64" s="799" t="e">
        <f t="shared" si="5"/>
        <v>#N/A</v>
      </c>
      <c r="L64" s="799">
        <f t="shared" si="0"/>
        <v>331</v>
      </c>
      <c r="M64" s="799"/>
      <c r="N64" s="595"/>
      <c r="O64" s="794">
        <v>0</v>
      </c>
      <c r="P64" s="794">
        <v>0</v>
      </c>
      <c r="Q64" s="794">
        <v>0</v>
      </c>
      <c r="R64" s="794">
        <v>0</v>
      </c>
      <c r="S64" s="809">
        <v>109966.54</v>
      </c>
      <c r="T64" s="794">
        <v>0</v>
      </c>
      <c r="U64" s="794">
        <v>0</v>
      </c>
      <c r="V64" s="794">
        <v>0</v>
      </c>
      <c r="W64" s="794">
        <v>0</v>
      </c>
      <c r="X64" s="794">
        <v>0</v>
      </c>
      <c r="Y64" s="794">
        <v>0</v>
      </c>
      <c r="Z64" s="794">
        <v>0</v>
      </c>
      <c r="AA64" s="794">
        <v>0</v>
      </c>
      <c r="AB64" s="794">
        <v>0</v>
      </c>
      <c r="AC64" s="794">
        <v>0</v>
      </c>
      <c r="AD64" s="794">
        <v>0</v>
      </c>
      <c r="AE64" s="794">
        <v>0</v>
      </c>
      <c r="AF64" s="794">
        <v>0</v>
      </c>
      <c r="AG64" s="794">
        <v>0</v>
      </c>
      <c r="AH64" s="794">
        <v>0</v>
      </c>
      <c r="AI64" s="794">
        <v>0</v>
      </c>
      <c r="AJ64" s="794">
        <v>0</v>
      </c>
      <c r="AK64" s="794">
        <v>0</v>
      </c>
      <c r="AL64" s="794">
        <v>0</v>
      </c>
      <c r="AM64" s="794">
        <v>0</v>
      </c>
      <c r="AN64" s="794">
        <v>0</v>
      </c>
      <c r="AO64" s="794">
        <v>0</v>
      </c>
      <c r="AP64" s="794">
        <v>0</v>
      </c>
      <c r="AQ64" s="794">
        <v>0</v>
      </c>
      <c r="AR64" s="794">
        <v>0</v>
      </c>
      <c r="AS64" s="794">
        <v>0</v>
      </c>
      <c r="AT64" s="794">
        <v>0</v>
      </c>
      <c r="AU64" s="794">
        <v>0</v>
      </c>
      <c r="AV64" s="794">
        <v>0</v>
      </c>
      <c r="AW64" s="794">
        <v>0</v>
      </c>
      <c r="AX64" s="794">
        <v>0</v>
      </c>
      <c r="AY64" s="794">
        <v>0</v>
      </c>
      <c r="AZ64" s="794">
        <v>0</v>
      </c>
      <c r="BA64" s="794">
        <v>0</v>
      </c>
      <c r="BB64" s="794">
        <v>0</v>
      </c>
      <c r="BC64" s="794">
        <v>0</v>
      </c>
      <c r="BD64" s="794">
        <v>0</v>
      </c>
      <c r="BE64" s="794">
        <v>0</v>
      </c>
      <c r="BF64" s="794">
        <v>0</v>
      </c>
      <c r="BG64" s="794">
        <v>0</v>
      </c>
      <c r="BH64" s="794">
        <v>0</v>
      </c>
      <c r="BI64" s="794">
        <v>0</v>
      </c>
      <c r="BJ64" s="794">
        <v>0</v>
      </c>
      <c r="BK64" s="794">
        <v>0</v>
      </c>
      <c r="BL64" s="794">
        <v>0</v>
      </c>
      <c r="BM64" s="794">
        <v>0</v>
      </c>
      <c r="BN64" s="794">
        <v>0</v>
      </c>
      <c r="BO64" s="794">
        <v>0</v>
      </c>
      <c r="BP64" s="794">
        <v>0</v>
      </c>
      <c r="BQ64" s="794">
        <v>0</v>
      </c>
      <c r="BR64" s="794">
        <v>0</v>
      </c>
      <c r="BS64" s="794">
        <v>0</v>
      </c>
      <c r="BT64" s="794">
        <v>0</v>
      </c>
      <c r="BU64" s="794">
        <v>0</v>
      </c>
      <c r="BV64" s="794">
        <v>0</v>
      </c>
    </row>
    <row r="65" spans="2:74">
      <c r="B65" s="793" t="s">
        <v>2789</v>
      </c>
      <c r="C65" s="793" t="s">
        <v>2790</v>
      </c>
      <c r="D65" s="793"/>
      <c r="E65" s="794"/>
      <c r="F65" s="799"/>
      <c r="G65" s="799"/>
      <c r="H65" s="799"/>
      <c r="I65" s="799"/>
      <c r="J65" s="799" t="e">
        <f t="shared" si="4"/>
        <v>#N/A</v>
      </c>
      <c r="K65" s="799" t="e">
        <f t="shared" si="5"/>
        <v>#N/A</v>
      </c>
      <c r="L65" s="799">
        <f t="shared" si="0"/>
        <v>331</v>
      </c>
      <c r="M65" s="799"/>
      <c r="N65" s="595"/>
      <c r="O65" s="794">
        <v>0</v>
      </c>
      <c r="P65" s="794">
        <v>0</v>
      </c>
      <c r="Q65" s="794">
        <v>0</v>
      </c>
      <c r="R65" s="794">
        <v>0</v>
      </c>
      <c r="S65" s="809">
        <v>17025.34</v>
      </c>
      <c r="T65" s="794">
        <v>0</v>
      </c>
      <c r="U65" s="794">
        <v>0</v>
      </c>
      <c r="V65" s="794">
        <v>0</v>
      </c>
      <c r="W65" s="794">
        <v>0</v>
      </c>
      <c r="X65" s="794">
        <v>0</v>
      </c>
      <c r="Y65" s="794">
        <v>0</v>
      </c>
      <c r="Z65" s="794">
        <v>0</v>
      </c>
      <c r="AA65" s="794">
        <v>0</v>
      </c>
      <c r="AB65" s="794">
        <v>0</v>
      </c>
      <c r="AC65" s="794">
        <v>0</v>
      </c>
      <c r="AD65" s="794">
        <v>0</v>
      </c>
      <c r="AE65" s="794">
        <v>0</v>
      </c>
      <c r="AF65" s="794">
        <v>0</v>
      </c>
      <c r="AG65" s="794">
        <v>0</v>
      </c>
      <c r="AH65" s="794">
        <v>0</v>
      </c>
      <c r="AI65" s="794">
        <v>0</v>
      </c>
      <c r="AJ65" s="794">
        <v>0</v>
      </c>
      <c r="AK65" s="794">
        <v>0</v>
      </c>
      <c r="AL65" s="794">
        <v>0</v>
      </c>
      <c r="AM65" s="794">
        <v>0</v>
      </c>
      <c r="AN65" s="794">
        <v>0</v>
      </c>
      <c r="AO65" s="794">
        <v>0</v>
      </c>
      <c r="AP65" s="794">
        <v>0</v>
      </c>
      <c r="AQ65" s="794">
        <v>0</v>
      </c>
      <c r="AR65" s="794">
        <v>0</v>
      </c>
      <c r="AS65" s="794">
        <v>0</v>
      </c>
      <c r="AT65" s="794">
        <v>0</v>
      </c>
      <c r="AU65" s="794">
        <v>0</v>
      </c>
      <c r="AV65" s="794">
        <v>0</v>
      </c>
      <c r="AW65" s="794">
        <v>0</v>
      </c>
      <c r="AX65" s="794">
        <v>0</v>
      </c>
      <c r="AY65" s="794">
        <v>0</v>
      </c>
      <c r="AZ65" s="794">
        <v>0</v>
      </c>
      <c r="BA65" s="794">
        <v>0</v>
      </c>
      <c r="BB65" s="794">
        <v>0</v>
      </c>
      <c r="BC65" s="794">
        <v>0</v>
      </c>
      <c r="BD65" s="794">
        <v>0</v>
      </c>
      <c r="BE65" s="794">
        <v>0</v>
      </c>
      <c r="BF65" s="794">
        <v>0</v>
      </c>
      <c r="BG65" s="794">
        <v>0</v>
      </c>
      <c r="BH65" s="794">
        <v>0</v>
      </c>
      <c r="BI65" s="794">
        <v>0</v>
      </c>
      <c r="BJ65" s="794">
        <v>0</v>
      </c>
      <c r="BK65" s="794">
        <v>0</v>
      </c>
      <c r="BL65" s="794">
        <v>0</v>
      </c>
      <c r="BM65" s="794">
        <v>0</v>
      </c>
      <c r="BN65" s="794">
        <v>0</v>
      </c>
      <c r="BO65" s="794">
        <v>0</v>
      </c>
      <c r="BP65" s="794">
        <v>0</v>
      </c>
      <c r="BQ65" s="794">
        <v>0</v>
      </c>
      <c r="BR65" s="794">
        <v>0</v>
      </c>
      <c r="BS65" s="794">
        <v>0</v>
      </c>
      <c r="BT65" s="794">
        <v>0</v>
      </c>
      <c r="BU65" s="794">
        <v>0</v>
      </c>
      <c r="BV65" s="794">
        <v>0</v>
      </c>
    </row>
    <row r="66" spans="2:74">
      <c r="B66" s="793" t="s">
        <v>2791</v>
      </c>
      <c r="C66" s="793" t="s">
        <v>2792</v>
      </c>
      <c r="D66" s="793"/>
      <c r="E66" s="794"/>
      <c r="F66" s="799"/>
      <c r="G66" s="799"/>
      <c r="H66" s="799"/>
      <c r="I66" s="799"/>
      <c r="J66" s="799" t="e">
        <f t="shared" si="4"/>
        <v>#N/A</v>
      </c>
      <c r="K66" s="799" t="e">
        <f t="shared" si="5"/>
        <v>#N/A</v>
      </c>
      <c r="L66" s="799">
        <f t="shared" si="0"/>
        <v>331</v>
      </c>
      <c r="M66" s="799"/>
      <c r="N66" s="595"/>
      <c r="O66" s="794">
        <v>0</v>
      </c>
      <c r="P66" s="794">
        <v>0</v>
      </c>
      <c r="Q66" s="794">
        <v>0</v>
      </c>
      <c r="R66" s="794">
        <v>0</v>
      </c>
      <c r="S66" s="809">
        <v>45500</v>
      </c>
      <c r="T66" s="794">
        <v>0</v>
      </c>
      <c r="U66" s="794">
        <v>0</v>
      </c>
      <c r="V66" s="794">
        <v>0</v>
      </c>
      <c r="W66" s="794">
        <v>0</v>
      </c>
      <c r="X66" s="794">
        <v>0</v>
      </c>
      <c r="Y66" s="794">
        <v>0</v>
      </c>
      <c r="Z66" s="794">
        <v>0</v>
      </c>
      <c r="AA66" s="794">
        <v>0</v>
      </c>
      <c r="AB66" s="794">
        <v>0</v>
      </c>
      <c r="AC66" s="794">
        <v>0</v>
      </c>
      <c r="AD66" s="794">
        <v>0</v>
      </c>
      <c r="AE66" s="794">
        <v>0</v>
      </c>
      <c r="AF66" s="794">
        <v>0</v>
      </c>
      <c r="AG66" s="794">
        <v>0</v>
      </c>
      <c r="AH66" s="794">
        <v>0</v>
      </c>
      <c r="AI66" s="794">
        <v>0</v>
      </c>
      <c r="AJ66" s="794">
        <v>0</v>
      </c>
      <c r="AK66" s="794">
        <v>0</v>
      </c>
      <c r="AL66" s="794">
        <v>0</v>
      </c>
      <c r="AM66" s="794">
        <v>0</v>
      </c>
      <c r="AN66" s="794">
        <v>0</v>
      </c>
      <c r="AO66" s="794">
        <v>0</v>
      </c>
      <c r="AP66" s="794">
        <v>0</v>
      </c>
      <c r="AQ66" s="794">
        <v>0</v>
      </c>
      <c r="AR66" s="794">
        <v>0</v>
      </c>
      <c r="AS66" s="794">
        <v>0</v>
      </c>
      <c r="AT66" s="794">
        <v>0</v>
      </c>
      <c r="AU66" s="794">
        <v>0</v>
      </c>
      <c r="AV66" s="794">
        <v>0</v>
      </c>
      <c r="AW66" s="794">
        <v>0</v>
      </c>
      <c r="AX66" s="794">
        <v>0</v>
      </c>
      <c r="AY66" s="794">
        <v>0</v>
      </c>
      <c r="AZ66" s="794">
        <v>0</v>
      </c>
      <c r="BA66" s="794">
        <v>0</v>
      </c>
      <c r="BB66" s="794">
        <v>0</v>
      </c>
      <c r="BC66" s="794">
        <v>0</v>
      </c>
      <c r="BD66" s="794">
        <v>0</v>
      </c>
      <c r="BE66" s="794">
        <v>0</v>
      </c>
      <c r="BF66" s="794">
        <v>0</v>
      </c>
      <c r="BG66" s="794">
        <v>0</v>
      </c>
      <c r="BH66" s="794">
        <v>0</v>
      </c>
      <c r="BI66" s="794">
        <v>0</v>
      </c>
      <c r="BJ66" s="794">
        <v>0</v>
      </c>
      <c r="BK66" s="794">
        <v>0</v>
      </c>
      <c r="BL66" s="794">
        <v>0</v>
      </c>
      <c r="BM66" s="794">
        <v>0</v>
      </c>
      <c r="BN66" s="794">
        <v>0</v>
      </c>
      <c r="BO66" s="794">
        <v>0</v>
      </c>
      <c r="BP66" s="794">
        <v>0</v>
      </c>
      <c r="BQ66" s="794">
        <v>0</v>
      </c>
      <c r="BR66" s="794">
        <v>0</v>
      </c>
      <c r="BS66" s="794">
        <v>0</v>
      </c>
      <c r="BT66" s="794">
        <v>0</v>
      </c>
      <c r="BU66" s="794">
        <v>0</v>
      </c>
      <c r="BV66" s="794">
        <v>0</v>
      </c>
    </row>
    <row r="67" spans="2:74">
      <c r="B67" s="793" t="s">
        <v>2793</v>
      </c>
      <c r="C67" s="793" t="s">
        <v>2794</v>
      </c>
      <c r="D67" s="793"/>
      <c r="E67" s="794"/>
      <c r="F67" s="799"/>
      <c r="G67" s="799"/>
      <c r="H67" s="799"/>
      <c r="I67" s="799"/>
      <c r="J67" s="799" t="e">
        <f t="shared" si="4"/>
        <v>#N/A</v>
      </c>
      <c r="K67" s="799" t="e">
        <f t="shared" si="5"/>
        <v>#N/A</v>
      </c>
      <c r="L67" s="799">
        <f t="shared" si="0"/>
        <v>331</v>
      </c>
      <c r="M67" s="799"/>
      <c r="N67" s="595"/>
      <c r="O67" s="794">
        <v>0</v>
      </c>
      <c r="P67" s="794">
        <v>0</v>
      </c>
      <c r="Q67" s="794">
        <v>0</v>
      </c>
      <c r="R67" s="794">
        <v>0</v>
      </c>
      <c r="S67" s="794">
        <v>0</v>
      </c>
      <c r="T67" s="809">
        <v>37231.24</v>
      </c>
      <c r="U67" s="794">
        <v>0</v>
      </c>
      <c r="V67" s="794">
        <v>0</v>
      </c>
      <c r="W67" s="794">
        <v>0</v>
      </c>
      <c r="X67" s="794">
        <v>0</v>
      </c>
      <c r="Y67" s="794">
        <v>0</v>
      </c>
      <c r="Z67" s="794">
        <v>0</v>
      </c>
      <c r="AA67" s="794">
        <v>0</v>
      </c>
      <c r="AB67" s="794">
        <v>0</v>
      </c>
      <c r="AC67" s="794">
        <v>0</v>
      </c>
      <c r="AD67" s="794">
        <v>0</v>
      </c>
      <c r="AE67" s="794">
        <v>0</v>
      </c>
      <c r="AF67" s="794">
        <v>0</v>
      </c>
      <c r="AG67" s="794">
        <v>0</v>
      </c>
      <c r="AH67" s="794">
        <v>0</v>
      </c>
      <c r="AI67" s="794">
        <v>0</v>
      </c>
      <c r="AJ67" s="794">
        <v>0</v>
      </c>
      <c r="AK67" s="794">
        <v>0</v>
      </c>
      <c r="AL67" s="794">
        <v>0</v>
      </c>
      <c r="AM67" s="794">
        <v>0</v>
      </c>
      <c r="AN67" s="794">
        <v>0</v>
      </c>
      <c r="AO67" s="794">
        <v>0</v>
      </c>
      <c r="AP67" s="794">
        <v>0</v>
      </c>
      <c r="AQ67" s="794">
        <v>0</v>
      </c>
      <c r="AR67" s="794">
        <v>0</v>
      </c>
      <c r="AS67" s="794">
        <v>0</v>
      </c>
      <c r="AT67" s="794">
        <v>0</v>
      </c>
      <c r="AU67" s="794">
        <v>0</v>
      </c>
      <c r="AV67" s="794">
        <v>0</v>
      </c>
      <c r="AW67" s="794">
        <v>0</v>
      </c>
      <c r="AX67" s="794">
        <v>0</v>
      </c>
      <c r="AY67" s="794">
        <v>0</v>
      </c>
      <c r="AZ67" s="794">
        <v>0</v>
      </c>
      <c r="BA67" s="794">
        <v>0</v>
      </c>
      <c r="BB67" s="794">
        <v>0</v>
      </c>
      <c r="BC67" s="794">
        <v>0</v>
      </c>
      <c r="BD67" s="794">
        <v>0</v>
      </c>
      <c r="BE67" s="794">
        <v>0</v>
      </c>
      <c r="BF67" s="794">
        <v>0</v>
      </c>
      <c r="BG67" s="794">
        <v>0</v>
      </c>
      <c r="BH67" s="794">
        <v>0</v>
      </c>
      <c r="BI67" s="794">
        <v>0</v>
      </c>
      <c r="BJ67" s="794">
        <v>0</v>
      </c>
      <c r="BK67" s="794">
        <v>0</v>
      </c>
      <c r="BL67" s="794">
        <v>0</v>
      </c>
      <c r="BM67" s="794">
        <v>0</v>
      </c>
      <c r="BN67" s="794">
        <v>0</v>
      </c>
      <c r="BO67" s="794">
        <v>0</v>
      </c>
      <c r="BP67" s="794">
        <v>0</v>
      </c>
      <c r="BQ67" s="794">
        <v>0</v>
      </c>
      <c r="BR67" s="794">
        <v>0</v>
      </c>
      <c r="BS67" s="794">
        <v>0</v>
      </c>
      <c r="BT67" s="794">
        <v>0</v>
      </c>
      <c r="BU67" s="794">
        <v>0</v>
      </c>
      <c r="BV67" s="794">
        <v>0</v>
      </c>
    </row>
    <row r="68" spans="2:74">
      <c r="B68" s="793" t="s">
        <v>2796</v>
      </c>
      <c r="C68" s="793" t="s">
        <v>2797</v>
      </c>
      <c r="D68" s="793"/>
      <c r="E68" s="794"/>
      <c r="F68" s="799"/>
      <c r="G68" s="799"/>
      <c r="H68" s="799"/>
      <c r="I68" s="799"/>
      <c r="J68" s="799" t="e">
        <f t="shared" si="4"/>
        <v>#N/A</v>
      </c>
      <c r="K68" s="799" t="e">
        <f t="shared" si="5"/>
        <v>#N/A</v>
      </c>
      <c r="L68" s="799">
        <f t="shared" si="0"/>
        <v>331</v>
      </c>
      <c r="M68" s="799"/>
      <c r="N68" s="595"/>
      <c r="O68" s="794">
        <v>0</v>
      </c>
      <c r="P68" s="794">
        <v>0</v>
      </c>
      <c r="Q68" s="794">
        <v>0</v>
      </c>
      <c r="R68" s="794">
        <v>0</v>
      </c>
      <c r="S68" s="794">
        <v>0</v>
      </c>
      <c r="T68" s="809">
        <v>16087.59</v>
      </c>
      <c r="U68" s="794">
        <v>45364.39</v>
      </c>
      <c r="V68" s="794">
        <v>19144.740000000002</v>
      </c>
      <c r="W68" s="794">
        <v>0</v>
      </c>
      <c r="X68" s="794">
        <v>0</v>
      </c>
      <c r="Y68" s="794">
        <v>0</v>
      </c>
      <c r="Z68" s="794">
        <v>0</v>
      </c>
      <c r="AA68" s="794">
        <v>0</v>
      </c>
      <c r="AB68" s="794">
        <v>0</v>
      </c>
      <c r="AC68" s="794">
        <v>0</v>
      </c>
      <c r="AD68" s="794">
        <v>0</v>
      </c>
      <c r="AE68" s="794">
        <v>0</v>
      </c>
      <c r="AF68" s="794">
        <v>0</v>
      </c>
      <c r="AG68" s="794">
        <v>0</v>
      </c>
      <c r="AH68" s="794">
        <v>0</v>
      </c>
      <c r="AI68" s="794">
        <v>0</v>
      </c>
      <c r="AJ68" s="794">
        <v>0</v>
      </c>
      <c r="AK68" s="794">
        <v>0</v>
      </c>
      <c r="AL68" s="794">
        <v>0</v>
      </c>
      <c r="AM68" s="794">
        <v>0</v>
      </c>
      <c r="AN68" s="794">
        <v>0</v>
      </c>
      <c r="AO68" s="794">
        <v>0</v>
      </c>
      <c r="AP68" s="794">
        <v>0</v>
      </c>
      <c r="AQ68" s="794">
        <v>0</v>
      </c>
      <c r="AR68" s="794">
        <v>0</v>
      </c>
      <c r="AS68" s="794">
        <v>0</v>
      </c>
      <c r="AT68" s="794">
        <v>0</v>
      </c>
      <c r="AU68" s="794">
        <v>0</v>
      </c>
      <c r="AV68" s="794">
        <v>0</v>
      </c>
      <c r="AW68" s="794">
        <v>0</v>
      </c>
      <c r="AX68" s="794">
        <v>0</v>
      </c>
      <c r="AY68" s="794">
        <v>0</v>
      </c>
      <c r="AZ68" s="794">
        <v>0</v>
      </c>
      <c r="BA68" s="794">
        <v>0</v>
      </c>
      <c r="BB68" s="794">
        <v>0</v>
      </c>
      <c r="BC68" s="794">
        <v>0</v>
      </c>
      <c r="BD68" s="794">
        <v>0</v>
      </c>
      <c r="BE68" s="794">
        <v>0</v>
      </c>
      <c r="BF68" s="794">
        <v>0</v>
      </c>
      <c r="BG68" s="794">
        <v>0</v>
      </c>
      <c r="BH68" s="794">
        <v>0</v>
      </c>
      <c r="BI68" s="794">
        <v>0</v>
      </c>
      <c r="BJ68" s="794">
        <v>0</v>
      </c>
      <c r="BK68" s="794">
        <v>0</v>
      </c>
      <c r="BL68" s="794">
        <v>0</v>
      </c>
      <c r="BM68" s="794">
        <v>0</v>
      </c>
      <c r="BN68" s="794">
        <v>0</v>
      </c>
      <c r="BO68" s="794">
        <v>0</v>
      </c>
      <c r="BP68" s="794">
        <v>0</v>
      </c>
      <c r="BQ68" s="794">
        <v>0</v>
      </c>
      <c r="BR68" s="794">
        <v>0</v>
      </c>
      <c r="BS68" s="794">
        <v>0</v>
      </c>
      <c r="BT68" s="794">
        <v>0</v>
      </c>
      <c r="BU68" s="794">
        <v>0</v>
      </c>
      <c r="BV68" s="794">
        <v>0</v>
      </c>
    </row>
    <row r="69" spans="2:74">
      <c r="B69" s="793" t="s">
        <v>2798</v>
      </c>
      <c r="C69" s="793" t="s">
        <v>700</v>
      </c>
      <c r="D69" s="793"/>
      <c r="E69" s="794"/>
      <c r="F69" s="799"/>
      <c r="G69" s="799"/>
      <c r="H69" s="799"/>
      <c r="I69" s="799"/>
      <c r="J69" s="799" t="e">
        <f t="shared" si="4"/>
        <v>#N/A</v>
      </c>
      <c r="K69" s="799" t="e">
        <f t="shared" si="5"/>
        <v>#N/A</v>
      </c>
      <c r="L69" s="799">
        <f t="shared" ref="L69:L132" si="6">+COUNTIF($AJ$5:$AJ$371,AJ69)</f>
        <v>331</v>
      </c>
      <c r="M69" s="799"/>
      <c r="N69" s="595"/>
      <c r="O69" s="794">
        <v>0</v>
      </c>
      <c r="P69" s="794">
        <v>0</v>
      </c>
      <c r="Q69" s="794">
        <v>0</v>
      </c>
      <c r="R69" s="794">
        <v>0</v>
      </c>
      <c r="S69" s="794">
        <v>0</v>
      </c>
      <c r="T69" s="809">
        <v>96000</v>
      </c>
      <c r="U69" s="794">
        <v>0</v>
      </c>
      <c r="V69" s="794">
        <v>0</v>
      </c>
      <c r="W69" s="794">
        <v>0</v>
      </c>
      <c r="X69" s="794">
        <v>0</v>
      </c>
      <c r="Y69" s="794">
        <v>0</v>
      </c>
      <c r="Z69" s="794">
        <v>0</v>
      </c>
      <c r="AA69" s="794">
        <v>0</v>
      </c>
      <c r="AB69" s="794">
        <v>0</v>
      </c>
      <c r="AC69" s="794">
        <v>0</v>
      </c>
      <c r="AD69" s="794">
        <v>0</v>
      </c>
      <c r="AE69" s="794">
        <v>0</v>
      </c>
      <c r="AF69" s="794">
        <v>0</v>
      </c>
      <c r="AG69" s="794">
        <v>0</v>
      </c>
      <c r="AH69" s="794">
        <v>0</v>
      </c>
      <c r="AI69" s="794">
        <v>0</v>
      </c>
      <c r="AJ69" s="794">
        <v>0</v>
      </c>
      <c r="AK69" s="794">
        <v>0</v>
      </c>
      <c r="AL69" s="794">
        <v>0</v>
      </c>
      <c r="AM69" s="794">
        <v>0</v>
      </c>
      <c r="AN69" s="794">
        <v>0</v>
      </c>
      <c r="AO69" s="794">
        <v>0</v>
      </c>
      <c r="AP69" s="794">
        <v>0</v>
      </c>
      <c r="AQ69" s="794">
        <v>0</v>
      </c>
      <c r="AR69" s="794">
        <v>0</v>
      </c>
      <c r="AS69" s="794">
        <v>0</v>
      </c>
      <c r="AT69" s="794">
        <v>0</v>
      </c>
      <c r="AU69" s="794">
        <v>0</v>
      </c>
      <c r="AV69" s="794">
        <v>0</v>
      </c>
      <c r="AW69" s="794">
        <v>0</v>
      </c>
      <c r="AX69" s="794">
        <v>0</v>
      </c>
      <c r="AY69" s="794">
        <v>0</v>
      </c>
      <c r="AZ69" s="794">
        <v>0</v>
      </c>
      <c r="BA69" s="794">
        <v>0</v>
      </c>
      <c r="BB69" s="794">
        <v>0</v>
      </c>
      <c r="BC69" s="794">
        <v>0</v>
      </c>
      <c r="BD69" s="794">
        <v>0</v>
      </c>
      <c r="BE69" s="794">
        <v>0</v>
      </c>
      <c r="BF69" s="794">
        <v>0</v>
      </c>
      <c r="BG69" s="794">
        <v>0</v>
      </c>
      <c r="BH69" s="794">
        <v>0</v>
      </c>
      <c r="BI69" s="794">
        <v>0</v>
      </c>
      <c r="BJ69" s="794">
        <v>0</v>
      </c>
      <c r="BK69" s="794">
        <v>0</v>
      </c>
      <c r="BL69" s="794">
        <v>0</v>
      </c>
      <c r="BM69" s="794">
        <v>0</v>
      </c>
      <c r="BN69" s="794">
        <v>0</v>
      </c>
      <c r="BO69" s="794">
        <v>0</v>
      </c>
      <c r="BP69" s="794">
        <v>0</v>
      </c>
      <c r="BQ69" s="794">
        <v>0</v>
      </c>
      <c r="BR69" s="794">
        <v>0</v>
      </c>
      <c r="BS69" s="794">
        <v>0</v>
      </c>
      <c r="BT69" s="794">
        <v>0</v>
      </c>
      <c r="BU69" s="794">
        <v>0</v>
      </c>
      <c r="BV69" s="794">
        <v>0</v>
      </c>
    </row>
    <row r="70" spans="2:74">
      <c r="B70" s="793" t="s">
        <v>2799</v>
      </c>
      <c r="C70" s="793" t="s">
        <v>2800</v>
      </c>
      <c r="D70" s="793"/>
      <c r="E70" s="794"/>
      <c r="F70" s="799"/>
      <c r="G70" s="799"/>
      <c r="H70" s="799"/>
      <c r="I70" s="799"/>
      <c r="J70" s="799" t="e">
        <f t="shared" si="4"/>
        <v>#N/A</v>
      </c>
      <c r="K70" s="799" t="e">
        <f t="shared" si="5"/>
        <v>#N/A</v>
      </c>
      <c r="L70" s="799">
        <f t="shared" si="6"/>
        <v>331</v>
      </c>
      <c r="M70" s="799"/>
      <c r="N70" s="595"/>
      <c r="O70" s="794">
        <v>0</v>
      </c>
      <c r="P70" s="794">
        <v>0</v>
      </c>
      <c r="Q70" s="794">
        <v>0</v>
      </c>
      <c r="R70" s="794">
        <v>0</v>
      </c>
      <c r="S70" s="794">
        <v>0</v>
      </c>
      <c r="T70" s="809">
        <v>146400</v>
      </c>
      <c r="U70" s="794">
        <v>105000</v>
      </c>
      <c r="V70" s="794">
        <v>0</v>
      </c>
      <c r="W70" s="794">
        <v>0</v>
      </c>
      <c r="X70" s="794">
        <v>0</v>
      </c>
      <c r="Y70" s="794">
        <v>0</v>
      </c>
      <c r="Z70" s="794">
        <v>0</v>
      </c>
      <c r="AA70" s="794">
        <v>0</v>
      </c>
      <c r="AB70" s="794">
        <v>0</v>
      </c>
      <c r="AC70" s="794">
        <v>0</v>
      </c>
      <c r="AD70" s="794">
        <v>0</v>
      </c>
      <c r="AE70" s="794">
        <v>54546.16</v>
      </c>
      <c r="AF70" s="794">
        <v>0</v>
      </c>
      <c r="AG70" s="794">
        <v>0</v>
      </c>
      <c r="AH70" s="794">
        <v>0</v>
      </c>
      <c r="AI70" s="794">
        <v>0</v>
      </c>
      <c r="AJ70" s="794">
        <v>0</v>
      </c>
      <c r="AK70" s="794">
        <v>0</v>
      </c>
      <c r="AL70" s="794">
        <v>0</v>
      </c>
      <c r="AM70" s="794">
        <v>0</v>
      </c>
      <c r="AN70" s="794">
        <v>0</v>
      </c>
      <c r="AO70" s="794">
        <v>0</v>
      </c>
      <c r="AP70" s="794">
        <v>0</v>
      </c>
      <c r="AQ70" s="794">
        <v>0</v>
      </c>
      <c r="AR70" s="794">
        <v>0</v>
      </c>
      <c r="AS70" s="794">
        <v>0</v>
      </c>
      <c r="AT70" s="794">
        <v>0</v>
      </c>
      <c r="AU70" s="794">
        <v>0</v>
      </c>
      <c r="AV70" s="794">
        <v>0</v>
      </c>
      <c r="AW70" s="794">
        <v>0</v>
      </c>
      <c r="AX70" s="794">
        <v>0</v>
      </c>
      <c r="AY70" s="794">
        <v>0</v>
      </c>
      <c r="AZ70" s="794">
        <v>0</v>
      </c>
      <c r="BA70" s="794">
        <v>0</v>
      </c>
      <c r="BB70" s="794">
        <v>0</v>
      </c>
      <c r="BC70" s="794">
        <v>0</v>
      </c>
      <c r="BD70" s="794">
        <v>0</v>
      </c>
      <c r="BE70" s="794">
        <v>0</v>
      </c>
      <c r="BF70" s="794">
        <v>0</v>
      </c>
      <c r="BG70" s="794">
        <v>0</v>
      </c>
      <c r="BH70" s="794">
        <v>0</v>
      </c>
      <c r="BI70" s="794">
        <v>0</v>
      </c>
      <c r="BJ70" s="794">
        <v>0</v>
      </c>
      <c r="BK70" s="794">
        <v>0</v>
      </c>
      <c r="BL70" s="794">
        <v>0</v>
      </c>
      <c r="BM70" s="794">
        <v>0</v>
      </c>
      <c r="BN70" s="794">
        <v>0</v>
      </c>
      <c r="BO70" s="794">
        <v>0</v>
      </c>
      <c r="BP70" s="794">
        <v>0</v>
      </c>
      <c r="BQ70" s="794">
        <v>0</v>
      </c>
      <c r="BR70" s="794">
        <v>0</v>
      </c>
      <c r="BS70" s="794">
        <v>0</v>
      </c>
      <c r="BT70" s="794">
        <v>0</v>
      </c>
      <c r="BU70" s="794">
        <v>0</v>
      </c>
      <c r="BV70" s="794">
        <v>0</v>
      </c>
    </row>
    <row r="71" spans="2:74">
      <c r="B71" s="793" t="s">
        <v>2801</v>
      </c>
      <c r="C71" s="793" t="s">
        <v>2802</v>
      </c>
      <c r="D71" s="793"/>
      <c r="E71" s="794"/>
      <c r="F71" s="799"/>
      <c r="G71" s="799"/>
      <c r="H71" s="799"/>
      <c r="I71" s="799"/>
      <c r="J71" s="799" t="e">
        <f t="shared" si="4"/>
        <v>#N/A</v>
      </c>
      <c r="K71" s="799" t="e">
        <f t="shared" si="5"/>
        <v>#N/A</v>
      </c>
      <c r="L71" s="799">
        <f t="shared" si="6"/>
        <v>331</v>
      </c>
      <c r="M71" s="799"/>
      <c r="N71" s="595"/>
      <c r="O71" s="794">
        <v>0</v>
      </c>
      <c r="P71" s="794">
        <v>0</v>
      </c>
      <c r="Q71" s="794">
        <v>0</v>
      </c>
      <c r="R71" s="794">
        <v>0</v>
      </c>
      <c r="S71" s="794">
        <v>0</v>
      </c>
      <c r="T71" s="809">
        <v>95000</v>
      </c>
      <c r="U71" s="794">
        <v>21511.65</v>
      </c>
      <c r="V71" s="794">
        <v>0</v>
      </c>
      <c r="W71" s="794">
        <v>0</v>
      </c>
      <c r="X71" s="794">
        <v>0</v>
      </c>
      <c r="Y71" s="794">
        <v>0</v>
      </c>
      <c r="Z71" s="794">
        <v>0</v>
      </c>
      <c r="AA71" s="794">
        <v>0</v>
      </c>
      <c r="AB71" s="794">
        <v>0</v>
      </c>
      <c r="AC71" s="794">
        <v>0</v>
      </c>
      <c r="AD71" s="794">
        <v>0</v>
      </c>
      <c r="AE71" s="794">
        <v>0</v>
      </c>
      <c r="AF71" s="794">
        <v>0</v>
      </c>
      <c r="AG71" s="794">
        <v>0</v>
      </c>
      <c r="AH71" s="794">
        <v>0</v>
      </c>
      <c r="AI71" s="794">
        <v>0</v>
      </c>
      <c r="AJ71" s="794">
        <v>0</v>
      </c>
      <c r="AK71" s="794">
        <v>0</v>
      </c>
      <c r="AL71" s="794">
        <v>0</v>
      </c>
      <c r="AM71" s="794">
        <v>0</v>
      </c>
      <c r="AN71" s="794">
        <v>0</v>
      </c>
      <c r="AO71" s="794">
        <v>0</v>
      </c>
      <c r="AP71" s="794">
        <v>0</v>
      </c>
      <c r="AQ71" s="794">
        <v>0</v>
      </c>
      <c r="AR71" s="794">
        <v>0</v>
      </c>
      <c r="AS71" s="794">
        <v>0</v>
      </c>
      <c r="AT71" s="794">
        <v>0</v>
      </c>
      <c r="AU71" s="794">
        <v>0</v>
      </c>
      <c r="AV71" s="794">
        <v>0</v>
      </c>
      <c r="AW71" s="794">
        <v>0</v>
      </c>
      <c r="AX71" s="794">
        <v>0</v>
      </c>
      <c r="AY71" s="794">
        <v>0</v>
      </c>
      <c r="AZ71" s="794">
        <v>0</v>
      </c>
      <c r="BA71" s="794">
        <v>0</v>
      </c>
      <c r="BB71" s="794">
        <v>0</v>
      </c>
      <c r="BC71" s="794">
        <v>0</v>
      </c>
      <c r="BD71" s="794">
        <v>0</v>
      </c>
      <c r="BE71" s="794">
        <v>0</v>
      </c>
      <c r="BF71" s="794">
        <v>0</v>
      </c>
      <c r="BG71" s="794">
        <v>0</v>
      </c>
      <c r="BH71" s="794">
        <v>0</v>
      </c>
      <c r="BI71" s="794">
        <v>0</v>
      </c>
      <c r="BJ71" s="794">
        <v>0</v>
      </c>
      <c r="BK71" s="794">
        <v>0</v>
      </c>
      <c r="BL71" s="794">
        <v>0</v>
      </c>
      <c r="BM71" s="794">
        <v>0</v>
      </c>
      <c r="BN71" s="794">
        <v>0</v>
      </c>
      <c r="BO71" s="794">
        <v>0</v>
      </c>
      <c r="BP71" s="794">
        <v>0</v>
      </c>
      <c r="BQ71" s="794">
        <v>0</v>
      </c>
      <c r="BR71" s="794">
        <v>0</v>
      </c>
      <c r="BS71" s="794">
        <v>0</v>
      </c>
      <c r="BT71" s="794">
        <v>0</v>
      </c>
      <c r="BU71" s="794">
        <v>0</v>
      </c>
      <c r="BV71" s="794">
        <v>0</v>
      </c>
    </row>
    <row r="72" spans="2:74">
      <c r="B72" s="793" t="s">
        <v>2803</v>
      </c>
      <c r="C72" s="793" t="s">
        <v>2804</v>
      </c>
      <c r="D72" s="793"/>
      <c r="E72" s="794"/>
      <c r="F72" s="799"/>
      <c r="G72" s="799"/>
      <c r="H72" s="799"/>
      <c r="I72" s="799"/>
      <c r="J72" s="799" t="e">
        <f t="shared" si="4"/>
        <v>#N/A</v>
      </c>
      <c r="K72" s="799" t="e">
        <f t="shared" si="5"/>
        <v>#N/A</v>
      </c>
      <c r="L72" s="799">
        <f t="shared" si="6"/>
        <v>1</v>
      </c>
      <c r="M72" s="799"/>
      <c r="N72" s="595"/>
      <c r="O72" s="794">
        <v>0</v>
      </c>
      <c r="P72" s="794">
        <v>0</v>
      </c>
      <c r="Q72" s="794">
        <v>0</v>
      </c>
      <c r="R72" s="794">
        <v>0</v>
      </c>
      <c r="S72" s="794">
        <v>0</v>
      </c>
      <c r="T72" s="809">
        <v>13780.223</v>
      </c>
      <c r="U72" s="794">
        <v>84119.15</v>
      </c>
      <c r="V72" s="794">
        <v>124011.22</v>
      </c>
      <c r="W72" s="794">
        <v>249851.32</v>
      </c>
      <c r="X72" s="794">
        <v>221121</v>
      </c>
      <c r="Y72" s="794">
        <v>321777.21999999997</v>
      </c>
      <c r="Z72" s="794">
        <v>412532.5</v>
      </c>
      <c r="AA72" s="794">
        <v>345241.65</v>
      </c>
      <c r="AB72" s="794">
        <v>273721.3</v>
      </c>
      <c r="AC72" s="794">
        <v>0</v>
      </c>
      <c r="AD72" s="794">
        <v>79200</v>
      </c>
      <c r="AE72" s="794">
        <v>396000</v>
      </c>
      <c r="AF72" s="794">
        <v>250000</v>
      </c>
      <c r="AG72" s="794">
        <v>257000</v>
      </c>
      <c r="AH72" s="794">
        <v>21219</v>
      </c>
      <c r="AI72" s="794">
        <v>30152.2</v>
      </c>
      <c r="AJ72" s="794">
        <v>66225.399999999994</v>
      </c>
      <c r="AK72" s="794">
        <v>71378.850000000006</v>
      </c>
      <c r="AL72" s="794">
        <v>127414.69</v>
      </c>
      <c r="AM72" s="794">
        <v>27495</v>
      </c>
      <c r="AN72" s="794">
        <v>35140</v>
      </c>
      <c r="AO72" s="794">
        <v>29050</v>
      </c>
      <c r="AP72" s="794">
        <v>0</v>
      </c>
      <c r="AQ72" s="794">
        <v>22537.75</v>
      </c>
      <c r="AR72" s="794">
        <v>76667.5</v>
      </c>
      <c r="AS72" s="794">
        <v>47830.98</v>
      </c>
      <c r="AT72" s="794">
        <v>36282.800000000003</v>
      </c>
      <c r="AU72" s="794">
        <v>66425.48</v>
      </c>
      <c r="AV72" s="794">
        <v>0</v>
      </c>
      <c r="AW72" s="794">
        <v>89495.47</v>
      </c>
      <c r="AX72" s="794">
        <v>74030</v>
      </c>
      <c r="AY72" s="794">
        <v>41362.78</v>
      </c>
      <c r="AZ72" s="794">
        <v>0</v>
      </c>
      <c r="BA72" s="794">
        <v>0</v>
      </c>
      <c r="BB72" s="794">
        <v>0</v>
      </c>
      <c r="BC72" s="794">
        <v>0</v>
      </c>
      <c r="BD72" s="794">
        <v>22209</v>
      </c>
      <c r="BE72" s="794">
        <v>0</v>
      </c>
      <c r="BF72" s="794">
        <v>0</v>
      </c>
      <c r="BG72" s="794">
        <v>0</v>
      </c>
      <c r="BH72" s="794">
        <v>0</v>
      </c>
      <c r="BI72" s="794">
        <v>0</v>
      </c>
      <c r="BJ72" s="794">
        <v>0</v>
      </c>
      <c r="BK72" s="794">
        <v>0</v>
      </c>
      <c r="BL72" s="794">
        <v>0</v>
      </c>
      <c r="BM72" s="794">
        <v>0</v>
      </c>
      <c r="BN72" s="794">
        <v>0</v>
      </c>
      <c r="BO72" s="794">
        <v>0</v>
      </c>
      <c r="BP72" s="794">
        <v>0</v>
      </c>
      <c r="BQ72" s="794">
        <v>0</v>
      </c>
      <c r="BR72" s="794">
        <v>0</v>
      </c>
      <c r="BS72" s="794">
        <v>0</v>
      </c>
      <c r="BT72" s="794">
        <v>11308.76</v>
      </c>
      <c r="BU72" s="794">
        <v>0</v>
      </c>
      <c r="BV72" s="794">
        <v>0</v>
      </c>
    </row>
    <row r="73" spans="2:74">
      <c r="B73" s="793" t="s">
        <v>2805</v>
      </c>
      <c r="C73" s="793" t="s">
        <v>2806</v>
      </c>
      <c r="D73" s="793"/>
      <c r="E73" s="794"/>
      <c r="F73" s="799"/>
      <c r="G73" s="799"/>
      <c r="H73" s="799"/>
      <c r="I73" s="799"/>
      <c r="J73" s="799" t="e">
        <f t="shared" si="4"/>
        <v>#N/A</v>
      </c>
      <c r="K73" s="799" t="e">
        <f t="shared" si="5"/>
        <v>#N/A</v>
      </c>
      <c r="L73" s="799">
        <f t="shared" si="6"/>
        <v>331</v>
      </c>
      <c r="M73" s="799"/>
      <c r="N73" s="595"/>
      <c r="O73" s="794">
        <v>0</v>
      </c>
      <c r="P73" s="794">
        <v>0</v>
      </c>
      <c r="Q73" s="794">
        <v>0</v>
      </c>
      <c r="R73" s="794">
        <v>0</v>
      </c>
      <c r="S73" s="794">
        <v>0</v>
      </c>
      <c r="T73" s="809">
        <v>62000</v>
      </c>
      <c r="U73" s="794">
        <v>0</v>
      </c>
      <c r="V73" s="794">
        <v>0</v>
      </c>
      <c r="W73" s="794">
        <v>0</v>
      </c>
      <c r="X73" s="794">
        <v>0</v>
      </c>
      <c r="Y73" s="794">
        <v>0</v>
      </c>
      <c r="Z73" s="794">
        <v>0</v>
      </c>
      <c r="AA73" s="794">
        <v>0</v>
      </c>
      <c r="AB73" s="794">
        <v>0</v>
      </c>
      <c r="AC73" s="794">
        <v>0</v>
      </c>
      <c r="AD73" s="794">
        <v>0</v>
      </c>
      <c r="AE73" s="794">
        <v>0</v>
      </c>
      <c r="AF73" s="794">
        <v>0</v>
      </c>
      <c r="AG73" s="794">
        <v>0</v>
      </c>
      <c r="AH73" s="794">
        <v>0</v>
      </c>
      <c r="AI73" s="794">
        <v>0</v>
      </c>
      <c r="AJ73" s="794">
        <v>0</v>
      </c>
      <c r="AK73" s="794">
        <v>0</v>
      </c>
      <c r="AL73" s="794">
        <v>0</v>
      </c>
      <c r="AM73" s="794">
        <v>0</v>
      </c>
      <c r="AN73" s="794">
        <v>0</v>
      </c>
      <c r="AO73" s="794">
        <v>0</v>
      </c>
      <c r="AP73" s="794">
        <v>0</v>
      </c>
      <c r="AQ73" s="794">
        <v>0</v>
      </c>
      <c r="AR73" s="794">
        <v>0</v>
      </c>
      <c r="AS73" s="794">
        <v>0</v>
      </c>
      <c r="AT73" s="794">
        <v>0</v>
      </c>
      <c r="AU73" s="794">
        <v>0</v>
      </c>
      <c r="AV73" s="794">
        <v>0</v>
      </c>
      <c r="AW73" s="794">
        <v>0</v>
      </c>
      <c r="AX73" s="794">
        <v>0</v>
      </c>
      <c r="AY73" s="794">
        <v>0</v>
      </c>
      <c r="AZ73" s="794">
        <v>0</v>
      </c>
      <c r="BA73" s="794">
        <v>0</v>
      </c>
      <c r="BB73" s="794">
        <v>0</v>
      </c>
      <c r="BC73" s="794">
        <v>0</v>
      </c>
      <c r="BD73" s="794">
        <v>0</v>
      </c>
      <c r="BE73" s="794">
        <v>0</v>
      </c>
      <c r="BF73" s="794">
        <v>0</v>
      </c>
      <c r="BG73" s="794">
        <v>0</v>
      </c>
      <c r="BH73" s="794">
        <v>0</v>
      </c>
      <c r="BI73" s="794">
        <v>0</v>
      </c>
      <c r="BJ73" s="794">
        <v>0</v>
      </c>
      <c r="BK73" s="794">
        <v>0</v>
      </c>
      <c r="BL73" s="794">
        <v>0</v>
      </c>
      <c r="BM73" s="794">
        <v>0</v>
      </c>
      <c r="BN73" s="794">
        <v>0</v>
      </c>
      <c r="BO73" s="794">
        <v>0</v>
      </c>
      <c r="BP73" s="794">
        <v>0</v>
      </c>
      <c r="BQ73" s="794">
        <v>0</v>
      </c>
      <c r="BR73" s="794">
        <v>0</v>
      </c>
      <c r="BS73" s="794">
        <v>0</v>
      </c>
      <c r="BT73" s="794">
        <v>0</v>
      </c>
      <c r="BU73" s="794">
        <v>0</v>
      </c>
      <c r="BV73" s="794">
        <v>0</v>
      </c>
    </row>
    <row r="74" spans="2:74">
      <c r="B74" s="793" t="s">
        <v>2807</v>
      </c>
      <c r="C74" s="793" t="s">
        <v>2808</v>
      </c>
      <c r="D74" s="793"/>
      <c r="E74" s="794"/>
      <c r="F74" s="799"/>
      <c r="G74" s="799"/>
      <c r="H74" s="799"/>
      <c r="I74" s="799"/>
      <c r="J74" s="799" t="e">
        <f t="shared" si="4"/>
        <v>#N/A</v>
      </c>
      <c r="K74" s="799" t="e">
        <f t="shared" si="5"/>
        <v>#N/A</v>
      </c>
      <c r="L74" s="799">
        <f t="shared" si="6"/>
        <v>331</v>
      </c>
      <c r="M74" s="799"/>
      <c r="N74" s="595"/>
      <c r="O74" s="794">
        <v>0</v>
      </c>
      <c r="P74" s="794">
        <v>0</v>
      </c>
      <c r="Q74" s="794">
        <v>0</v>
      </c>
      <c r="R74" s="794">
        <v>0</v>
      </c>
      <c r="S74" s="794">
        <v>0</v>
      </c>
      <c r="T74" s="809">
        <v>64995.91</v>
      </c>
      <c r="U74" s="794">
        <v>38338.269999999997</v>
      </c>
      <c r="V74" s="794">
        <v>0</v>
      </c>
      <c r="W74" s="794">
        <v>0</v>
      </c>
      <c r="X74" s="794">
        <v>0</v>
      </c>
      <c r="Y74" s="794">
        <v>0</v>
      </c>
      <c r="Z74" s="794">
        <v>0</v>
      </c>
      <c r="AA74" s="794">
        <v>0</v>
      </c>
      <c r="AB74" s="794">
        <v>0</v>
      </c>
      <c r="AC74" s="794">
        <v>0</v>
      </c>
      <c r="AD74" s="794">
        <v>0</v>
      </c>
      <c r="AE74" s="794">
        <v>0</v>
      </c>
      <c r="AF74" s="794">
        <v>0</v>
      </c>
      <c r="AG74" s="794">
        <v>0</v>
      </c>
      <c r="AH74" s="794">
        <v>0</v>
      </c>
      <c r="AI74" s="794">
        <v>0</v>
      </c>
      <c r="AJ74" s="794">
        <v>0</v>
      </c>
      <c r="AK74" s="794">
        <v>0</v>
      </c>
      <c r="AL74" s="794">
        <v>0</v>
      </c>
      <c r="AM74" s="794">
        <v>0</v>
      </c>
      <c r="AN74" s="794">
        <v>0</v>
      </c>
      <c r="AO74" s="794">
        <v>0</v>
      </c>
      <c r="AP74" s="794">
        <v>0</v>
      </c>
      <c r="AQ74" s="794">
        <v>0</v>
      </c>
      <c r="AR74" s="794">
        <v>0</v>
      </c>
      <c r="AS74" s="794">
        <v>0</v>
      </c>
      <c r="AT74" s="794">
        <v>0</v>
      </c>
      <c r="AU74" s="794">
        <v>0</v>
      </c>
      <c r="AV74" s="794">
        <v>0</v>
      </c>
      <c r="AW74" s="794">
        <v>0</v>
      </c>
      <c r="AX74" s="794">
        <v>0</v>
      </c>
      <c r="AY74" s="794">
        <v>0</v>
      </c>
      <c r="AZ74" s="794">
        <v>0</v>
      </c>
      <c r="BA74" s="794">
        <v>0</v>
      </c>
      <c r="BB74" s="794">
        <v>0</v>
      </c>
      <c r="BC74" s="794">
        <v>0</v>
      </c>
      <c r="BD74" s="794">
        <v>0</v>
      </c>
      <c r="BE74" s="794">
        <v>0</v>
      </c>
      <c r="BF74" s="794">
        <v>0</v>
      </c>
      <c r="BG74" s="794">
        <v>0</v>
      </c>
      <c r="BH74" s="794">
        <v>0</v>
      </c>
      <c r="BI74" s="794">
        <v>0</v>
      </c>
      <c r="BJ74" s="794">
        <v>0</v>
      </c>
      <c r="BK74" s="794">
        <v>0</v>
      </c>
      <c r="BL74" s="794">
        <v>0</v>
      </c>
      <c r="BM74" s="794">
        <v>0</v>
      </c>
      <c r="BN74" s="794">
        <v>0</v>
      </c>
      <c r="BO74" s="794">
        <v>0</v>
      </c>
      <c r="BP74" s="794">
        <v>0</v>
      </c>
      <c r="BQ74" s="794">
        <v>0</v>
      </c>
      <c r="BR74" s="794">
        <v>0</v>
      </c>
      <c r="BS74" s="794">
        <v>0</v>
      </c>
      <c r="BT74" s="794">
        <v>0</v>
      </c>
      <c r="BU74" s="794">
        <v>0</v>
      </c>
      <c r="BV74" s="794">
        <v>0</v>
      </c>
    </row>
    <row r="75" spans="2:74">
      <c r="B75" s="793" t="s">
        <v>2809</v>
      </c>
      <c r="C75" s="793" t="s">
        <v>2810</v>
      </c>
      <c r="D75" s="793"/>
      <c r="E75" s="794"/>
      <c r="F75" s="799"/>
      <c r="G75" s="799"/>
      <c r="H75" s="799"/>
      <c r="I75" s="799"/>
      <c r="J75" s="799" t="e">
        <f t="shared" si="4"/>
        <v>#N/A</v>
      </c>
      <c r="K75" s="799" t="e">
        <f t="shared" si="5"/>
        <v>#N/A</v>
      </c>
      <c r="L75" s="799">
        <f t="shared" si="6"/>
        <v>331</v>
      </c>
      <c r="M75" s="799"/>
      <c r="N75" s="595"/>
      <c r="O75" s="794">
        <v>0</v>
      </c>
      <c r="P75" s="794">
        <v>0</v>
      </c>
      <c r="Q75" s="794">
        <v>0</v>
      </c>
      <c r="R75" s="794">
        <v>0</v>
      </c>
      <c r="S75" s="794">
        <v>0</v>
      </c>
      <c r="T75" s="809">
        <v>17100</v>
      </c>
      <c r="U75" s="794">
        <v>0</v>
      </c>
      <c r="V75" s="794">
        <v>0</v>
      </c>
      <c r="W75" s="794">
        <v>0</v>
      </c>
      <c r="X75" s="794">
        <v>0</v>
      </c>
      <c r="Y75" s="794">
        <v>110951.01</v>
      </c>
      <c r="Z75" s="794">
        <v>0</v>
      </c>
      <c r="AA75" s="794">
        <v>0</v>
      </c>
      <c r="AB75" s="794">
        <v>0</v>
      </c>
      <c r="AC75" s="794">
        <v>0</v>
      </c>
      <c r="AD75" s="794">
        <v>0</v>
      </c>
      <c r="AE75" s="794">
        <v>0</v>
      </c>
      <c r="AF75" s="794">
        <v>0</v>
      </c>
      <c r="AG75" s="794">
        <v>0</v>
      </c>
      <c r="AH75" s="794">
        <v>0</v>
      </c>
      <c r="AI75" s="794">
        <v>0</v>
      </c>
      <c r="AJ75" s="794">
        <v>0</v>
      </c>
      <c r="AK75" s="794">
        <v>0</v>
      </c>
      <c r="AL75" s="794">
        <v>0</v>
      </c>
      <c r="AM75" s="794">
        <v>0</v>
      </c>
      <c r="AN75" s="794">
        <v>0</v>
      </c>
      <c r="AO75" s="794">
        <v>0</v>
      </c>
      <c r="AP75" s="794">
        <v>0</v>
      </c>
      <c r="AQ75" s="794">
        <v>0</v>
      </c>
      <c r="AR75" s="794">
        <v>0</v>
      </c>
      <c r="AS75" s="794">
        <v>0</v>
      </c>
      <c r="AT75" s="794">
        <v>0</v>
      </c>
      <c r="AU75" s="794">
        <v>0</v>
      </c>
      <c r="AV75" s="794">
        <v>0</v>
      </c>
      <c r="AW75" s="794">
        <v>0</v>
      </c>
      <c r="AX75" s="794">
        <v>0</v>
      </c>
      <c r="AY75" s="794">
        <v>0</v>
      </c>
      <c r="AZ75" s="794">
        <v>0</v>
      </c>
      <c r="BA75" s="794">
        <v>0</v>
      </c>
      <c r="BB75" s="794">
        <v>0</v>
      </c>
      <c r="BC75" s="794">
        <v>0</v>
      </c>
      <c r="BD75" s="794">
        <v>0</v>
      </c>
      <c r="BE75" s="794">
        <v>0</v>
      </c>
      <c r="BF75" s="794">
        <v>0</v>
      </c>
      <c r="BG75" s="794">
        <v>0</v>
      </c>
      <c r="BH75" s="794">
        <v>0</v>
      </c>
      <c r="BI75" s="794">
        <v>0</v>
      </c>
      <c r="BJ75" s="794">
        <v>0</v>
      </c>
      <c r="BK75" s="794">
        <v>0</v>
      </c>
      <c r="BL75" s="794">
        <v>0</v>
      </c>
      <c r="BM75" s="794">
        <v>0</v>
      </c>
      <c r="BN75" s="794">
        <v>0</v>
      </c>
      <c r="BO75" s="794">
        <v>0</v>
      </c>
      <c r="BP75" s="794">
        <v>0</v>
      </c>
      <c r="BQ75" s="794">
        <v>0</v>
      </c>
      <c r="BR75" s="794">
        <v>0</v>
      </c>
      <c r="BS75" s="794">
        <v>0</v>
      </c>
      <c r="BT75" s="794">
        <v>0</v>
      </c>
      <c r="BU75" s="794">
        <v>0</v>
      </c>
      <c r="BV75" s="794">
        <v>0</v>
      </c>
    </row>
    <row r="76" spans="2:74">
      <c r="B76" s="793" t="s">
        <v>2811</v>
      </c>
      <c r="C76" s="793" t="s">
        <v>2812</v>
      </c>
      <c r="D76" s="793"/>
      <c r="E76" s="794"/>
      <c r="F76" s="799"/>
      <c r="G76" s="799"/>
      <c r="H76" s="799"/>
      <c r="I76" s="799"/>
      <c r="J76" s="799" t="e">
        <f t="shared" si="4"/>
        <v>#N/A</v>
      </c>
      <c r="K76" s="799" t="e">
        <f t="shared" si="5"/>
        <v>#N/A</v>
      </c>
      <c r="L76" s="799">
        <f t="shared" si="6"/>
        <v>331</v>
      </c>
      <c r="M76" s="799"/>
      <c r="N76" s="595"/>
      <c r="O76" s="794">
        <v>0</v>
      </c>
      <c r="P76" s="794">
        <v>0</v>
      </c>
      <c r="Q76" s="794">
        <v>0</v>
      </c>
      <c r="R76" s="794">
        <v>0</v>
      </c>
      <c r="S76" s="794">
        <v>0</v>
      </c>
      <c r="T76" s="809">
        <v>7869</v>
      </c>
      <c r="U76" s="794">
        <v>0</v>
      </c>
      <c r="V76" s="794">
        <v>0</v>
      </c>
      <c r="W76" s="794">
        <v>0</v>
      </c>
      <c r="X76" s="794">
        <v>0</v>
      </c>
      <c r="Y76" s="794">
        <v>0</v>
      </c>
      <c r="Z76" s="794">
        <v>0</v>
      </c>
      <c r="AA76" s="794">
        <v>0</v>
      </c>
      <c r="AB76" s="794">
        <v>0</v>
      </c>
      <c r="AC76" s="794">
        <v>0</v>
      </c>
      <c r="AD76" s="794">
        <v>0</v>
      </c>
      <c r="AE76" s="794">
        <v>0</v>
      </c>
      <c r="AF76" s="794">
        <v>0</v>
      </c>
      <c r="AG76" s="794">
        <v>0</v>
      </c>
      <c r="AH76" s="794">
        <v>0</v>
      </c>
      <c r="AI76" s="794">
        <v>0</v>
      </c>
      <c r="AJ76" s="794">
        <v>0</v>
      </c>
      <c r="AK76" s="794">
        <v>0</v>
      </c>
      <c r="AL76" s="794">
        <v>0</v>
      </c>
      <c r="AM76" s="794">
        <v>0</v>
      </c>
      <c r="AN76" s="794">
        <v>0</v>
      </c>
      <c r="AO76" s="794">
        <v>0</v>
      </c>
      <c r="AP76" s="794">
        <v>0</v>
      </c>
      <c r="AQ76" s="794">
        <v>0</v>
      </c>
      <c r="AR76" s="794">
        <v>0</v>
      </c>
      <c r="AS76" s="794">
        <v>0</v>
      </c>
      <c r="AT76" s="794">
        <v>0</v>
      </c>
      <c r="AU76" s="794">
        <v>0</v>
      </c>
      <c r="AV76" s="794">
        <v>0</v>
      </c>
      <c r="AW76" s="794">
        <v>0</v>
      </c>
      <c r="AX76" s="794">
        <v>0</v>
      </c>
      <c r="AY76" s="794">
        <v>0</v>
      </c>
      <c r="AZ76" s="794">
        <v>0</v>
      </c>
      <c r="BA76" s="794">
        <v>0</v>
      </c>
      <c r="BB76" s="794">
        <v>0</v>
      </c>
      <c r="BC76" s="794">
        <v>0</v>
      </c>
      <c r="BD76" s="794">
        <v>0</v>
      </c>
      <c r="BE76" s="794">
        <v>0</v>
      </c>
      <c r="BF76" s="794">
        <v>0</v>
      </c>
      <c r="BG76" s="794">
        <v>0</v>
      </c>
      <c r="BH76" s="794">
        <v>0</v>
      </c>
      <c r="BI76" s="794">
        <v>0</v>
      </c>
      <c r="BJ76" s="794">
        <v>0</v>
      </c>
      <c r="BK76" s="794">
        <v>0</v>
      </c>
      <c r="BL76" s="794">
        <v>0</v>
      </c>
      <c r="BM76" s="794">
        <v>0</v>
      </c>
      <c r="BN76" s="794">
        <v>0</v>
      </c>
      <c r="BO76" s="794">
        <v>0</v>
      </c>
      <c r="BP76" s="794">
        <v>0</v>
      </c>
      <c r="BQ76" s="794">
        <v>0</v>
      </c>
      <c r="BR76" s="794">
        <v>0</v>
      </c>
      <c r="BS76" s="794">
        <v>0</v>
      </c>
      <c r="BT76" s="794">
        <v>0</v>
      </c>
      <c r="BU76" s="794">
        <v>0</v>
      </c>
      <c r="BV76" s="794">
        <v>0</v>
      </c>
    </row>
    <row r="77" spans="2:74">
      <c r="B77" s="793" t="s">
        <v>2795</v>
      </c>
      <c r="C77" s="793" t="s">
        <v>2776</v>
      </c>
      <c r="D77" s="793"/>
      <c r="E77" s="794"/>
      <c r="F77" s="799"/>
      <c r="G77" s="799"/>
      <c r="H77" s="799"/>
      <c r="I77" s="799"/>
      <c r="J77" s="799"/>
      <c r="K77" s="799"/>
      <c r="L77" s="799">
        <f t="shared" si="6"/>
        <v>331</v>
      </c>
      <c r="M77" s="799"/>
      <c r="N77" s="595"/>
      <c r="O77" s="794">
        <v>0</v>
      </c>
      <c r="P77" s="794">
        <v>0</v>
      </c>
      <c r="Q77" s="794">
        <v>0</v>
      </c>
      <c r="R77" s="794">
        <v>0</v>
      </c>
      <c r="S77" s="794">
        <v>0</v>
      </c>
      <c r="T77" s="809">
        <v>374683.22</v>
      </c>
      <c r="U77" s="794">
        <v>175681.88</v>
      </c>
      <c r="V77" s="794">
        <v>0</v>
      </c>
      <c r="W77" s="794">
        <v>0</v>
      </c>
      <c r="X77" s="794">
        <v>0</v>
      </c>
      <c r="Y77" s="794">
        <v>0</v>
      </c>
      <c r="Z77" s="794">
        <v>0</v>
      </c>
      <c r="AA77" s="794">
        <v>0</v>
      </c>
      <c r="AB77" s="794">
        <v>0</v>
      </c>
      <c r="AC77" s="794">
        <v>0</v>
      </c>
      <c r="AD77" s="794">
        <v>0</v>
      </c>
      <c r="AE77" s="794">
        <v>0</v>
      </c>
      <c r="AF77" s="794">
        <v>0</v>
      </c>
      <c r="AG77" s="794">
        <v>0</v>
      </c>
      <c r="AH77" s="794">
        <v>0</v>
      </c>
      <c r="AI77" s="794">
        <v>0</v>
      </c>
      <c r="AJ77" s="794">
        <v>0</v>
      </c>
      <c r="AK77" s="794">
        <v>0</v>
      </c>
      <c r="AL77" s="794">
        <v>0</v>
      </c>
      <c r="AM77" s="794">
        <v>0</v>
      </c>
      <c r="AN77" s="794">
        <v>0</v>
      </c>
      <c r="AO77" s="794">
        <v>0</v>
      </c>
      <c r="AP77" s="794">
        <v>0</v>
      </c>
      <c r="AQ77" s="794">
        <v>0</v>
      </c>
      <c r="AR77" s="794">
        <v>0</v>
      </c>
      <c r="AS77" s="794">
        <v>0</v>
      </c>
      <c r="AT77" s="794">
        <v>0</v>
      </c>
      <c r="AU77" s="794">
        <v>0</v>
      </c>
      <c r="AV77" s="794">
        <v>0</v>
      </c>
      <c r="AW77" s="794">
        <v>0</v>
      </c>
      <c r="AX77" s="794">
        <v>0</v>
      </c>
      <c r="AY77" s="794">
        <v>0</v>
      </c>
      <c r="AZ77" s="794">
        <v>0</v>
      </c>
      <c r="BA77" s="794">
        <v>0</v>
      </c>
      <c r="BB77" s="794">
        <v>0</v>
      </c>
      <c r="BC77" s="794">
        <v>0</v>
      </c>
      <c r="BD77" s="794">
        <v>0</v>
      </c>
      <c r="BE77" s="794">
        <v>0</v>
      </c>
      <c r="BF77" s="794">
        <v>0</v>
      </c>
      <c r="BG77" s="794">
        <v>0</v>
      </c>
      <c r="BH77" s="794">
        <v>0</v>
      </c>
      <c r="BI77" s="794">
        <v>0</v>
      </c>
      <c r="BJ77" s="794">
        <v>0</v>
      </c>
      <c r="BK77" s="794">
        <v>0</v>
      </c>
      <c r="BL77" s="794">
        <v>0</v>
      </c>
      <c r="BM77" s="794">
        <v>0</v>
      </c>
      <c r="BN77" s="794">
        <v>0</v>
      </c>
      <c r="BO77" s="794">
        <v>0</v>
      </c>
      <c r="BP77" s="794">
        <v>0</v>
      </c>
      <c r="BQ77" s="794">
        <v>0</v>
      </c>
      <c r="BR77" s="794">
        <v>0</v>
      </c>
      <c r="BS77" s="794">
        <v>0</v>
      </c>
      <c r="BT77" s="794">
        <v>0</v>
      </c>
      <c r="BU77" s="794">
        <v>0</v>
      </c>
      <c r="BV77" s="794">
        <v>0</v>
      </c>
    </row>
    <row r="78" spans="2:74">
      <c r="B78" s="793" t="s">
        <v>2813</v>
      </c>
      <c r="C78" s="793" t="s">
        <v>2814</v>
      </c>
      <c r="D78" s="793"/>
      <c r="E78" s="794"/>
      <c r="F78" s="799"/>
      <c r="G78" s="799"/>
      <c r="H78" s="799"/>
      <c r="I78" s="799"/>
      <c r="J78" s="799"/>
      <c r="K78" s="799"/>
      <c r="L78" s="799">
        <f t="shared" si="6"/>
        <v>331</v>
      </c>
      <c r="M78" s="799"/>
      <c r="N78" s="595"/>
      <c r="O78" s="794">
        <v>0</v>
      </c>
      <c r="P78" s="794">
        <v>0</v>
      </c>
      <c r="Q78" s="794">
        <v>0</v>
      </c>
      <c r="R78" s="794">
        <v>0</v>
      </c>
      <c r="S78" s="794">
        <v>0</v>
      </c>
      <c r="T78" s="794">
        <v>0</v>
      </c>
      <c r="U78" s="809">
        <v>11725.48</v>
      </c>
      <c r="V78" s="794">
        <v>0</v>
      </c>
      <c r="W78" s="794">
        <v>0</v>
      </c>
      <c r="X78" s="794">
        <v>0</v>
      </c>
      <c r="Y78" s="794">
        <v>0</v>
      </c>
      <c r="Z78" s="794">
        <v>0</v>
      </c>
      <c r="AA78" s="794">
        <v>0</v>
      </c>
      <c r="AB78" s="794">
        <v>0</v>
      </c>
      <c r="AC78" s="794">
        <v>0</v>
      </c>
      <c r="AD78" s="794">
        <v>0</v>
      </c>
      <c r="AE78" s="794">
        <v>0</v>
      </c>
      <c r="AF78" s="794">
        <v>0</v>
      </c>
      <c r="AG78" s="794">
        <v>0</v>
      </c>
      <c r="AH78" s="794">
        <v>0</v>
      </c>
      <c r="AI78" s="794">
        <v>0</v>
      </c>
      <c r="AJ78" s="794">
        <v>0</v>
      </c>
      <c r="AK78" s="794">
        <v>0</v>
      </c>
      <c r="AL78" s="794">
        <v>0</v>
      </c>
      <c r="AM78" s="794">
        <v>0</v>
      </c>
      <c r="AN78" s="794">
        <v>0</v>
      </c>
      <c r="AO78" s="794">
        <v>0</v>
      </c>
      <c r="AP78" s="794">
        <v>0</v>
      </c>
      <c r="AQ78" s="794">
        <v>0</v>
      </c>
      <c r="AR78" s="794">
        <v>0</v>
      </c>
      <c r="AS78" s="794">
        <v>0</v>
      </c>
      <c r="AT78" s="794">
        <v>0</v>
      </c>
      <c r="AU78" s="794">
        <v>0</v>
      </c>
      <c r="AV78" s="794">
        <v>0</v>
      </c>
      <c r="AW78" s="794">
        <v>0</v>
      </c>
      <c r="AX78" s="794">
        <v>0</v>
      </c>
      <c r="AY78" s="794">
        <v>0</v>
      </c>
      <c r="AZ78" s="794">
        <v>0</v>
      </c>
      <c r="BA78" s="794">
        <v>0</v>
      </c>
      <c r="BB78" s="794">
        <v>0</v>
      </c>
      <c r="BC78" s="794">
        <v>0</v>
      </c>
      <c r="BD78" s="794">
        <v>0</v>
      </c>
      <c r="BE78" s="794">
        <v>0</v>
      </c>
      <c r="BF78" s="794">
        <v>0</v>
      </c>
      <c r="BG78" s="794">
        <v>0</v>
      </c>
      <c r="BH78" s="794">
        <v>0</v>
      </c>
      <c r="BI78" s="794">
        <v>0</v>
      </c>
      <c r="BJ78" s="794">
        <v>0</v>
      </c>
      <c r="BK78" s="794">
        <v>0</v>
      </c>
      <c r="BL78" s="794">
        <v>0</v>
      </c>
      <c r="BM78" s="794">
        <v>0</v>
      </c>
      <c r="BN78" s="794">
        <v>0</v>
      </c>
      <c r="BO78" s="794">
        <v>0</v>
      </c>
      <c r="BP78" s="794">
        <v>0</v>
      </c>
      <c r="BQ78" s="794">
        <v>0</v>
      </c>
      <c r="BR78" s="794">
        <v>0</v>
      </c>
      <c r="BS78" s="794">
        <v>0</v>
      </c>
      <c r="BT78" s="794">
        <v>0</v>
      </c>
      <c r="BU78" s="794">
        <v>0</v>
      </c>
      <c r="BV78" s="794">
        <v>0</v>
      </c>
    </row>
    <row r="79" spans="2:74">
      <c r="B79" s="793" t="s">
        <v>2815</v>
      </c>
      <c r="C79" s="793" t="s">
        <v>2816</v>
      </c>
      <c r="D79" s="793"/>
      <c r="E79" s="794"/>
      <c r="F79" s="799"/>
      <c r="G79" s="799"/>
      <c r="H79" s="799"/>
      <c r="I79" s="799"/>
      <c r="J79" s="799"/>
      <c r="K79" s="799"/>
      <c r="L79" s="799">
        <f t="shared" si="6"/>
        <v>331</v>
      </c>
      <c r="M79" s="799"/>
      <c r="N79" s="595"/>
      <c r="O79" s="794">
        <v>0</v>
      </c>
      <c r="P79" s="794">
        <v>0</v>
      </c>
      <c r="Q79" s="794">
        <v>0</v>
      </c>
      <c r="R79" s="794">
        <v>0</v>
      </c>
      <c r="S79" s="794">
        <v>0</v>
      </c>
      <c r="T79" s="794">
        <v>0</v>
      </c>
      <c r="U79" s="809">
        <v>88000</v>
      </c>
      <c r="V79" s="794">
        <v>22000</v>
      </c>
      <c r="W79" s="794">
        <v>0</v>
      </c>
      <c r="X79" s="794">
        <v>0</v>
      </c>
      <c r="Y79" s="794">
        <v>0</v>
      </c>
      <c r="Z79" s="794">
        <v>0</v>
      </c>
      <c r="AA79" s="794">
        <v>0</v>
      </c>
      <c r="AB79" s="794">
        <v>0</v>
      </c>
      <c r="AC79" s="794">
        <v>0</v>
      </c>
      <c r="AD79" s="794">
        <v>0</v>
      </c>
      <c r="AE79" s="794">
        <v>0</v>
      </c>
      <c r="AF79" s="794">
        <v>0</v>
      </c>
      <c r="AG79" s="794">
        <v>0</v>
      </c>
      <c r="AH79" s="794">
        <v>0</v>
      </c>
      <c r="AI79" s="794">
        <v>0</v>
      </c>
      <c r="AJ79" s="794">
        <v>0</v>
      </c>
      <c r="AK79" s="794">
        <v>0</v>
      </c>
      <c r="AL79" s="794">
        <v>0</v>
      </c>
      <c r="AM79" s="794">
        <v>0</v>
      </c>
      <c r="AN79" s="794">
        <v>0</v>
      </c>
      <c r="AO79" s="794">
        <v>0</v>
      </c>
      <c r="AP79" s="794">
        <v>0</v>
      </c>
      <c r="AQ79" s="794">
        <v>0</v>
      </c>
      <c r="AR79" s="794">
        <v>0</v>
      </c>
      <c r="AS79" s="794">
        <v>0</v>
      </c>
      <c r="AT79" s="794">
        <v>0</v>
      </c>
      <c r="AU79" s="794">
        <v>0</v>
      </c>
      <c r="AV79" s="794">
        <v>0</v>
      </c>
      <c r="AW79" s="794">
        <v>0</v>
      </c>
      <c r="AX79" s="794">
        <v>0</v>
      </c>
      <c r="AY79" s="794">
        <v>0</v>
      </c>
      <c r="AZ79" s="794">
        <v>0</v>
      </c>
      <c r="BA79" s="794">
        <v>0</v>
      </c>
      <c r="BB79" s="794">
        <v>0</v>
      </c>
      <c r="BC79" s="794">
        <v>0</v>
      </c>
      <c r="BD79" s="794">
        <v>0</v>
      </c>
      <c r="BE79" s="794">
        <v>0</v>
      </c>
      <c r="BF79" s="794">
        <v>0</v>
      </c>
      <c r="BG79" s="794">
        <v>0</v>
      </c>
      <c r="BH79" s="794">
        <v>0</v>
      </c>
      <c r="BI79" s="794">
        <v>0</v>
      </c>
      <c r="BJ79" s="794">
        <v>0</v>
      </c>
      <c r="BK79" s="794">
        <v>0</v>
      </c>
      <c r="BL79" s="794">
        <v>0</v>
      </c>
      <c r="BM79" s="794">
        <v>0</v>
      </c>
      <c r="BN79" s="794">
        <v>0</v>
      </c>
      <c r="BO79" s="794">
        <v>0</v>
      </c>
      <c r="BP79" s="794">
        <v>0</v>
      </c>
      <c r="BQ79" s="794">
        <v>0</v>
      </c>
      <c r="BR79" s="794">
        <v>0</v>
      </c>
      <c r="BS79" s="794">
        <v>0</v>
      </c>
      <c r="BT79" s="794">
        <v>0</v>
      </c>
      <c r="BU79" s="794">
        <v>0</v>
      </c>
      <c r="BV79" s="794">
        <v>0</v>
      </c>
    </row>
    <row r="80" spans="2:74">
      <c r="B80" s="793" t="s">
        <v>2817</v>
      </c>
      <c r="C80" s="793" t="s">
        <v>2818</v>
      </c>
      <c r="D80" s="793"/>
      <c r="E80" s="794"/>
      <c r="F80" s="799"/>
      <c r="G80" s="799"/>
      <c r="H80" s="799"/>
      <c r="I80" s="799"/>
      <c r="J80" s="799"/>
      <c r="K80" s="799"/>
      <c r="L80" s="799">
        <f t="shared" si="6"/>
        <v>331</v>
      </c>
      <c r="M80" s="799"/>
      <c r="N80" s="595"/>
      <c r="O80" s="794">
        <v>0</v>
      </c>
      <c r="P80" s="794">
        <v>0</v>
      </c>
      <c r="Q80" s="794">
        <v>0</v>
      </c>
      <c r="R80" s="794">
        <v>0</v>
      </c>
      <c r="S80" s="794">
        <v>0</v>
      </c>
      <c r="T80" s="794">
        <v>0</v>
      </c>
      <c r="U80" s="809">
        <v>31293.97</v>
      </c>
      <c r="V80" s="794">
        <v>16848.490000000002</v>
      </c>
      <c r="W80" s="794">
        <v>91609</v>
      </c>
      <c r="X80" s="794">
        <v>79471.11</v>
      </c>
      <c r="Y80" s="794">
        <v>0</v>
      </c>
      <c r="Z80" s="794">
        <v>0</v>
      </c>
      <c r="AA80" s="794">
        <v>0</v>
      </c>
      <c r="AB80" s="794">
        <v>0</v>
      </c>
      <c r="AC80" s="794">
        <v>0</v>
      </c>
      <c r="AD80" s="794">
        <v>0</v>
      </c>
      <c r="AE80" s="794">
        <v>0</v>
      </c>
      <c r="AF80" s="794">
        <v>0</v>
      </c>
      <c r="AG80" s="794">
        <v>0</v>
      </c>
      <c r="AH80" s="794">
        <v>0</v>
      </c>
      <c r="AI80" s="794">
        <v>0</v>
      </c>
      <c r="AJ80" s="794">
        <v>0</v>
      </c>
      <c r="AK80" s="794">
        <v>0</v>
      </c>
      <c r="AL80" s="794">
        <v>0</v>
      </c>
      <c r="AM80" s="794">
        <v>0</v>
      </c>
      <c r="AN80" s="794">
        <v>0</v>
      </c>
      <c r="AO80" s="794">
        <v>0</v>
      </c>
      <c r="AP80" s="794">
        <v>0</v>
      </c>
      <c r="AQ80" s="794">
        <v>0</v>
      </c>
      <c r="AR80" s="794">
        <v>0</v>
      </c>
      <c r="AS80" s="794">
        <v>0</v>
      </c>
      <c r="AT80" s="794">
        <v>0</v>
      </c>
      <c r="AU80" s="794">
        <v>0</v>
      </c>
      <c r="AV80" s="794">
        <v>0</v>
      </c>
      <c r="AW80" s="794">
        <v>0</v>
      </c>
      <c r="AX80" s="794">
        <v>0</v>
      </c>
      <c r="AY80" s="794">
        <v>0</v>
      </c>
      <c r="AZ80" s="794">
        <v>0</v>
      </c>
      <c r="BA80" s="794">
        <v>0</v>
      </c>
      <c r="BB80" s="794">
        <v>0</v>
      </c>
      <c r="BC80" s="794">
        <v>0</v>
      </c>
      <c r="BD80" s="794">
        <v>0</v>
      </c>
      <c r="BE80" s="794">
        <v>0</v>
      </c>
      <c r="BF80" s="794">
        <v>0</v>
      </c>
      <c r="BG80" s="794">
        <v>0</v>
      </c>
      <c r="BH80" s="794">
        <v>0</v>
      </c>
      <c r="BI80" s="794">
        <v>0</v>
      </c>
      <c r="BJ80" s="794">
        <v>0</v>
      </c>
      <c r="BK80" s="794">
        <v>0</v>
      </c>
      <c r="BL80" s="794">
        <v>0</v>
      </c>
      <c r="BM80" s="794">
        <v>0</v>
      </c>
      <c r="BN80" s="794">
        <v>0</v>
      </c>
      <c r="BO80" s="794">
        <v>0</v>
      </c>
      <c r="BP80" s="794">
        <v>0</v>
      </c>
      <c r="BQ80" s="794">
        <v>0</v>
      </c>
      <c r="BR80" s="794">
        <v>0</v>
      </c>
      <c r="BS80" s="794">
        <v>0</v>
      </c>
      <c r="BT80" s="794">
        <v>0</v>
      </c>
      <c r="BU80" s="794">
        <v>0</v>
      </c>
      <c r="BV80" s="794">
        <v>0</v>
      </c>
    </row>
    <row r="81" spans="2:74">
      <c r="B81" s="793" t="s">
        <v>2819</v>
      </c>
      <c r="C81" s="793" t="s">
        <v>2820</v>
      </c>
      <c r="D81" s="793"/>
      <c r="E81" s="794"/>
      <c r="F81" s="799"/>
      <c r="G81" s="799"/>
      <c r="H81" s="799"/>
      <c r="I81" s="799"/>
      <c r="J81" s="799"/>
      <c r="K81" s="799"/>
      <c r="L81" s="799">
        <f t="shared" si="6"/>
        <v>331</v>
      </c>
      <c r="M81" s="799"/>
      <c r="N81" s="595"/>
      <c r="O81" s="794">
        <v>0</v>
      </c>
      <c r="P81" s="794">
        <v>0</v>
      </c>
      <c r="Q81" s="794">
        <v>0</v>
      </c>
      <c r="R81" s="794">
        <v>0</v>
      </c>
      <c r="S81" s="794">
        <v>0</v>
      </c>
      <c r="T81" s="794">
        <v>0</v>
      </c>
      <c r="U81" s="809">
        <v>24820.73</v>
      </c>
      <c r="V81" s="794">
        <v>18061.38</v>
      </c>
      <c r="W81" s="794">
        <v>58307.22</v>
      </c>
      <c r="X81" s="794">
        <v>40551.69</v>
      </c>
      <c r="Y81" s="794">
        <v>17606.25</v>
      </c>
      <c r="Z81" s="794">
        <v>12257.6</v>
      </c>
      <c r="AA81" s="794">
        <v>42266.27</v>
      </c>
      <c r="AB81" s="794">
        <v>41826.699999999997</v>
      </c>
      <c r="AC81" s="794">
        <v>34736.67</v>
      </c>
      <c r="AD81" s="794">
        <v>11006.81</v>
      </c>
      <c r="AE81" s="794">
        <v>0</v>
      </c>
      <c r="AF81" s="794">
        <v>0</v>
      </c>
      <c r="AG81" s="794">
        <v>0</v>
      </c>
      <c r="AH81" s="794">
        <v>0</v>
      </c>
      <c r="AI81" s="794">
        <v>0</v>
      </c>
      <c r="AJ81" s="794">
        <v>0</v>
      </c>
      <c r="AK81" s="794">
        <v>0</v>
      </c>
      <c r="AL81" s="794">
        <v>0</v>
      </c>
      <c r="AM81" s="794">
        <v>0</v>
      </c>
      <c r="AN81" s="794">
        <v>0</v>
      </c>
      <c r="AO81" s="794">
        <v>0</v>
      </c>
      <c r="AP81" s="794">
        <v>0</v>
      </c>
      <c r="AQ81" s="794">
        <v>0</v>
      </c>
      <c r="AR81" s="794">
        <v>0</v>
      </c>
      <c r="AS81" s="794">
        <v>0</v>
      </c>
      <c r="AT81" s="794">
        <v>0</v>
      </c>
      <c r="AU81" s="794">
        <v>0</v>
      </c>
      <c r="AV81" s="794">
        <v>0</v>
      </c>
      <c r="AW81" s="794">
        <v>0</v>
      </c>
      <c r="AX81" s="794">
        <v>0</v>
      </c>
      <c r="AY81" s="794">
        <v>0</v>
      </c>
      <c r="AZ81" s="794">
        <v>0</v>
      </c>
      <c r="BA81" s="794">
        <v>0</v>
      </c>
      <c r="BB81" s="794">
        <v>0</v>
      </c>
      <c r="BC81" s="794">
        <v>0</v>
      </c>
      <c r="BD81" s="794">
        <v>0</v>
      </c>
      <c r="BE81" s="794">
        <v>0</v>
      </c>
      <c r="BF81" s="794">
        <v>0</v>
      </c>
      <c r="BG81" s="794">
        <v>0</v>
      </c>
      <c r="BH81" s="794">
        <v>0</v>
      </c>
      <c r="BI81" s="794">
        <v>0</v>
      </c>
      <c r="BJ81" s="794">
        <v>0</v>
      </c>
      <c r="BK81" s="794">
        <v>0</v>
      </c>
      <c r="BL81" s="794">
        <v>0</v>
      </c>
      <c r="BM81" s="794">
        <v>0</v>
      </c>
      <c r="BN81" s="794">
        <v>0</v>
      </c>
      <c r="BO81" s="794">
        <v>0</v>
      </c>
      <c r="BP81" s="794">
        <v>0</v>
      </c>
      <c r="BQ81" s="794">
        <v>0</v>
      </c>
      <c r="BR81" s="794">
        <v>0</v>
      </c>
      <c r="BS81" s="794">
        <v>0</v>
      </c>
      <c r="BT81" s="794">
        <v>0</v>
      </c>
      <c r="BU81" s="794">
        <v>0</v>
      </c>
      <c r="BV81" s="794">
        <v>0</v>
      </c>
    </row>
    <row r="82" spans="2:74">
      <c r="B82" s="793" t="s">
        <v>819</v>
      </c>
      <c r="C82" s="793" t="s">
        <v>2821</v>
      </c>
      <c r="D82" s="793"/>
      <c r="E82" s="794"/>
      <c r="F82" s="799"/>
      <c r="G82" s="799"/>
      <c r="H82" s="799"/>
      <c r="I82" s="799"/>
      <c r="J82" s="799"/>
      <c r="K82" s="799"/>
      <c r="L82" s="799">
        <f t="shared" si="6"/>
        <v>331</v>
      </c>
      <c r="M82" s="799"/>
      <c r="N82" s="595"/>
      <c r="O82" s="794">
        <v>0</v>
      </c>
      <c r="P82" s="794">
        <v>0</v>
      </c>
      <c r="Q82" s="794">
        <v>0</v>
      </c>
      <c r="R82" s="794">
        <v>0</v>
      </c>
      <c r="S82" s="794">
        <v>0</v>
      </c>
      <c r="T82" s="794">
        <v>0</v>
      </c>
      <c r="U82" s="809">
        <v>43352</v>
      </c>
      <c r="V82" s="794">
        <v>9648</v>
      </c>
      <c r="W82" s="794">
        <v>0</v>
      </c>
      <c r="X82" s="794">
        <v>0</v>
      </c>
      <c r="Y82" s="794">
        <v>0</v>
      </c>
      <c r="Z82" s="794">
        <v>0</v>
      </c>
      <c r="AA82" s="794">
        <v>0</v>
      </c>
      <c r="AB82" s="794">
        <v>0</v>
      </c>
      <c r="AC82" s="794">
        <v>0</v>
      </c>
      <c r="AD82" s="794">
        <v>0</v>
      </c>
      <c r="AE82" s="794">
        <v>0</v>
      </c>
      <c r="AF82" s="794">
        <v>0</v>
      </c>
      <c r="AG82" s="794">
        <v>0</v>
      </c>
      <c r="AH82" s="794">
        <v>0</v>
      </c>
      <c r="AI82" s="794">
        <v>0</v>
      </c>
      <c r="AJ82" s="794">
        <v>0</v>
      </c>
      <c r="AK82" s="794">
        <v>0</v>
      </c>
      <c r="AL82" s="794">
        <v>0</v>
      </c>
      <c r="AM82" s="794">
        <v>0</v>
      </c>
      <c r="AN82" s="794">
        <v>0</v>
      </c>
      <c r="AO82" s="794">
        <v>0</v>
      </c>
      <c r="AP82" s="794">
        <v>0</v>
      </c>
      <c r="AQ82" s="794">
        <v>0</v>
      </c>
      <c r="AR82" s="794">
        <v>0</v>
      </c>
      <c r="AS82" s="794">
        <v>0</v>
      </c>
      <c r="AT82" s="794">
        <v>0</v>
      </c>
      <c r="AU82" s="794">
        <v>0</v>
      </c>
      <c r="AV82" s="794">
        <v>0</v>
      </c>
      <c r="AW82" s="794">
        <v>0</v>
      </c>
      <c r="AX82" s="794">
        <v>0</v>
      </c>
      <c r="AY82" s="794">
        <v>0</v>
      </c>
      <c r="AZ82" s="794">
        <v>0</v>
      </c>
      <c r="BA82" s="794">
        <v>0</v>
      </c>
      <c r="BB82" s="794">
        <v>24738</v>
      </c>
      <c r="BC82" s="794">
        <v>0</v>
      </c>
      <c r="BD82" s="794">
        <v>0</v>
      </c>
      <c r="BE82" s="794">
        <v>0</v>
      </c>
      <c r="BF82" s="794">
        <v>0</v>
      </c>
      <c r="BG82" s="794">
        <v>0</v>
      </c>
      <c r="BH82" s="794">
        <v>0</v>
      </c>
      <c r="BI82" s="794">
        <v>0</v>
      </c>
      <c r="BJ82" s="794">
        <v>0</v>
      </c>
      <c r="BK82" s="794">
        <v>0</v>
      </c>
      <c r="BL82" s="794">
        <v>0</v>
      </c>
      <c r="BM82" s="794">
        <v>0</v>
      </c>
      <c r="BN82" s="794">
        <v>0</v>
      </c>
      <c r="BO82" s="794">
        <v>0</v>
      </c>
      <c r="BP82" s="794">
        <v>0</v>
      </c>
      <c r="BQ82" s="794">
        <v>0</v>
      </c>
      <c r="BR82" s="794">
        <v>0</v>
      </c>
      <c r="BS82" s="794">
        <v>0</v>
      </c>
      <c r="BT82" s="794">
        <v>0</v>
      </c>
      <c r="BU82" s="794">
        <v>0</v>
      </c>
      <c r="BV82" s="794">
        <v>114597.34</v>
      </c>
    </row>
    <row r="83" spans="2:74">
      <c r="B83" s="793" t="s">
        <v>2822</v>
      </c>
      <c r="C83" s="793" t="s">
        <v>2823</v>
      </c>
      <c r="D83" s="793"/>
      <c r="E83" s="794"/>
      <c r="F83" s="799"/>
      <c r="G83" s="799"/>
      <c r="H83" s="799"/>
      <c r="I83" s="799"/>
      <c r="J83" s="799"/>
      <c r="K83" s="799"/>
      <c r="L83" s="799">
        <f t="shared" si="6"/>
        <v>331</v>
      </c>
      <c r="M83" s="799"/>
      <c r="N83" s="595"/>
      <c r="O83" s="794">
        <v>0</v>
      </c>
      <c r="P83" s="794">
        <v>0</v>
      </c>
      <c r="Q83" s="794">
        <v>0</v>
      </c>
      <c r="R83" s="794">
        <v>0</v>
      </c>
      <c r="S83" s="794">
        <v>0</v>
      </c>
      <c r="T83" s="794">
        <v>0</v>
      </c>
      <c r="U83" s="809">
        <v>25885.87</v>
      </c>
      <c r="V83" s="794">
        <v>8380.68</v>
      </c>
      <c r="W83" s="794">
        <v>0</v>
      </c>
      <c r="X83" s="794">
        <v>0</v>
      </c>
      <c r="Y83" s="794">
        <v>0</v>
      </c>
      <c r="Z83" s="794">
        <v>0</v>
      </c>
      <c r="AA83" s="794">
        <v>0</v>
      </c>
      <c r="AB83" s="794">
        <v>0</v>
      </c>
      <c r="AC83" s="794">
        <v>0</v>
      </c>
      <c r="AD83" s="794">
        <v>0</v>
      </c>
      <c r="AE83" s="794">
        <v>0</v>
      </c>
      <c r="AF83" s="794">
        <v>0</v>
      </c>
      <c r="AG83" s="794">
        <v>0</v>
      </c>
      <c r="AH83" s="794">
        <v>0</v>
      </c>
      <c r="AI83" s="794">
        <v>0</v>
      </c>
      <c r="AJ83" s="794">
        <v>0</v>
      </c>
      <c r="AK83" s="794">
        <v>0</v>
      </c>
      <c r="AL83" s="794">
        <v>0</v>
      </c>
      <c r="AM83" s="794">
        <v>0</v>
      </c>
      <c r="AN83" s="794">
        <v>0</v>
      </c>
      <c r="AO83" s="794">
        <v>0</v>
      </c>
      <c r="AP83" s="794">
        <v>0</v>
      </c>
      <c r="AQ83" s="794">
        <v>0</v>
      </c>
      <c r="AR83" s="794">
        <v>0</v>
      </c>
      <c r="AS83" s="794">
        <v>0</v>
      </c>
      <c r="AT83" s="794">
        <v>0</v>
      </c>
      <c r="AU83" s="794">
        <v>0</v>
      </c>
      <c r="AV83" s="794">
        <v>0</v>
      </c>
      <c r="AW83" s="794">
        <v>0</v>
      </c>
      <c r="AX83" s="794">
        <v>0</v>
      </c>
      <c r="AY83" s="794">
        <v>0</v>
      </c>
      <c r="AZ83" s="794">
        <v>0</v>
      </c>
      <c r="BA83" s="794">
        <v>0</v>
      </c>
      <c r="BB83" s="794">
        <v>0</v>
      </c>
      <c r="BC83" s="794">
        <v>0</v>
      </c>
      <c r="BD83" s="794">
        <v>0</v>
      </c>
      <c r="BE83" s="794">
        <v>0</v>
      </c>
      <c r="BF83" s="794">
        <v>0</v>
      </c>
      <c r="BG83" s="794">
        <v>0</v>
      </c>
      <c r="BH83" s="794">
        <v>0</v>
      </c>
      <c r="BI83" s="794">
        <v>0</v>
      </c>
      <c r="BJ83" s="794">
        <v>0</v>
      </c>
      <c r="BK83" s="794">
        <v>0</v>
      </c>
      <c r="BL83" s="794">
        <v>0</v>
      </c>
      <c r="BM83" s="794">
        <v>0</v>
      </c>
      <c r="BN83" s="794">
        <v>0</v>
      </c>
      <c r="BO83" s="794">
        <v>0</v>
      </c>
      <c r="BP83" s="794">
        <v>0</v>
      </c>
      <c r="BQ83" s="794">
        <v>0</v>
      </c>
      <c r="BR83" s="794">
        <v>0</v>
      </c>
      <c r="BS83" s="794">
        <v>0</v>
      </c>
      <c r="BT83" s="794">
        <v>0</v>
      </c>
      <c r="BU83" s="794">
        <v>0</v>
      </c>
      <c r="BV83" s="794">
        <v>0</v>
      </c>
    </row>
    <row r="84" spans="2:74">
      <c r="B84" s="793" t="s">
        <v>2824</v>
      </c>
      <c r="C84" s="793" t="s">
        <v>2825</v>
      </c>
      <c r="D84" s="793"/>
      <c r="E84" s="794"/>
      <c r="F84" s="799"/>
      <c r="G84" s="799"/>
      <c r="H84" s="799"/>
      <c r="I84" s="799"/>
      <c r="J84" s="799"/>
      <c r="K84" s="799"/>
      <c r="L84" s="799">
        <f t="shared" si="6"/>
        <v>331</v>
      </c>
      <c r="M84" s="799"/>
      <c r="N84" s="595"/>
      <c r="O84" s="794">
        <v>0</v>
      </c>
      <c r="P84" s="794">
        <v>0</v>
      </c>
      <c r="Q84" s="794">
        <v>0</v>
      </c>
      <c r="R84" s="794">
        <v>0</v>
      </c>
      <c r="S84" s="794">
        <v>0</v>
      </c>
      <c r="T84" s="794">
        <v>0</v>
      </c>
      <c r="U84" s="809">
        <v>171949.44</v>
      </c>
      <c r="V84" s="794">
        <v>5344</v>
      </c>
      <c r="W84" s="794">
        <v>0</v>
      </c>
      <c r="X84" s="794">
        <v>0</v>
      </c>
      <c r="Y84" s="794">
        <v>0</v>
      </c>
      <c r="Z84" s="794">
        <v>0</v>
      </c>
      <c r="AA84" s="794">
        <v>0</v>
      </c>
      <c r="AB84" s="794">
        <v>0</v>
      </c>
      <c r="AC84" s="794">
        <v>0</v>
      </c>
      <c r="AD84" s="794">
        <v>0</v>
      </c>
      <c r="AE84" s="794">
        <v>0</v>
      </c>
      <c r="AF84" s="794">
        <v>0</v>
      </c>
      <c r="AG84" s="794">
        <v>0</v>
      </c>
      <c r="AH84" s="794">
        <v>0</v>
      </c>
      <c r="AI84" s="794">
        <v>0</v>
      </c>
      <c r="AJ84" s="794">
        <v>0</v>
      </c>
      <c r="AK84" s="794">
        <v>0</v>
      </c>
      <c r="AL84" s="794">
        <v>0</v>
      </c>
      <c r="AM84" s="794">
        <v>0</v>
      </c>
      <c r="AN84" s="794">
        <v>0</v>
      </c>
      <c r="AO84" s="794">
        <v>0</v>
      </c>
      <c r="AP84" s="794">
        <v>0</v>
      </c>
      <c r="AQ84" s="794">
        <v>0</v>
      </c>
      <c r="AR84" s="794">
        <v>0</v>
      </c>
      <c r="AS84" s="794">
        <v>0</v>
      </c>
      <c r="AT84" s="794">
        <v>0</v>
      </c>
      <c r="AU84" s="794">
        <v>0</v>
      </c>
      <c r="AV84" s="794">
        <v>0</v>
      </c>
      <c r="AW84" s="794">
        <v>0</v>
      </c>
      <c r="AX84" s="794">
        <v>0</v>
      </c>
      <c r="AY84" s="794">
        <v>0</v>
      </c>
      <c r="AZ84" s="794">
        <v>0</v>
      </c>
      <c r="BA84" s="794">
        <v>0</v>
      </c>
      <c r="BB84" s="794">
        <v>0</v>
      </c>
      <c r="BC84" s="794">
        <v>0</v>
      </c>
      <c r="BD84" s="794">
        <v>0</v>
      </c>
      <c r="BE84" s="794">
        <v>0</v>
      </c>
      <c r="BF84" s="794">
        <v>0</v>
      </c>
      <c r="BG84" s="794">
        <v>0</v>
      </c>
      <c r="BH84" s="794">
        <v>0</v>
      </c>
      <c r="BI84" s="794">
        <v>0</v>
      </c>
      <c r="BJ84" s="794">
        <v>0</v>
      </c>
      <c r="BK84" s="794">
        <v>0</v>
      </c>
      <c r="BL84" s="794">
        <v>0</v>
      </c>
      <c r="BM84" s="794">
        <v>0</v>
      </c>
      <c r="BN84" s="794">
        <v>0</v>
      </c>
      <c r="BO84" s="794">
        <v>0</v>
      </c>
      <c r="BP84" s="794">
        <v>0</v>
      </c>
      <c r="BQ84" s="794">
        <v>0</v>
      </c>
      <c r="BR84" s="794">
        <v>0</v>
      </c>
      <c r="BS84" s="794">
        <v>0</v>
      </c>
      <c r="BT84" s="794">
        <v>0</v>
      </c>
      <c r="BU84" s="794">
        <v>0</v>
      </c>
      <c r="BV84" s="794">
        <v>0</v>
      </c>
    </row>
    <row r="85" spans="2:74">
      <c r="B85" s="793" t="s">
        <v>2826</v>
      </c>
      <c r="C85" s="793" t="s">
        <v>2827</v>
      </c>
      <c r="D85" s="793"/>
      <c r="E85" s="794"/>
      <c r="F85" s="799"/>
      <c r="G85" s="799"/>
      <c r="H85" s="799"/>
      <c r="I85" s="799"/>
      <c r="J85" s="799"/>
      <c r="K85" s="799"/>
      <c r="L85" s="799">
        <f t="shared" si="6"/>
        <v>331</v>
      </c>
      <c r="M85" s="799"/>
      <c r="N85" s="595"/>
      <c r="O85" s="794">
        <v>0</v>
      </c>
      <c r="P85" s="794">
        <v>0</v>
      </c>
      <c r="Q85" s="794">
        <v>0</v>
      </c>
      <c r="R85" s="794">
        <v>0</v>
      </c>
      <c r="S85" s="794">
        <v>0</v>
      </c>
      <c r="T85" s="794">
        <v>0</v>
      </c>
      <c r="U85" s="809">
        <v>74000</v>
      </c>
      <c r="V85" s="794">
        <v>53206.2</v>
      </c>
      <c r="W85" s="794">
        <v>0</v>
      </c>
      <c r="X85" s="794">
        <v>0</v>
      </c>
      <c r="Y85" s="794">
        <v>0</v>
      </c>
      <c r="Z85" s="794">
        <v>0</v>
      </c>
      <c r="AA85" s="794">
        <v>0</v>
      </c>
      <c r="AB85" s="794">
        <v>0</v>
      </c>
      <c r="AC85" s="794">
        <v>0</v>
      </c>
      <c r="AD85" s="794">
        <v>0</v>
      </c>
      <c r="AE85" s="794">
        <v>0</v>
      </c>
      <c r="AF85" s="794">
        <v>0</v>
      </c>
      <c r="AG85" s="794">
        <v>0</v>
      </c>
      <c r="AH85" s="794">
        <v>0</v>
      </c>
      <c r="AI85" s="794">
        <v>0</v>
      </c>
      <c r="AJ85" s="794">
        <v>0</v>
      </c>
      <c r="AK85" s="794">
        <v>0</v>
      </c>
      <c r="AL85" s="794">
        <v>0</v>
      </c>
      <c r="AM85" s="794">
        <v>0</v>
      </c>
      <c r="AN85" s="794">
        <v>0</v>
      </c>
      <c r="AO85" s="794">
        <v>0</v>
      </c>
      <c r="AP85" s="794">
        <v>0</v>
      </c>
      <c r="AQ85" s="794">
        <v>0</v>
      </c>
      <c r="AR85" s="794">
        <v>0</v>
      </c>
      <c r="AS85" s="794">
        <v>0</v>
      </c>
      <c r="AT85" s="794">
        <v>0</v>
      </c>
      <c r="AU85" s="794">
        <v>0</v>
      </c>
      <c r="AV85" s="794">
        <v>0</v>
      </c>
      <c r="AW85" s="794">
        <v>0</v>
      </c>
      <c r="AX85" s="794">
        <v>0</v>
      </c>
      <c r="AY85" s="794">
        <v>0</v>
      </c>
      <c r="AZ85" s="794">
        <v>0</v>
      </c>
      <c r="BA85" s="794">
        <v>0</v>
      </c>
      <c r="BB85" s="794">
        <v>0</v>
      </c>
      <c r="BC85" s="794">
        <v>0</v>
      </c>
      <c r="BD85" s="794">
        <v>0</v>
      </c>
      <c r="BE85" s="794">
        <v>0</v>
      </c>
      <c r="BF85" s="794">
        <v>0</v>
      </c>
      <c r="BG85" s="794">
        <v>0</v>
      </c>
      <c r="BH85" s="794">
        <v>0</v>
      </c>
      <c r="BI85" s="794">
        <v>0</v>
      </c>
      <c r="BJ85" s="794">
        <v>0</v>
      </c>
      <c r="BK85" s="794">
        <v>0</v>
      </c>
      <c r="BL85" s="794">
        <v>0</v>
      </c>
      <c r="BM85" s="794">
        <v>0</v>
      </c>
      <c r="BN85" s="794">
        <v>0</v>
      </c>
      <c r="BO85" s="794">
        <v>0</v>
      </c>
      <c r="BP85" s="794">
        <v>0</v>
      </c>
      <c r="BQ85" s="794">
        <v>0</v>
      </c>
      <c r="BR85" s="794">
        <v>0</v>
      </c>
      <c r="BS85" s="794">
        <v>0</v>
      </c>
      <c r="BT85" s="794">
        <v>0</v>
      </c>
      <c r="BU85" s="794">
        <v>0</v>
      </c>
      <c r="BV85" s="794">
        <v>0</v>
      </c>
    </row>
    <row r="86" spans="2:74">
      <c r="B86" s="793" t="s">
        <v>2828</v>
      </c>
      <c r="C86" s="793" t="s">
        <v>2829</v>
      </c>
      <c r="D86" s="793"/>
      <c r="E86" s="794"/>
      <c r="F86" s="799"/>
      <c r="G86" s="799"/>
      <c r="H86" s="799"/>
      <c r="I86" s="799"/>
      <c r="J86" s="799"/>
      <c r="K86" s="799"/>
      <c r="L86" s="799">
        <f t="shared" si="6"/>
        <v>331</v>
      </c>
      <c r="M86" s="799"/>
      <c r="N86" s="595"/>
      <c r="O86" s="794">
        <v>0</v>
      </c>
      <c r="P86" s="794">
        <v>0</v>
      </c>
      <c r="Q86" s="794">
        <v>0</v>
      </c>
      <c r="R86" s="794">
        <v>0</v>
      </c>
      <c r="S86" s="794">
        <v>0</v>
      </c>
      <c r="T86" s="794">
        <v>0</v>
      </c>
      <c r="U86" s="809">
        <v>52260.47</v>
      </c>
      <c r="V86" s="794">
        <v>61982.93</v>
      </c>
      <c r="W86" s="794">
        <v>0</v>
      </c>
      <c r="X86" s="794">
        <v>0</v>
      </c>
      <c r="Y86" s="794">
        <v>0</v>
      </c>
      <c r="Z86" s="794">
        <v>0</v>
      </c>
      <c r="AA86" s="794">
        <v>0</v>
      </c>
      <c r="AB86" s="794">
        <v>0</v>
      </c>
      <c r="AC86" s="794">
        <v>0</v>
      </c>
      <c r="AD86" s="794">
        <v>0</v>
      </c>
      <c r="AE86" s="794">
        <v>0</v>
      </c>
      <c r="AF86" s="794">
        <v>0</v>
      </c>
      <c r="AG86" s="794">
        <v>0</v>
      </c>
      <c r="AH86" s="794">
        <v>0</v>
      </c>
      <c r="AI86" s="794">
        <v>0</v>
      </c>
      <c r="AJ86" s="794">
        <v>0</v>
      </c>
      <c r="AK86" s="794">
        <v>0</v>
      </c>
      <c r="AL86" s="794">
        <v>0</v>
      </c>
      <c r="AM86" s="794">
        <v>0</v>
      </c>
      <c r="AN86" s="794">
        <v>0</v>
      </c>
      <c r="AO86" s="794">
        <v>0</v>
      </c>
      <c r="AP86" s="794">
        <v>0</v>
      </c>
      <c r="AQ86" s="794">
        <v>0</v>
      </c>
      <c r="AR86" s="794">
        <v>0</v>
      </c>
      <c r="AS86" s="794">
        <v>0</v>
      </c>
      <c r="AT86" s="794">
        <v>0</v>
      </c>
      <c r="AU86" s="794">
        <v>0</v>
      </c>
      <c r="AV86" s="794">
        <v>0</v>
      </c>
      <c r="AW86" s="794">
        <v>0</v>
      </c>
      <c r="AX86" s="794">
        <v>0</v>
      </c>
      <c r="AY86" s="794">
        <v>0</v>
      </c>
      <c r="AZ86" s="794">
        <v>0</v>
      </c>
      <c r="BA86" s="794">
        <v>0</v>
      </c>
      <c r="BB86" s="794">
        <v>0</v>
      </c>
      <c r="BC86" s="794">
        <v>0</v>
      </c>
      <c r="BD86" s="794">
        <v>0</v>
      </c>
      <c r="BE86" s="794">
        <v>0</v>
      </c>
      <c r="BF86" s="794">
        <v>0</v>
      </c>
      <c r="BG86" s="794">
        <v>0</v>
      </c>
      <c r="BH86" s="794">
        <v>0</v>
      </c>
      <c r="BI86" s="794">
        <v>0</v>
      </c>
      <c r="BJ86" s="794">
        <v>0</v>
      </c>
      <c r="BK86" s="794">
        <v>0</v>
      </c>
      <c r="BL86" s="794">
        <v>0</v>
      </c>
      <c r="BM86" s="794">
        <v>0</v>
      </c>
      <c r="BN86" s="794">
        <v>0</v>
      </c>
      <c r="BO86" s="794">
        <v>0</v>
      </c>
      <c r="BP86" s="794">
        <v>0</v>
      </c>
      <c r="BQ86" s="794">
        <v>0</v>
      </c>
      <c r="BR86" s="794">
        <v>0</v>
      </c>
      <c r="BS86" s="794">
        <v>0</v>
      </c>
      <c r="BT86" s="794">
        <v>0</v>
      </c>
      <c r="BU86" s="794">
        <v>0</v>
      </c>
      <c r="BV86" s="794">
        <v>0</v>
      </c>
    </row>
    <row r="87" spans="2:74">
      <c r="B87" s="793" t="s">
        <v>2830</v>
      </c>
      <c r="C87" s="793" t="s">
        <v>2831</v>
      </c>
      <c r="D87" s="793"/>
      <c r="E87" s="794"/>
      <c r="F87" s="799"/>
      <c r="G87" s="799"/>
      <c r="H87" s="799"/>
      <c r="I87" s="799"/>
      <c r="J87" s="799"/>
      <c r="K87" s="799"/>
      <c r="L87" s="799">
        <f t="shared" si="6"/>
        <v>331</v>
      </c>
      <c r="M87" s="799"/>
      <c r="N87" s="595"/>
      <c r="O87" s="794">
        <v>0</v>
      </c>
      <c r="P87" s="794">
        <v>0</v>
      </c>
      <c r="Q87" s="794">
        <v>0</v>
      </c>
      <c r="R87" s="794">
        <v>0</v>
      </c>
      <c r="S87" s="794">
        <v>0</v>
      </c>
      <c r="T87" s="794">
        <v>0</v>
      </c>
      <c r="U87" s="809">
        <v>14122.8</v>
      </c>
      <c r="V87" s="794">
        <v>34217.370000000003</v>
      </c>
      <c r="W87" s="794">
        <v>20405.78</v>
      </c>
      <c r="X87" s="794">
        <v>33989.85</v>
      </c>
      <c r="Y87" s="794">
        <v>0</v>
      </c>
      <c r="Z87" s="794">
        <v>0</v>
      </c>
      <c r="AA87" s="794">
        <v>0</v>
      </c>
      <c r="AB87" s="794">
        <v>0</v>
      </c>
      <c r="AC87" s="794">
        <v>0</v>
      </c>
      <c r="AD87" s="794">
        <v>0</v>
      </c>
      <c r="AE87" s="794">
        <v>0</v>
      </c>
      <c r="AF87" s="794">
        <v>0</v>
      </c>
      <c r="AG87" s="794">
        <v>0</v>
      </c>
      <c r="AH87" s="794">
        <v>0</v>
      </c>
      <c r="AI87" s="794">
        <v>0</v>
      </c>
      <c r="AJ87" s="794">
        <v>0</v>
      </c>
      <c r="AK87" s="794">
        <v>0</v>
      </c>
      <c r="AL87" s="794">
        <v>0</v>
      </c>
      <c r="AM87" s="794">
        <v>0</v>
      </c>
      <c r="AN87" s="794">
        <v>0</v>
      </c>
      <c r="AO87" s="794">
        <v>0</v>
      </c>
      <c r="AP87" s="794">
        <v>0</v>
      </c>
      <c r="AQ87" s="794">
        <v>0</v>
      </c>
      <c r="AR87" s="794">
        <v>0</v>
      </c>
      <c r="AS87" s="794">
        <v>0</v>
      </c>
      <c r="AT87" s="794">
        <v>0</v>
      </c>
      <c r="AU87" s="794">
        <v>0</v>
      </c>
      <c r="AV87" s="794">
        <v>0</v>
      </c>
      <c r="AW87" s="794">
        <v>0</v>
      </c>
      <c r="AX87" s="794">
        <v>0</v>
      </c>
      <c r="AY87" s="794">
        <v>0</v>
      </c>
      <c r="AZ87" s="794">
        <v>0</v>
      </c>
      <c r="BA87" s="794">
        <v>0</v>
      </c>
      <c r="BB87" s="794">
        <v>0</v>
      </c>
      <c r="BC87" s="794">
        <v>0</v>
      </c>
      <c r="BD87" s="794">
        <v>0</v>
      </c>
      <c r="BE87" s="794">
        <v>0</v>
      </c>
      <c r="BF87" s="794">
        <v>0</v>
      </c>
      <c r="BG87" s="794">
        <v>0</v>
      </c>
      <c r="BH87" s="794">
        <v>0</v>
      </c>
      <c r="BI87" s="794">
        <v>0</v>
      </c>
      <c r="BJ87" s="794">
        <v>0</v>
      </c>
      <c r="BK87" s="794">
        <v>0</v>
      </c>
      <c r="BL87" s="794">
        <v>0</v>
      </c>
      <c r="BM87" s="794">
        <v>0</v>
      </c>
      <c r="BN87" s="794">
        <v>0</v>
      </c>
      <c r="BO87" s="794">
        <v>0</v>
      </c>
      <c r="BP87" s="794">
        <v>0</v>
      </c>
      <c r="BQ87" s="794">
        <v>0</v>
      </c>
      <c r="BR87" s="794">
        <v>0</v>
      </c>
      <c r="BS87" s="794">
        <v>0</v>
      </c>
      <c r="BT87" s="794">
        <v>0</v>
      </c>
      <c r="BU87" s="794">
        <v>0</v>
      </c>
      <c r="BV87" s="794">
        <v>0</v>
      </c>
    </row>
    <row r="88" spans="2:74">
      <c r="B88" s="793" t="s">
        <v>2832</v>
      </c>
      <c r="C88" s="793" t="s">
        <v>2816</v>
      </c>
      <c r="D88" s="793"/>
      <c r="E88" s="794"/>
      <c r="F88" s="799"/>
      <c r="G88" s="799"/>
      <c r="H88" s="799"/>
      <c r="I88" s="799"/>
      <c r="J88" s="799"/>
      <c r="K88" s="799"/>
      <c r="L88" s="799">
        <f t="shared" si="6"/>
        <v>331</v>
      </c>
      <c r="M88" s="799"/>
      <c r="N88" s="595"/>
      <c r="O88" s="794">
        <v>0</v>
      </c>
      <c r="P88" s="794">
        <v>0</v>
      </c>
      <c r="Q88" s="794">
        <v>0</v>
      </c>
      <c r="R88" s="794">
        <v>0</v>
      </c>
      <c r="S88" s="794">
        <v>0</v>
      </c>
      <c r="T88" s="794">
        <v>0</v>
      </c>
      <c r="U88" s="794">
        <v>0</v>
      </c>
      <c r="V88" s="809">
        <v>30000</v>
      </c>
      <c r="W88" s="794">
        <v>0</v>
      </c>
      <c r="X88" s="794">
        <v>0</v>
      </c>
      <c r="Y88" s="794">
        <v>0</v>
      </c>
      <c r="Z88" s="794">
        <v>0</v>
      </c>
      <c r="AA88" s="794">
        <v>0</v>
      </c>
      <c r="AB88" s="794">
        <v>0</v>
      </c>
      <c r="AC88" s="794">
        <v>0</v>
      </c>
      <c r="AD88" s="794">
        <v>0</v>
      </c>
      <c r="AE88" s="794">
        <v>0</v>
      </c>
      <c r="AF88" s="794">
        <v>0</v>
      </c>
      <c r="AG88" s="794">
        <v>0</v>
      </c>
      <c r="AH88" s="794">
        <v>0</v>
      </c>
      <c r="AI88" s="794">
        <v>0</v>
      </c>
      <c r="AJ88" s="794">
        <v>0</v>
      </c>
      <c r="AK88" s="794">
        <v>0</v>
      </c>
      <c r="AL88" s="794">
        <v>0</v>
      </c>
      <c r="AM88" s="794">
        <v>0</v>
      </c>
      <c r="AN88" s="794">
        <v>0</v>
      </c>
      <c r="AO88" s="794">
        <v>0</v>
      </c>
      <c r="AP88" s="794">
        <v>0</v>
      </c>
      <c r="AQ88" s="794">
        <v>0</v>
      </c>
      <c r="AR88" s="794">
        <v>0</v>
      </c>
      <c r="AS88" s="794">
        <v>0</v>
      </c>
      <c r="AT88" s="794">
        <v>0</v>
      </c>
      <c r="AU88" s="794">
        <v>0</v>
      </c>
      <c r="AV88" s="794">
        <v>0</v>
      </c>
      <c r="AW88" s="794">
        <v>0</v>
      </c>
      <c r="AX88" s="794">
        <v>0</v>
      </c>
      <c r="AY88" s="794">
        <v>0</v>
      </c>
      <c r="AZ88" s="794">
        <v>0</v>
      </c>
      <c r="BA88" s="794">
        <v>0</v>
      </c>
      <c r="BB88" s="794">
        <v>0</v>
      </c>
      <c r="BC88" s="794">
        <v>0</v>
      </c>
      <c r="BD88" s="794">
        <v>0</v>
      </c>
      <c r="BE88" s="794">
        <v>0</v>
      </c>
      <c r="BF88" s="794">
        <v>0</v>
      </c>
      <c r="BG88" s="794">
        <v>0</v>
      </c>
      <c r="BH88" s="794">
        <v>0</v>
      </c>
      <c r="BI88" s="794">
        <v>0</v>
      </c>
      <c r="BJ88" s="794">
        <v>0</v>
      </c>
      <c r="BK88" s="794">
        <v>0</v>
      </c>
      <c r="BL88" s="794">
        <v>0</v>
      </c>
      <c r="BM88" s="794">
        <v>0</v>
      </c>
      <c r="BN88" s="794">
        <v>0</v>
      </c>
      <c r="BO88" s="794">
        <v>0</v>
      </c>
      <c r="BP88" s="794">
        <v>0</v>
      </c>
      <c r="BQ88" s="794">
        <v>0</v>
      </c>
      <c r="BR88" s="794">
        <v>0</v>
      </c>
      <c r="BS88" s="794">
        <v>0</v>
      </c>
      <c r="BT88" s="794">
        <v>0</v>
      </c>
      <c r="BU88" s="794">
        <v>0</v>
      </c>
      <c r="BV88" s="794">
        <v>0</v>
      </c>
    </row>
    <row r="89" spans="2:74">
      <c r="B89" s="793" t="s">
        <v>2833</v>
      </c>
      <c r="C89" s="793" t="s">
        <v>2834</v>
      </c>
      <c r="D89" s="793"/>
      <c r="E89" s="794"/>
      <c r="F89" s="799"/>
      <c r="G89" s="799"/>
      <c r="H89" s="799"/>
      <c r="I89" s="799"/>
      <c r="J89" s="799"/>
      <c r="K89" s="799"/>
      <c r="L89" s="799">
        <f t="shared" si="6"/>
        <v>331</v>
      </c>
      <c r="M89" s="799"/>
      <c r="N89" s="595"/>
      <c r="O89" s="794">
        <v>0</v>
      </c>
      <c r="P89" s="794">
        <v>0</v>
      </c>
      <c r="Q89" s="794">
        <v>0</v>
      </c>
      <c r="R89" s="794">
        <v>0</v>
      </c>
      <c r="S89" s="794">
        <v>0</v>
      </c>
      <c r="T89" s="794">
        <v>0</v>
      </c>
      <c r="U89" s="794">
        <v>0</v>
      </c>
      <c r="V89" s="809">
        <v>43925.78</v>
      </c>
      <c r="W89" s="794">
        <v>76493.179999999993</v>
      </c>
      <c r="X89" s="794">
        <v>0</v>
      </c>
      <c r="Y89" s="794">
        <v>0</v>
      </c>
      <c r="Z89" s="794">
        <v>0</v>
      </c>
      <c r="AA89" s="794">
        <v>0</v>
      </c>
      <c r="AB89" s="794">
        <v>0</v>
      </c>
      <c r="AC89" s="794">
        <v>0</v>
      </c>
      <c r="AD89" s="794">
        <v>4000</v>
      </c>
      <c r="AE89" s="794">
        <v>0</v>
      </c>
      <c r="AF89" s="794">
        <v>0</v>
      </c>
      <c r="AG89" s="794">
        <v>0</v>
      </c>
      <c r="AH89" s="794">
        <v>0</v>
      </c>
      <c r="AI89" s="794">
        <v>0</v>
      </c>
      <c r="AJ89" s="794">
        <v>0</v>
      </c>
      <c r="AK89" s="794">
        <v>0</v>
      </c>
      <c r="AL89" s="794">
        <v>0</v>
      </c>
      <c r="AM89" s="794">
        <v>0</v>
      </c>
      <c r="AN89" s="794">
        <v>0</v>
      </c>
      <c r="AO89" s="794">
        <v>0</v>
      </c>
      <c r="AP89" s="794">
        <v>0</v>
      </c>
      <c r="AQ89" s="794">
        <v>0</v>
      </c>
      <c r="AR89" s="794">
        <v>0</v>
      </c>
      <c r="AS89" s="794">
        <v>0</v>
      </c>
      <c r="AT89" s="794">
        <v>0</v>
      </c>
      <c r="AU89" s="794">
        <v>0</v>
      </c>
      <c r="AV89" s="794">
        <v>0</v>
      </c>
      <c r="AW89" s="794">
        <v>0</v>
      </c>
      <c r="AX89" s="794">
        <v>0</v>
      </c>
      <c r="AY89" s="794">
        <v>0</v>
      </c>
      <c r="AZ89" s="794">
        <v>0</v>
      </c>
      <c r="BA89" s="794">
        <v>0</v>
      </c>
      <c r="BB89" s="794">
        <v>0</v>
      </c>
      <c r="BC89" s="794">
        <v>0</v>
      </c>
      <c r="BD89" s="794">
        <v>0</v>
      </c>
      <c r="BE89" s="794">
        <v>0</v>
      </c>
      <c r="BF89" s="794">
        <v>0</v>
      </c>
      <c r="BG89" s="794">
        <v>0</v>
      </c>
      <c r="BH89" s="794">
        <v>0</v>
      </c>
      <c r="BI89" s="794">
        <v>0</v>
      </c>
      <c r="BJ89" s="794">
        <v>0</v>
      </c>
      <c r="BK89" s="794">
        <v>0</v>
      </c>
      <c r="BL89" s="794">
        <v>0</v>
      </c>
      <c r="BM89" s="794">
        <v>0</v>
      </c>
      <c r="BN89" s="794">
        <v>0</v>
      </c>
      <c r="BO89" s="794">
        <v>0</v>
      </c>
      <c r="BP89" s="794">
        <v>0</v>
      </c>
      <c r="BQ89" s="794">
        <v>0</v>
      </c>
      <c r="BR89" s="794">
        <v>0</v>
      </c>
      <c r="BS89" s="794">
        <v>0</v>
      </c>
      <c r="BT89" s="794">
        <v>0</v>
      </c>
      <c r="BU89" s="794">
        <v>0</v>
      </c>
      <c r="BV89" s="794">
        <v>0</v>
      </c>
    </row>
    <row r="90" spans="2:74">
      <c r="B90" s="793" t="s">
        <v>2835</v>
      </c>
      <c r="C90" s="793" t="s">
        <v>2836</v>
      </c>
      <c r="D90" s="793"/>
      <c r="E90" s="794"/>
      <c r="F90" s="799"/>
      <c r="G90" s="799"/>
      <c r="H90" s="799"/>
      <c r="I90" s="799"/>
      <c r="J90" s="799"/>
      <c r="K90" s="799"/>
      <c r="L90" s="799">
        <f t="shared" si="6"/>
        <v>331</v>
      </c>
      <c r="M90" s="799"/>
      <c r="N90" s="595"/>
      <c r="O90" s="794">
        <v>0</v>
      </c>
      <c r="P90" s="794">
        <v>0</v>
      </c>
      <c r="Q90" s="794">
        <v>0</v>
      </c>
      <c r="R90" s="794">
        <v>0</v>
      </c>
      <c r="S90" s="794">
        <v>0</v>
      </c>
      <c r="T90" s="794">
        <v>0</v>
      </c>
      <c r="U90" s="794">
        <v>0</v>
      </c>
      <c r="V90" s="809">
        <v>28121</v>
      </c>
      <c r="W90" s="794">
        <v>25355</v>
      </c>
      <c r="X90" s="794">
        <v>0</v>
      </c>
      <c r="Y90" s="794">
        <v>0</v>
      </c>
      <c r="Z90" s="794">
        <v>43889.120000000003</v>
      </c>
      <c r="AA90" s="794">
        <v>15175.84</v>
      </c>
      <c r="AB90" s="794">
        <v>0</v>
      </c>
      <c r="AC90" s="794">
        <v>0</v>
      </c>
      <c r="AD90" s="794">
        <v>0</v>
      </c>
      <c r="AE90" s="794">
        <v>0</v>
      </c>
      <c r="AF90" s="794">
        <v>0</v>
      </c>
      <c r="AG90" s="794">
        <v>0</v>
      </c>
      <c r="AH90" s="794">
        <v>0</v>
      </c>
      <c r="AI90" s="794">
        <v>0</v>
      </c>
      <c r="AJ90" s="794">
        <v>0</v>
      </c>
      <c r="AK90" s="794">
        <v>0</v>
      </c>
      <c r="AL90" s="794">
        <v>0</v>
      </c>
      <c r="AM90" s="794">
        <v>0</v>
      </c>
      <c r="AN90" s="794">
        <v>0</v>
      </c>
      <c r="AO90" s="794">
        <v>0</v>
      </c>
      <c r="AP90" s="794">
        <v>0</v>
      </c>
      <c r="AQ90" s="794">
        <v>0</v>
      </c>
      <c r="AR90" s="794">
        <v>0</v>
      </c>
      <c r="AS90" s="794">
        <v>0</v>
      </c>
      <c r="AT90" s="794">
        <v>0</v>
      </c>
      <c r="AU90" s="794">
        <v>0</v>
      </c>
      <c r="AV90" s="794">
        <v>0</v>
      </c>
      <c r="AW90" s="794">
        <v>0</v>
      </c>
      <c r="AX90" s="794">
        <v>0</v>
      </c>
      <c r="AY90" s="794">
        <v>0</v>
      </c>
      <c r="AZ90" s="794">
        <v>0</v>
      </c>
      <c r="BA90" s="794">
        <v>0</v>
      </c>
      <c r="BB90" s="794">
        <v>0</v>
      </c>
      <c r="BC90" s="794">
        <v>0</v>
      </c>
      <c r="BD90" s="794">
        <v>0</v>
      </c>
      <c r="BE90" s="794">
        <v>0</v>
      </c>
      <c r="BF90" s="794">
        <v>0</v>
      </c>
      <c r="BG90" s="794">
        <v>0</v>
      </c>
      <c r="BH90" s="794">
        <v>0</v>
      </c>
      <c r="BI90" s="794">
        <v>0</v>
      </c>
      <c r="BJ90" s="794">
        <v>0</v>
      </c>
      <c r="BK90" s="794">
        <v>0</v>
      </c>
      <c r="BL90" s="794">
        <v>0</v>
      </c>
      <c r="BM90" s="794">
        <v>0</v>
      </c>
      <c r="BN90" s="794">
        <v>0</v>
      </c>
      <c r="BO90" s="794">
        <v>0</v>
      </c>
      <c r="BP90" s="794">
        <v>0</v>
      </c>
      <c r="BQ90" s="794">
        <v>0</v>
      </c>
      <c r="BR90" s="794">
        <v>0</v>
      </c>
      <c r="BS90" s="794">
        <v>0</v>
      </c>
      <c r="BT90" s="794">
        <v>0</v>
      </c>
      <c r="BU90" s="794">
        <v>0</v>
      </c>
      <c r="BV90" s="794">
        <v>0</v>
      </c>
    </row>
    <row r="91" spans="2:74">
      <c r="B91" s="793" t="s">
        <v>2837</v>
      </c>
      <c r="C91" s="793" t="s">
        <v>481</v>
      </c>
      <c r="D91" s="793"/>
      <c r="E91" s="794"/>
      <c r="F91" s="799"/>
      <c r="G91" s="799"/>
      <c r="H91" s="799"/>
      <c r="I91" s="799"/>
      <c r="J91" s="799"/>
      <c r="K91" s="799"/>
      <c r="L91" s="799">
        <f t="shared" si="6"/>
        <v>331</v>
      </c>
      <c r="M91" s="799"/>
      <c r="N91" s="595"/>
      <c r="O91" s="794">
        <v>0</v>
      </c>
      <c r="P91" s="794">
        <v>0</v>
      </c>
      <c r="Q91" s="794">
        <v>0</v>
      </c>
      <c r="R91" s="794">
        <v>0</v>
      </c>
      <c r="S91" s="794">
        <v>0</v>
      </c>
      <c r="T91" s="794">
        <v>0</v>
      </c>
      <c r="U91" s="794">
        <v>0</v>
      </c>
      <c r="V91" s="809">
        <v>84997.3</v>
      </c>
      <c r="W91" s="794">
        <v>0</v>
      </c>
      <c r="X91" s="794">
        <v>0</v>
      </c>
      <c r="Y91" s="794">
        <v>0</v>
      </c>
      <c r="Z91" s="794">
        <v>0</v>
      </c>
      <c r="AA91" s="794">
        <v>0</v>
      </c>
      <c r="AB91" s="794">
        <v>0</v>
      </c>
      <c r="AC91" s="794">
        <v>0</v>
      </c>
      <c r="AD91" s="794">
        <v>0</v>
      </c>
      <c r="AE91" s="794">
        <v>19956</v>
      </c>
      <c r="AF91" s="794">
        <v>0</v>
      </c>
      <c r="AG91" s="794">
        <v>0</v>
      </c>
      <c r="AH91" s="794">
        <v>0</v>
      </c>
      <c r="AI91" s="794">
        <v>0</v>
      </c>
      <c r="AJ91" s="794">
        <v>0</v>
      </c>
      <c r="AK91" s="794">
        <v>0</v>
      </c>
      <c r="AL91" s="794">
        <v>0</v>
      </c>
      <c r="AM91" s="794">
        <v>0</v>
      </c>
      <c r="AN91" s="794">
        <v>0</v>
      </c>
      <c r="AO91" s="794">
        <v>0</v>
      </c>
      <c r="AP91" s="794">
        <v>0</v>
      </c>
      <c r="AQ91" s="794">
        <v>0</v>
      </c>
      <c r="AR91" s="794">
        <v>0</v>
      </c>
      <c r="AS91" s="794">
        <v>0</v>
      </c>
      <c r="AT91" s="794">
        <v>0</v>
      </c>
      <c r="AU91" s="794">
        <v>0</v>
      </c>
      <c r="AV91" s="794">
        <v>0</v>
      </c>
      <c r="AW91" s="794">
        <v>0</v>
      </c>
      <c r="AX91" s="794">
        <v>0</v>
      </c>
      <c r="AY91" s="794">
        <v>0</v>
      </c>
      <c r="AZ91" s="794">
        <v>0</v>
      </c>
      <c r="BA91" s="794">
        <v>0</v>
      </c>
      <c r="BB91" s="794">
        <v>0</v>
      </c>
      <c r="BC91" s="794">
        <v>0</v>
      </c>
      <c r="BD91" s="794">
        <v>0</v>
      </c>
      <c r="BE91" s="794">
        <v>0</v>
      </c>
      <c r="BF91" s="794">
        <v>0</v>
      </c>
      <c r="BG91" s="794">
        <v>0</v>
      </c>
      <c r="BH91" s="794">
        <v>0</v>
      </c>
      <c r="BI91" s="794">
        <v>0</v>
      </c>
      <c r="BJ91" s="794">
        <v>0</v>
      </c>
      <c r="BK91" s="794">
        <v>0</v>
      </c>
      <c r="BL91" s="794">
        <v>0</v>
      </c>
      <c r="BM91" s="794">
        <v>0</v>
      </c>
      <c r="BN91" s="794">
        <v>0</v>
      </c>
      <c r="BO91" s="794">
        <v>0</v>
      </c>
      <c r="BP91" s="794">
        <v>0</v>
      </c>
      <c r="BQ91" s="794">
        <v>0</v>
      </c>
      <c r="BR91" s="794">
        <v>0</v>
      </c>
      <c r="BS91" s="794">
        <v>0</v>
      </c>
      <c r="BT91" s="794">
        <v>0</v>
      </c>
      <c r="BU91" s="794">
        <v>0</v>
      </c>
      <c r="BV91" s="794">
        <v>0</v>
      </c>
    </row>
    <row r="92" spans="2:74">
      <c r="B92" s="793" t="s">
        <v>2838</v>
      </c>
      <c r="C92" s="793" t="s">
        <v>2839</v>
      </c>
      <c r="D92" s="793"/>
      <c r="E92" s="794"/>
      <c r="F92" s="799"/>
      <c r="G92" s="799"/>
      <c r="H92" s="799"/>
      <c r="I92" s="799"/>
      <c r="J92" s="799"/>
      <c r="K92" s="799"/>
      <c r="L92" s="799">
        <f t="shared" si="6"/>
        <v>331</v>
      </c>
      <c r="M92" s="799"/>
      <c r="N92" s="595"/>
      <c r="O92" s="794">
        <v>0</v>
      </c>
      <c r="P92" s="794">
        <v>0</v>
      </c>
      <c r="Q92" s="794">
        <v>0</v>
      </c>
      <c r="R92" s="794">
        <v>0</v>
      </c>
      <c r="S92" s="794">
        <v>0</v>
      </c>
      <c r="T92" s="794">
        <v>0</v>
      </c>
      <c r="U92" s="794">
        <v>0</v>
      </c>
      <c r="V92" s="809">
        <v>74750</v>
      </c>
      <c r="W92" s="794">
        <v>201350</v>
      </c>
      <c r="X92" s="794">
        <v>0</v>
      </c>
      <c r="Y92" s="794">
        <v>0</v>
      </c>
      <c r="Z92" s="794">
        <v>0</v>
      </c>
      <c r="AA92" s="794">
        <v>0</v>
      </c>
      <c r="AB92" s="794">
        <v>0</v>
      </c>
      <c r="AC92" s="794">
        <v>0</v>
      </c>
      <c r="AD92" s="794">
        <v>0</v>
      </c>
      <c r="AE92" s="794">
        <v>0</v>
      </c>
      <c r="AF92" s="794">
        <v>0</v>
      </c>
      <c r="AG92" s="794">
        <v>0</v>
      </c>
      <c r="AH92" s="794">
        <v>0</v>
      </c>
      <c r="AI92" s="794">
        <v>0</v>
      </c>
      <c r="AJ92" s="794">
        <v>0</v>
      </c>
      <c r="AK92" s="794">
        <v>0</v>
      </c>
      <c r="AL92" s="794">
        <v>0</v>
      </c>
      <c r="AM92" s="794">
        <v>0</v>
      </c>
      <c r="AN92" s="794">
        <v>0</v>
      </c>
      <c r="AO92" s="794">
        <v>0</v>
      </c>
      <c r="AP92" s="794">
        <v>0</v>
      </c>
      <c r="AQ92" s="794">
        <v>0</v>
      </c>
      <c r="AR92" s="794">
        <v>0</v>
      </c>
      <c r="AS92" s="794">
        <v>0</v>
      </c>
      <c r="AT92" s="794">
        <v>0</v>
      </c>
      <c r="AU92" s="794">
        <v>0</v>
      </c>
      <c r="AV92" s="794">
        <v>0</v>
      </c>
      <c r="AW92" s="794">
        <v>0</v>
      </c>
      <c r="AX92" s="794">
        <v>0</v>
      </c>
      <c r="AY92" s="794">
        <v>0</v>
      </c>
      <c r="AZ92" s="794">
        <v>0</v>
      </c>
      <c r="BA92" s="794">
        <v>0</v>
      </c>
      <c r="BB92" s="794">
        <v>0</v>
      </c>
      <c r="BC92" s="794">
        <v>0</v>
      </c>
      <c r="BD92" s="794">
        <v>0</v>
      </c>
      <c r="BE92" s="794">
        <v>0</v>
      </c>
      <c r="BF92" s="794">
        <v>0</v>
      </c>
      <c r="BG92" s="794">
        <v>0</v>
      </c>
      <c r="BH92" s="794">
        <v>0</v>
      </c>
      <c r="BI92" s="794">
        <v>0</v>
      </c>
      <c r="BJ92" s="794">
        <v>0</v>
      </c>
      <c r="BK92" s="794">
        <v>0</v>
      </c>
      <c r="BL92" s="794">
        <v>0</v>
      </c>
      <c r="BM92" s="794">
        <v>0</v>
      </c>
      <c r="BN92" s="794">
        <v>0</v>
      </c>
      <c r="BO92" s="794">
        <v>0</v>
      </c>
      <c r="BP92" s="794">
        <v>0</v>
      </c>
      <c r="BQ92" s="794">
        <v>0</v>
      </c>
      <c r="BR92" s="794">
        <v>0</v>
      </c>
      <c r="BS92" s="794">
        <v>0</v>
      </c>
      <c r="BT92" s="794">
        <v>0</v>
      </c>
      <c r="BU92" s="794">
        <v>0</v>
      </c>
      <c r="BV92" s="794">
        <v>0</v>
      </c>
    </row>
    <row r="93" spans="2:74">
      <c r="B93" s="793" t="s">
        <v>2840</v>
      </c>
      <c r="C93" s="793" t="s">
        <v>2841</v>
      </c>
      <c r="D93" s="793"/>
      <c r="E93" s="794"/>
      <c r="F93" s="799"/>
      <c r="G93" s="799"/>
      <c r="H93" s="799"/>
      <c r="I93" s="799"/>
      <c r="J93" s="799"/>
      <c r="K93" s="799"/>
      <c r="L93" s="799">
        <f t="shared" si="6"/>
        <v>331</v>
      </c>
      <c r="M93" s="799"/>
      <c r="N93" s="595"/>
      <c r="O93" s="794">
        <v>0</v>
      </c>
      <c r="P93" s="794">
        <v>0</v>
      </c>
      <c r="Q93" s="794">
        <v>0</v>
      </c>
      <c r="R93" s="794">
        <v>0</v>
      </c>
      <c r="S93" s="794">
        <v>0</v>
      </c>
      <c r="T93" s="794">
        <v>0</v>
      </c>
      <c r="U93" s="794">
        <v>0</v>
      </c>
      <c r="V93" s="809">
        <v>87954</v>
      </c>
      <c r="W93" s="794">
        <v>0</v>
      </c>
      <c r="X93" s="794">
        <v>0</v>
      </c>
      <c r="Y93" s="794">
        <v>0</v>
      </c>
      <c r="Z93" s="794">
        <v>0</v>
      </c>
      <c r="AA93" s="794">
        <v>0</v>
      </c>
      <c r="AB93" s="794">
        <v>0</v>
      </c>
      <c r="AC93" s="794">
        <v>0</v>
      </c>
      <c r="AD93" s="794">
        <v>0</v>
      </c>
      <c r="AE93" s="794">
        <v>0</v>
      </c>
      <c r="AF93" s="794">
        <v>0</v>
      </c>
      <c r="AG93" s="794">
        <v>0</v>
      </c>
      <c r="AH93" s="794">
        <v>0</v>
      </c>
      <c r="AI93" s="794">
        <v>0</v>
      </c>
      <c r="AJ93" s="794">
        <v>0</v>
      </c>
      <c r="AK93" s="794">
        <v>0</v>
      </c>
      <c r="AL93" s="794">
        <v>0</v>
      </c>
      <c r="AM93" s="794">
        <v>0</v>
      </c>
      <c r="AN93" s="794">
        <v>0</v>
      </c>
      <c r="AO93" s="794">
        <v>0</v>
      </c>
      <c r="AP93" s="794">
        <v>0</v>
      </c>
      <c r="AQ93" s="794">
        <v>0</v>
      </c>
      <c r="AR93" s="794">
        <v>0</v>
      </c>
      <c r="AS93" s="794">
        <v>0</v>
      </c>
      <c r="AT93" s="794">
        <v>0</v>
      </c>
      <c r="AU93" s="794">
        <v>0</v>
      </c>
      <c r="AV93" s="794">
        <v>0</v>
      </c>
      <c r="AW93" s="794">
        <v>0</v>
      </c>
      <c r="AX93" s="794">
        <v>0</v>
      </c>
      <c r="AY93" s="794">
        <v>0</v>
      </c>
      <c r="AZ93" s="794">
        <v>0</v>
      </c>
      <c r="BA93" s="794">
        <v>0</v>
      </c>
      <c r="BB93" s="794">
        <v>0</v>
      </c>
      <c r="BC93" s="794">
        <v>0</v>
      </c>
      <c r="BD93" s="794">
        <v>0</v>
      </c>
      <c r="BE93" s="794">
        <v>0</v>
      </c>
      <c r="BF93" s="794">
        <v>0</v>
      </c>
      <c r="BG93" s="794">
        <v>0</v>
      </c>
      <c r="BH93" s="794">
        <v>0</v>
      </c>
      <c r="BI93" s="794">
        <v>0</v>
      </c>
      <c r="BJ93" s="794">
        <v>0</v>
      </c>
      <c r="BK93" s="794">
        <v>0</v>
      </c>
      <c r="BL93" s="794">
        <v>0</v>
      </c>
      <c r="BM93" s="794">
        <v>0</v>
      </c>
      <c r="BN93" s="794">
        <v>0</v>
      </c>
      <c r="BO93" s="794">
        <v>0</v>
      </c>
      <c r="BP93" s="794">
        <v>0</v>
      </c>
      <c r="BQ93" s="794">
        <v>0</v>
      </c>
      <c r="BR93" s="794">
        <v>0</v>
      </c>
      <c r="BS93" s="794">
        <v>0</v>
      </c>
      <c r="BT93" s="794">
        <v>0</v>
      </c>
      <c r="BU93" s="794">
        <v>0</v>
      </c>
      <c r="BV93" s="794">
        <v>0</v>
      </c>
    </row>
    <row r="94" spans="2:74">
      <c r="B94" s="793" t="s">
        <v>2842</v>
      </c>
      <c r="C94" s="793" t="s">
        <v>2680</v>
      </c>
      <c r="D94" s="793"/>
      <c r="E94" s="794"/>
      <c r="F94" s="799"/>
      <c r="G94" s="799"/>
      <c r="H94" s="799"/>
      <c r="I94" s="799"/>
      <c r="J94" s="799"/>
      <c r="K94" s="799"/>
      <c r="L94" s="799">
        <f t="shared" si="6"/>
        <v>1</v>
      </c>
      <c r="M94" s="799"/>
      <c r="N94" s="595"/>
      <c r="O94" s="794">
        <v>0</v>
      </c>
      <c r="P94" s="794">
        <v>0</v>
      </c>
      <c r="Q94" s="794">
        <v>0</v>
      </c>
      <c r="R94" s="794">
        <v>0</v>
      </c>
      <c r="S94" s="794">
        <v>0</v>
      </c>
      <c r="T94" s="794">
        <v>0</v>
      </c>
      <c r="U94" s="794">
        <v>0</v>
      </c>
      <c r="V94" s="794">
        <v>0</v>
      </c>
      <c r="W94" s="809">
        <v>33392.9</v>
      </c>
      <c r="X94" s="794">
        <v>0</v>
      </c>
      <c r="Y94" s="794">
        <v>0</v>
      </c>
      <c r="Z94" s="794">
        <v>0</v>
      </c>
      <c r="AA94" s="794">
        <v>0</v>
      </c>
      <c r="AB94" s="794">
        <v>0</v>
      </c>
      <c r="AC94" s="794">
        <v>30138.959999999999</v>
      </c>
      <c r="AD94" s="794">
        <v>24357.53</v>
      </c>
      <c r="AE94" s="794">
        <v>13420.8</v>
      </c>
      <c r="AF94" s="794">
        <v>0</v>
      </c>
      <c r="AG94" s="794">
        <v>6590</v>
      </c>
      <c r="AH94" s="794">
        <v>15252</v>
      </c>
      <c r="AI94" s="794">
        <v>21099.33</v>
      </c>
      <c r="AJ94" s="794">
        <v>6486.3</v>
      </c>
      <c r="AK94" s="794">
        <v>0</v>
      </c>
      <c r="AL94" s="794">
        <v>0</v>
      </c>
      <c r="AM94" s="794">
        <v>30363.8</v>
      </c>
      <c r="AN94" s="794">
        <v>39776.78</v>
      </c>
      <c r="AO94" s="794">
        <v>0</v>
      </c>
      <c r="AP94" s="794">
        <v>0</v>
      </c>
      <c r="AQ94" s="794">
        <v>0</v>
      </c>
      <c r="AR94" s="794">
        <v>0</v>
      </c>
      <c r="AS94" s="794">
        <v>46775.81</v>
      </c>
      <c r="AT94" s="794">
        <v>18792.3</v>
      </c>
      <c r="AU94" s="794">
        <v>31863.88</v>
      </c>
      <c r="AV94" s="794">
        <v>28392.66</v>
      </c>
      <c r="AW94" s="794">
        <v>0</v>
      </c>
      <c r="AX94" s="794">
        <v>0</v>
      </c>
      <c r="AY94" s="794">
        <v>0</v>
      </c>
      <c r="AZ94" s="794">
        <v>0</v>
      </c>
      <c r="BA94" s="794">
        <v>0</v>
      </c>
      <c r="BB94" s="794">
        <v>0</v>
      </c>
      <c r="BC94" s="794">
        <v>0</v>
      </c>
      <c r="BD94" s="794">
        <v>10420.08</v>
      </c>
      <c r="BE94" s="794">
        <v>12040.35</v>
      </c>
      <c r="BF94" s="794">
        <v>0</v>
      </c>
      <c r="BG94" s="794">
        <v>0</v>
      </c>
      <c r="BH94" s="794">
        <v>0</v>
      </c>
      <c r="BI94" s="794">
        <v>0</v>
      </c>
      <c r="BJ94" s="794">
        <v>0</v>
      </c>
      <c r="BK94" s="794">
        <v>0</v>
      </c>
      <c r="BL94" s="794">
        <v>85896.37</v>
      </c>
      <c r="BM94" s="794">
        <v>6306.8</v>
      </c>
      <c r="BN94" s="794">
        <v>12749</v>
      </c>
      <c r="BO94" s="794">
        <v>43395.55</v>
      </c>
      <c r="BP94" s="794">
        <v>0</v>
      </c>
      <c r="BQ94" s="794">
        <v>0</v>
      </c>
      <c r="BR94" s="794">
        <v>0</v>
      </c>
      <c r="BS94" s="794">
        <v>0</v>
      </c>
      <c r="BT94" s="794">
        <v>0</v>
      </c>
      <c r="BU94" s="794">
        <v>35508</v>
      </c>
      <c r="BV94" s="794">
        <v>23872</v>
      </c>
    </row>
    <row r="95" spans="2:74">
      <c r="B95" s="793" t="s">
        <v>2843</v>
      </c>
      <c r="C95" s="793" t="s">
        <v>2844</v>
      </c>
      <c r="D95" s="793"/>
      <c r="E95" s="794"/>
      <c r="F95" s="799"/>
      <c r="G95" s="799"/>
      <c r="H95" s="799"/>
      <c r="I95" s="799"/>
      <c r="J95" s="799"/>
      <c r="K95" s="799"/>
      <c r="L95" s="799">
        <f t="shared" si="6"/>
        <v>331</v>
      </c>
      <c r="M95" s="799"/>
      <c r="N95" s="595"/>
      <c r="O95" s="794">
        <v>0</v>
      </c>
      <c r="P95" s="794">
        <v>0</v>
      </c>
      <c r="Q95" s="794">
        <v>0</v>
      </c>
      <c r="R95" s="794">
        <v>0</v>
      </c>
      <c r="S95" s="794">
        <v>0</v>
      </c>
      <c r="T95" s="794">
        <v>0</v>
      </c>
      <c r="U95" s="794">
        <v>0</v>
      </c>
      <c r="V95" s="794">
        <v>0</v>
      </c>
      <c r="W95" s="809">
        <v>7406</v>
      </c>
      <c r="X95" s="794">
        <v>0</v>
      </c>
      <c r="Y95" s="794">
        <v>0</v>
      </c>
      <c r="Z95" s="794">
        <v>0</v>
      </c>
      <c r="AA95" s="794">
        <v>0</v>
      </c>
      <c r="AB95" s="794">
        <v>0</v>
      </c>
      <c r="AC95" s="794">
        <v>0</v>
      </c>
      <c r="AD95" s="794">
        <v>0</v>
      </c>
      <c r="AE95" s="794">
        <v>0</v>
      </c>
      <c r="AF95" s="794">
        <v>0</v>
      </c>
      <c r="AG95" s="794">
        <v>0</v>
      </c>
      <c r="AH95" s="794">
        <v>0</v>
      </c>
      <c r="AI95" s="794">
        <v>0</v>
      </c>
      <c r="AJ95" s="794">
        <v>0</v>
      </c>
      <c r="AK95" s="794">
        <v>0</v>
      </c>
      <c r="AL95" s="794">
        <v>0</v>
      </c>
      <c r="AM95" s="794">
        <v>0</v>
      </c>
      <c r="AN95" s="794">
        <v>0</v>
      </c>
      <c r="AO95" s="794">
        <v>0</v>
      </c>
      <c r="AP95" s="794">
        <v>0</v>
      </c>
      <c r="AQ95" s="794">
        <v>0</v>
      </c>
      <c r="AR95" s="794">
        <v>0</v>
      </c>
      <c r="AS95" s="794">
        <v>0</v>
      </c>
      <c r="AT95" s="794">
        <v>0</v>
      </c>
      <c r="AU95" s="794">
        <v>0</v>
      </c>
      <c r="AV95" s="794">
        <v>0</v>
      </c>
      <c r="AW95" s="794">
        <v>0</v>
      </c>
      <c r="AX95" s="794">
        <v>0</v>
      </c>
      <c r="AY95" s="794">
        <v>0</v>
      </c>
      <c r="AZ95" s="794">
        <v>0</v>
      </c>
      <c r="BA95" s="794">
        <v>0</v>
      </c>
      <c r="BB95" s="794">
        <v>0</v>
      </c>
      <c r="BC95" s="794">
        <v>0</v>
      </c>
      <c r="BD95" s="794">
        <v>0</v>
      </c>
      <c r="BE95" s="794">
        <v>0</v>
      </c>
      <c r="BF95" s="794">
        <v>0</v>
      </c>
      <c r="BG95" s="794">
        <v>0</v>
      </c>
      <c r="BH95" s="794">
        <v>0</v>
      </c>
      <c r="BI95" s="794">
        <v>0</v>
      </c>
      <c r="BJ95" s="794">
        <v>0</v>
      </c>
      <c r="BK95" s="794">
        <v>0</v>
      </c>
      <c r="BL95" s="794">
        <v>0</v>
      </c>
      <c r="BM95" s="794">
        <v>0</v>
      </c>
      <c r="BN95" s="794">
        <v>0</v>
      </c>
      <c r="BO95" s="794">
        <v>0</v>
      </c>
      <c r="BP95" s="794">
        <v>0</v>
      </c>
      <c r="BQ95" s="794">
        <v>0</v>
      </c>
      <c r="BR95" s="794">
        <v>0</v>
      </c>
      <c r="BS95" s="794">
        <v>0</v>
      </c>
      <c r="BT95" s="794">
        <v>0</v>
      </c>
      <c r="BU95" s="794">
        <v>0</v>
      </c>
      <c r="BV95" s="794">
        <v>0</v>
      </c>
    </row>
    <row r="96" spans="2:74">
      <c r="B96" s="793" t="s">
        <v>2845</v>
      </c>
      <c r="C96" s="793" t="s">
        <v>2846</v>
      </c>
      <c r="D96" s="793"/>
      <c r="E96" s="794"/>
      <c r="F96" s="799"/>
      <c r="G96" s="799"/>
      <c r="H96" s="799"/>
      <c r="I96" s="799"/>
      <c r="J96" s="799"/>
      <c r="K96" s="799"/>
      <c r="L96" s="799">
        <f t="shared" si="6"/>
        <v>331</v>
      </c>
      <c r="M96" s="799"/>
      <c r="N96" s="595"/>
      <c r="O96" s="794">
        <v>0</v>
      </c>
      <c r="P96" s="794">
        <v>0</v>
      </c>
      <c r="Q96" s="794">
        <v>0</v>
      </c>
      <c r="R96" s="794">
        <v>0</v>
      </c>
      <c r="S96" s="794">
        <v>0</v>
      </c>
      <c r="T96" s="794">
        <v>0</v>
      </c>
      <c r="U96" s="794">
        <v>0</v>
      </c>
      <c r="V96" s="794">
        <v>0</v>
      </c>
      <c r="W96" s="809">
        <v>24000</v>
      </c>
      <c r="X96" s="794">
        <v>0</v>
      </c>
      <c r="Y96" s="794">
        <v>0</v>
      </c>
      <c r="Z96" s="794">
        <v>0</v>
      </c>
      <c r="AA96" s="794">
        <v>0</v>
      </c>
      <c r="AB96" s="794">
        <v>0</v>
      </c>
      <c r="AC96" s="794">
        <v>0</v>
      </c>
      <c r="AD96" s="794">
        <v>0</v>
      </c>
      <c r="AE96" s="794">
        <v>0</v>
      </c>
      <c r="AF96" s="794">
        <v>0</v>
      </c>
      <c r="AG96" s="794">
        <v>0</v>
      </c>
      <c r="AH96" s="794">
        <v>0</v>
      </c>
      <c r="AI96" s="794">
        <v>0</v>
      </c>
      <c r="AJ96" s="794">
        <v>0</v>
      </c>
      <c r="AK96" s="794">
        <v>0</v>
      </c>
      <c r="AL96" s="794">
        <v>0</v>
      </c>
      <c r="AM96" s="794">
        <v>0</v>
      </c>
      <c r="AN96" s="794">
        <v>0</v>
      </c>
      <c r="AO96" s="794">
        <v>0</v>
      </c>
      <c r="AP96" s="794">
        <v>0</v>
      </c>
      <c r="AQ96" s="794">
        <v>0</v>
      </c>
      <c r="AR96" s="794">
        <v>0</v>
      </c>
      <c r="AS96" s="794">
        <v>0</v>
      </c>
      <c r="AT96" s="794">
        <v>0</v>
      </c>
      <c r="AU96" s="794">
        <v>0</v>
      </c>
      <c r="AV96" s="794">
        <v>0</v>
      </c>
      <c r="AW96" s="794">
        <v>0</v>
      </c>
      <c r="AX96" s="794">
        <v>0</v>
      </c>
      <c r="AY96" s="794">
        <v>0</v>
      </c>
      <c r="AZ96" s="794">
        <v>0</v>
      </c>
      <c r="BA96" s="794">
        <v>0</v>
      </c>
      <c r="BB96" s="794">
        <v>0</v>
      </c>
      <c r="BC96" s="794">
        <v>0</v>
      </c>
      <c r="BD96" s="794">
        <v>0</v>
      </c>
      <c r="BE96" s="794">
        <v>0</v>
      </c>
      <c r="BF96" s="794">
        <v>0</v>
      </c>
      <c r="BG96" s="794">
        <v>0</v>
      </c>
      <c r="BH96" s="794">
        <v>0</v>
      </c>
      <c r="BI96" s="794">
        <v>0</v>
      </c>
      <c r="BJ96" s="794">
        <v>0</v>
      </c>
      <c r="BK96" s="794">
        <v>0</v>
      </c>
      <c r="BL96" s="794">
        <v>0</v>
      </c>
      <c r="BM96" s="794">
        <v>0</v>
      </c>
      <c r="BN96" s="794">
        <v>0</v>
      </c>
      <c r="BO96" s="794">
        <v>0</v>
      </c>
      <c r="BP96" s="794">
        <v>0</v>
      </c>
      <c r="BQ96" s="794">
        <v>0</v>
      </c>
      <c r="BR96" s="794">
        <v>0</v>
      </c>
      <c r="BS96" s="794">
        <v>0</v>
      </c>
      <c r="BT96" s="794">
        <v>0</v>
      </c>
      <c r="BU96" s="794">
        <v>0</v>
      </c>
      <c r="BV96" s="794">
        <v>0</v>
      </c>
    </row>
    <row r="97" spans="2:74">
      <c r="B97" s="793" t="s">
        <v>2847</v>
      </c>
      <c r="C97" s="793" t="s">
        <v>2825</v>
      </c>
      <c r="D97" s="793"/>
      <c r="E97" s="794"/>
      <c r="F97" s="799"/>
      <c r="G97" s="799"/>
      <c r="H97" s="799"/>
      <c r="I97" s="799"/>
      <c r="J97" s="799"/>
      <c r="K97" s="799"/>
      <c r="L97" s="799">
        <f t="shared" si="6"/>
        <v>331</v>
      </c>
      <c r="M97" s="799"/>
      <c r="N97" s="595"/>
      <c r="O97" s="794">
        <v>0</v>
      </c>
      <c r="P97" s="794">
        <v>0</v>
      </c>
      <c r="Q97" s="794">
        <v>0</v>
      </c>
      <c r="R97" s="794">
        <v>0</v>
      </c>
      <c r="S97" s="794">
        <v>0</v>
      </c>
      <c r="T97" s="794">
        <v>0</v>
      </c>
      <c r="U97" s="794">
        <v>0</v>
      </c>
      <c r="V97" s="794">
        <v>0</v>
      </c>
      <c r="W97" s="809">
        <v>106763.33</v>
      </c>
      <c r="X97" s="794">
        <v>244754.41</v>
      </c>
      <c r="Y97" s="794">
        <v>66464.009999999995</v>
      </c>
      <c r="Z97" s="794">
        <v>3990</v>
      </c>
      <c r="AA97" s="794">
        <v>0</v>
      </c>
      <c r="AB97" s="794">
        <v>0</v>
      </c>
      <c r="AC97" s="794">
        <v>0</v>
      </c>
      <c r="AD97" s="794">
        <v>0</v>
      </c>
      <c r="AE97" s="794">
        <v>0</v>
      </c>
      <c r="AF97" s="794">
        <v>0</v>
      </c>
      <c r="AG97" s="794">
        <v>0</v>
      </c>
      <c r="AH97" s="794">
        <v>0</v>
      </c>
      <c r="AI97" s="794">
        <v>0</v>
      </c>
      <c r="AJ97" s="794">
        <v>0</v>
      </c>
      <c r="AK97" s="794">
        <v>0</v>
      </c>
      <c r="AL97" s="794">
        <v>0</v>
      </c>
      <c r="AM97" s="794">
        <v>0</v>
      </c>
      <c r="AN97" s="794">
        <v>0</v>
      </c>
      <c r="AO97" s="794">
        <v>0</v>
      </c>
      <c r="AP97" s="794">
        <v>0</v>
      </c>
      <c r="AQ97" s="794">
        <v>0</v>
      </c>
      <c r="AR97" s="794">
        <v>0</v>
      </c>
      <c r="AS97" s="794">
        <v>0</v>
      </c>
      <c r="AT97" s="794">
        <v>0</v>
      </c>
      <c r="AU97" s="794">
        <v>0</v>
      </c>
      <c r="AV97" s="794">
        <v>0</v>
      </c>
      <c r="AW97" s="794">
        <v>0</v>
      </c>
      <c r="AX97" s="794">
        <v>0</v>
      </c>
      <c r="AY97" s="794">
        <v>0</v>
      </c>
      <c r="AZ97" s="794">
        <v>0</v>
      </c>
      <c r="BA97" s="794">
        <v>0</v>
      </c>
      <c r="BB97" s="794">
        <v>0</v>
      </c>
      <c r="BC97" s="794">
        <v>0</v>
      </c>
      <c r="BD97" s="794">
        <v>0</v>
      </c>
      <c r="BE97" s="794">
        <v>0</v>
      </c>
      <c r="BF97" s="794">
        <v>0</v>
      </c>
      <c r="BG97" s="794">
        <v>0</v>
      </c>
      <c r="BH97" s="794">
        <v>0</v>
      </c>
      <c r="BI97" s="794">
        <v>0</v>
      </c>
      <c r="BJ97" s="794">
        <v>0</v>
      </c>
      <c r="BK97" s="794">
        <v>0</v>
      </c>
      <c r="BL97" s="794">
        <v>0</v>
      </c>
      <c r="BM97" s="794">
        <v>0</v>
      </c>
      <c r="BN97" s="794">
        <v>0</v>
      </c>
      <c r="BO97" s="794">
        <v>0</v>
      </c>
      <c r="BP97" s="794">
        <v>0</v>
      </c>
      <c r="BQ97" s="794">
        <v>0</v>
      </c>
      <c r="BR97" s="794">
        <v>0</v>
      </c>
      <c r="BS97" s="794">
        <v>0</v>
      </c>
      <c r="BT97" s="794">
        <v>0</v>
      </c>
      <c r="BU97" s="794">
        <v>0</v>
      </c>
      <c r="BV97" s="794">
        <v>0</v>
      </c>
    </row>
    <row r="98" spans="2:74">
      <c r="B98" s="793" t="s">
        <v>2848</v>
      </c>
      <c r="C98" s="793" t="s">
        <v>2849</v>
      </c>
      <c r="D98" s="793"/>
      <c r="E98" s="794"/>
      <c r="F98" s="799"/>
      <c r="G98" s="799"/>
      <c r="H98" s="799"/>
      <c r="I98" s="799"/>
      <c r="J98" s="799"/>
      <c r="K98" s="799"/>
      <c r="L98" s="799">
        <f t="shared" si="6"/>
        <v>331</v>
      </c>
      <c r="M98" s="799"/>
      <c r="N98" s="595"/>
      <c r="O98" s="794">
        <v>0</v>
      </c>
      <c r="P98" s="794">
        <v>0</v>
      </c>
      <c r="Q98" s="794">
        <v>0</v>
      </c>
      <c r="R98" s="794">
        <v>0</v>
      </c>
      <c r="S98" s="794">
        <v>0</v>
      </c>
      <c r="T98" s="794">
        <v>0</v>
      </c>
      <c r="U98" s="794">
        <v>0</v>
      </c>
      <c r="V98" s="794">
        <v>0</v>
      </c>
      <c r="W98" s="809">
        <v>45168.94</v>
      </c>
      <c r="X98" s="794">
        <v>11525.12</v>
      </c>
      <c r="Y98" s="794">
        <v>0</v>
      </c>
      <c r="Z98" s="794">
        <v>0</v>
      </c>
      <c r="AA98" s="794">
        <v>0</v>
      </c>
      <c r="AB98" s="794">
        <v>0</v>
      </c>
      <c r="AC98" s="794">
        <v>0</v>
      </c>
      <c r="AD98" s="794">
        <v>0</v>
      </c>
      <c r="AE98" s="794">
        <v>0</v>
      </c>
      <c r="AF98" s="794">
        <v>0</v>
      </c>
      <c r="AG98" s="794">
        <v>0</v>
      </c>
      <c r="AH98" s="794">
        <v>0</v>
      </c>
      <c r="AI98" s="794">
        <v>0</v>
      </c>
      <c r="AJ98" s="794">
        <v>0</v>
      </c>
      <c r="AK98" s="794">
        <v>0</v>
      </c>
      <c r="AL98" s="794">
        <v>0</v>
      </c>
      <c r="AM98" s="794">
        <v>0</v>
      </c>
      <c r="AN98" s="794">
        <v>0</v>
      </c>
      <c r="AO98" s="794">
        <v>0</v>
      </c>
      <c r="AP98" s="794">
        <v>0</v>
      </c>
      <c r="AQ98" s="794">
        <v>0</v>
      </c>
      <c r="AR98" s="794">
        <v>0</v>
      </c>
      <c r="AS98" s="794">
        <v>0</v>
      </c>
      <c r="AT98" s="794">
        <v>0</v>
      </c>
      <c r="AU98" s="794">
        <v>0</v>
      </c>
      <c r="AV98" s="794">
        <v>0</v>
      </c>
      <c r="AW98" s="794">
        <v>0</v>
      </c>
      <c r="AX98" s="794">
        <v>0</v>
      </c>
      <c r="AY98" s="794">
        <v>0</v>
      </c>
      <c r="AZ98" s="794">
        <v>0</v>
      </c>
      <c r="BA98" s="794">
        <v>0</v>
      </c>
      <c r="BB98" s="794">
        <v>0</v>
      </c>
      <c r="BC98" s="794">
        <v>0</v>
      </c>
      <c r="BD98" s="794">
        <v>0</v>
      </c>
      <c r="BE98" s="794">
        <v>0</v>
      </c>
      <c r="BF98" s="794">
        <v>0</v>
      </c>
      <c r="BG98" s="794">
        <v>0</v>
      </c>
      <c r="BH98" s="794">
        <v>0</v>
      </c>
      <c r="BI98" s="794">
        <v>0</v>
      </c>
      <c r="BJ98" s="794">
        <v>0</v>
      </c>
      <c r="BK98" s="794">
        <v>0</v>
      </c>
      <c r="BL98" s="794">
        <v>0</v>
      </c>
      <c r="BM98" s="794">
        <v>0</v>
      </c>
      <c r="BN98" s="794">
        <v>0</v>
      </c>
      <c r="BO98" s="794">
        <v>0</v>
      </c>
      <c r="BP98" s="794">
        <v>0</v>
      </c>
      <c r="BQ98" s="794">
        <v>0</v>
      </c>
      <c r="BR98" s="794">
        <v>0</v>
      </c>
      <c r="BS98" s="794">
        <v>0</v>
      </c>
      <c r="BT98" s="794">
        <v>0</v>
      </c>
      <c r="BU98" s="794">
        <v>0</v>
      </c>
      <c r="BV98" s="794">
        <v>0</v>
      </c>
    </row>
    <row r="99" spans="2:74">
      <c r="B99" s="793" t="s">
        <v>2850</v>
      </c>
      <c r="C99" s="793" t="s">
        <v>543</v>
      </c>
      <c r="D99" s="793"/>
      <c r="E99" s="794"/>
      <c r="F99" s="799"/>
      <c r="G99" s="799"/>
      <c r="H99" s="799"/>
      <c r="I99" s="799"/>
      <c r="J99" s="799"/>
      <c r="K99" s="799"/>
      <c r="L99" s="799">
        <f t="shared" si="6"/>
        <v>331</v>
      </c>
      <c r="M99" s="799"/>
      <c r="N99" s="595"/>
      <c r="O99" s="794">
        <v>0</v>
      </c>
      <c r="P99" s="794">
        <v>0</v>
      </c>
      <c r="Q99" s="794">
        <v>0</v>
      </c>
      <c r="R99" s="794">
        <v>0</v>
      </c>
      <c r="S99" s="794">
        <v>0</v>
      </c>
      <c r="T99" s="794">
        <v>0</v>
      </c>
      <c r="U99" s="794">
        <v>0</v>
      </c>
      <c r="V99" s="794">
        <v>0</v>
      </c>
      <c r="W99" s="809">
        <v>39331.660000000003</v>
      </c>
      <c r="X99" s="794">
        <v>12978.45</v>
      </c>
      <c r="Y99" s="794">
        <v>0</v>
      </c>
      <c r="Z99" s="794">
        <v>0</v>
      </c>
      <c r="AA99" s="794">
        <v>0</v>
      </c>
      <c r="AB99" s="794">
        <v>0</v>
      </c>
      <c r="AC99" s="794">
        <v>0</v>
      </c>
      <c r="AD99" s="794">
        <v>0</v>
      </c>
      <c r="AE99" s="794">
        <v>0</v>
      </c>
      <c r="AF99" s="794">
        <v>0</v>
      </c>
      <c r="AG99" s="794">
        <v>0</v>
      </c>
      <c r="AH99" s="794">
        <v>0</v>
      </c>
      <c r="AI99" s="794">
        <v>0</v>
      </c>
      <c r="AJ99" s="794">
        <v>0</v>
      </c>
      <c r="AK99" s="794">
        <v>0</v>
      </c>
      <c r="AL99" s="794">
        <v>0</v>
      </c>
      <c r="AM99" s="794">
        <v>0</v>
      </c>
      <c r="AN99" s="794">
        <v>0</v>
      </c>
      <c r="AO99" s="794">
        <v>0</v>
      </c>
      <c r="AP99" s="794">
        <v>0</v>
      </c>
      <c r="AQ99" s="794">
        <v>0</v>
      </c>
      <c r="AR99" s="794">
        <v>0</v>
      </c>
      <c r="AS99" s="794">
        <v>0</v>
      </c>
      <c r="AT99" s="794">
        <v>0</v>
      </c>
      <c r="AU99" s="794">
        <v>0</v>
      </c>
      <c r="AV99" s="794">
        <v>0</v>
      </c>
      <c r="AW99" s="794">
        <v>0</v>
      </c>
      <c r="AX99" s="794">
        <v>0</v>
      </c>
      <c r="AY99" s="794">
        <v>0</v>
      </c>
      <c r="AZ99" s="794">
        <v>0</v>
      </c>
      <c r="BA99" s="794">
        <v>0</v>
      </c>
      <c r="BB99" s="794">
        <v>0</v>
      </c>
      <c r="BC99" s="794">
        <v>0</v>
      </c>
      <c r="BD99" s="794">
        <v>0</v>
      </c>
      <c r="BE99" s="794">
        <v>0</v>
      </c>
      <c r="BF99" s="794">
        <v>0</v>
      </c>
      <c r="BG99" s="794">
        <v>0</v>
      </c>
      <c r="BH99" s="794">
        <v>0</v>
      </c>
      <c r="BI99" s="794">
        <v>0</v>
      </c>
      <c r="BJ99" s="794">
        <v>0</v>
      </c>
      <c r="BK99" s="794">
        <v>0</v>
      </c>
      <c r="BL99" s="794">
        <v>0</v>
      </c>
      <c r="BM99" s="794">
        <v>0</v>
      </c>
      <c r="BN99" s="794">
        <v>0</v>
      </c>
      <c r="BO99" s="794">
        <v>0</v>
      </c>
      <c r="BP99" s="794">
        <v>0</v>
      </c>
      <c r="BQ99" s="794">
        <v>0</v>
      </c>
      <c r="BR99" s="794">
        <v>0</v>
      </c>
      <c r="BS99" s="794">
        <v>0</v>
      </c>
      <c r="BT99" s="794">
        <v>0</v>
      </c>
      <c r="BU99" s="794">
        <v>0</v>
      </c>
      <c r="BV99" s="794">
        <v>0</v>
      </c>
    </row>
    <row r="100" spans="2:74">
      <c r="B100" s="793" t="s">
        <v>2851</v>
      </c>
      <c r="C100" s="793" t="s">
        <v>2852</v>
      </c>
      <c r="D100" s="793"/>
      <c r="E100" s="794"/>
      <c r="F100" s="799"/>
      <c r="G100" s="799"/>
      <c r="H100" s="799"/>
      <c r="I100" s="799"/>
      <c r="J100" s="799"/>
      <c r="K100" s="799"/>
      <c r="L100" s="799">
        <f t="shared" si="6"/>
        <v>331</v>
      </c>
      <c r="M100" s="799"/>
      <c r="N100" s="595"/>
      <c r="O100" s="794">
        <v>0</v>
      </c>
      <c r="P100" s="794">
        <v>0</v>
      </c>
      <c r="Q100" s="794">
        <v>0</v>
      </c>
      <c r="R100" s="794">
        <v>0</v>
      </c>
      <c r="S100" s="794">
        <v>0</v>
      </c>
      <c r="T100" s="794">
        <v>0</v>
      </c>
      <c r="U100" s="794">
        <v>0</v>
      </c>
      <c r="V100" s="794">
        <v>0</v>
      </c>
      <c r="W100" s="809">
        <v>28985.759999999998</v>
      </c>
      <c r="X100" s="794">
        <v>0</v>
      </c>
      <c r="Y100" s="794">
        <v>0</v>
      </c>
      <c r="Z100" s="794">
        <v>0</v>
      </c>
      <c r="AA100" s="794">
        <v>0</v>
      </c>
      <c r="AB100" s="794">
        <v>0</v>
      </c>
      <c r="AC100" s="794">
        <v>0</v>
      </c>
      <c r="AD100" s="794">
        <v>0</v>
      </c>
      <c r="AE100" s="794">
        <v>0</v>
      </c>
      <c r="AF100" s="794">
        <v>0</v>
      </c>
      <c r="AG100" s="794">
        <v>0</v>
      </c>
      <c r="AH100" s="794">
        <v>0</v>
      </c>
      <c r="AI100" s="794">
        <v>0</v>
      </c>
      <c r="AJ100" s="794">
        <v>0</v>
      </c>
      <c r="AK100" s="794">
        <v>0</v>
      </c>
      <c r="AL100" s="794">
        <v>0</v>
      </c>
      <c r="AM100" s="794">
        <v>0</v>
      </c>
      <c r="AN100" s="794">
        <v>0</v>
      </c>
      <c r="AO100" s="794">
        <v>0</v>
      </c>
      <c r="AP100" s="794">
        <v>0</v>
      </c>
      <c r="AQ100" s="794">
        <v>0</v>
      </c>
      <c r="AR100" s="794">
        <v>0</v>
      </c>
      <c r="AS100" s="794">
        <v>0</v>
      </c>
      <c r="AT100" s="794">
        <v>0</v>
      </c>
      <c r="AU100" s="794">
        <v>0</v>
      </c>
      <c r="AV100" s="794">
        <v>0</v>
      </c>
      <c r="AW100" s="794">
        <v>0</v>
      </c>
      <c r="AX100" s="794">
        <v>0</v>
      </c>
      <c r="AY100" s="794">
        <v>0</v>
      </c>
      <c r="AZ100" s="794">
        <v>0</v>
      </c>
      <c r="BA100" s="794">
        <v>0</v>
      </c>
      <c r="BB100" s="794">
        <v>0</v>
      </c>
      <c r="BC100" s="794">
        <v>0</v>
      </c>
      <c r="BD100" s="794">
        <v>0</v>
      </c>
      <c r="BE100" s="794">
        <v>0</v>
      </c>
      <c r="BF100" s="794">
        <v>0</v>
      </c>
      <c r="BG100" s="794">
        <v>0</v>
      </c>
      <c r="BH100" s="794">
        <v>0</v>
      </c>
      <c r="BI100" s="794">
        <v>0</v>
      </c>
      <c r="BJ100" s="794">
        <v>0</v>
      </c>
      <c r="BK100" s="794">
        <v>0</v>
      </c>
      <c r="BL100" s="794">
        <v>0</v>
      </c>
      <c r="BM100" s="794">
        <v>0</v>
      </c>
      <c r="BN100" s="794">
        <v>0</v>
      </c>
      <c r="BO100" s="794">
        <v>0</v>
      </c>
      <c r="BP100" s="794">
        <v>0</v>
      </c>
      <c r="BQ100" s="794">
        <v>0</v>
      </c>
      <c r="BR100" s="794">
        <v>0</v>
      </c>
      <c r="BS100" s="794">
        <v>0</v>
      </c>
      <c r="BT100" s="794">
        <v>0</v>
      </c>
      <c r="BU100" s="794">
        <v>0</v>
      </c>
      <c r="BV100" s="794">
        <v>0</v>
      </c>
    </row>
    <row r="101" spans="2:74">
      <c r="B101" s="793" t="s">
        <v>2853</v>
      </c>
      <c r="C101" s="793" t="s">
        <v>2854</v>
      </c>
      <c r="D101" s="793"/>
      <c r="E101" s="794"/>
      <c r="F101" s="799"/>
      <c r="G101" s="799"/>
      <c r="H101" s="799"/>
      <c r="I101" s="799"/>
      <c r="J101" s="799"/>
      <c r="K101" s="799"/>
      <c r="L101" s="799">
        <f t="shared" si="6"/>
        <v>331</v>
      </c>
      <c r="M101" s="799"/>
      <c r="N101" s="595"/>
      <c r="O101" s="794">
        <v>0</v>
      </c>
      <c r="P101" s="794">
        <v>0</v>
      </c>
      <c r="Q101" s="794">
        <v>0</v>
      </c>
      <c r="R101" s="794">
        <v>0</v>
      </c>
      <c r="S101" s="794">
        <v>0</v>
      </c>
      <c r="T101" s="794">
        <v>0</v>
      </c>
      <c r="U101" s="794">
        <v>0</v>
      </c>
      <c r="V101" s="794">
        <v>0</v>
      </c>
      <c r="W101" s="809">
        <v>28000</v>
      </c>
      <c r="X101" s="794">
        <v>149002.74</v>
      </c>
      <c r="Y101" s="794">
        <v>0</v>
      </c>
      <c r="Z101" s="794">
        <v>0</v>
      </c>
      <c r="AA101" s="794">
        <v>0</v>
      </c>
      <c r="AB101" s="794">
        <v>0</v>
      </c>
      <c r="AC101" s="794">
        <v>0</v>
      </c>
      <c r="AD101" s="794">
        <v>0</v>
      </c>
      <c r="AE101" s="794">
        <v>0</v>
      </c>
      <c r="AF101" s="794">
        <v>0</v>
      </c>
      <c r="AG101" s="794">
        <v>0</v>
      </c>
      <c r="AH101" s="794">
        <v>0</v>
      </c>
      <c r="AI101" s="794">
        <v>0</v>
      </c>
      <c r="AJ101" s="794">
        <v>0</v>
      </c>
      <c r="AK101" s="794">
        <v>0</v>
      </c>
      <c r="AL101" s="794">
        <v>0</v>
      </c>
      <c r="AM101" s="794">
        <v>0</v>
      </c>
      <c r="AN101" s="794">
        <v>0</v>
      </c>
      <c r="AO101" s="794">
        <v>0</v>
      </c>
      <c r="AP101" s="794">
        <v>0</v>
      </c>
      <c r="AQ101" s="794">
        <v>0</v>
      </c>
      <c r="AR101" s="794">
        <v>0</v>
      </c>
      <c r="AS101" s="794">
        <v>0</v>
      </c>
      <c r="AT101" s="794">
        <v>0</v>
      </c>
      <c r="AU101" s="794">
        <v>0</v>
      </c>
      <c r="AV101" s="794">
        <v>0</v>
      </c>
      <c r="AW101" s="794">
        <v>0</v>
      </c>
      <c r="AX101" s="794">
        <v>0</v>
      </c>
      <c r="AY101" s="794">
        <v>0</v>
      </c>
      <c r="AZ101" s="794">
        <v>0</v>
      </c>
      <c r="BA101" s="794">
        <v>0</v>
      </c>
      <c r="BB101" s="794">
        <v>0</v>
      </c>
      <c r="BC101" s="794">
        <v>0</v>
      </c>
      <c r="BD101" s="794">
        <v>0</v>
      </c>
      <c r="BE101" s="794">
        <v>0</v>
      </c>
      <c r="BF101" s="794">
        <v>0</v>
      </c>
      <c r="BG101" s="794">
        <v>0</v>
      </c>
      <c r="BH101" s="794">
        <v>0</v>
      </c>
      <c r="BI101" s="794">
        <v>0</v>
      </c>
      <c r="BJ101" s="794">
        <v>0</v>
      </c>
      <c r="BK101" s="794">
        <v>0</v>
      </c>
      <c r="BL101" s="794">
        <v>0</v>
      </c>
      <c r="BM101" s="794">
        <v>0</v>
      </c>
      <c r="BN101" s="794">
        <v>0</v>
      </c>
      <c r="BO101" s="794">
        <v>0</v>
      </c>
      <c r="BP101" s="794">
        <v>0</v>
      </c>
      <c r="BQ101" s="794">
        <v>0</v>
      </c>
      <c r="BR101" s="794">
        <v>0</v>
      </c>
      <c r="BS101" s="794">
        <v>0</v>
      </c>
      <c r="BT101" s="794">
        <v>0</v>
      </c>
      <c r="BU101" s="794">
        <v>0</v>
      </c>
      <c r="BV101" s="794">
        <v>0</v>
      </c>
    </row>
    <row r="102" spans="2:74">
      <c r="B102" s="793" t="s">
        <v>2855</v>
      </c>
      <c r="C102" s="793" t="s">
        <v>2856</v>
      </c>
      <c r="D102" s="793"/>
      <c r="E102" s="794"/>
      <c r="F102" s="799"/>
      <c r="G102" s="799"/>
      <c r="H102" s="799"/>
      <c r="I102" s="799"/>
      <c r="J102" s="799"/>
      <c r="K102" s="799"/>
      <c r="L102" s="799">
        <f t="shared" si="6"/>
        <v>331</v>
      </c>
      <c r="M102" s="799"/>
      <c r="N102" s="595"/>
      <c r="O102" s="794">
        <v>0</v>
      </c>
      <c r="P102" s="794">
        <v>0</v>
      </c>
      <c r="Q102" s="794">
        <v>0</v>
      </c>
      <c r="R102" s="794">
        <v>0</v>
      </c>
      <c r="S102" s="794">
        <v>0</v>
      </c>
      <c r="T102" s="794">
        <v>0</v>
      </c>
      <c r="U102" s="794">
        <v>0</v>
      </c>
      <c r="V102" s="794">
        <v>0</v>
      </c>
      <c r="W102" s="809">
        <v>35228.199999999997</v>
      </c>
      <c r="X102" s="794">
        <v>148219.14000000001</v>
      </c>
      <c r="Y102" s="794">
        <v>7091.52</v>
      </c>
      <c r="Z102" s="794">
        <v>137527.4</v>
      </c>
      <c r="AA102" s="794">
        <v>349165.31</v>
      </c>
      <c r="AB102" s="794">
        <v>524814.63</v>
      </c>
      <c r="AC102" s="794">
        <v>448788.94</v>
      </c>
      <c r="AD102" s="794">
        <v>136693.87</v>
      </c>
      <c r="AE102" s="794">
        <v>0</v>
      </c>
      <c r="AF102" s="794">
        <v>0</v>
      </c>
      <c r="AG102" s="794">
        <v>0</v>
      </c>
      <c r="AH102" s="794">
        <v>0</v>
      </c>
      <c r="AI102" s="794">
        <v>0</v>
      </c>
      <c r="AJ102" s="794">
        <v>0</v>
      </c>
      <c r="AK102" s="794">
        <v>0</v>
      </c>
      <c r="AL102" s="794">
        <v>0</v>
      </c>
      <c r="AM102" s="794">
        <v>0</v>
      </c>
      <c r="AN102" s="794">
        <v>0</v>
      </c>
      <c r="AO102" s="794">
        <v>0</v>
      </c>
      <c r="AP102" s="794">
        <v>0</v>
      </c>
      <c r="AQ102" s="794">
        <v>0</v>
      </c>
      <c r="AR102" s="794">
        <v>0</v>
      </c>
      <c r="AS102" s="794">
        <v>0</v>
      </c>
      <c r="AT102" s="794">
        <v>0</v>
      </c>
      <c r="AU102" s="794">
        <v>0</v>
      </c>
      <c r="AV102" s="794">
        <v>0</v>
      </c>
      <c r="AW102" s="794">
        <v>0</v>
      </c>
      <c r="AX102" s="794">
        <v>0</v>
      </c>
      <c r="AY102" s="794">
        <v>0</v>
      </c>
      <c r="AZ102" s="794">
        <v>0</v>
      </c>
      <c r="BA102" s="794">
        <v>0</v>
      </c>
      <c r="BB102" s="794">
        <v>0</v>
      </c>
      <c r="BC102" s="794">
        <v>0</v>
      </c>
      <c r="BD102" s="794">
        <v>0</v>
      </c>
      <c r="BE102" s="794">
        <v>0</v>
      </c>
      <c r="BF102" s="794">
        <v>0</v>
      </c>
      <c r="BG102" s="794">
        <v>0</v>
      </c>
      <c r="BH102" s="794">
        <v>0</v>
      </c>
      <c r="BI102" s="794">
        <v>0</v>
      </c>
      <c r="BJ102" s="794">
        <v>0</v>
      </c>
      <c r="BK102" s="794">
        <v>0</v>
      </c>
      <c r="BL102" s="794">
        <v>0</v>
      </c>
      <c r="BM102" s="794">
        <v>0</v>
      </c>
      <c r="BN102" s="794">
        <v>0</v>
      </c>
      <c r="BO102" s="794">
        <v>0</v>
      </c>
      <c r="BP102" s="794">
        <v>0</v>
      </c>
      <c r="BQ102" s="794">
        <v>0</v>
      </c>
      <c r="BR102" s="794">
        <v>0</v>
      </c>
      <c r="BS102" s="794">
        <v>0</v>
      </c>
      <c r="BT102" s="794">
        <v>0</v>
      </c>
      <c r="BU102" s="794">
        <v>0</v>
      </c>
      <c r="BV102" s="794">
        <v>0</v>
      </c>
    </row>
    <row r="103" spans="2:74">
      <c r="B103" s="793" t="s">
        <v>2857</v>
      </c>
      <c r="C103" s="793" t="s">
        <v>2858</v>
      </c>
      <c r="D103" s="793"/>
      <c r="E103" s="794"/>
      <c r="F103" s="799"/>
      <c r="G103" s="799"/>
      <c r="H103" s="799"/>
      <c r="I103" s="799"/>
      <c r="J103" s="799"/>
      <c r="K103" s="799"/>
      <c r="L103" s="799">
        <f t="shared" si="6"/>
        <v>331</v>
      </c>
      <c r="M103" s="799"/>
      <c r="N103" s="595"/>
      <c r="O103" s="794">
        <v>0</v>
      </c>
      <c r="P103" s="794">
        <v>0</v>
      </c>
      <c r="Q103" s="794">
        <v>0</v>
      </c>
      <c r="R103" s="794">
        <v>0</v>
      </c>
      <c r="S103" s="794">
        <v>0</v>
      </c>
      <c r="T103" s="794">
        <v>0</v>
      </c>
      <c r="U103" s="794">
        <v>0</v>
      </c>
      <c r="V103" s="794">
        <v>0</v>
      </c>
      <c r="W103" s="809">
        <v>22766.09</v>
      </c>
      <c r="X103" s="794">
        <v>22280.75</v>
      </c>
      <c r="Y103" s="794">
        <v>0</v>
      </c>
      <c r="Z103" s="794">
        <v>0</v>
      </c>
      <c r="AA103" s="794">
        <v>0</v>
      </c>
      <c r="AB103" s="794">
        <v>0</v>
      </c>
      <c r="AC103" s="794">
        <v>0</v>
      </c>
      <c r="AD103" s="794">
        <v>0</v>
      </c>
      <c r="AE103" s="794">
        <v>0</v>
      </c>
      <c r="AF103" s="794">
        <v>0</v>
      </c>
      <c r="AG103" s="794">
        <v>0</v>
      </c>
      <c r="AH103" s="794">
        <v>0</v>
      </c>
      <c r="AI103" s="794">
        <v>0</v>
      </c>
      <c r="AJ103" s="794">
        <v>0</v>
      </c>
      <c r="AK103" s="794">
        <v>0</v>
      </c>
      <c r="AL103" s="794">
        <v>0</v>
      </c>
      <c r="AM103" s="794">
        <v>0</v>
      </c>
      <c r="AN103" s="794">
        <v>0</v>
      </c>
      <c r="AO103" s="794">
        <v>0</v>
      </c>
      <c r="AP103" s="794">
        <v>0</v>
      </c>
      <c r="AQ103" s="794">
        <v>0</v>
      </c>
      <c r="AR103" s="794">
        <v>0</v>
      </c>
      <c r="AS103" s="794">
        <v>0</v>
      </c>
      <c r="AT103" s="794">
        <v>0</v>
      </c>
      <c r="AU103" s="794">
        <v>0</v>
      </c>
      <c r="AV103" s="794">
        <v>0</v>
      </c>
      <c r="AW103" s="794">
        <v>0</v>
      </c>
      <c r="AX103" s="794">
        <v>0</v>
      </c>
      <c r="AY103" s="794">
        <v>0</v>
      </c>
      <c r="AZ103" s="794">
        <v>0</v>
      </c>
      <c r="BA103" s="794">
        <v>0</v>
      </c>
      <c r="BB103" s="794">
        <v>0</v>
      </c>
      <c r="BC103" s="794">
        <v>0</v>
      </c>
      <c r="BD103" s="794">
        <v>0</v>
      </c>
      <c r="BE103" s="794">
        <v>0</v>
      </c>
      <c r="BF103" s="794">
        <v>0</v>
      </c>
      <c r="BG103" s="794">
        <v>0</v>
      </c>
      <c r="BH103" s="794">
        <v>0</v>
      </c>
      <c r="BI103" s="794">
        <v>0</v>
      </c>
      <c r="BJ103" s="794">
        <v>0</v>
      </c>
      <c r="BK103" s="794">
        <v>0</v>
      </c>
      <c r="BL103" s="794">
        <v>0</v>
      </c>
      <c r="BM103" s="794">
        <v>0</v>
      </c>
      <c r="BN103" s="794">
        <v>0</v>
      </c>
      <c r="BO103" s="794">
        <v>0</v>
      </c>
      <c r="BP103" s="794">
        <v>0</v>
      </c>
      <c r="BQ103" s="794">
        <v>0</v>
      </c>
      <c r="BR103" s="794">
        <v>0</v>
      </c>
      <c r="BS103" s="794">
        <v>0</v>
      </c>
      <c r="BT103" s="794">
        <v>0</v>
      </c>
      <c r="BU103" s="794">
        <v>0</v>
      </c>
      <c r="BV103" s="794">
        <v>0</v>
      </c>
    </row>
    <row r="104" spans="2:74">
      <c r="B104" s="793" t="s">
        <v>2859</v>
      </c>
      <c r="C104" s="793" t="s">
        <v>2860</v>
      </c>
      <c r="D104" s="793"/>
      <c r="E104" s="794"/>
      <c r="F104" s="799"/>
      <c r="G104" s="799"/>
      <c r="H104" s="799"/>
      <c r="I104" s="799"/>
      <c r="J104" s="799"/>
      <c r="K104" s="799"/>
      <c r="L104" s="799">
        <f t="shared" si="6"/>
        <v>331</v>
      </c>
      <c r="M104" s="799"/>
      <c r="N104" s="595"/>
      <c r="O104" s="794">
        <v>0</v>
      </c>
      <c r="P104" s="794">
        <v>0</v>
      </c>
      <c r="Q104" s="794">
        <v>0</v>
      </c>
      <c r="R104" s="794">
        <v>0</v>
      </c>
      <c r="S104" s="794">
        <v>0</v>
      </c>
      <c r="T104" s="794">
        <v>0</v>
      </c>
      <c r="U104" s="794">
        <v>0</v>
      </c>
      <c r="V104" s="794">
        <v>0</v>
      </c>
      <c r="W104" s="809">
        <v>10996.38</v>
      </c>
      <c r="X104" s="794">
        <v>99749.05</v>
      </c>
      <c r="Y104" s="794">
        <v>52362.44</v>
      </c>
      <c r="Z104" s="794">
        <v>40000</v>
      </c>
      <c r="AA104" s="794">
        <v>48533.120000000003</v>
      </c>
      <c r="AB104" s="794">
        <v>0</v>
      </c>
      <c r="AC104" s="794">
        <v>0</v>
      </c>
      <c r="AD104" s="794">
        <v>0</v>
      </c>
      <c r="AE104" s="794">
        <v>0</v>
      </c>
      <c r="AF104" s="794">
        <v>21232.71</v>
      </c>
      <c r="AG104" s="794">
        <v>0</v>
      </c>
      <c r="AH104" s="794">
        <v>0</v>
      </c>
      <c r="AI104" s="794">
        <v>0</v>
      </c>
      <c r="AJ104" s="794">
        <v>0</v>
      </c>
      <c r="AK104" s="794">
        <v>0</v>
      </c>
      <c r="AL104" s="794">
        <v>0</v>
      </c>
      <c r="AM104" s="794">
        <v>0</v>
      </c>
      <c r="AN104" s="794">
        <v>0</v>
      </c>
      <c r="AO104" s="794">
        <v>0</v>
      </c>
      <c r="AP104" s="794">
        <v>0</v>
      </c>
      <c r="AQ104" s="794">
        <v>0</v>
      </c>
      <c r="AR104" s="794">
        <v>0</v>
      </c>
      <c r="AS104" s="794">
        <v>0</v>
      </c>
      <c r="AT104" s="794">
        <v>0</v>
      </c>
      <c r="AU104" s="794">
        <v>0</v>
      </c>
      <c r="AV104" s="794">
        <v>0</v>
      </c>
      <c r="AW104" s="794">
        <v>0</v>
      </c>
      <c r="AX104" s="794">
        <v>0</v>
      </c>
      <c r="AY104" s="794">
        <v>0</v>
      </c>
      <c r="AZ104" s="794">
        <v>0</v>
      </c>
      <c r="BA104" s="794">
        <v>0</v>
      </c>
      <c r="BB104" s="794">
        <v>0</v>
      </c>
      <c r="BC104" s="794">
        <v>0</v>
      </c>
      <c r="BD104" s="794">
        <v>0</v>
      </c>
      <c r="BE104" s="794">
        <v>0</v>
      </c>
      <c r="BF104" s="794">
        <v>0</v>
      </c>
      <c r="BG104" s="794">
        <v>0</v>
      </c>
      <c r="BH104" s="794">
        <v>0</v>
      </c>
      <c r="BI104" s="794">
        <v>0</v>
      </c>
      <c r="BJ104" s="794">
        <v>0</v>
      </c>
      <c r="BK104" s="794">
        <v>0</v>
      </c>
      <c r="BL104" s="794">
        <v>0</v>
      </c>
      <c r="BM104" s="794">
        <v>0</v>
      </c>
      <c r="BN104" s="794">
        <v>0</v>
      </c>
      <c r="BO104" s="794">
        <v>0</v>
      </c>
      <c r="BP104" s="794">
        <v>0</v>
      </c>
      <c r="BQ104" s="794">
        <v>0</v>
      </c>
      <c r="BR104" s="794">
        <v>0</v>
      </c>
      <c r="BS104" s="794">
        <v>0</v>
      </c>
      <c r="BT104" s="794">
        <v>0</v>
      </c>
      <c r="BU104" s="794">
        <v>0</v>
      </c>
      <c r="BV104" s="794">
        <v>32129.769999999997</v>
      </c>
    </row>
    <row r="105" spans="2:74">
      <c r="B105" s="793" t="s">
        <v>2862</v>
      </c>
      <c r="C105" s="793" t="s">
        <v>2863</v>
      </c>
      <c r="D105" s="793"/>
      <c r="E105" s="794"/>
      <c r="F105" s="799"/>
      <c r="G105" s="799"/>
      <c r="H105" s="799"/>
      <c r="I105" s="799"/>
      <c r="J105" s="799"/>
      <c r="K105" s="799"/>
      <c r="L105" s="799">
        <f t="shared" si="6"/>
        <v>331</v>
      </c>
      <c r="M105" s="799"/>
      <c r="N105" s="595"/>
      <c r="O105" s="794">
        <v>0</v>
      </c>
      <c r="P105" s="794">
        <v>0</v>
      </c>
      <c r="Q105" s="794">
        <v>0</v>
      </c>
      <c r="R105" s="794">
        <v>0</v>
      </c>
      <c r="S105" s="794">
        <v>0</v>
      </c>
      <c r="T105" s="794">
        <v>0</v>
      </c>
      <c r="U105" s="794">
        <v>0</v>
      </c>
      <c r="V105" s="794">
        <v>0</v>
      </c>
      <c r="W105" s="794">
        <v>0</v>
      </c>
      <c r="X105" s="809">
        <v>6000</v>
      </c>
      <c r="Y105" s="794">
        <v>0</v>
      </c>
      <c r="Z105" s="794">
        <v>0</v>
      </c>
      <c r="AA105" s="794">
        <v>0</v>
      </c>
      <c r="AB105" s="794">
        <v>0</v>
      </c>
      <c r="AC105" s="794">
        <v>0</v>
      </c>
      <c r="AD105" s="794">
        <v>0</v>
      </c>
      <c r="AE105" s="794">
        <v>0</v>
      </c>
      <c r="AF105" s="794">
        <v>0</v>
      </c>
      <c r="AG105" s="794">
        <v>0</v>
      </c>
      <c r="AH105" s="794">
        <v>0</v>
      </c>
      <c r="AI105" s="794">
        <v>0</v>
      </c>
      <c r="AJ105" s="794">
        <v>0</v>
      </c>
      <c r="AK105" s="794">
        <v>0</v>
      </c>
      <c r="AL105" s="794">
        <v>0</v>
      </c>
      <c r="AM105" s="794">
        <v>0</v>
      </c>
      <c r="AN105" s="794">
        <v>0</v>
      </c>
      <c r="AO105" s="794">
        <v>0</v>
      </c>
      <c r="AP105" s="794">
        <v>0</v>
      </c>
      <c r="AQ105" s="794">
        <v>0</v>
      </c>
      <c r="AR105" s="794">
        <v>0</v>
      </c>
      <c r="AS105" s="794">
        <v>0</v>
      </c>
      <c r="AT105" s="794">
        <v>0</v>
      </c>
      <c r="AU105" s="794">
        <v>0</v>
      </c>
      <c r="AV105" s="794">
        <v>0</v>
      </c>
      <c r="AW105" s="794">
        <v>0</v>
      </c>
      <c r="AX105" s="794">
        <v>0</v>
      </c>
      <c r="AY105" s="794">
        <v>0</v>
      </c>
      <c r="AZ105" s="794">
        <v>0</v>
      </c>
      <c r="BA105" s="794">
        <v>0</v>
      </c>
      <c r="BB105" s="794">
        <v>0</v>
      </c>
      <c r="BC105" s="794">
        <v>0</v>
      </c>
      <c r="BD105" s="794">
        <v>0</v>
      </c>
      <c r="BE105" s="794">
        <v>0</v>
      </c>
      <c r="BF105" s="794">
        <v>0</v>
      </c>
      <c r="BG105" s="794">
        <v>0</v>
      </c>
      <c r="BH105" s="794">
        <v>0</v>
      </c>
      <c r="BI105" s="794">
        <v>0</v>
      </c>
      <c r="BJ105" s="794">
        <v>0</v>
      </c>
      <c r="BK105" s="794">
        <v>0</v>
      </c>
      <c r="BL105" s="794">
        <v>0</v>
      </c>
      <c r="BM105" s="794">
        <v>0</v>
      </c>
      <c r="BN105" s="794">
        <v>0</v>
      </c>
      <c r="BO105" s="794">
        <v>0</v>
      </c>
      <c r="BP105" s="794">
        <v>0</v>
      </c>
      <c r="BQ105" s="794">
        <v>0</v>
      </c>
      <c r="BR105" s="794">
        <v>0</v>
      </c>
      <c r="BS105" s="794">
        <v>0</v>
      </c>
      <c r="BT105" s="794">
        <v>0</v>
      </c>
      <c r="BU105" s="794">
        <v>0</v>
      </c>
      <c r="BV105" s="794">
        <v>0</v>
      </c>
    </row>
    <row r="106" spans="2:74">
      <c r="B106" s="793" t="s">
        <v>2864</v>
      </c>
      <c r="C106" s="793" t="s">
        <v>2865</v>
      </c>
      <c r="D106" s="793"/>
      <c r="E106" s="794"/>
      <c r="F106" s="799"/>
      <c r="G106" s="799"/>
      <c r="H106" s="799"/>
      <c r="I106" s="799"/>
      <c r="J106" s="799"/>
      <c r="K106" s="799"/>
      <c r="L106" s="799">
        <f t="shared" si="6"/>
        <v>331</v>
      </c>
      <c r="M106" s="799"/>
      <c r="N106" s="595"/>
      <c r="O106" s="794">
        <v>0</v>
      </c>
      <c r="P106" s="794">
        <v>0</v>
      </c>
      <c r="Q106" s="794">
        <v>0</v>
      </c>
      <c r="R106" s="794">
        <v>0</v>
      </c>
      <c r="S106" s="794">
        <v>0</v>
      </c>
      <c r="T106" s="794">
        <v>0</v>
      </c>
      <c r="U106" s="794">
        <v>0</v>
      </c>
      <c r="V106" s="794">
        <v>0</v>
      </c>
      <c r="W106" s="794">
        <v>0</v>
      </c>
      <c r="X106" s="809">
        <v>35840.14</v>
      </c>
      <c r="Y106" s="794">
        <v>0</v>
      </c>
      <c r="Z106" s="794">
        <v>4000</v>
      </c>
      <c r="AA106" s="794">
        <v>0</v>
      </c>
      <c r="AB106" s="794">
        <v>0</v>
      </c>
      <c r="AC106" s="794">
        <v>0</v>
      </c>
      <c r="AD106" s="794">
        <v>0</v>
      </c>
      <c r="AE106" s="794">
        <v>0</v>
      </c>
      <c r="AF106" s="794">
        <v>0</v>
      </c>
      <c r="AG106" s="794">
        <v>0</v>
      </c>
      <c r="AH106" s="794">
        <v>0</v>
      </c>
      <c r="AI106" s="794">
        <v>0</v>
      </c>
      <c r="AJ106" s="794">
        <v>0</v>
      </c>
      <c r="AK106" s="794">
        <v>0</v>
      </c>
      <c r="AL106" s="794">
        <v>0</v>
      </c>
      <c r="AM106" s="794">
        <v>0</v>
      </c>
      <c r="AN106" s="794">
        <v>0</v>
      </c>
      <c r="AO106" s="794">
        <v>0</v>
      </c>
      <c r="AP106" s="794">
        <v>0</v>
      </c>
      <c r="AQ106" s="794">
        <v>0</v>
      </c>
      <c r="AR106" s="794">
        <v>0</v>
      </c>
      <c r="AS106" s="794">
        <v>0</v>
      </c>
      <c r="AT106" s="794">
        <v>0</v>
      </c>
      <c r="AU106" s="794">
        <v>0</v>
      </c>
      <c r="AV106" s="794">
        <v>0</v>
      </c>
      <c r="AW106" s="794">
        <v>0</v>
      </c>
      <c r="AX106" s="794">
        <v>0</v>
      </c>
      <c r="AY106" s="794">
        <v>0</v>
      </c>
      <c r="AZ106" s="794">
        <v>0</v>
      </c>
      <c r="BA106" s="794">
        <v>0</v>
      </c>
      <c r="BB106" s="794">
        <v>0</v>
      </c>
      <c r="BC106" s="794">
        <v>0</v>
      </c>
      <c r="BD106" s="794">
        <v>0</v>
      </c>
      <c r="BE106" s="794">
        <v>0</v>
      </c>
      <c r="BF106" s="794">
        <v>0</v>
      </c>
      <c r="BG106" s="794">
        <v>0</v>
      </c>
      <c r="BH106" s="794">
        <v>0</v>
      </c>
      <c r="BI106" s="794">
        <v>0</v>
      </c>
      <c r="BJ106" s="794">
        <v>0</v>
      </c>
      <c r="BK106" s="794">
        <v>0</v>
      </c>
      <c r="BL106" s="794">
        <v>0</v>
      </c>
      <c r="BM106" s="794">
        <v>0</v>
      </c>
      <c r="BN106" s="794">
        <v>0</v>
      </c>
      <c r="BO106" s="794">
        <v>0</v>
      </c>
      <c r="BP106" s="794">
        <v>0</v>
      </c>
      <c r="BQ106" s="794">
        <v>0</v>
      </c>
      <c r="BR106" s="794">
        <v>0</v>
      </c>
      <c r="BS106" s="794">
        <v>0</v>
      </c>
      <c r="BT106" s="794">
        <v>0</v>
      </c>
      <c r="BU106" s="794">
        <v>0</v>
      </c>
      <c r="BV106" s="794">
        <v>0</v>
      </c>
    </row>
    <row r="107" spans="2:74">
      <c r="B107" s="793" t="s">
        <v>2866</v>
      </c>
      <c r="C107" s="793" t="s">
        <v>2739</v>
      </c>
      <c r="D107" s="793"/>
      <c r="E107" s="794"/>
      <c r="F107" s="799"/>
      <c r="G107" s="799"/>
      <c r="H107" s="799"/>
      <c r="I107" s="799"/>
      <c r="J107" s="799"/>
      <c r="K107" s="799"/>
      <c r="L107" s="799">
        <f t="shared" si="6"/>
        <v>331</v>
      </c>
      <c r="M107" s="799"/>
      <c r="N107" s="595"/>
      <c r="O107" s="794">
        <v>0</v>
      </c>
      <c r="P107" s="794">
        <v>0</v>
      </c>
      <c r="Q107" s="794">
        <v>0</v>
      </c>
      <c r="R107" s="794">
        <v>0</v>
      </c>
      <c r="S107" s="794">
        <v>0</v>
      </c>
      <c r="T107" s="794">
        <v>0</v>
      </c>
      <c r="U107" s="794">
        <v>0</v>
      </c>
      <c r="V107" s="794">
        <v>0</v>
      </c>
      <c r="W107" s="794">
        <v>0</v>
      </c>
      <c r="X107" s="809">
        <v>25973.75</v>
      </c>
      <c r="Y107" s="794">
        <v>0</v>
      </c>
      <c r="Z107" s="794">
        <v>12184.2</v>
      </c>
      <c r="AA107" s="794">
        <v>0</v>
      </c>
      <c r="AB107" s="794">
        <v>26818.35</v>
      </c>
      <c r="AC107" s="794">
        <v>29449.13</v>
      </c>
      <c r="AD107" s="794">
        <v>5760</v>
      </c>
      <c r="AE107" s="794">
        <v>0</v>
      </c>
      <c r="AF107" s="794">
        <v>0</v>
      </c>
      <c r="AG107" s="794">
        <v>0</v>
      </c>
      <c r="AH107" s="794">
        <v>0</v>
      </c>
      <c r="AI107" s="794">
        <v>0</v>
      </c>
      <c r="AJ107" s="794">
        <v>0</v>
      </c>
      <c r="AK107" s="794">
        <v>3456</v>
      </c>
      <c r="AL107" s="794">
        <v>0</v>
      </c>
      <c r="AM107" s="794">
        <v>0</v>
      </c>
      <c r="AN107" s="794">
        <v>0</v>
      </c>
      <c r="AO107" s="794">
        <v>0</v>
      </c>
      <c r="AP107" s="794">
        <v>0</v>
      </c>
      <c r="AQ107" s="794">
        <v>0</v>
      </c>
      <c r="AR107" s="794">
        <v>0</v>
      </c>
      <c r="AS107" s="794">
        <v>0</v>
      </c>
      <c r="AT107" s="794">
        <v>0</v>
      </c>
      <c r="AU107" s="794">
        <v>0</v>
      </c>
      <c r="AV107" s="794">
        <v>0</v>
      </c>
      <c r="AW107" s="794">
        <v>0</v>
      </c>
      <c r="AX107" s="794">
        <v>0</v>
      </c>
      <c r="AY107" s="794">
        <v>0</v>
      </c>
      <c r="AZ107" s="794">
        <v>0</v>
      </c>
      <c r="BA107" s="794">
        <v>0</v>
      </c>
      <c r="BB107" s="794">
        <v>0</v>
      </c>
      <c r="BC107" s="794">
        <v>0</v>
      </c>
      <c r="BD107" s="794">
        <v>0</v>
      </c>
      <c r="BE107" s="794">
        <v>0</v>
      </c>
      <c r="BF107" s="794">
        <v>0</v>
      </c>
      <c r="BG107" s="794">
        <v>0</v>
      </c>
      <c r="BH107" s="794">
        <v>0</v>
      </c>
      <c r="BI107" s="794">
        <v>0</v>
      </c>
      <c r="BJ107" s="794">
        <v>0</v>
      </c>
      <c r="BK107" s="794">
        <v>0</v>
      </c>
      <c r="BL107" s="794">
        <v>0</v>
      </c>
      <c r="BM107" s="794">
        <v>0</v>
      </c>
      <c r="BN107" s="794">
        <v>0</v>
      </c>
      <c r="BO107" s="794">
        <v>0</v>
      </c>
      <c r="BP107" s="794">
        <v>0</v>
      </c>
      <c r="BQ107" s="794">
        <v>0</v>
      </c>
      <c r="BR107" s="794">
        <v>0</v>
      </c>
      <c r="BS107" s="794">
        <v>0</v>
      </c>
      <c r="BT107" s="794">
        <v>0</v>
      </c>
      <c r="BU107" s="794">
        <v>0</v>
      </c>
      <c r="BV107" s="794">
        <v>0</v>
      </c>
    </row>
    <row r="108" spans="2:74">
      <c r="B108" s="793" t="s">
        <v>153</v>
      </c>
      <c r="C108" s="793" t="s">
        <v>2867</v>
      </c>
      <c r="D108" s="793"/>
      <c r="E108" s="794"/>
      <c r="F108" s="799"/>
      <c r="G108" s="799"/>
      <c r="H108" s="799"/>
      <c r="I108" s="799"/>
      <c r="J108" s="799"/>
      <c r="K108" s="799"/>
      <c r="L108" s="799">
        <f t="shared" si="6"/>
        <v>331</v>
      </c>
      <c r="M108" s="799"/>
      <c r="N108" s="595"/>
      <c r="O108" s="794">
        <v>0</v>
      </c>
      <c r="P108" s="794">
        <v>0</v>
      </c>
      <c r="Q108" s="794">
        <v>0</v>
      </c>
      <c r="R108" s="794">
        <v>0</v>
      </c>
      <c r="S108" s="794">
        <v>0</v>
      </c>
      <c r="T108" s="794">
        <v>0</v>
      </c>
      <c r="U108" s="794">
        <v>0</v>
      </c>
      <c r="V108" s="794">
        <v>0</v>
      </c>
      <c r="W108" s="794">
        <v>0</v>
      </c>
      <c r="X108" s="809">
        <v>38050</v>
      </c>
      <c r="Y108" s="794">
        <v>0</v>
      </c>
      <c r="Z108" s="794">
        <v>0</v>
      </c>
      <c r="AA108" s="794">
        <v>0</v>
      </c>
      <c r="AB108" s="794">
        <v>0</v>
      </c>
      <c r="AC108" s="794">
        <v>0</v>
      </c>
      <c r="AD108" s="794">
        <v>0</v>
      </c>
      <c r="AE108" s="794">
        <v>0</v>
      </c>
      <c r="AF108" s="794">
        <v>0</v>
      </c>
      <c r="AG108" s="794">
        <v>0</v>
      </c>
      <c r="AH108" s="794">
        <v>0</v>
      </c>
      <c r="AI108" s="794">
        <v>0</v>
      </c>
      <c r="AJ108" s="794">
        <v>0</v>
      </c>
      <c r="AK108" s="794">
        <v>0</v>
      </c>
      <c r="AL108" s="794">
        <v>0</v>
      </c>
      <c r="AM108" s="794">
        <v>0</v>
      </c>
      <c r="AN108" s="794">
        <v>0</v>
      </c>
      <c r="AO108" s="794">
        <v>0</v>
      </c>
      <c r="AP108" s="794">
        <v>0</v>
      </c>
      <c r="AQ108" s="794">
        <v>0</v>
      </c>
      <c r="AR108" s="794">
        <v>0</v>
      </c>
      <c r="AS108" s="794">
        <v>0</v>
      </c>
      <c r="AT108" s="794">
        <v>0</v>
      </c>
      <c r="AU108" s="794">
        <v>0</v>
      </c>
      <c r="AV108" s="794">
        <v>0</v>
      </c>
      <c r="AW108" s="794">
        <v>0</v>
      </c>
      <c r="AX108" s="794">
        <v>0</v>
      </c>
      <c r="AY108" s="794">
        <v>0</v>
      </c>
      <c r="AZ108" s="794">
        <v>0</v>
      </c>
      <c r="BA108" s="794">
        <v>0</v>
      </c>
      <c r="BB108" s="794">
        <v>0</v>
      </c>
      <c r="BC108" s="794">
        <v>0</v>
      </c>
      <c r="BD108" s="794">
        <v>0</v>
      </c>
      <c r="BE108" s="794">
        <v>0</v>
      </c>
      <c r="BF108" s="794">
        <v>0</v>
      </c>
      <c r="BG108" s="794">
        <v>0</v>
      </c>
      <c r="BH108" s="794">
        <v>0</v>
      </c>
      <c r="BI108" s="794">
        <v>0</v>
      </c>
      <c r="BJ108" s="794">
        <v>0</v>
      </c>
      <c r="BK108" s="794">
        <v>0</v>
      </c>
      <c r="BL108" s="794">
        <v>0</v>
      </c>
      <c r="BM108" s="794">
        <v>0</v>
      </c>
      <c r="BN108" s="794">
        <v>0</v>
      </c>
      <c r="BO108" s="794">
        <v>0</v>
      </c>
      <c r="BP108" s="794">
        <v>0</v>
      </c>
      <c r="BQ108" s="794">
        <v>0</v>
      </c>
      <c r="BR108" s="794">
        <v>0</v>
      </c>
      <c r="BS108" s="794">
        <v>0</v>
      </c>
      <c r="BT108" s="794">
        <v>0</v>
      </c>
      <c r="BU108" s="794">
        <v>0</v>
      </c>
      <c r="BV108" s="794">
        <v>0</v>
      </c>
    </row>
    <row r="109" spans="2:74">
      <c r="B109" s="793" t="s">
        <v>2868</v>
      </c>
      <c r="C109" s="793" t="s">
        <v>2849</v>
      </c>
      <c r="D109" s="793"/>
      <c r="E109" s="794"/>
      <c r="F109" s="799"/>
      <c r="G109" s="799"/>
      <c r="H109" s="799"/>
      <c r="I109" s="799"/>
      <c r="J109" s="799"/>
      <c r="K109" s="799"/>
      <c r="L109" s="799">
        <f t="shared" si="6"/>
        <v>331</v>
      </c>
      <c r="M109" s="799"/>
      <c r="N109" s="595"/>
      <c r="O109" s="794">
        <v>0</v>
      </c>
      <c r="P109" s="794">
        <v>0</v>
      </c>
      <c r="Q109" s="794">
        <v>0</v>
      </c>
      <c r="R109" s="794">
        <v>0</v>
      </c>
      <c r="S109" s="794">
        <v>0</v>
      </c>
      <c r="T109" s="794">
        <v>0</v>
      </c>
      <c r="U109" s="794">
        <v>0</v>
      </c>
      <c r="V109" s="794">
        <v>0</v>
      </c>
      <c r="W109" s="794">
        <v>0</v>
      </c>
      <c r="X109" s="809">
        <v>24569.37</v>
      </c>
      <c r="Y109" s="794">
        <v>4991.16</v>
      </c>
      <c r="Z109" s="794">
        <v>0</v>
      </c>
      <c r="AA109" s="794">
        <v>0</v>
      </c>
      <c r="AB109" s="794">
        <v>0</v>
      </c>
      <c r="AC109" s="794">
        <v>0</v>
      </c>
      <c r="AD109" s="794">
        <v>0</v>
      </c>
      <c r="AE109" s="794">
        <v>0</v>
      </c>
      <c r="AF109" s="794">
        <v>0</v>
      </c>
      <c r="AG109" s="794">
        <v>0</v>
      </c>
      <c r="AH109" s="794">
        <v>0</v>
      </c>
      <c r="AI109" s="794">
        <v>0</v>
      </c>
      <c r="AJ109" s="794">
        <v>0</v>
      </c>
      <c r="AK109" s="794">
        <v>0</v>
      </c>
      <c r="AL109" s="794">
        <v>0</v>
      </c>
      <c r="AM109" s="794">
        <v>0</v>
      </c>
      <c r="AN109" s="794">
        <v>0</v>
      </c>
      <c r="AO109" s="794">
        <v>0</v>
      </c>
      <c r="AP109" s="794">
        <v>0</v>
      </c>
      <c r="AQ109" s="794">
        <v>0</v>
      </c>
      <c r="AR109" s="794">
        <v>0</v>
      </c>
      <c r="AS109" s="794">
        <v>0</v>
      </c>
      <c r="AT109" s="794">
        <v>0</v>
      </c>
      <c r="AU109" s="794">
        <v>0</v>
      </c>
      <c r="AV109" s="794">
        <v>0</v>
      </c>
      <c r="AW109" s="794">
        <v>0</v>
      </c>
      <c r="AX109" s="794">
        <v>0</v>
      </c>
      <c r="AY109" s="794">
        <v>0</v>
      </c>
      <c r="AZ109" s="794">
        <v>0</v>
      </c>
      <c r="BA109" s="794">
        <v>0</v>
      </c>
      <c r="BB109" s="794">
        <v>0</v>
      </c>
      <c r="BC109" s="794">
        <v>0</v>
      </c>
      <c r="BD109" s="794">
        <v>0</v>
      </c>
      <c r="BE109" s="794">
        <v>0</v>
      </c>
      <c r="BF109" s="794">
        <v>0</v>
      </c>
      <c r="BG109" s="794">
        <v>0</v>
      </c>
      <c r="BH109" s="794">
        <v>0</v>
      </c>
      <c r="BI109" s="794">
        <v>0</v>
      </c>
      <c r="BJ109" s="794">
        <v>0</v>
      </c>
      <c r="BK109" s="794">
        <v>0</v>
      </c>
      <c r="BL109" s="794">
        <v>0</v>
      </c>
      <c r="BM109" s="794">
        <v>0</v>
      </c>
      <c r="BN109" s="794">
        <v>0</v>
      </c>
      <c r="BO109" s="794">
        <v>0</v>
      </c>
      <c r="BP109" s="794">
        <v>0</v>
      </c>
      <c r="BQ109" s="794">
        <v>0</v>
      </c>
      <c r="BR109" s="794">
        <v>0</v>
      </c>
      <c r="BS109" s="794">
        <v>0</v>
      </c>
      <c r="BT109" s="794">
        <v>0</v>
      </c>
      <c r="BU109" s="794">
        <v>0</v>
      </c>
      <c r="BV109" s="794">
        <v>0</v>
      </c>
    </row>
    <row r="110" spans="2:74">
      <c r="B110" s="793" t="s">
        <v>2869</v>
      </c>
      <c r="C110" s="793" t="s">
        <v>2870</v>
      </c>
      <c r="D110" s="793"/>
      <c r="E110" s="794"/>
      <c r="F110" s="799"/>
      <c r="G110" s="799"/>
      <c r="H110" s="799"/>
      <c r="I110" s="799"/>
      <c r="J110" s="799"/>
      <c r="K110" s="799"/>
      <c r="L110" s="799">
        <f t="shared" si="6"/>
        <v>331</v>
      </c>
      <c r="M110" s="799"/>
      <c r="N110" s="595"/>
      <c r="O110" s="794">
        <v>0</v>
      </c>
      <c r="P110" s="794">
        <v>0</v>
      </c>
      <c r="Q110" s="794">
        <v>0</v>
      </c>
      <c r="R110" s="794">
        <v>0</v>
      </c>
      <c r="S110" s="794">
        <v>0</v>
      </c>
      <c r="T110" s="794">
        <v>0</v>
      </c>
      <c r="U110" s="794">
        <v>0</v>
      </c>
      <c r="V110" s="794">
        <v>0</v>
      </c>
      <c r="W110" s="794">
        <v>0</v>
      </c>
      <c r="X110" s="809">
        <v>7000</v>
      </c>
      <c r="Y110" s="794">
        <v>0</v>
      </c>
      <c r="Z110" s="794">
        <v>0</v>
      </c>
      <c r="AA110" s="794">
        <v>0</v>
      </c>
      <c r="AB110" s="794">
        <v>0</v>
      </c>
      <c r="AC110" s="794">
        <v>0</v>
      </c>
      <c r="AD110" s="794">
        <v>0</v>
      </c>
      <c r="AE110" s="794">
        <v>0</v>
      </c>
      <c r="AF110" s="794">
        <v>0</v>
      </c>
      <c r="AG110" s="794">
        <v>0</v>
      </c>
      <c r="AH110" s="794">
        <v>0</v>
      </c>
      <c r="AI110" s="794">
        <v>0</v>
      </c>
      <c r="AJ110" s="794">
        <v>0</v>
      </c>
      <c r="AK110" s="794">
        <v>0</v>
      </c>
      <c r="AL110" s="794">
        <v>0</v>
      </c>
      <c r="AM110" s="794">
        <v>0</v>
      </c>
      <c r="AN110" s="794">
        <v>0</v>
      </c>
      <c r="AO110" s="794">
        <v>0</v>
      </c>
      <c r="AP110" s="794">
        <v>0</v>
      </c>
      <c r="AQ110" s="794">
        <v>0</v>
      </c>
      <c r="AR110" s="794">
        <v>0</v>
      </c>
      <c r="AS110" s="794">
        <v>0</v>
      </c>
      <c r="AT110" s="794">
        <v>0</v>
      </c>
      <c r="AU110" s="794">
        <v>0</v>
      </c>
      <c r="AV110" s="794">
        <v>0</v>
      </c>
      <c r="AW110" s="794">
        <v>0</v>
      </c>
      <c r="AX110" s="794">
        <v>0</v>
      </c>
      <c r="AY110" s="794">
        <v>0</v>
      </c>
      <c r="AZ110" s="794">
        <v>0</v>
      </c>
      <c r="BA110" s="794">
        <v>0</v>
      </c>
      <c r="BB110" s="794">
        <v>0</v>
      </c>
      <c r="BC110" s="794">
        <v>0</v>
      </c>
      <c r="BD110" s="794">
        <v>0</v>
      </c>
      <c r="BE110" s="794">
        <v>0</v>
      </c>
      <c r="BF110" s="794">
        <v>0</v>
      </c>
      <c r="BG110" s="794">
        <v>0</v>
      </c>
      <c r="BH110" s="794">
        <v>0</v>
      </c>
      <c r="BI110" s="794">
        <v>0</v>
      </c>
      <c r="BJ110" s="794">
        <v>0</v>
      </c>
      <c r="BK110" s="794">
        <v>0</v>
      </c>
      <c r="BL110" s="794">
        <v>0</v>
      </c>
      <c r="BM110" s="794">
        <v>0</v>
      </c>
      <c r="BN110" s="794">
        <v>0</v>
      </c>
      <c r="BO110" s="794">
        <v>0</v>
      </c>
      <c r="BP110" s="794">
        <v>0</v>
      </c>
      <c r="BQ110" s="794">
        <v>0</v>
      </c>
      <c r="BR110" s="794">
        <v>0</v>
      </c>
      <c r="BS110" s="794">
        <v>0</v>
      </c>
      <c r="BT110" s="794">
        <v>0</v>
      </c>
      <c r="BU110" s="794">
        <v>0</v>
      </c>
      <c r="BV110" s="794">
        <v>0</v>
      </c>
    </row>
    <row r="111" spans="2:74">
      <c r="B111" s="793" t="s">
        <v>2871</v>
      </c>
      <c r="C111" s="793" t="s">
        <v>2872</v>
      </c>
      <c r="D111" s="793"/>
      <c r="E111" s="794"/>
      <c r="F111" s="799"/>
      <c r="G111" s="799"/>
      <c r="H111" s="799"/>
      <c r="I111" s="799"/>
      <c r="J111" s="799"/>
      <c r="K111" s="799"/>
      <c r="L111" s="799">
        <f t="shared" si="6"/>
        <v>331</v>
      </c>
      <c r="M111" s="799"/>
      <c r="N111" s="595"/>
      <c r="O111" s="794">
        <v>0</v>
      </c>
      <c r="P111" s="794">
        <v>0</v>
      </c>
      <c r="Q111" s="794">
        <v>0</v>
      </c>
      <c r="R111" s="794">
        <v>0</v>
      </c>
      <c r="S111" s="794">
        <v>0</v>
      </c>
      <c r="T111" s="794">
        <v>0</v>
      </c>
      <c r="U111" s="794">
        <v>0</v>
      </c>
      <c r="V111" s="794">
        <v>0</v>
      </c>
      <c r="W111" s="794">
        <v>0</v>
      </c>
      <c r="X111" s="809">
        <v>26786.12</v>
      </c>
      <c r="Y111" s="794">
        <v>0</v>
      </c>
      <c r="Z111" s="794">
        <v>0</v>
      </c>
      <c r="AA111" s="794">
        <v>0</v>
      </c>
      <c r="AB111" s="794">
        <v>0</v>
      </c>
      <c r="AC111" s="794">
        <v>0</v>
      </c>
      <c r="AD111" s="794">
        <v>0</v>
      </c>
      <c r="AE111" s="794">
        <v>0</v>
      </c>
      <c r="AF111" s="794">
        <v>0</v>
      </c>
      <c r="AG111" s="794">
        <v>0</v>
      </c>
      <c r="AH111" s="794">
        <v>0</v>
      </c>
      <c r="AI111" s="794">
        <v>0</v>
      </c>
      <c r="AJ111" s="794">
        <v>0</v>
      </c>
      <c r="AK111" s="794">
        <v>0</v>
      </c>
      <c r="AL111" s="794">
        <v>0</v>
      </c>
      <c r="AM111" s="794">
        <v>0</v>
      </c>
      <c r="AN111" s="794">
        <v>0</v>
      </c>
      <c r="AO111" s="794">
        <v>0</v>
      </c>
      <c r="AP111" s="794">
        <v>0</v>
      </c>
      <c r="AQ111" s="794">
        <v>0</v>
      </c>
      <c r="AR111" s="794">
        <v>0</v>
      </c>
      <c r="AS111" s="794">
        <v>0</v>
      </c>
      <c r="AT111" s="794">
        <v>0</v>
      </c>
      <c r="AU111" s="794">
        <v>0</v>
      </c>
      <c r="AV111" s="794">
        <v>0</v>
      </c>
      <c r="AW111" s="794">
        <v>0</v>
      </c>
      <c r="AX111" s="794">
        <v>0</v>
      </c>
      <c r="AY111" s="794">
        <v>0</v>
      </c>
      <c r="AZ111" s="794">
        <v>0</v>
      </c>
      <c r="BA111" s="794">
        <v>0</v>
      </c>
      <c r="BB111" s="794">
        <v>0</v>
      </c>
      <c r="BC111" s="794">
        <v>0</v>
      </c>
      <c r="BD111" s="794">
        <v>0</v>
      </c>
      <c r="BE111" s="794">
        <v>0</v>
      </c>
      <c r="BF111" s="794">
        <v>0</v>
      </c>
      <c r="BG111" s="794">
        <v>0</v>
      </c>
      <c r="BH111" s="794">
        <v>0</v>
      </c>
      <c r="BI111" s="794">
        <v>0</v>
      </c>
      <c r="BJ111" s="794">
        <v>0</v>
      </c>
      <c r="BK111" s="794">
        <v>0</v>
      </c>
      <c r="BL111" s="794">
        <v>0</v>
      </c>
      <c r="BM111" s="794">
        <v>0</v>
      </c>
      <c r="BN111" s="794">
        <v>0</v>
      </c>
      <c r="BO111" s="794">
        <v>0</v>
      </c>
      <c r="BP111" s="794">
        <v>0</v>
      </c>
      <c r="BQ111" s="794">
        <v>0</v>
      </c>
      <c r="BR111" s="794">
        <v>0</v>
      </c>
      <c r="BS111" s="794">
        <v>0</v>
      </c>
      <c r="BT111" s="794">
        <v>0</v>
      </c>
      <c r="BU111" s="794">
        <v>0</v>
      </c>
      <c r="BV111" s="794">
        <v>0</v>
      </c>
    </row>
    <row r="112" spans="2:74">
      <c r="B112" s="793" t="s">
        <v>2873</v>
      </c>
      <c r="C112" s="793" t="s">
        <v>2874</v>
      </c>
      <c r="D112" s="793"/>
      <c r="E112" s="794"/>
      <c r="F112" s="799"/>
      <c r="G112" s="799"/>
      <c r="H112" s="799"/>
      <c r="I112" s="799"/>
      <c r="J112" s="799"/>
      <c r="K112" s="799"/>
      <c r="L112" s="799">
        <f t="shared" si="6"/>
        <v>331</v>
      </c>
      <c r="M112" s="799"/>
      <c r="N112" s="595"/>
      <c r="O112" s="794">
        <v>0</v>
      </c>
      <c r="P112" s="794">
        <v>0</v>
      </c>
      <c r="Q112" s="794">
        <v>0</v>
      </c>
      <c r="R112" s="794">
        <v>0</v>
      </c>
      <c r="S112" s="794">
        <v>0</v>
      </c>
      <c r="T112" s="794">
        <v>0</v>
      </c>
      <c r="U112" s="794">
        <v>0</v>
      </c>
      <c r="V112" s="794">
        <v>0</v>
      </c>
      <c r="W112" s="794">
        <v>0</v>
      </c>
      <c r="X112" s="809">
        <v>60000</v>
      </c>
      <c r="Y112" s="794">
        <v>60000</v>
      </c>
      <c r="Z112" s="794">
        <v>62500</v>
      </c>
      <c r="AA112" s="794">
        <v>0</v>
      </c>
      <c r="AB112" s="794">
        <v>0</v>
      </c>
      <c r="AC112" s="794">
        <v>0</v>
      </c>
      <c r="AD112" s="794">
        <v>0</v>
      </c>
      <c r="AE112" s="794">
        <v>0</v>
      </c>
      <c r="AF112" s="794">
        <v>0</v>
      </c>
      <c r="AG112" s="794">
        <v>0</v>
      </c>
      <c r="AH112" s="794">
        <v>0</v>
      </c>
      <c r="AI112" s="794">
        <v>0</v>
      </c>
      <c r="AJ112" s="794">
        <v>0</v>
      </c>
      <c r="AK112" s="794">
        <v>0</v>
      </c>
      <c r="AL112" s="794">
        <v>0</v>
      </c>
      <c r="AM112" s="794">
        <v>0</v>
      </c>
      <c r="AN112" s="794">
        <v>0</v>
      </c>
      <c r="AO112" s="794">
        <v>0</v>
      </c>
      <c r="AP112" s="794">
        <v>0</v>
      </c>
      <c r="AQ112" s="794">
        <v>0</v>
      </c>
      <c r="AR112" s="794">
        <v>0</v>
      </c>
      <c r="AS112" s="794">
        <v>0</v>
      </c>
      <c r="AT112" s="794">
        <v>0</v>
      </c>
      <c r="AU112" s="794">
        <v>0</v>
      </c>
      <c r="AV112" s="794">
        <v>0</v>
      </c>
      <c r="AW112" s="794">
        <v>0</v>
      </c>
      <c r="AX112" s="794">
        <v>0</v>
      </c>
      <c r="AY112" s="794">
        <v>0</v>
      </c>
      <c r="AZ112" s="794">
        <v>0</v>
      </c>
      <c r="BA112" s="794">
        <v>0</v>
      </c>
      <c r="BB112" s="794">
        <v>0</v>
      </c>
      <c r="BC112" s="794">
        <v>0</v>
      </c>
      <c r="BD112" s="794">
        <v>0</v>
      </c>
      <c r="BE112" s="794">
        <v>0</v>
      </c>
      <c r="BF112" s="794">
        <v>0</v>
      </c>
      <c r="BG112" s="794">
        <v>0</v>
      </c>
      <c r="BH112" s="794">
        <v>0</v>
      </c>
      <c r="BI112" s="794">
        <v>0</v>
      </c>
      <c r="BJ112" s="794">
        <v>0</v>
      </c>
      <c r="BK112" s="794">
        <v>0</v>
      </c>
      <c r="BL112" s="794">
        <v>0</v>
      </c>
      <c r="BM112" s="794">
        <v>0</v>
      </c>
      <c r="BN112" s="794">
        <v>0</v>
      </c>
      <c r="BO112" s="794">
        <v>0</v>
      </c>
      <c r="BP112" s="794">
        <v>0</v>
      </c>
      <c r="BQ112" s="794">
        <v>0</v>
      </c>
      <c r="BR112" s="794">
        <v>0</v>
      </c>
      <c r="BS112" s="794">
        <v>0</v>
      </c>
      <c r="BT112" s="794">
        <v>0</v>
      </c>
      <c r="BU112" s="794">
        <v>0</v>
      </c>
      <c r="BV112" s="794">
        <v>0</v>
      </c>
    </row>
    <row r="113" spans="2:74">
      <c r="B113" s="793" t="s">
        <v>2875</v>
      </c>
      <c r="C113" s="793" t="s">
        <v>592</v>
      </c>
      <c r="D113" s="793"/>
      <c r="E113" s="794"/>
      <c r="F113" s="799"/>
      <c r="G113" s="799"/>
      <c r="H113" s="799"/>
      <c r="I113" s="799"/>
      <c r="J113" s="799"/>
      <c r="K113" s="799"/>
      <c r="L113" s="799">
        <f t="shared" si="6"/>
        <v>331</v>
      </c>
      <c r="M113" s="799"/>
      <c r="N113" s="595"/>
      <c r="O113" s="794">
        <v>0</v>
      </c>
      <c r="P113" s="794">
        <v>0</v>
      </c>
      <c r="Q113" s="794">
        <v>0</v>
      </c>
      <c r="R113" s="794">
        <v>0</v>
      </c>
      <c r="S113" s="794">
        <v>0</v>
      </c>
      <c r="T113" s="794">
        <v>0</v>
      </c>
      <c r="U113" s="794">
        <v>0</v>
      </c>
      <c r="V113" s="794">
        <v>0</v>
      </c>
      <c r="W113" s="794">
        <v>0</v>
      </c>
      <c r="X113" s="809">
        <v>47958.12</v>
      </c>
      <c r="Y113" s="794">
        <v>4300</v>
      </c>
      <c r="Z113" s="794">
        <v>0</v>
      </c>
      <c r="AA113" s="794">
        <v>0</v>
      </c>
      <c r="AB113" s="794">
        <v>0</v>
      </c>
      <c r="AC113" s="794">
        <v>0</v>
      </c>
      <c r="AD113" s="794">
        <v>0</v>
      </c>
      <c r="AE113" s="794">
        <v>0</v>
      </c>
      <c r="AF113" s="794">
        <v>0</v>
      </c>
      <c r="AG113" s="794">
        <v>0</v>
      </c>
      <c r="AH113" s="794">
        <v>0</v>
      </c>
      <c r="AI113" s="794">
        <v>0</v>
      </c>
      <c r="AJ113" s="794">
        <v>0</v>
      </c>
      <c r="AK113" s="794">
        <v>0</v>
      </c>
      <c r="AL113" s="794">
        <v>0</v>
      </c>
      <c r="AM113" s="794">
        <v>0</v>
      </c>
      <c r="AN113" s="794">
        <v>0</v>
      </c>
      <c r="AO113" s="794">
        <v>0</v>
      </c>
      <c r="AP113" s="794">
        <v>0</v>
      </c>
      <c r="AQ113" s="794">
        <v>0</v>
      </c>
      <c r="AR113" s="794">
        <v>0</v>
      </c>
      <c r="AS113" s="794">
        <v>0</v>
      </c>
      <c r="AT113" s="794">
        <v>0</v>
      </c>
      <c r="AU113" s="794">
        <v>0</v>
      </c>
      <c r="AV113" s="794">
        <v>0</v>
      </c>
      <c r="AW113" s="794">
        <v>0</v>
      </c>
      <c r="AX113" s="794">
        <v>0</v>
      </c>
      <c r="AY113" s="794">
        <v>0</v>
      </c>
      <c r="AZ113" s="794">
        <v>0</v>
      </c>
      <c r="BA113" s="794">
        <v>0</v>
      </c>
      <c r="BB113" s="794">
        <v>0</v>
      </c>
      <c r="BC113" s="794">
        <v>140692.29</v>
      </c>
      <c r="BD113" s="794">
        <v>18380.75</v>
      </c>
      <c r="BE113" s="794">
        <v>0</v>
      </c>
      <c r="BF113" s="794">
        <v>0</v>
      </c>
      <c r="BG113" s="794">
        <v>0</v>
      </c>
      <c r="BH113" s="794">
        <v>0</v>
      </c>
      <c r="BI113" s="794">
        <v>0</v>
      </c>
      <c r="BJ113" s="794">
        <v>0</v>
      </c>
      <c r="BK113" s="794">
        <v>0</v>
      </c>
      <c r="BL113" s="794">
        <v>0</v>
      </c>
      <c r="BM113" s="794">
        <v>0</v>
      </c>
      <c r="BN113" s="794">
        <v>0</v>
      </c>
      <c r="BO113" s="794">
        <v>0</v>
      </c>
      <c r="BP113" s="794">
        <v>0</v>
      </c>
      <c r="BQ113" s="794">
        <v>0</v>
      </c>
      <c r="BR113" s="794">
        <v>0</v>
      </c>
      <c r="BS113" s="794">
        <v>0</v>
      </c>
      <c r="BT113" s="794">
        <v>0</v>
      </c>
      <c r="BU113" s="794">
        <v>0</v>
      </c>
      <c r="BV113" s="794">
        <v>0</v>
      </c>
    </row>
    <row r="114" spans="2:74">
      <c r="B114" s="793" t="s">
        <v>2876</v>
      </c>
      <c r="C114" s="793" t="s">
        <v>2877</v>
      </c>
      <c r="D114" s="793"/>
      <c r="E114" s="794"/>
      <c r="F114" s="799"/>
      <c r="G114" s="799"/>
      <c r="H114" s="799"/>
      <c r="I114" s="799"/>
      <c r="J114" s="799"/>
      <c r="K114" s="799"/>
      <c r="L114" s="799">
        <f t="shared" si="6"/>
        <v>331</v>
      </c>
      <c r="M114" s="799"/>
      <c r="N114" s="595"/>
      <c r="O114" s="794">
        <v>0</v>
      </c>
      <c r="P114" s="794">
        <v>0</v>
      </c>
      <c r="Q114" s="794">
        <v>0</v>
      </c>
      <c r="R114" s="794">
        <v>0</v>
      </c>
      <c r="S114" s="794">
        <v>0</v>
      </c>
      <c r="T114" s="794">
        <v>0</v>
      </c>
      <c r="U114" s="794">
        <v>0</v>
      </c>
      <c r="V114" s="794">
        <v>0</v>
      </c>
      <c r="W114" s="794">
        <v>0</v>
      </c>
      <c r="X114" s="809">
        <v>21500</v>
      </c>
      <c r="Y114" s="794">
        <v>0</v>
      </c>
      <c r="Z114" s="794">
        <v>0</v>
      </c>
      <c r="AA114" s="794">
        <v>0</v>
      </c>
      <c r="AB114" s="794">
        <v>0</v>
      </c>
      <c r="AC114" s="794">
        <v>0</v>
      </c>
      <c r="AD114" s="794">
        <v>0</v>
      </c>
      <c r="AE114" s="794">
        <v>0</v>
      </c>
      <c r="AF114" s="794">
        <v>0</v>
      </c>
      <c r="AG114" s="794">
        <v>0</v>
      </c>
      <c r="AH114" s="794">
        <v>0</v>
      </c>
      <c r="AI114" s="794">
        <v>0</v>
      </c>
      <c r="AJ114" s="794">
        <v>0</v>
      </c>
      <c r="AK114" s="794">
        <v>0</v>
      </c>
      <c r="AL114" s="794">
        <v>0</v>
      </c>
      <c r="AM114" s="794">
        <v>0</v>
      </c>
      <c r="AN114" s="794">
        <v>0</v>
      </c>
      <c r="AO114" s="794">
        <v>0</v>
      </c>
      <c r="AP114" s="794">
        <v>0</v>
      </c>
      <c r="AQ114" s="794">
        <v>0</v>
      </c>
      <c r="AR114" s="794">
        <v>0</v>
      </c>
      <c r="AS114" s="794">
        <v>0</v>
      </c>
      <c r="AT114" s="794">
        <v>0</v>
      </c>
      <c r="AU114" s="794">
        <v>0</v>
      </c>
      <c r="AV114" s="794">
        <v>0</v>
      </c>
      <c r="AW114" s="794">
        <v>0</v>
      </c>
      <c r="AX114" s="794">
        <v>0</v>
      </c>
      <c r="AY114" s="794">
        <v>0</v>
      </c>
      <c r="AZ114" s="794">
        <v>0</v>
      </c>
      <c r="BA114" s="794">
        <v>0</v>
      </c>
      <c r="BB114" s="794">
        <v>0</v>
      </c>
      <c r="BC114" s="794">
        <v>0</v>
      </c>
      <c r="BD114" s="794">
        <v>0</v>
      </c>
      <c r="BE114" s="794">
        <v>0</v>
      </c>
      <c r="BF114" s="794">
        <v>0</v>
      </c>
      <c r="BG114" s="794">
        <v>0</v>
      </c>
      <c r="BH114" s="794">
        <v>0</v>
      </c>
      <c r="BI114" s="794">
        <v>0</v>
      </c>
      <c r="BJ114" s="794">
        <v>0</v>
      </c>
      <c r="BK114" s="794">
        <v>0</v>
      </c>
      <c r="BL114" s="794">
        <v>0</v>
      </c>
      <c r="BM114" s="794">
        <v>0</v>
      </c>
      <c r="BN114" s="794">
        <v>0</v>
      </c>
      <c r="BO114" s="794">
        <v>0</v>
      </c>
      <c r="BP114" s="794">
        <v>0</v>
      </c>
      <c r="BQ114" s="794">
        <v>0</v>
      </c>
      <c r="BR114" s="794">
        <v>0</v>
      </c>
      <c r="BS114" s="794">
        <v>0</v>
      </c>
      <c r="BT114" s="794">
        <v>0</v>
      </c>
      <c r="BU114" s="794">
        <v>0</v>
      </c>
      <c r="BV114" s="794">
        <v>0</v>
      </c>
    </row>
    <row r="115" spans="2:74">
      <c r="B115" s="793" t="s">
        <v>2878</v>
      </c>
      <c r="C115" s="793" t="s">
        <v>2879</v>
      </c>
      <c r="D115" s="793"/>
      <c r="E115" s="794"/>
      <c r="F115" s="799"/>
      <c r="G115" s="799"/>
      <c r="H115" s="799"/>
      <c r="I115" s="799"/>
      <c r="J115" s="799"/>
      <c r="K115" s="799"/>
      <c r="L115" s="799">
        <f t="shared" si="6"/>
        <v>331</v>
      </c>
      <c r="M115" s="799"/>
      <c r="N115" s="595"/>
      <c r="O115" s="794">
        <v>0</v>
      </c>
      <c r="P115" s="794">
        <v>0</v>
      </c>
      <c r="Q115" s="794">
        <v>0</v>
      </c>
      <c r="R115" s="794">
        <v>0</v>
      </c>
      <c r="S115" s="794">
        <v>0</v>
      </c>
      <c r="T115" s="794">
        <v>0</v>
      </c>
      <c r="U115" s="794">
        <v>0</v>
      </c>
      <c r="V115" s="794">
        <v>0</v>
      </c>
      <c r="W115" s="794">
        <v>0</v>
      </c>
      <c r="X115" s="809">
        <v>28195</v>
      </c>
      <c r="Y115" s="794">
        <v>0</v>
      </c>
      <c r="Z115" s="794">
        <v>0</v>
      </c>
      <c r="AA115" s="794">
        <v>0</v>
      </c>
      <c r="AB115" s="794">
        <v>980</v>
      </c>
      <c r="AC115" s="794">
        <v>0</v>
      </c>
      <c r="AD115" s="794">
        <v>0</v>
      </c>
      <c r="AE115" s="794">
        <v>0</v>
      </c>
      <c r="AF115" s="794">
        <v>0</v>
      </c>
      <c r="AG115" s="794">
        <v>0</v>
      </c>
      <c r="AH115" s="794">
        <v>0</v>
      </c>
      <c r="AI115" s="794">
        <v>0</v>
      </c>
      <c r="AJ115" s="794">
        <v>0</v>
      </c>
      <c r="AK115" s="794">
        <v>0</v>
      </c>
      <c r="AL115" s="794">
        <v>0</v>
      </c>
      <c r="AM115" s="794">
        <v>0</v>
      </c>
      <c r="AN115" s="794">
        <v>0</v>
      </c>
      <c r="AO115" s="794">
        <v>0</v>
      </c>
      <c r="AP115" s="794">
        <v>0</v>
      </c>
      <c r="AQ115" s="794">
        <v>0</v>
      </c>
      <c r="AR115" s="794">
        <v>0</v>
      </c>
      <c r="AS115" s="794">
        <v>0</v>
      </c>
      <c r="AT115" s="794">
        <v>0</v>
      </c>
      <c r="AU115" s="794">
        <v>0</v>
      </c>
      <c r="AV115" s="794">
        <v>0</v>
      </c>
      <c r="AW115" s="794">
        <v>0</v>
      </c>
      <c r="AX115" s="794">
        <v>0</v>
      </c>
      <c r="AY115" s="794">
        <v>0</v>
      </c>
      <c r="AZ115" s="794">
        <v>0</v>
      </c>
      <c r="BA115" s="794">
        <v>0</v>
      </c>
      <c r="BB115" s="794">
        <v>0</v>
      </c>
      <c r="BC115" s="794">
        <v>0</v>
      </c>
      <c r="BD115" s="794">
        <v>0</v>
      </c>
      <c r="BE115" s="794">
        <v>0</v>
      </c>
      <c r="BF115" s="794">
        <v>0</v>
      </c>
      <c r="BG115" s="794">
        <v>0</v>
      </c>
      <c r="BH115" s="794">
        <v>0</v>
      </c>
      <c r="BI115" s="794">
        <v>0</v>
      </c>
      <c r="BJ115" s="794">
        <v>0</v>
      </c>
      <c r="BK115" s="794">
        <v>0</v>
      </c>
      <c r="BL115" s="794">
        <v>0</v>
      </c>
      <c r="BM115" s="794">
        <v>0</v>
      </c>
      <c r="BN115" s="794">
        <v>0</v>
      </c>
      <c r="BO115" s="794">
        <v>0</v>
      </c>
      <c r="BP115" s="794">
        <v>0</v>
      </c>
      <c r="BQ115" s="794">
        <v>0</v>
      </c>
      <c r="BR115" s="794">
        <v>0</v>
      </c>
      <c r="BS115" s="794">
        <v>0</v>
      </c>
      <c r="BT115" s="794">
        <v>0</v>
      </c>
      <c r="BU115" s="794">
        <v>0</v>
      </c>
      <c r="BV115" s="794">
        <v>0</v>
      </c>
    </row>
    <row r="116" spans="2:74">
      <c r="B116" s="793" t="s">
        <v>2880</v>
      </c>
      <c r="C116" s="793" t="s">
        <v>2881</v>
      </c>
      <c r="D116" s="793"/>
      <c r="E116" s="794"/>
      <c r="F116" s="799"/>
      <c r="G116" s="799"/>
      <c r="H116" s="799"/>
      <c r="I116" s="799"/>
      <c r="J116" s="799"/>
      <c r="K116" s="799"/>
      <c r="L116" s="799">
        <f t="shared" si="6"/>
        <v>331</v>
      </c>
      <c r="M116" s="799"/>
      <c r="N116" s="595"/>
      <c r="O116" s="794">
        <v>0</v>
      </c>
      <c r="P116" s="794">
        <v>0</v>
      </c>
      <c r="Q116" s="794">
        <v>0</v>
      </c>
      <c r="R116" s="794">
        <v>0</v>
      </c>
      <c r="S116" s="794">
        <v>0</v>
      </c>
      <c r="T116" s="794">
        <v>0</v>
      </c>
      <c r="U116" s="794">
        <v>0</v>
      </c>
      <c r="V116" s="794">
        <v>0</v>
      </c>
      <c r="W116" s="794">
        <v>0</v>
      </c>
      <c r="X116" s="809">
        <v>11016</v>
      </c>
      <c r="Y116" s="794">
        <v>52210.32</v>
      </c>
      <c r="Z116" s="794">
        <v>0</v>
      </c>
      <c r="AA116" s="794">
        <v>0</v>
      </c>
      <c r="AB116" s="794">
        <v>0</v>
      </c>
      <c r="AC116" s="794">
        <v>0</v>
      </c>
      <c r="AD116" s="794">
        <v>0</v>
      </c>
      <c r="AE116" s="794">
        <v>0</v>
      </c>
      <c r="AF116" s="794">
        <v>0</v>
      </c>
      <c r="AG116" s="794">
        <v>0</v>
      </c>
      <c r="AH116" s="794">
        <v>0</v>
      </c>
      <c r="AI116" s="794">
        <v>0</v>
      </c>
      <c r="AJ116" s="794">
        <v>0</v>
      </c>
      <c r="AK116" s="794">
        <v>0</v>
      </c>
      <c r="AL116" s="794">
        <v>0</v>
      </c>
      <c r="AM116" s="794">
        <v>0</v>
      </c>
      <c r="AN116" s="794">
        <v>0</v>
      </c>
      <c r="AO116" s="794">
        <v>0</v>
      </c>
      <c r="AP116" s="794">
        <v>0</v>
      </c>
      <c r="AQ116" s="794">
        <v>0</v>
      </c>
      <c r="AR116" s="794">
        <v>0</v>
      </c>
      <c r="AS116" s="794">
        <v>0</v>
      </c>
      <c r="AT116" s="794">
        <v>0</v>
      </c>
      <c r="AU116" s="794">
        <v>0</v>
      </c>
      <c r="AV116" s="794">
        <v>0</v>
      </c>
      <c r="AW116" s="794">
        <v>0</v>
      </c>
      <c r="AX116" s="794">
        <v>0</v>
      </c>
      <c r="AY116" s="794">
        <v>0</v>
      </c>
      <c r="AZ116" s="794">
        <v>0</v>
      </c>
      <c r="BA116" s="794">
        <v>0</v>
      </c>
      <c r="BB116" s="794">
        <v>0</v>
      </c>
      <c r="BC116" s="794">
        <v>0</v>
      </c>
      <c r="BD116" s="794">
        <v>0</v>
      </c>
      <c r="BE116" s="794">
        <v>0</v>
      </c>
      <c r="BF116" s="794">
        <v>0</v>
      </c>
      <c r="BG116" s="794">
        <v>0</v>
      </c>
      <c r="BH116" s="794">
        <v>0</v>
      </c>
      <c r="BI116" s="794">
        <v>0</v>
      </c>
      <c r="BJ116" s="794">
        <v>0</v>
      </c>
      <c r="BK116" s="794">
        <v>0</v>
      </c>
      <c r="BL116" s="794">
        <v>0</v>
      </c>
      <c r="BM116" s="794">
        <v>0</v>
      </c>
      <c r="BN116" s="794">
        <v>0</v>
      </c>
      <c r="BO116" s="794">
        <v>0</v>
      </c>
      <c r="BP116" s="794">
        <v>0</v>
      </c>
      <c r="BQ116" s="794">
        <v>0</v>
      </c>
      <c r="BR116" s="794">
        <v>0</v>
      </c>
      <c r="BS116" s="794">
        <v>0</v>
      </c>
      <c r="BT116" s="794">
        <v>0</v>
      </c>
      <c r="BU116" s="794">
        <v>0</v>
      </c>
      <c r="BV116" s="794">
        <v>0</v>
      </c>
    </row>
    <row r="117" spans="2:74">
      <c r="B117" s="793" t="s">
        <v>2882</v>
      </c>
      <c r="C117" s="793" t="s">
        <v>2883</v>
      </c>
      <c r="D117" s="793"/>
      <c r="E117" s="794"/>
      <c r="F117" s="799"/>
      <c r="G117" s="799"/>
      <c r="H117" s="799"/>
      <c r="I117" s="799"/>
      <c r="J117" s="799"/>
      <c r="K117" s="799"/>
      <c r="L117" s="799">
        <f t="shared" si="6"/>
        <v>331</v>
      </c>
      <c r="M117" s="799"/>
      <c r="N117" s="595"/>
      <c r="O117" s="794">
        <v>0</v>
      </c>
      <c r="P117" s="794">
        <v>0</v>
      </c>
      <c r="Q117" s="794">
        <v>0</v>
      </c>
      <c r="R117" s="794">
        <v>0</v>
      </c>
      <c r="S117" s="794">
        <v>0</v>
      </c>
      <c r="T117" s="794">
        <v>0</v>
      </c>
      <c r="U117" s="794">
        <v>0</v>
      </c>
      <c r="V117" s="794">
        <v>0</v>
      </c>
      <c r="W117" s="794">
        <v>0</v>
      </c>
      <c r="X117" s="809">
        <v>100000</v>
      </c>
      <c r="Y117" s="794">
        <v>0</v>
      </c>
      <c r="Z117" s="794">
        <v>0</v>
      </c>
      <c r="AA117" s="794">
        <v>0</v>
      </c>
      <c r="AB117" s="794">
        <v>0</v>
      </c>
      <c r="AC117" s="794">
        <v>0</v>
      </c>
      <c r="AD117" s="794">
        <v>0</v>
      </c>
      <c r="AE117" s="794">
        <v>0</v>
      </c>
      <c r="AF117" s="794">
        <v>0</v>
      </c>
      <c r="AG117" s="794">
        <v>0</v>
      </c>
      <c r="AH117" s="794">
        <v>0</v>
      </c>
      <c r="AI117" s="794">
        <v>0</v>
      </c>
      <c r="AJ117" s="794">
        <v>0</v>
      </c>
      <c r="AK117" s="794">
        <v>0</v>
      </c>
      <c r="AL117" s="794">
        <v>0</v>
      </c>
      <c r="AM117" s="794">
        <v>0</v>
      </c>
      <c r="AN117" s="794">
        <v>0</v>
      </c>
      <c r="AO117" s="794">
        <v>0</v>
      </c>
      <c r="AP117" s="794">
        <v>0</v>
      </c>
      <c r="AQ117" s="794">
        <v>0</v>
      </c>
      <c r="AR117" s="794">
        <v>0</v>
      </c>
      <c r="AS117" s="794">
        <v>0</v>
      </c>
      <c r="AT117" s="794">
        <v>0</v>
      </c>
      <c r="AU117" s="794">
        <v>0</v>
      </c>
      <c r="AV117" s="794">
        <v>0</v>
      </c>
      <c r="AW117" s="794">
        <v>0</v>
      </c>
      <c r="AX117" s="794">
        <v>0</v>
      </c>
      <c r="AY117" s="794">
        <v>0</v>
      </c>
      <c r="AZ117" s="794">
        <v>0</v>
      </c>
      <c r="BA117" s="794">
        <v>0</v>
      </c>
      <c r="BB117" s="794">
        <v>0</v>
      </c>
      <c r="BC117" s="794">
        <v>0</v>
      </c>
      <c r="BD117" s="794">
        <v>0</v>
      </c>
      <c r="BE117" s="794">
        <v>0</v>
      </c>
      <c r="BF117" s="794">
        <v>0</v>
      </c>
      <c r="BG117" s="794">
        <v>0</v>
      </c>
      <c r="BH117" s="794">
        <v>0</v>
      </c>
      <c r="BI117" s="794">
        <v>0</v>
      </c>
      <c r="BJ117" s="794">
        <v>0</v>
      </c>
      <c r="BK117" s="794">
        <v>0</v>
      </c>
      <c r="BL117" s="794">
        <v>0</v>
      </c>
      <c r="BM117" s="794">
        <v>0</v>
      </c>
      <c r="BN117" s="794">
        <v>0</v>
      </c>
      <c r="BO117" s="794">
        <v>0</v>
      </c>
      <c r="BP117" s="794">
        <v>0</v>
      </c>
      <c r="BQ117" s="794">
        <v>0</v>
      </c>
      <c r="BR117" s="794">
        <v>0</v>
      </c>
      <c r="BS117" s="794">
        <v>0</v>
      </c>
      <c r="BT117" s="794">
        <v>0</v>
      </c>
      <c r="BU117" s="794">
        <v>0</v>
      </c>
      <c r="BV117" s="794">
        <v>0</v>
      </c>
    </row>
    <row r="118" spans="2:74">
      <c r="B118" s="793" t="s">
        <v>2884</v>
      </c>
      <c r="C118" s="793" t="s">
        <v>2885</v>
      </c>
      <c r="D118" s="793"/>
      <c r="E118" s="794"/>
      <c r="F118" s="799"/>
      <c r="G118" s="799"/>
      <c r="H118" s="799"/>
      <c r="I118" s="799"/>
      <c r="J118" s="799"/>
      <c r="K118" s="799"/>
      <c r="L118" s="799">
        <f t="shared" si="6"/>
        <v>331</v>
      </c>
      <c r="M118" s="799"/>
      <c r="N118" s="595"/>
      <c r="O118" s="794">
        <v>0</v>
      </c>
      <c r="P118" s="794">
        <v>0</v>
      </c>
      <c r="Q118" s="794">
        <v>0</v>
      </c>
      <c r="R118" s="794">
        <v>0</v>
      </c>
      <c r="S118" s="794">
        <v>0</v>
      </c>
      <c r="T118" s="794">
        <v>0</v>
      </c>
      <c r="U118" s="794">
        <v>0</v>
      </c>
      <c r="V118" s="794">
        <v>0</v>
      </c>
      <c r="W118" s="794">
        <v>0</v>
      </c>
      <c r="X118" s="809">
        <v>27976</v>
      </c>
      <c r="Y118" s="794">
        <v>0</v>
      </c>
      <c r="Z118" s="794">
        <v>0</v>
      </c>
      <c r="AA118" s="794">
        <v>0</v>
      </c>
      <c r="AB118" s="794">
        <v>0</v>
      </c>
      <c r="AC118" s="794">
        <v>0</v>
      </c>
      <c r="AD118" s="794">
        <v>0</v>
      </c>
      <c r="AE118" s="794">
        <v>0</v>
      </c>
      <c r="AF118" s="794">
        <v>0</v>
      </c>
      <c r="AG118" s="794">
        <v>0</v>
      </c>
      <c r="AH118" s="794">
        <v>0</v>
      </c>
      <c r="AI118" s="794">
        <v>0</v>
      </c>
      <c r="AJ118" s="794">
        <v>0</v>
      </c>
      <c r="AK118" s="794">
        <v>0</v>
      </c>
      <c r="AL118" s="794">
        <v>0</v>
      </c>
      <c r="AM118" s="794">
        <v>0</v>
      </c>
      <c r="AN118" s="794">
        <v>0</v>
      </c>
      <c r="AO118" s="794">
        <v>0</v>
      </c>
      <c r="AP118" s="794">
        <v>0</v>
      </c>
      <c r="AQ118" s="794">
        <v>0</v>
      </c>
      <c r="AR118" s="794">
        <v>0</v>
      </c>
      <c r="AS118" s="794">
        <v>0</v>
      </c>
      <c r="AT118" s="794">
        <v>0</v>
      </c>
      <c r="AU118" s="794">
        <v>0</v>
      </c>
      <c r="AV118" s="794">
        <v>0</v>
      </c>
      <c r="AW118" s="794">
        <v>0</v>
      </c>
      <c r="AX118" s="794">
        <v>0</v>
      </c>
      <c r="AY118" s="794">
        <v>0</v>
      </c>
      <c r="AZ118" s="794">
        <v>0</v>
      </c>
      <c r="BA118" s="794">
        <v>0</v>
      </c>
      <c r="BB118" s="794">
        <v>0</v>
      </c>
      <c r="BC118" s="794">
        <v>0</v>
      </c>
      <c r="BD118" s="794">
        <v>0</v>
      </c>
      <c r="BE118" s="794">
        <v>0</v>
      </c>
      <c r="BF118" s="794">
        <v>0</v>
      </c>
      <c r="BG118" s="794">
        <v>0</v>
      </c>
      <c r="BH118" s="794">
        <v>0</v>
      </c>
      <c r="BI118" s="794">
        <v>0</v>
      </c>
      <c r="BJ118" s="794">
        <v>0</v>
      </c>
      <c r="BK118" s="794">
        <v>0</v>
      </c>
      <c r="BL118" s="794">
        <v>0</v>
      </c>
      <c r="BM118" s="794">
        <v>0</v>
      </c>
      <c r="BN118" s="794">
        <v>0</v>
      </c>
      <c r="BO118" s="794">
        <v>0</v>
      </c>
      <c r="BP118" s="794">
        <v>0</v>
      </c>
      <c r="BQ118" s="794">
        <v>0</v>
      </c>
      <c r="BR118" s="794">
        <v>0</v>
      </c>
      <c r="BS118" s="794">
        <v>0</v>
      </c>
      <c r="BT118" s="794">
        <v>0</v>
      </c>
      <c r="BU118" s="794">
        <v>0</v>
      </c>
      <c r="BV118" s="794">
        <v>0</v>
      </c>
    </row>
    <row r="119" spans="2:74">
      <c r="B119" s="793" t="s">
        <v>2886</v>
      </c>
      <c r="C119" s="793" t="s">
        <v>2887</v>
      </c>
      <c r="D119" s="793"/>
      <c r="E119" s="794"/>
      <c r="F119" s="799"/>
      <c r="G119" s="799"/>
      <c r="H119" s="799"/>
      <c r="I119" s="799"/>
      <c r="J119" s="799"/>
      <c r="K119" s="799"/>
      <c r="L119" s="799">
        <f t="shared" si="6"/>
        <v>331</v>
      </c>
      <c r="M119" s="799"/>
      <c r="N119" s="595"/>
      <c r="O119" s="794">
        <v>0</v>
      </c>
      <c r="P119" s="794">
        <v>0</v>
      </c>
      <c r="Q119" s="794">
        <v>0</v>
      </c>
      <c r="R119" s="794">
        <v>0</v>
      </c>
      <c r="S119" s="794">
        <v>0</v>
      </c>
      <c r="T119" s="794">
        <v>0</v>
      </c>
      <c r="U119" s="794">
        <v>0</v>
      </c>
      <c r="V119" s="794">
        <v>0</v>
      </c>
      <c r="W119" s="794">
        <v>0</v>
      </c>
      <c r="X119" s="794">
        <v>0</v>
      </c>
      <c r="Y119" s="809">
        <v>46750</v>
      </c>
      <c r="Z119" s="794">
        <v>0</v>
      </c>
      <c r="AA119" s="794">
        <v>0</v>
      </c>
      <c r="AB119" s="794">
        <v>0</v>
      </c>
      <c r="AC119" s="794">
        <v>0</v>
      </c>
      <c r="AD119" s="794">
        <v>0</v>
      </c>
      <c r="AE119" s="794">
        <v>0</v>
      </c>
      <c r="AF119" s="794">
        <v>0</v>
      </c>
      <c r="AG119" s="794">
        <v>0</v>
      </c>
      <c r="AH119" s="794">
        <v>0</v>
      </c>
      <c r="AI119" s="794">
        <v>0</v>
      </c>
      <c r="AJ119" s="794">
        <v>0</v>
      </c>
      <c r="AK119" s="794">
        <v>0</v>
      </c>
      <c r="AL119" s="794">
        <v>0</v>
      </c>
      <c r="AM119" s="794">
        <v>0</v>
      </c>
      <c r="AN119" s="794">
        <v>0</v>
      </c>
      <c r="AO119" s="794">
        <v>0</v>
      </c>
      <c r="AP119" s="794">
        <v>0</v>
      </c>
      <c r="AQ119" s="794">
        <v>0</v>
      </c>
      <c r="AR119" s="794">
        <v>0</v>
      </c>
      <c r="AS119" s="794">
        <v>0</v>
      </c>
      <c r="AT119" s="794">
        <v>0</v>
      </c>
      <c r="AU119" s="794">
        <v>0</v>
      </c>
      <c r="AV119" s="794">
        <v>0</v>
      </c>
      <c r="AW119" s="794">
        <v>0</v>
      </c>
      <c r="AX119" s="794">
        <v>0</v>
      </c>
      <c r="AY119" s="794">
        <v>0</v>
      </c>
      <c r="AZ119" s="794">
        <v>0</v>
      </c>
      <c r="BA119" s="794">
        <v>0</v>
      </c>
      <c r="BB119" s="794">
        <v>0</v>
      </c>
      <c r="BC119" s="794">
        <v>0</v>
      </c>
      <c r="BD119" s="794">
        <v>0</v>
      </c>
      <c r="BE119" s="794">
        <v>0</v>
      </c>
      <c r="BF119" s="794">
        <v>0</v>
      </c>
      <c r="BG119" s="794">
        <v>0</v>
      </c>
      <c r="BH119" s="794">
        <v>0</v>
      </c>
      <c r="BI119" s="794">
        <v>0</v>
      </c>
      <c r="BJ119" s="794">
        <v>0</v>
      </c>
      <c r="BK119" s="794">
        <v>0</v>
      </c>
      <c r="BL119" s="794">
        <v>0</v>
      </c>
      <c r="BM119" s="794">
        <v>0</v>
      </c>
      <c r="BN119" s="794">
        <v>0</v>
      </c>
      <c r="BO119" s="794">
        <v>0</v>
      </c>
      <c r="BP119" s="794">
        <v>0</v>
      </c>
      <c r="BQ119" s="794">
        <v>0</v>
      </c>
      <c r="BR119" s="794">
        <v>0</v>
      </c>
      <c r="BS119" s="794">
        <v>0</v>
      </c>
      <c r="BT119" s="794">
        <v>0</v>
      </c>
      <c r="BU119" s="794">
        <v>0</v>
      </c>
      <c r="BV119" s="794">
        <v>0</v>
      </c>
    </row>
    <row r="120" spans="2:74">
      <c r="B120" s="793" t="s">
        <v>2888</v>
      </c>
      <c r="C120" s="793" t="s">
        <v>2889</v>
      </c>
      <c r="D120" s="793"/>
      <c r="E120" s="794"/>
      <c r="F120" s="799"/>
      <c r="G120" s="799"/>
      <c r="H120" s="799"/>
      <c r="I120" s="799"/>
      <c r="J120" s="799"/>
      <c r="K120" s="799"/>
      <c r="L120" s="799">
        <f t="shared" si="6"/>
        <v>331</v>
      </c>
      <c r="M120" s="799"/>
      <c r="N120" s="595"/>
      <c r="O120" s="794">
        <v>0</v>
      </c>
      <c r="P120" s="794">
        <v>0</v>
      </c>
      <c r="Q120" s="794">
        <v>0</v>
      </c>
      <c r="R120" s="794">
        <v>0</v>
      </c>
      <c r="S120" s="794">
        <v>0</v>
      </c>
      <c r="T120" s="794">
        <v>0</v>
      </c>
      <c r="U120" s="794">
        <v>0</v>
      </c>
      <c r="V120" s="794">
        <v>0</v>
      </c>
      <c r="W120" s="794">
        <v>0</v>
      </c>
      <c r="X120" s="794">
        <v>0</v>
      </c>
      <c r="Y120" s="809">
        <v>43466</v>
      </c>
      <c r="Z120" s="794">
        <v>22000</v>
      </c>
      <c r="AA120" s="794">
        <v>0</v>
      </c>
      <c r="AB120" s="794">
        <v>0</v>
      </c>
      <c r="AC120" s="794">
        <v>0</v>
      </c>
      <c r="AD120" s="794">
        <v>0</v>
      </c>
      <c r="AE120" s="794">
        <v>0</v>
      </c>
      <c r="AF120" s="794">
        <v>0</v>
      </c>
      <c r="AG120" s="794">
        <v>0</v>
      </c>
      <c r="AH120" s="794">
        <v>0</v>
      </c>
      <c r="AI120" s="794">
        <v>0</v>
      </c>
      <c r="AJ120" s="794">
        <v>0</v>
      </c>
      <c r="AK120" s="794">
        <v>0</v>
      </c>
      <c r="AL120" s="794">
        <v>0</v>
      </c>
      <c r="AM120" s="794">
        <v>0</v>
      </c>
      <c r="AN120" s="794">
        <v>0</v>
      </c>
      <c r="AO120" s="794">
        <v>0</v>
      </c>
      <c r="AP120" s="794">
        <v>0</v>
      </c>
      <c r="AQ120" s="794">
        <v>0</v>
      </c>
      <c r="AR120" s="794">
        <v>0</v>
      </c>
      <c r="AS120" s="794">
        <v>0</v>
      </c>
      <c r="AT120" s="794">
        <v>0</v>
      </c>
      <c r="AU120" s="794">
        <v>0</v>
      </c>
      <c r="AV120" s="794">
        <v>0</v>
      </c>
      <c r="AW120" s="794">
        <v>0</v>
      </c>
      <c r="AX120" s="794">
        <v>0</v>
      </c>
      <c r="AY120" s="794">
        <v>0</v>
      </c>
      <c r="AZ120" s="794">
        <v>0</v>
      </c>
      <c r="BA120" s="794">
        <v>0</v>
      </c>
      <c r="BB120" s="794">
        <v>0</v>
      </c>
      <c r="BC120" s="794">
        <v>0</v>
      </c>
      <c r="BD120" s="794">
        <v>0</v>
      </c>
      <c r="BE120" s="794">
        <v>0</v>
      </c>
      <c r="BF120" s="794">
        <v>0</v>
      </c>
      <c r="BG120" s="794">
        <v>0</v>
      </c>
      <c r="BH120" s="794">
        <v>0</v>
      </c>
      <c r="BI120" s="794">
        <v>0</v>
      </c>
      <c r="BJ120" s="794">
        <v>0</v>
      </c>
      <c r="BK120" s="794">
        <v>0</v>
      </c>
      <c r="BL120" s="794">
        <v>0</v>
      </c>
      <c r="BM120" s="794">
        <v>0</v>
      </c>
      <c r="BN120" s="794">
        <v>0</v>
      </c>
      <c r="BO120" s="794">
        <v>0</v>
      </c>
      <c r="BP120" s="794">
        <v>0</v>
      </c>
      <c r="BQ120" s="794">
        <v>0</v>
      </c>
      <c r="BR120" s="794">
        <v>0</v>
      </c>
      <c r="BS120" s="794">
        <v>0</v>
      </c>
      <c r="BT120" s="794">
        <v>0</v>
      </c>
      <c r="BU120" s="794">
        <v>0</v>
      </c>
      <c r="BV120" s="794">
        <v>0</v>
      </c>
    </row>
    <row r="121" spans="2:74">
      <c r="B121" s="793" t="s">
        <v>2890</v>
      </c>
      <c r="C121" s="793" t="s">
        <v>2891</v>
      </c>
      <c r="D121" s="793"/>
      <c r="E121" s="794"/>
      <c r="F121" s="799"/>
      <c r="G121" s="799"/>
      <c r="H121" s="799"/>
      <c r="I121" s="799"/>
      <c r="J121" s="799"/>
      <c r="K121" s="799"/>
      <c r="L121" s="799">
        <f t="shared" si="6"/>
        <v>331</v>
      </c>
      <c r="M121" s="799"/>
      <c r="N121" s="595"/>
      <c r="O121" s="794">
        <v>0</v>
      </c>
      <c r="P121" s="794">
        <v>0</v>
      </c>
      <c r="Q121" s="794">
        <v>0</v>
      </c>
      <c r="R121" s="794">
        <v>0</v>
      </c>
      <c r="S121" s="794">
        <v>0</v>
      </c>
      <c r="T121" s="794">
        <v>0</v>
      </c>
      <c r="U121" s="794">
        <v>0</v>
      </c>
      <c r="V121" s="794">
        <v>0</v>
      </c>
      <c r="W121" s="794">
        <v>0</v>
      </c>
      <c r="X121" s="794">
        <v>0</v>
      </c>
      <c r="Y121" s="809">
        <v>127997.1</v>
      </c>
      <c r="Z121" s="794">
        <v>0</v>
      </c>
      <c r="AA121" s="794">
        <v>0</v>
      </c>
      <c r="AB121" s="794">
        <v>0</v>
      </c>
      <c r="AC121" s="794">
        <v>0</v>
      </c>
      <c r="AD121" s="794">
        <v>0</v>
      </c>
      <c r="AE121" s="794">
        <v>0</v>
      </c>
      <c r="AF121" s="794">
        <v>0</v>
      </c>
      <c r="AG121" s="794">
        <v>0</v>
      </c>
      <c r="AH121" s="794">
        <v>0</v>
      </c>
      <c r="AI121" s="794">
        <v>0</v>
      </c>
      <c r="AJ121" s="794">
        <v>0</v>
      </c>
      <c r="AK121" s="794">
        <v>0</v>
      </c>
      <c r="AL121" s="794">
        <v>0</v>
      </c>
      <c r="AM121" s="794">
        <v>0</v>
      </c>
      <c r="AN121" s="794">
        <v>0</v>
      </c>
      <c r="AO121" s="794">
        <v>0</v>
      </c>
      <c r="AP121" s="794">
        <v>0</v>
      </c>
      <c r="AQ121" s="794">
        <v>0</v>
      </c>
      <c r="AR121" s="794">
        <v>0</v>
      </c>
      <c r="AS121" s="794">
        <v>0</v>
      </c>
      <c r="AT121" s="794">
        <v>0</v>
      </c>
      <c r="AU121" s="794">
        <v>0</v>
      </c>
      <c r="AV121" s="794">
        <v>0</v>
      </c>
      <c r="AW121" s="794">
        <v>0</v>
      </c>
      <c r="AX121" s="794">
        <v>0</v>
      </c>
      <c r="AY121" s="794">
        <v>0</v>
      </c>
      <c r="AZ121" s="794">
        <v>0</v>
      </c>
      <c r="BA121" s="794">
        <v>0</v>
      </c>
      <c r="BB121" s="794">
        <v>0</v>
      </c>
      <c r="BC121" s="794">
        <v>0</v>
      </c>
      <c r="BD121" s="794">
        <v>0</v>
      </c>
      <c r="BE121" s="794">
        <v>0</v>
      </c>
      <c r="BF121" s="794">
        <v>0</v>
      </c>
      <c r="BG121" s="794">
        <v>0</v>
      </c>
      <c r="BH121" s="794">
        <v>0</v>
      </c>
      <c r="BI121" s="794">
        <v>0</v>
      </c>
      <c r="BJ121" s="794">
        <v>0</v>
      </c>
      <c r="BK121" s="794">
        <v>0</v>
      </c>
      <c r="BL121" s="794">
        <v>0</v>
      </c>
      <c r="BM121" s="794">
        <v>0</v>
      </c>
      <c r="BN121" s="794">
        <v>0</v>
      </c>
      <c r="BO121" s="794">
        <v>0</v>
      </c>
      <c r="BP121" s="794">
        <v>0</v>
      </c>
      <c r="BQ121" s="794">
        <v>0</v>
      </c>
      <c r="BR121" s="794">
        <v>0</v>
      </c>
      <c r="BS121" s="794">
        <v>0</v>
      </c>
      <c r="BT121" s="794">
        <v>0</v>
      </c>
      <c r="BU121" s="794">
        <v>0</v>
      </c>
      <c r="BV121" s="794">
        <v>0</v>
      </c>
    </row>
    <row r="122" spans="2:74">
      <c r="B122" s="793" t="s">
        <v>2892</v>
      </c>
      <c r="C122" s="793" t="s">
        <v>2893</v>
      </c>
      <c r="D122" s="793"/>
      <c r="E122" s="794"/>
      <c r="F122" s="799"/>
      <c r="G122" s="799"/>
      <c r="H122" s="799"/>
      <c r="I122" s="799"/>
      <c r="J122" s="799"/>
      <c r="K122" s="799"/>
      <c r="L122" s="799">
        <f t="shared" si="6"/>
        <v>1</v>
      </c>
      <c r="M122" s="799"/>
      <c r="N122" s="595"/>
      <c r="O122" s="794">
        <v>0</v>
      </c>
      <c r="P122" s="794">
        <v>0</v>
      </c>
      <c r="Q122" s="794">
        <v>0</v>
      </c>
      <c r="R122" s="794">
        <v>0</v>
      </c>
      <c r="S122" s="794">
        <v>0</v>
      </c>
      <c r="T122" s="794">
        <v>0</v>
      </c>
      <c r="U122" s="794">
        <v>0</v>
      </c>
      <c r="V122" s="794">
        <v>0</v>
      </c>
      <c r="W122" s="794">
        <v>0</v>
      </c>
      <c r="X122" s="794">
        <v>0</v>
      </c>
      <c r="Y122" s="809">
        <v>56707.199999999997</v>
      </c>
      <c r="Z122" s="794">
        <v>0</v>
      </c>
      <c r="AA122" s="794">
        <v>0</v>
      </c>
      <c r="AB122" s="794">
        <v>0</v>
      </c>
      <c r="AC122" s="794">
        <v>0</v>
      </c>
      <c r="AD122" s="794">
        <v>0</v>
      </c>
      <c r="AE122" s="794">
        <v>0</v>
      </c>
      <c r="AF122" s="794">
        <v>0</v>
      </c>
      <c r="AG122" s="794">
        <v>0</v>
      </c>
      <c r="AH122" s="794">
        <v>0</v>
      </c>
      <c r="AI122" s="794">
        <v>0</v>
      </c>
      <c r="AJ122" s="794">
        <v>22500</v>
      </c>
      <c r="AK122" s="794">
        <v>78750</v>
      </c>
      <c r="AL122" s="794">
        <v>16250</v>
      </c>
      <c r="AM122" s="794">
        <v>4350</v>
      </c>
      <c r="AN122" s="794">
        <v>0</v>
      </c>
      <c r="AO122" s="794">
        <v>0</v>
      </c>
      <c r="AP122" s="794">
        <v>0</v>
      </c>
      <c r="AQ122" s="794">
        <v>0</v>
      </c>
      <c r="AR122" s="794">
        <v>0</v>
      </c>
      <c r="AS122" s="794">
        <v>0</v>
      </c>
      <c r="AT122" s="794">
        <v>0</v>
      </c>
      <c r="AU122" s="794">
        <v>0</v>
      </c>
      <c r="AV122" s="794">
        <v>0</v>
      </c>
      <c r="AW122" s="794">
        <v>0</v>
      </c>
      <c r="AX122" s="794">
        <v>0</v>
      </c>
      <c r="AY122" s="794">
        <v>0</v>
      </c>
      <c r="AZ122" s="794">
        <v>0</v>
      </c>
      <c r="BA122" s="794">
        <v>0</v>
      </c>
      <c r="BB122" s="794">
        <v>0</v>
      </c>
      <c r="BC122" s="794">
        <v>0</v>
      </c>
      <c r="BD122" s="794">
        <v>0</v>
      </c>
      <c r="BE122" s="794">
        <v>0</v>
      </c>
      <c r="BF122" s="794">
        <v>0</v>
      </c>
      <c r="BG122" s="794">
        <v>0</v>
      </c>
      <c r="BH122" s="794">
        <v>0</v>
      </c>
      <c r="BI122" s="794">
        <v>0</v>
      </c>
      <c r="BJ122" s="794">
        <v>0</v>
      </c>
      <c r="BK122" s="794">
        <v>0</v>
      </c>
      <c r="BL122" s="794">
        <v>0</v>
      </c>
      <c r="BM122" s="794">
        <v>0</v>
      </c>
      <c r="BN122" s="794">
        <v>0</v>
      </c>
      <c r="BO122" s="794">
        <v>0</v>
      </c>
      <c r="BP122" s="794">
        <v>0</v>
      </c>
      <c r="BQ122" s="794">
        <v>0</v>
      </c>
      <c r="BR122" s="794">
        <v>0</v>
      </c>
      <c r="BS122" s="794">
        <v>0</v>
      </c>
      <c r="BT122" s="794">
        <v>0</v>
      </c>
      <c r="BU122" s="794">
        <v>0</v>
      </c>
      <c r="BV122" s="794">
        <v>0</v>
      </c>
    </row>
    <row r="123" spans="2:74">
      <c r="B123" s="793" t="s">
        <v>2894</v>
      </c>
      <c r="C123" s="793" t="s">
        <v>2895</v>
      </c>
      <c r="D123" s="793"/>
      <c r="E123" s="794"/>
      <c r="F123" s="799"/>
      <c r="G123" s="799"/>
      <c r="H123" s="799"/>
      <c r="I123" s="799"/>
      <c r="J123" s="799"/>
      <c r="K123" s="799"/>
      <c r="L123" s="799">
        <f t="shared" si="6"/>
        <v>331</v>
      </c>
      <c r="M123" s="799"/>
      <c r="N123" s="595"/>
      <c r="O123" s="794">
        <v>0</v>
      </c>
      <c r="P123" s="794">
        <v>0</v>
      </c>
      <c r="Q123" s="794">
        <v>0</v>
      </c>
      <c r="R123" s="794">
        <v>0</v>
      </c>
      <c r="S123" s="794">
        <v>0</v>
      </c>
      <c r="T123" s="794">
        <v>0</v>
      </c>
      <c r="U123" s="794">
        <v>0</v>
      </c>
      <c r="V123" s="794">
        <v>0</v>
      </c>
      <c r="W123" s="794">
        <v>0</v>
      </c>
      <c r="X123" s="794">
        <v>0</v>
      </c>
      <c r="Y123" s="809">
        <v>31128.73</v>
      </c>
      <c r="Z123" s="794">
        <v>4000</v>
      </c>
      <c r="AA123" s="794">
        <v>0</v>
      </c>
      <c r="AB123" s="794">
        <v>0</v>
      </c>
      <c r="AC123" s="794">
        <v>0</v>
      </c>
      <c r="AD123" s="794">
        <v>0</v>
      </c>
      <c r="AE123" s="794">
        <v>0</v>
      </c>
      <c r="AF123" s="794">
        <v>0</v>
      </c>
      <c r="AG123" s="794">
        <v>0</v>
      </c>
      <c r="AH123" s="794">
        <v>0</v>
      </c>
      <c r="AI123" s="794">
        <v>0</v>
      </c>
      <c r="AJ123" s="794">
        <v>0</v>
      </c>
      <c r="AK123" s="794">
        <v>0</v>
      </c>
      <c r="AL123" s="794">
        <v>0</v>
      </c>
      <c r="AM123" s="794">
        <v>0</v>
      </c>
      <c r="AN123" s="794">
        <v>0</v>
      </c>
      <c r="AO123" s="794">
        <v>0</v>
      </c>
      <c r="AP123" s="794">
        <v>0</v>
      </c>
      <c r="AQ123" s="794">
        <v>0</v>
      </c>
      <c r="AR123" s="794">
        <v>0</v>
      </c>
      <c r="AS123" s="794">
        <v>0</v>
      </c>
      <c r="AT123" s="794">
        <v>0</v>
      </c>
      <c r="AU123" s="794">
        <v>0</v>
      </c>
      <c r="AV123" s="794">
        <v>0</v>
      </c>
      <c r="AW123" s="794">
        <v>0</v>
      </c>
      <c r="AX123" s="794">
        <v>0</v>
      </c>
      <c r="AY123" s="794">
        <v>0</v>
      </c>
      <c r="AZ123" s="794">
        <v>0</v>
      </c>
      <c r="BA123" s="794">
        <v>0</v>
      </c>
      <c r="BB123" s="794">
        <v>0</v>
      </c>
      <c r="BC123" s="794">
        <v>0</v>
      </c>
      <c r="BD123" s="794">
        <v>0</v>
      </c>
      <c r="BE123" s="794">
        <v>0</v>
      </c>
      <c r="BF123" s="794">
        <v>0</v>
      </c>
      <c r="BG123" s="794">
        <v>0</v>
      </c>
      <c r="BH123" s="794">
        <v>0</v>
      </c>
      <c r="BI123" s="794">
        <v>0</v>
      </c>
      <c r="BJ123" s="794">
        <v>0</v>
      </c>
      <c r="BK123" s="794">
        <v>0</v>
      </c>
      <c r="BL123" s="794">
        <v>0</v>
      </c>
      <c r="BM123" s="794">
        <v>0</v>
      </c>
      <c r="BN123" s="794">
        <v>0</v>
      </c>
      <c r="BO123" s="794">
        <v>0</v>
      </c>
      <c r="BP123" s="794">
        <v>0</v>
      </c>
      <c r="BQ123" s="794">
        <v>0</v>
      </c>
      <c r="BR123" s="794">
        <v>0</v>
      </c>
      <c r="BS123" s="794">
        <v>0</v>
      </c>
      <c r="BT123" s="794">
        <v>0</v>
      </c>
      <c r="BU123" s="794">
        <v>0</v>
      </c>
      <c r="BV123" s="794">
        <v>0</v>
      </c>
    </row>
    <row r="124" spans="2:74">
      <c r="B124" s="793" t="s">
        <v>2896</v>
      </c>
      <c r="C124" s="793" t="s">
        <v>2895</v>
      </c>
      <c r="D124" s="793"/>
      <c r="E124" s="794"/>
      <c r="F124" s="799"/>
      <c r="G124" s="799"/>
      <c r="H124" s="799"/>
      <c r="I124" s="799"/>
      <c r="J124" s="799"/>
      <c r="K124" s="799"/>
      <c r="L124" s="799">
        <f t="shared" si="6"/>
        <v>331</v>
      </c>
      <c r="M124" s="799"/>
      <c r="N124" s="595"/>
      <c r="O124" s="794">
        <v>0</v>
      </c>
      <c r="P124" s="794">
        <v>0</v>
      </c>
      <c r="Q124" s="794">
        <v>0</v>
      </c>
      <c r="R124" s="794">
        <v>0</v>
      </c>
      <c r="S124" s="794">
        <v>0</v>
      </c>
      <c r="T124" s="794">
        <v>0</v>
      </c>
      <c r="U124" s="794">
        <v>0</v>
      </c>
      <c r="V124" s="794">
        <v>0</v>
      </c>
      <c r="W124" s="794">
        <v>0</v>
      </c>
      <c r="X124" s="794">
        <v>0</v>
      </c>
      <c r="Y124" s="809">
        <v>57146.39</v>
      </c>
      <c r="Z124" s="794">
        <v>53146.39</v>
      </c>
      <c r="AA124" s="794">
        <v>0</v>
      </c>
      <c r="AB124" s="794">
        <v>0</v>
      </c>
      <c r="AC124" s="794">
        <v>0</v>
      </c>
      <c r="AD124" s="794">
        <v>0</v>
      </c>
      <c r="AE124" s="794">
        <v>0</v>
      </c>
      <c r="AF124" s="794">
        <v>0</v>
      </c>
      <c r="AG124" s="794">
        <v>0</v>
      </c>
      <c r="AH124" s="794">
        <v>0</v>
      </c>
      <c r="AI124" s="794">
        <v>0</v>
      </c>
      <c r="AJ124" s="794">
        <v>0</v>
      </c>
      <c r="AK124" s="794">
        <v>0</v>
      </c>
      <c r="AL124" s="794">
        <v>0</v>
      </c>
      <c r="AM124" s="794">
        <v>0</v>
      </c>
      <c r="AN124" s="794">
        <v>0</v>
      </c>
      <c r="AO124" s="794">
        <v>0</v>
      </c>
      <c r="AP124" s="794">
        <v>0</v>
      </c>
      <c r="AQ124" s="794">
        <v>0</v>
      </c>
      <c r="AR124" s="794">
        <v>0</v>
      </c>
      <c r="AS124" s="794">
        <v>0</v>
      </c>
      <c r="AT124" s="794">
        <v>0</v>
      </c>
      <c r="AU124" s="794">
        <v>0</v>
      </c>
      <c r="AV124" s="794">
        <v>0</v>
      </c>
      <c r="AW124" s="794">
        <v>0</v>
      </c>
      <c r="AX124" s="794">
        <v>0</v>
      </c>
      <c r="AY124" s="794">
        <v>0</v>
      </c>
      <c r="AZ124" s="794">
        <v>0</v>
      </c>
      <c r="BA124" s="794">
        <v>0</v>
      </c>
      <c r="BB124" s="794">
        <v>0</v>
      </c>
      <c r="BC124" s="794">
        <v>0</v>
      </c>
      <c r="BD124" s="794">
        <v>0</v>
      </c>
      <c r="BE124" s="794">
        <v>0</v>
      </c>
      <c r="BF124" s="794">
        <v>0</v>
      </c>
      <c r="BG124" s="794">
        <v>0</v>
      </c>
      <c r="BH124" s="794">
        <v>0</v>
      </c>
      <c r="BI124" s="794">
        <v>0</v>
      </c>
      <c r="BJ124" s="794">
        <v>0</v>
      </c>
      <c r="BK124" s="794">
        <v>0</v>
      </c>
      <c r="BL124" s="794">
        <v>0</v>
      </c>
      <c r="BM124" s="794">
        <v>0</v>
      </c>
      <c r="BN124" s="794">
        <v>0</v>
      </c>
      <c r="BO124" s="794">
        <v>0</v>
      </c>
      <c r="BP124" s="794">
        <v>0</v>
      </c>
      <c r="BQ124" s="794">
        <v>0</v>
      </c>
      <c r="BR124" s="794">
        <v>0</v>
      </c>
      <c r="BS124" s="794">
        <v>0</v>
      </c>
      <c r="BT124" s="794">
        <v>0</v>
      </c>
      <c r="BU124" s="794">
        <v>0</v>
      </c>
      <c r="BV124" s="794">
        <v>0</v>
      </c>
    </row>
    <row r="125" spans="2:74">
      <c r="B125" s="793" t="s">
        <v>2897</v>
      </c>
      <c r="C125" s="793" t="s">
        <v>2872</v>
      </c>
      <c r="D125" s="793"/>
      <c r="E125" s="794"/>
      <c r="F125" s="799"/>
      <c r="G125" s="799"/>
      <c r="H125" s="799"/>
      <c r="I125" s="799"/>
      <c r="J125" s="799"/>
      <c r="K125" s="799"/>
      <c r="L125" s="799">
        <f t="shared" si="6"/>
        <v>1</v>
      </c>
      <c r="M125" s="799"/>
      <c r="N125" s="595"/>
      <c r="O125" s="794">
        <v>0</v>
      </c>
      <c r="P125" s="794">
        <v>0</v>
      </c>
      <c r="Q125" s="794">
        <v>0</v>
      </c>
      <c r="R125" s="794">
        <v>0</v>
      </c>
      <c r="S125" s="794">
        <v>0</v>
      </c>
      <c r="T125" s="794">
        <v>0</v>
      </c>
      <c r="U125" s="794">
        <v>0</v>
      </c>
      <c r="V125" s="794">
        <v>0</v>
      </c>
      <c r="W125" s="794">
        <v>0</v>
      </c>
      <c r="X125" s="794">
        <v>0</v>
      </c>
      <c r="Y125" s="809">
        <v>25193.67</v>
      </c>
      <c r="Z125" s="794">
        <v>0</v>
      </c>
      <c r="AA125" s="794">
        <v>0</v>
      </c>
      <c r="AB125" s="794">
        <v>0</v>
      </c>
      <c r="AC125" s="794">
        <v>13036.79</v>
      </c>
      <c r="AD125" s="794">
        <v>176591.5</v>
      </c>
      <c r="AE125" s="794">
        <v>154589.56</v>
      </c>
      <c r="AF125" s="794">
        <v>34781.919999999998</v>
      </c>
      <c r="AG125" s="794">
        <v>143877.87</v>
      </c>
      <c r="AH125" s="794">
        <v>0</v>
      </c>
      <c r="AI125" s="794">
        <v>62864.47</v>
      </c>
      <c r="AJ125" s="794">
        <v>27524.52</v>
      </c>
      <c r="AK125" s="794">
        <v>0</v>
      </c>
      <c r="AL125" s="794">
        <v>0</v>
      </c>
      <c r="AM125" s="794">
        <v>71979.77</v>
      </c>
      <c r="AN125" s="794">
        <v>0</v>
      </c>
      <c r="AO125" s="794">
        <v>0</v>
      </c>
      <c r="AP125" s="794">
        <v>0</v>
      </c>
      <c r="AQ125" s="794">
        <v>0</v>
      </c>
      <c r="AR125" s="794">
        <v>0</v>
      </c>
      <c r="AS125" s="794">
        <v>0</v>
      </c>
      <c r="AT125" s="794">
        <v>0</v>
      </c>
      <c r="AU125" s="794">
        <v>0</v>
      </c>
      <c r="AV125" s="794">
        <v>0</v>
      </c>
      <c r="AW125" s="794">
        <v>0</v>
      </c>
      <c r="AX125" s="794">
        <v>0</v>
      </c>
      <c r="AY125" s="794">
        <v>0</v>
      </c>
      <c r="AZ125" s="794">
        <v>0</v>
      </c>
      <c r="BA125" s="794">
        <v>0</v>
      </c>
      <c r="BB125" s="794">
        <v>0</v>
      </c>
      <c r="BC125" s="794">
        <v>0</v>
      </c>
      <c r="BD125" s="794">
        <v>0</v>
      </c>
      <c r="BE125" s="794">
        <v>0</v>
      </c>
      <c r="BF125" s="794">
        <v>0</v>
      </c>
      <c r="BG125" s="794">
        <v>0</v>
      </c>
      <c r="BH125" s="794">
        <v>0</v>
      </c>
      <c r="BI125" s="794">
        <v>0</v>
      </c>
      <c r="BJ125" s="794">
        <v>0</v>
      </c>
      <c r="BK125" s="794">
        <v>0</v>
      </c>
      <c r="BL125" s="794">
        <v>0</v>
      </c>
      <c r="BM125" s="794">
        <v>0</v>
      </c>
      <c r="BN125" s="794">
        <v>0</v>
      </c>
      <c r="BO125" s="794">
        <v>0</v>
      </c>
      <c r="BP125" s="794">
        <v>0</v>
      </c>
      <c r="BQ125" s="794">
        <v>0</v>
      </c>
      <c r="BR125" s="794">
        <v>0</v>
      </c>
      <c r="BS125" s="794">
        <v>0</v>
      </c>
      <c r="BT125" s="794">
        <v>0</v>
      </c>
      <c r="BU125" s="794">
        <v>0</v>
      </c>
      <c r="BV125" s="794">
        <v>0</v>
      </c>
    </row>
    <row r="126" spans="2:74">
      <c r="B126" s="793" t="s">
        <v>2898</v>
      </c>
      <c r="C126" s="793" t="s">
        <v>2899</v>
      </c>
      <c r="D126" s="793"/>
      <c r="E126" s="794"/>
      <c r="F126" s="799"/>
      <c r="G126" s="799"/>
      <c r="H126" s="799"/>
      <c r="I126" s="799"/>
      <c r="J126" s="799"/>
      <c r="K126" s="799"/>
      <c r="L126" s="799">
        <f t="shared" si="6"/>
        <v>331</v>
      </c>
      <c r="M126" s="799"/>
      <c r="N126" s="595"/>
      <c r="O126" s="794">
        <v>0</v>
      </c>
      <c r="P126" s="794">
        <v>0</v>
      </c>
      <c r="Q126" s="794">
        <v>0</v>
      </c>
      <c r="R126" s="794">
        <v>0</v>
      </c>
      <c r="S126" s="794">
        <v>0</v>
      </c>
      <c r="T126" s="794">
        <v>0</v>
      </c>
      <c r="U126" s="794">
        <v>0</v>
      </c>
      <c r="V126" s="794">
        <v>0</v>
      </c>
      <c r="W126" s="794">
        <v>0</v>
      </c>
      <c r="X126" s="794">
        <v>0</v>
      </c>
      <c r="Y126" s="809">
        <v>36297.599999999999</v>
      </c>
      <c r="Z126" s="794">
        <v>41919.699999999997</v>
      </c>
      <c r="AA126" s="794">
        <v>0</v>
      </c>
      <c r="AB126" s="794">
        <v>0</v>
      </c>
      <c r="AC126" s="794">
        <v>6650</v>
      </c>
      <c r="AD126" s="794">
        <v>0</v>
      </c>
      <c r="AE126" s="794">
        <v>0</v>
      </c>
      <c r="AF126" s="794">
        <v>0</v>
      </c>
      <c r="AG126" s="794">
        <v>0</v>
      </c>
      <c r="AH126" s="794">
        <v>0</v>
      </c>
      <c r="AI126" s="794">
        <v>0</v>
      </c>
      <c r="AJ126" s="794">
        <v>0</v>
      </c>
      <c r="AK126" s="794">
        <v>0</v>
      </c>
      <c r="AL126" s="794">
        <v>0</v>
      </c>
      <c r="AM126" s="794">
        <v>0</v>
      </c>
      <c r="AN126" s="794">
        <v>0</v>
      </c>
      <c r="AO126" s="794">
        <v>0</v>
      </c>
      <c r="AP126" s="794">
        <v>0</v>
      </c>
      <c r="AQ126" s="794">
        <v>0</v>
      </c>
      <c r="AR126" s="794">
        <v>0</v>
      </c>
      <c r="AS126" s="794">
        <v>0</v>
      </c>
      <c r="AT126" s="794">
        <v>0</v>
      </c>
      <c r="AU126" s="794">
        <v>0</v>
      </c>
      <c r="AV126" s="794">
        <v>0</v>
      </c>
      <c r="AW126" s="794">
        <v>0</v>
      </c>
      <c r="AX126" s="794">
        <v>0</v>
      </c>
      <c r="AY126" s="794">
        <v>0</v>
      </c>
      <c r="AZ126" s="794">
        <v>0</v>
      </c>
      <c r="BA126" s="794">
        <v>0</v>
      </c>
      <c r="BB126" s="794">
        <v>0</v>
      </c>
      <c r="BC126" s="794">
        <v>0</v>
      </c>
      <c r="BD126" s="794">
        <v>0</v>
      </c>
      <c r="BE126" s="794">
        <v>0</v>
      </c>
      <c r="BF126" s="794">
        <v>0</v>
      </c>
      <c r="BG126" s="794">
        <v>0</v>
      </c>
      <c r="BH126" s="794">
        <v>0</v>
      </c>
      <c r="BI126" s="794">
        <v>0</v>
      </c>
      <c r="BJ126" s="794">
        <v>0</v>
      </c>
      <c r="BK126" s="794">
        <v>0</v>
      </c>
      <c r="BL126" s="794">
        <v>0</v>
      </c>
      <c r="BM126" s="794">
        <v>0</v>
      </c>
      <c r="BN126" s="794">
        <v>0</v>
      </c>
      <c r="BO126" s="794">
        <v>0</v>
      </c>
      <c r="BP126" s="794">
        <v>0</v>
      </c>
      <c r="BQ126" s="794">
        <v>0</v>
      </c>
      <c r="BR126" s="794">
        <v>0</v>
      </c>
      <c r="BS126" s="794">
        <v>0</v>
      </c>
      <c r="BT126" s="794">
        <v>0</v>
      </c>
      <c r="BU126" s="794">
        <v>0</v>
      </c>
      <c r="BV126" s="794">
        <v>0</v>
      </c>
    </row>
    <row r="127" spans="2:74">
      <c r="B127" s="793" t="s">
        <v>2901</v>
      </c>
      <c r="C127" s="793" t="s">
        <v>2861</v>
      </c>
      <c r="D127" s="793"/>
      <c r="E127" s="794"/>
      <c r="F127" s="799"/>
      <c r="G127" s="799"/>
      <c r="H127" s="799"/>
      <c r="I127" s="799"/>
      <c r="J127" s="799"/>
      <c r="K127" s="799"/>
      <c r="L127" s="799">
        <f t="shared" si="6"/>
        <v>331</v>
      </c>
      <c r="M127" s="799"/>
      <c r="N127" s="595"/>
      <c r="O127" s="794">
        <v>0</v>
      </c>
      <c r="P127" s="794">
        <v>0</v>
      </c>
      <c r="Q127" s="794">
        <v>0</v>
      </c>
      <c r="R127" s="794">
        <v>0</v>
      </c>
      <c r="S127" s="794">
        <v>0</v>
      </c>
      <c r="T127" s="794">
        <v>0</v>
      </c>
      <c r="U127" s="794">
        <v>0</v>
      </c>
      <c r="V127" s="794">
        <v>0</v>
      </c>
      <c r="W127" s="794">
        <v>0</v>
      </c>
      <c r="X127" s="794">
        <v>0</v>
      </c>
      <c r="Y127" s="809">
        <v>14740</v>
      </c>
      <c r="Z127" s="794">
        <v>0</v>
      </c>
      <c r="AA127" s="794">
        <v>29381.25</v>
      </c>
      <c r="AB127" s="794">
        <v>9212.5</v>
      </c>
      <c r="AC127" s="794">
        <v>0</v>
      </c>
      <c r="AD127" s="794">
        <v>0</v>
      </c>
      <c r="AE127" s="794">
        <v>0</v>
      </c>
      <c r="AF127" s="794">
        <v>0</v>
      </c>
      <c r="AG127" s="794">
        <v>0</v>
      </c>
      <c r="AH127" s="794">
        <v>0</v>
      </c>
      <c r="AI127" s="794">
        <v>0</v>
      </c>
      <c r="AJ127" s="794">
        <v>0</v>
      </c>
      <c r="AK127" s="794">
        <v>0</v>
      </c>
      <c r="AL127" s="794">
        <v>0</v>
      </c>
      <c r="AM127" s="794">
        <v>0</v>
      </c>
      <c r="AN127" s="794">
        <v>0</v>
      </c>
      <c r="AO127" s="794">
        <v>0</v>
      </c>
      <c r="AP127" s="794">
        <v>0</v>
      </c>
      <c r="AQ127" s="794">
        <v>0</v>
      </c>
      <c r="AR127" s="794">
        <v>0</v>
      </c>
      <c r="AS127" s="794">
        <v>0</v>
      </c>
      <c r="AT127" s="794">
        <v>0</v>
      </c>
      <c r="AU127" s="794">
        <v>0</v>
      </c>
      <c r="AV127" s="794">
        <v>0</v>
      </c>
      <c r="AW127" s="794">
        <v>0</v>
      </c>
      <c r="AX127" s="794">
        <v>0</v>
      </c>
      <c r="AY127" s="794">
        <v>0</v>
      </c>
      <c r="AZ127" s="794">
        <v>0</v>
      </c>
      <c r="BA127" s="794">
        <v>0</v>
      </c>
      <c r="BB127" s="794">
        <v>0</v>
      </c>
      <c r="BC127" s="794">
        <v>0</v>
      </c>
      <c r="BD127" s="794">
        <v>0</v>
      </c>
      <c r="BE127" s="794">
        <v>0</v>
      </c>
      <c r="BF127" s="794">
        <v>0</v>
      </c>
      <c r="BG127" s="794">
        <v>0</v>
      </c>
      <c r="BH127" s="794">
        <v>0</v>
      </c>
      <c r="BI127" s="794">
        <v>0</v>
      </c>
      <c r="BJ127" s="794">
        <v>0</v>
      </c>
      <c r="BK127" s="794">
        <v>0</v>
      </c>
      <c r="BL127" s="794">
        <v>0</v>
      </c>
      <c r="BM127" s="794">
        <v>0</v>
      </c>
      <c r="BN127" s="794">
        <v>0</v>
      </c>
      <c r="BO127" s="794">
        <v>0</v>
      </c>
      <c r="BP127" s="794">
        <v>0</v>
      </c>
      <c r="BQ127" s="794">
        <v>0</v>
      </c>
      <c r="BR127" s="794">
        <v>0</v>
      </c>
      <c r="BS127" s="794">
        <v>0</v>
      </c>
      <c r="BT127" s="794">
        <v>0</v>
      </c>
      <c r="BU127" s="794">
        <v>0</v>
      </c>
      <c r="BV127" s="794">
        <v>0</v>
      </c>
    </row>
    <row r="128" spans="2:74">
      <c r="B128" s="793" t="s">
        <v>2902</v>
      </c>
      <c r="C128" s="793" t="s">
        <v>2903</v>
      </c>
      <c r="D128" s="793"/>
      <c r="E128" s="794"/>
      <c r="F128" s="799"/>
      <c r="G128" s="799"/>
      <c r="H128" s="799"/>
      <c r="I128" s="799"/>
      <c r="J128" s="799"/>
      <c r="K128" s="799"/>
      <c r="L128" s="799">
        <f t="shared" si="6"/>
        <v>331</v>
      </c>
      <c r="M128" s="799"/>
      <c r="N128" s="595"/>
      <c r="O128" s="794">
        <v>0</v>
      </c>
      <c r="P128" s="794">
        <v>0</v>
      </c>
      <c r="Q128" s="794">
        <v>0</v>
      </c>
      <c r="R128" s="794">
        <v>0</v>
      </c>
      <c r="S128" s="794">
        <v>0</v>
      </c>
      <c r="T128" s="794">
        <v>0</v>
      </c>
      <c r="U128" s="794">
        <v>0</v>
      </c>
      <c r="V128" s="794">
        <v>0</v>
      </c>
      <c r="W128" s="794">
        <v>0</v>
      </c>
      <c r="X128" s="794">
        <v>0</v>
      </c>
      <c r="Y128" s="809">
        <v>54783.85</v>
      </c>
      <c r="Z128" s="794">
        <v>49933.57</v>
      </c>
      <c r="AA128" s="794">
        <v>77715.33</v>
      </c>
      <c r="AB128" s="794">
        <v>61162.33</v>
      </c>
      <c r="AC128" s="794">
        <v>54918.31</v>
      </c>
      <c r="AD128" s="794">
        <v>4408</v>
      </c>
      <c r="AE128" s="794">
        <v>37620</v>
      </c>
      <c r="AF128" s="794">
        <v>52738.9</v>
      </c>
      <c r="AG128" s="794">
        <v>0</v>
      </c>
      <c r="AH128" s="794">
        <v>191697.71</v>
      </c>
      <c r="AI128" s="794">
        <v>0</v>
      </c>
      <c r="AJ128" s="794">
        <v>0</v>
      </c>
      <c r="AK128" s="794">
        <v>0</v>
      </c>
      <c r="AL128" s="794">
        <v>0</v>
      </c>
      <c r="AM128" s="794">
        <v>10735.31</v>
      </c>
      <c r="AN128" s="794">
        <v>0</v>
      </c>
      <c r="AO128" s="794">
        <v>0</v>
      </c>
      <c r="AP128" s="794">
        <v>0</v>
      </c>
      <c r="AQ128" s="794">
        <v>0</v>
      </c>
      <c r="AR128" s="794">
        <v>0</v>
      </c>
      <c r="AS128" s="794">
        <v>0</v>
      </c>
      <c r="AT128" s="794">
        <v>0</v>
      </c>
      <c r="AU128" s="794">
        <v>0</v>
      </c>
      <c r="AV128" s="794">
        <v>0</v>
      </c>
      <c r="AW128" s="794">
        <v>0</v>
      </c>
      <c r="AX128" s="794">
        <v>0</v>
      </c>
      <c r="AY128" s="794">
        <v>21726.16</v>
      </c>
      <c r="AZ128" s="794">
        <v>0</v>
      </c>
      <c r="BA128" s="794">
        <v>0</v>
      </c>
      <c r="BB128" s="794">
        <v>0</v>
      </c>
      <c r="BC128" s="794">
        <v>0</v>
      </c>
      <c r="BD128" s="794">
        <v>0</v>
      </c>
      <c r="BE128" s="794">
        <v>0</v>
      </c>
      <c r="BF128" s="794">
        <v>0</v>
      </c>
      <c r="BG128" s="794">
        <v>0</v>
      </c>
      <c r="BH128" s="794">
        <v>0</v>
      </c>
      <c r="BI128" s="794">
        <v>0</v>
      </c>
      <c r="BJ128" s="794">
        <v>0</v>
      </c>
      <c r="BK128" s="794">
        <v>0</v>
      </c>
      <c r="BL128" s="794">
        <v>0</v>
      </c>
      <c r="BM128" s="794">
        <v>0</v>
      </c>
      <c r="BN128" s="794">
        <v>0</v>
      </c>
      <c r="BO128" s="794">
        <v>0</v>
      </c>
      <c r="BP128" s="794">
        <v>0</v>
      </c>
      <c r="BQ128" s="794">
        <v>0</v>
      </c>
      <c r="BR128" s="794">
        <v>0</v>
      </c>
      <c r="BS128" s="794">
        <v>0</v>
      </c>
      <c r="BT128" s="794">
        <v>0</v>
      </c>
      <c r="BU128" s="794">
        <v>0</v>
      </c>
      <c r="BV128" s="794">
        <v>0</v>
      </c>
    </row>
    <row r="129" spans="2:74">
      <c r="B129" s="793" t="s">
        <v>2904</v>
      </c>
      <c r="C129" s="793" t="s">
        <v>2905</v>
      </c>
      <c r="D129" s="793"/>
      <c r="E129" s="794"/>
      <c r="F129" s="799"/>
      <c r="G129" s="799"/>
      <c r="H129" s="799"/>
      <c r="I129" s="799"/>
      <c r="J129" s="799"/>
      <c r="K129" s="799"/>
      <c r="L129" s="799">
        <f t="shared" si="6"/>
        <v>331</v>
      </c>
      <c r="M129" s="799"/>
      <c r="N129" s="595"/>
      <c r="O129" s="794">
        <v>0</v>
      </c>
      <c r="P129" s="794">
        <v>0</v>
      </c>
      <c r="Q129" s="794">
        <v>0</v>
      </c>
      <c r="R129" s="794">
        <v>0</v>
      </c>
      <c r="S129" s="794">
        <v>0</v>
      </c>
      <c r="T129" s="794">
        <v>0</v>
      </c>
      <c r="U129" s="794">
        <v>0</v>
      </c>
      <c r="V129" s="794">
        <v>0</v>
      </c>
      <c r="W129" s="794">
        <v>0</v>
      </c>
      <c r="X129" s="794">
        <v>0</v>
      </c>
      <c r="Y129" s="794">
        <v>0</v>
      </c>
      <c r="Z129" s="809">
        <v>29700</v>
      </c>
      <c r="AA129" s="794">
        <v>0</v>
      </c>
      <c r="AB129" s="794">
        <v>0</v>
      </c>
      <c r="AC129" s="794">
        <v>0</v>
      </c>
      <c r="AD129" s="794">
        <v>0</v>
      </c>
      <c r="AE129" s="794">
        <v>0</v>
      </c>
      <c r="AF129" s="794">
        <v>0</v>
      </c>
      <c r="AG129" s="794">
        <v>0</v>
      </c>
      <c r="AH129" s="794">
        <v>0</v>
      </c>
      <c r="AI129" s="794">
        <v>0</v>
      </c>
      <c r="AJ129" s="794">
        <v>0</v>
      </c>
      <c r="AK129" s="794">
        <v>0</v>
      </c>
      <c r="AL129" s="794">
        <v>0</v>
      </c>
      <c r="AM129" s="794">
        <v>0</v>
      </c>
      <c r="AN129" s="794">
        <v>0</v>
      </c>
      <c r="AO129" s="794">
        <v>0</v>
      </c>
      <c r="AP129" s="794">
        <v>0</v>
      </c>
      <c r="AQ129" s="794">
        <v>0</v>
      </c>
      <c r="AR129" s="794">
        <v>0</v>
      </c>
      <c r="AS129" s="794">
        <v>0</v>
      </c>
      <c r="AT129" s="794">
        <v>0</v>
      </c>
      <c r="AU129" s="794">
        <v>0</v>
      </c>
      <c r="AV129" s="794">
        <v>0</v>
      </c>
      <c r="AW129" s="794">
        <v>0</v>
      </c>
      <c r="AX129" s="794">
        <v>0</v>
      </c>
      <c r="AY129" s="794">
        <v>0</v>
      </c>
      <c r="AZ129" s="794">
        <v>0</v>
      </c>
      <c r="BA129" s="794">
        <v>0</v>
      </c>
      <c r="BB129" s="794">
        <v>0</v>
      </c>
      <c r="BC129" s="794">
        <v>0</v>
      </c>
      <c r="BD129" s="794">
        <v>0</v>
      </c>
      <c r="BE129" s="794">
        <v>0</v>
      </c>
      <c r="BF129" s="794">
        <v>0</v>
      </c>
      <c r="BG129" s="794">
        <v>0</v>
      </c>
      <c r="BH129" s="794">
        <v>0</v>
      </c>
      <c r="BI129" s="794">
        <v>0</v>
      </c>
      <c r="BJ129" s="794">
        <v>0</v>
      </c>
      <c r="BK129" s="794">
        <v>0</v>
      </c>
      <c r="BL129" s="794">
        <v>0</v>
      </c>
      <c r="BM129" s="794">
        <v>0</v>
      </c>
      <c r="BN129" s="794">
        <v>0</v>
      </c>
      <c r="BO129" s="794">
        <v>0</v>
      </c>
      <c r="BP129" s="794">
        <v>0</v>
      </c>
      <c r="BQ129" s="794">
        <v>0</v>
      </c>
      <c r="BR129" s="794">
        <v>0</v>
      </c>
      <c r="BS129" s="794">
        <v>0</v>
      </c>
      <c r="BT129" s="794">
        <v>0</v>
      </c>
      <c r="BU129" s="794">
        <v>0</v>
      </c>
      <c r="BV129" s="794">
        <v>0</v>
      </c>
    </row>
    <row r="130" spans="2:74">
      <c r="B130" s="793" t="s">
        <v>2906</v>
      </c>
      <c r="C130" s="793" t="s">
        <v>2907</v>
      </c>
      <c r="D130" s="793"/>
      <c r="E130" s="794"/>
      <c r="F130" s="799"/>
      <c r="G130" s="799"/>
      <c r="H130" s="799"/>
      <c r="I130" s="799"/>
      <c r="J130" s="799"/>
      <c r="K130" s="799"/>
      <c r="L130" s="799">
        <f t="shared" si="6"/>
        <v>331</v>
      </c>
      <c r="M130" s="799"/>
      <c r="N130" s="595"/>
      <c r="O130" s="794">
        <v>0</v>
      </c>
      <c r="P130" s="794">
        <v>0</v>
      </c>
      <c r="Q130" s="794">
        <v>0</v>
      </c>
      <c r="R130" s="794">
        <v>0</v>
      </c>
      <c r="S130" s="794">
        <v>0</v>
      </c>
      <c r="T130" s="794">
        <v>0</v>
      </c>
      <c r="U130" s="794">
        <v>0</v>
      </c>
      <c r="V130" s="794">
        <v>0</v>
      </c>
      <c r="W130" s="794">
        <v>0</v>
      </c>
      <c r="X130" s="794">
        <v>0</v>
      </c>
      <c r="Y130" s="809">
        <v>24575.87</v>
      </c>
      <c r="Z130" s="794">
        <v>0</v>
      </c>
      <c r="AA130" s="794">
        <v>0</v>
      </c>
      <c r="AB130" s="794">
        <v>0</v>
      </c>
      <c r="AC130" s="794">
        <v>0</v>
      </c>
      <c r="AD130" s="794">
        <v>0</v>
      </c>
      <c r="AE130" s="794">
        <v>0</v>
      </c>
      <c r="AF130" s="794">
        <v>0</v>
      </c>
      <c r="AG130" s="794">
        <v>0</v>
      </c>
      <c r="AH130" s="794">
        <v>0</v>
      </c>
      <c r="AI130" s="794">
        <v>0</v>
      </c>
      <c r="AJ130" s="794">
        <v>0</v>
      </c>
      <c r="AK130" s="794">
        <v>0</v>
      </c>
      <c r="AL130" s="794">
        <v>98152.320000000007</v>
      </c>
      <c r="AM130" s="794">
        <v>61230.76</v>
      </c>
      <c r="AN130" s="794">
        <v>670</v>
      </c>
      <c r="AO130" s="794">
        <v>0</v>
      </c>
      <c r="AP130" s="794">
        <v>0</v>
      </c>
      <c r="AQ130" s="794">
        <v>0</v>
      </c>
      <c r="AR130" s="794">
        <v>0</v>
      </c>
      <c r="AS130" s="794">
        <v>0</v>
      </c>
      <c r="AT130" s="794">
        <v>0</v>
      </c>
      <c r="AU130" s="794">
        <v>0</v>
      </c>
      <c r="AV130" s="794">
        <v>0</v>
      </c>
      <c r="AW130" s="794">
        <v>0</v>
      </c>
      <c r="AX130" s="794">
        <v>0</v>
      </c>
      <c r="AY130" s="794">
        <v>0</v>
      </c>
      <c r="AZ130" s="794">
        <v>0</v>
      </c>
      <c r="BA130" s="794">
        <v>0</v>
      </c>
      <c r="BB130" s="794">
        <v>0</v>
      </c>
      <c r="BC130" s="794">
        <v>0</v>
      </c>
      <c r="BD130" s="794">
        <v>0</v>
      </c>
      <c r="BE130" s="794">
        <v>0</v>
      </c>
      <c r="BF130" s="794">
        <v>0</v>
      </c>
      <c r="BG130" s="794">
        <v>0</v>
      </c>
      <c r="BH130" s="794">
        <v>0</v>
      </c>
      <c r="BI130" s="794">
        <v>0</v>
      </c>
      <c r="BJ130" s="794">
        <v>0</v>
      </c>
      <c r="BK130" s="794">
        <v>0</v>
      </c>
      <c r="BL130" s="794">
        <v>0</v>
      </c>
      <c r="BM130" s="794">
        <v>0</v>
      </c>
      <c r="BN130" s="794">
        <v>0</v>
      </c>
      <c r="BO130" s="794">
        <v>0</v>
      </c>
      <c r="BP130" s="794">
        <v>0</v>
      </c>
      <c r="BQ130" s="794">
        <v>0</v>
      </c>
      <c r="BR130" s="794">
        <v>0</v>
      </c>
      <c r="BS130" s="794">
        <v>0</v>
      </c>
      <c r="BT130" s="794">
        <v>0</v>
      </c>
      <c r="BU130" s="794">
        <v>0</v>
      </c>
      <c r="BV130" s="794">
        <v>0</v>
      </c>
    </row>
    <row r="131" spans="2:74">
      <c r="B131" s="793" t="s">
        <v>2908</v>
      </c>
      <c r="C131" s="793" t="s">
        <v>2909</v>
      </c>
      <c r="D131" s="793"/>
      <c r="E131" s="794"/>
      <c r="F131" s="799"/>
      <c r="G131" s="799"/>
      <c r="H131" s="799"/>
      <c r="I131" s="799"/>
      <c r="J131" s="799"/>
      <c r="K131" s="799"/>
      <c r="L131" s="799">
        <f t="shared" si="6"/>
        <v>331</v>
      </c>
      <c r="M131" s="799"/>
      <c r="N131" s="595"/>
      <c r="O131" s="794">
        <v>0</v>
      </c>
      <c r="P131" s="794">
        <v>0</v>
      </c>
      <c r="Q131" s="794">
        <v>0</v>
      </c>
      <c r="R131" s="794">
        <v>0</v>
      </c>
      <c r="S131" s="794">
        <v>0</v>
      </c>
      <c r="T131" s="794">
        <v>0</v>
      </c>
      <c r="U131" s="794">
        <v>0</v>
      </c>
      <c r="V131" s="794">
        <v>0</v>
      </c>
      <c r="W131" s="794">
        <v>0</v>
      </c>
      <c r="X131" s="794">
        <v>0</v>
      </c>
      <c r="Y131" s="809">
        <v>33043.599999999999</v>
      </c>
      <c r="Z131" s="794">
        <v>0</v>
      </c>
      <c r="AA131" s="794">
        <v>0</v>
      </c>
      <c r="AB131" s="794">
        <v>0</v>
      </c>
      <c r="AC131" s="794">
        <v>0</v>
      </c>
      <c r="AD131" s="794">
        <v>0</v>
      </c>
      <c r="AE131" s="794">
        <v>0</v>
      </c>
      <c r="AF131" s="794">
        <v>0</v>
      </c>
      <c r="AG131" s="794">
        <v>0</v>
      </c>
      <c r="AH131" s="794">
        <v>0</v>
      </c>
      <c r="AI131" s="794">
        <v>0</v>
      </c>
      <c r="AJ131" s="794">
        <v>0</v>
      </c>
      <c r="AK131" s="794">
        <v>0</v>
      </c>
      <c r="AL131" s="794">
        <v>0</v>
      </c>
      <c r="AM131" s="794">
        <v>0</v>
      </c>
      <c r="AN131" s="794">
        <v>0</v>
      </c>
      <c r="AO131" s="794">
        <v>0</v>
      </c>
      <c r="AP131" s="794">
        <v>0</v>
      </c>
      <c r="AQ131" s="794">
        <v>0</v>
      </c>
      <c r="AR131" s="794">
        <v>0</v>
      </c>
      <c r="AS131" s="794">
        <v>0</v>
      </c>
      <c r="AT131" s="794">
        <v>0</v>
      </c>
      <c r="AU131" s="794">
        <v>0</v>
      </c>
      <c r="AV131" s="794">
        <v>0</v>
      </c>
      <c r="AW131" s="794">
        <v>0</v>
      </c>
      <c r="AX131" s="794">
        <v>0</v>
      </c>
      <c r="AY131" s="794">
        <v>0</v>
      </c>
      <c r="AZ131" s="794">
        <v>0</v>
      </c>
      <c r="BA131" s="794">
        <v>0</v>
      </c>
      <c r="BB131" s="794">
        <v>0</v>
      </c>
      <c r="BC131" s="794">
        <v>0</v>
      </c>
      <c r="BD131" s="794">
        <v>0</v>
      </c>
      <c r="BE131" s="794">
        <v>0</v>
      </c>
      <c r="BF131" s="794">
        <v>0</v>
      </c>
      <c r="BG131" s="794">
        <v>0</v>
      </c>
      <c r="BH131" s="794">
        <v>0</v>
      </c>
      <c r="BI131" s="794">
        <v>0</v>
      </c>
      <c r="BJ131" s="794">
        <v>0</v>
      </c>
      <c r="BK131" s="794">
        <v>0</v>
      </c>
      <c r="BL131" s="794">
        <v>0</v>
      </c>
      <c r="BM131" s="794">
        <v>0</v>
      </c>
      <c r="BN131" s="794">
        <v>0</v>
      </c>
      <c r="BO131" s="794">
        <v>0</v>
      </c>
      <c r="BP131" s="794">
        <v>0</v>
      </c>
      <c r="BQ131" s="794">
        <v>0</v>
      </c>
      <c r="BR131" s="794">
        <v>0</v>
      </c>
      <c r="BS131" s="794">
        <v>0</v>
      </c>
      <c r="BT131" s="794">
        <v>0</v>
      </c>
      <c r="BU131" s="794">
        <v>0</v>
      </c>
      <c r="BV131" s="794">
        <v>0</v>
      </c>
    </row>
    <row r="132" spans="2:74">
      <c r="B132" s="793" t="s">
        <v>2910</v>
      </c>
      <c r="C132" s="793" t="s">
        <v>2911</v>
      </c>
      <c r="D132" s="793"/>
      <c r="E132" s="794"/>
      <c r="F132" s="799"/>
      <c r="G132" s="799"/>
      <c r="H132" s="799"/>
      <c r="I132" s="799"/>
      <c r="J132" s="799"/>
      <c r="K132" s="799"/>
      <c r="L132" s="799">
        <f t="shared" si="6"/>
        <v>331</v>
      </c>
      <c r="M132" s="799"/>
      <c r="N132" s="595"/>
      <c r="O132" s="794">
        <v>0</v>
      </c>
      <c r="P132" s="794">
        <v>0</v>
      </c>
      <c r="Q132" s="794">
        <v>0</v>
      </c>
      <c r="R132" s="794">
        <v>0</v>
      </c>
      <c r="S132" s="794">
        <v>0</v>
      </c>
      <c r="T132" s="794">
        <v>0</v>
      </c>
      <c r="U132" s="794">
        <v>0</v>
      </c>
      <c r="V132" s="794">
        <v>0</v>
      </c>
      <c r="W132" s="794">
        <v>0</v>
      </c>
      <c r="X132" s="794">
        <v>0</v>
      </c>
      <c r="Y132" s="809">
        <v>72101.789999999994</v>
      </c>
      <c r="Z132" s="794">
        <v>0</v>
      </c>
      <c r="AA132" s="794">
        <v>0</v>
      </c>
      <c r="AB132" s="794">
        <v>0</v>
      </c>
      <c r="AC132" s="794">
        <v>30898.21</v>
      </c>
      <c r="AD132" s="794">
        <v>0</v>
      </c>
      <c r="AE132" s="794">
        <v>0</v>
      </c>
      <c r="AF132" s="794">
        <v>0</v>
      </c>
      <c r="AG132" s="794">
        <v>0</v>
      </c>
      <c r="AH132" s="794">
        <v>0</v>
      </c>
      <c r="AI132" s="794">
        <v>0</v>
      </c>
      <c r="AJ132" s="794">
        <v>0</v>
      </c>
      <c r="AK132" s="794">
        <v>0</v>
      </c>
      <c r="AL132" s="794">
        <v>0</v>
      </c>
      <c r="AM132" s="794">
        <v>0</v>
      </c>
      <c r="AN132" s="794">
        <v>0</v>
      </c>
      <c r="AO132" s="794">
        <v>0</v>
      </c>
      <c r="AP132" s="794">
        <v>0</v>
      </c>
      <c r="AQ132" s="794">
        <v>0</v>
      </c>
      <c r="AR132" s="794">
        <v>0</v>
      </c>
      <c r="AS132" s="794">
        <v>0</v>
      </c>
      <c r="AT132" s="794">
        <v>0</v>
      </c>
      <c r="AU132" s="794">
        <v>0</v>
      </c>
      <c r="AV132" s="794">
        <v>0</v>
      </c>
      <c r="AW132" s="794">
        <v>0</v>
      </c>
      <c r="AX132" s="794">
        <v>0</v>
      </c>
      <c r="AY132" s="794">
        <v>0</v>
      </c>
      <c r="AZ132" s="794">
        <v>0</v>
      </c>
      <c r="BA132" s="794">
        <v>0</v>
      </c>
      <c r="BB132" s="794">
        <v>0</v>
      </c>
      <c r="BC132" s="794">
        <v>0</v>
      </c>
      <c r="BD132" s="794">
        <v>0</v>
      </c>
      <c r="BE132" s="794">
        <v>0</v>
      </c>
      <c r="BF132" s="794">
        <v>0</v>
      </c>
      <c r="BG132" s="794">
        <v>0</v>
      </c>
      <c r="BH132" s="794">
        <v>0</v>
      </c>
      <c r="BI132" s="794">
        <v>0</v>
      </c>
      <c r="BJ132" s="794">
        <v>0</v>
      </c>
      <c r="BK132" s="794">
        <v>0</v>
      </c>
      <c r="BL132" s="794">
        <v>0</v>
      </c>
      <c r="BM132" s="794">
        <v>0</v>
      </c>
      <c r="BN132" s="794">
        <v>0</v>
      </c>
      <c r="BO132" s="794">
        <v>0</v>
      </c>
      <c r="BP132" s="794">
        <v>0</v>
      </c>
      <c r="BQ132" s="794">
        <v>0</v>
      </c>
      <c r="BR132" s="794">
        <v>0</v>
      </c>
      <c r="BS132" s="794">
        <v>0</v>
      </c>
      <c r="BT132" s="794">
        <v>0</v>
      </c>
      <c r="BU132" s="794">
        <v>10300</v>
      </c>
      <c r="BV132" s="794">
        <v>0</v>
      </c>
    </row>
    <row r="133" spans="2:74">
      <c r="B133" s="793" t="s">
        <v>2912</v>
      </c>
      <c r="C133" s="793" t="s">
        <v>2909</v>
      </c>
      <c r="D133" s="793"/>
      <c r="E133" s="794"/>
      <c r="F133" s="799"/>
      <c r="G133" s="799"/>
      <c r="H133" s="799"/>
      <c r="I133" s="799"/>
      <c r="J133" s="799"/>
      <c r="K133" s="799"/>
      <c r="L133" s="799">
        <f t="shared" ref="L133:L196" si="7">+COUNTIF($AJ$5:$AJ$371,AJ133)</f>
        <v>331</v>
      </c>
      <c r="M133" s="799"/>
      <c r="N133" s="595"/>
      <c r="O133" s="794">
        <v>0</v>
      </c>
      <c r="P133" s="794">
        <v>0</v>
      </c>
      <c r="Q133" s="794">
        <v>0</v>
      </c>
      <c r="R133" s="794">
        <v>0</v>
      </c>
      <c r="S133" s="794">
        <v>0</v>
      </c>
      <c r="T133" s="794">
        <v>0</v>
      </c>
      <c r="U133" s="794">
        <v>0</v>
      </c>
      <c r="V133" s="794">
        <v>0</v>
      </c>
      <c r="W133" s="794">
        <v>0</v>
      </c>
      <c r="X133" s="794">
        <v>0</v>
      </c>
      <c r="Y133" s="809">
        <v>16683.82</v>
      </c>
      <c r="Z133" s="794">
        <v>0</v>
      </c>
      <c r="AA133" s="794">
        <v>5600</v>
      </c>
      <c r="AB133" s="794">
        <v>0</v>
      </c>
      <c r="AC133" s="794">
        <v>0</v>
      </c>
      <c r="AD133" s="794">
        <v>0</v>
      </c>
      <c r="AE133" s="794">
        <v>0</v>
      </c>
      <c r="AF133" s="794">
        <v>0</v>
      </c>
      <c r="AG133" s="794">
        <v>0</v>
      </c>
      <c r="AH133" s="794">
        <v>0</v>
      </c>
      <c r="AI133" s="794">
        <v>0</v>
      </c>
      <c r="AJ133" s="794">
        <v>0</v>
      </c>
      <c r="AK133" s="794">
        <v>0</v>
      </c>
      <c r="AL133" s="794">
        <v>0</v>
      </c>
      <c r="AM133" s="794">
        <v>0</v>
      </c>
      <c r="AN133" s="794">
        <v>0</v>
      </c>
      <c r="AO133" s="794">
        <v>0</v>
      </c>
      <c r="AP133" s="794">
        <v>0</v>
      </c>
      <c r="AQ133" s="794">
        <v>0</v>
      </c>
      <c r="AR133" s="794">
        <v>0</v>
      </c>
      <c r="AS133" s="794">
        <v>0</v>
      </c>
      <c r="AT133" s="794">
        <v>0</v>
      </c>
      <c r="AU133" s="794">
        <v>0</v>
      </c>
      <c r="AV133" s="794">
        <v>0</v>
      </c>
      <c r="AW133" s="794">
        <v>0</v>
      </c>
      <c r="AX133" s="794">
        <v>0</v>
      </c>
      <c r="AY133" s="794">
        <v>0</v>
      </c>
      <c r="AZ133" s="794">
        <v>0</v>
      </c>
      <c r="BA133" s="794">
        <v>0</v>
      </c>
      <c r="BB133" s="794">
        <v>0</v>
      </c>
      <c r="BC133" s="794">
        <v>0</v>
      </c>
      <c r="BD133" s="794">
        <v>0</v>
      </c>
      <c r="BE133" s="794">
        <v>0</v>
      </c>
      <c r="BF133" s="794">
        <v>0</v>
      </c>
      <c r="BG133" s="794">
        <v>0</v>
      </c>
      <c r="BH133" s="794">
        <v>0</v>
      </c>
      <c r="BI133" s="794">
        <v>0</v>
      </c>
      <c r="BJ133" s="794">
        <v>0</v>
      </c>
      <c r="BK133" s="794">
        <v>0</v>
      </c>
      <c r="BL133" s="794">
        <v>0</v>
      </c>
      <c r="BM133" s="794">
        <v>0</v>
      </c>
      <c r="BN133" s="794">
        <v>0</v>
      </c>
      <c r="BO133" s="794">
        <v>0</v>
      </c>
      <c r="BP133" s="794">
        <v>0</v>
      </c>
      <c r="BQ133" s="794">
        <v>0</v>
      </c>
      <c r="BR133" s="794">
        <v>0</v>
      </c>
      <c r="BS133" s="794">
        <v>0</v>
      </c>
      <c r="BT133" s="794">
        <v>0</v>
      </c>
      <c r="BU133" s="794">
        <v>0</v>
      </c>
      <c r="BV133" s="794">
        <v>0</v>
      </c>
    </row>
    <row r="134" spans="2:74">
      <c r="B134" s="793" t="s">
        <v>2913</v>
      </c>
      <c r="C134" s="793" t="s">
        <v>2914</v>
      </c>
      <c r="D134" s="793"/>
      <c r="E134" s="794"/>
      <c r="F134" s="799"/>
      <c r="G134" s="799"/>
      <c r="H134" s="799"/>
      <c r="I134" s="799"/>
      <c r="J134" s="799"/>
      <c r="K134" s="799"/>
      <c r="L134" s="799">
        <f t="shared" si="7"/>
        <v>331</v>
      </c>
      <c r="M134" s="799"/>
      <c r="N134" s="595"/>
      <c r="O134" s="794">
        <v>0</v>
      </c>
      <c r="P134" s="794">
        <v>0</v>
      </c>
      <c r="Q134" s="794">
        <v>0</v>
      </c>
      <c r="R134" s="794">
        <v>0</v>
      </c>
      <c r="S134" s="794">
        <v>0</v>
      </c>
      <c r="T134" s="794">
        <v>0</v>
      </c>
      <c r="U134" s="794">
        <v>0</v>
      </c>
      <c r="V134" s="794">
        <v>0</v>
      </c>
      <c r="W134" s="794">
        <v>0</v>
      </c>
      <c r="X134" s="794">
        <v>0</v>
      </c>
      <c r="Y134" s="809">
        <v>68202.63</v>
      </c>
      <c r="Z134" s="794">
        <v>0</v>
      </c>
      <c r="AA134" s="794">
        <v>0</v>
      </c>
      <c r="AB134" s="794">
        <v>0</v>
      </c>
      <c r="AC134" s="794">
        <v>0</v>
      </c>
      <c r="AD134" s="794">
        <v>0</v>
      </c>
      <c r="AE134" s="794">
        <v>0</v>
      </c>
      <c r="AF134" s="794">
        <v>0</v>
      </c>
      <c r="AG134" s="794">
        <v>0</v>
      </c>
      <c r="AH134" s="794">
        <v>0</v>
      </c>
      <c r="AI134" s="794">
        <v>0</v>
      </c>
      <c r="AJ134" s="794">
        <v>0</v>
      </c>
      <c r="AK134" s="794">
        <v>0</v>
      </c>
      <c r="AL134" s="794">
        <v>0</v>
      </c>
      <c r="AM134" s="794">
        <v>0</v>
      </c>
      <c r="AN134" s="794">
        <v>0</v>
      </c>
      <c r="AO134" s="794">
        <v>0</v>
      </c>
      <c r="AP134" s="794">
        <v>0</v>
      </c>
      <c r="AQ134" s="794">
        <v>0</v>
      </c>
      <c r="AR134" s="794">
        <v>0</v>
      </c>
      <c r="AS134" s="794">
        <v>0</v>
      </c>
      <c r="AT134" s="794">
        <v>0</v>
      </c>
      <c r="AU134" s="794">
        <v>0</v>
      </c>
      <c r="AV134" s="794">
        <v>0</v>
      </c>
      <c r="AW134" s="794">
        <v>0</v>
      </c>
      <c r="AX134" s="794">
        <v>0</v>
      </c>
      <c r="AY134" s="794">
        <v>0</v>
      </c>
      <c r="AZ134" s="794">
        <v>0</v>
      </c>
      <c r="BA134" s="794">
        <v>0</v>
      </c>
      <c r="BB134" s="794">
        <v>0</v>
      </c>
      <c r="BC134" s="794">
        <v>0</v>
      </c>
      <c r="BD134" s="794">
        <v>0</v>
      </c>
      <c r="BE134" s="794">
        <v>0</v>
      </c>
      <c r="BF134" s="794">
        <v>0</v>
      </c>
      <c r="BG134" s="794">
        <v>0</v>
      </c>
      <c r="BH134" s="794">
        <v>0</v>
      </c>
      <c r="BI134" s="794">
        <v>0</v>
      </c>
      <c r="BJ134" s="794">
        <v>0</v>
      </c>
      <c r="BK134" s="794">
        <v>0</v>
      </c>
      <c r="BL134" s="794">
        <v>0</v>
      </c>
      <c r="BM134" s="794">
        <v>0</v>
      </c>
      <c r="BN134" s="794">
        <v>0</v>
      </c>
      <c r="BO134" s="794">
        <v>0</v>
      </c>
      <c r="BP134" s="794">
        <v>0</v>
      </c>
      <c r="BQ134" s="794">
        <v>0</v>
      </c>
      <c r="BR134" s="794">
        <v>0</v>
      </c>
      <c r="BS134" s="794">
        <v>0</v>
      </c>
      <c r="BT134" s="794">
        <v>0</v>
      </c>
      <c r="BU134" s="794">
        <v>0</v>
      </c>
      <c r="BV134" s="794">
        <v>0</v>
      </c>
    </row>
    <row r="135" spans="2:74">
      <c r="B135" s="793" t="s">
        <v>2917</v>
      </c>
      <c r="C135" s="793" t="s">
        <v>2918</v>
      </c>
      <c r="D135" s="793"/>
      <c r="E135" s="794"/>
      <c r="F135" s="799"/>
      <c r="G135" s="799"/>
      <c r="H135" s="799"/>
      <c r="I135" s="799"/>
      <c r="J135" s="799"/>
      <c r="K135" s="799"/>
      <c r="L135" s="799">
        <f t="shared" si="7"/>
        <v>331</v>
      </c>
      <c r="M135" s="799"/>
      <c r="N135" s="595"/>
      <c r="O135" s="794">
        <v>0</v>
      </c>
      <c r="P135" s="794">
        <v>0</v>
      </c>
      <c r="Q135" s="794">
        <v>0</v>
      </c>
      <c r="R135" s="794">
        <v>0</v>
      </c>
      <c r="S135" s="794">
        <v>0</v>
      </c>
      <c r="T135" s="794">
        <v>0</v>
      </c>
      <c r="U135" s="794">
        <v>0</v>
      </c>
      <c r="V135" s="794">
        <v>0</v>
      </c>
      <c r="W135" s="794">
        <v>0</v>
      </c>
      <c r="X135" s="794">
        <v>0</v>
      </c>
      <c r="Y135" s="794">
        <v>0</v>
      </c>
      <c r="Z135" s="809">
        <v>227691.62</v>
      </c>
      <c r="AA135" s="794">
        <v>113033.59</v>
      </c>
      <c r="AB135" s="794">
        <v>27231.119999999999</v>
      </c>
      <c r="AC135" s="794">
        <v>0</v>
      </c>
      <c r="AD135" s="794">
        <v>60043.68</v>
      </c>
      <c r="AE135" s="794">
        <v>0</v>
      </c>
      <c r="AF135" s="794">
        <v>0</v>
      </c>
      <c r="AG135" s="794">
        <v>0</v>
      </c>
      <c r="AH135" s="794">
        <v>0</v>
      </c>
      <c r="AI135" s="794">
        <v>0</v>
      </c>
      <c r="AJ135" s="794">
        <v>0</v>
      </c>
      <c r="AK135" s="794">
        <v>0</v>
      </c>
      <c r="AL135" s="794">
        <v>0</v>
      </c>
      <c r="AM135" s="794">
        <v>0</v>
      </c>
      <c r="AN135" s="794">
        <v>0</v>
      </c>
      <c r="AO135" s="794">
        <v>0</v>
      </c>
      <c r="AP135" s="794">
        <v>0</v>
      </c>
      <c r="AQ135" s="794">
        <v>0</v>
      </c>
      <c r="AR135" s="794">
        <v>0</v>
      </c>
      <c r="AS135" s="794">
        <v>0</v>
      </c>
      <c r="AT135" s="794">
        <v>0</v>
      </c>
      <c r="AU135" s="794">
        <v>0</v>
      </c>
      <c r="AV135" s="794">
        <v>0</v>
      </c>
      <c r="AW135" s="794">
        <v>0</v>
      </c>
      <c r="AX135" s="794">
        <v>0</v>
      </c>
      <c r="AY135" s="794">
        <v>0</v>
      </c>
      <c r="AZ135" s="794">
        <v>0</v>
      </c>
      <c r="BA135" s="794">
        <v>0</v>
      </c>
      <c r="BB135" s="794">
        <v>0</v>
      </c>
      <c r="BC135" s="794">
        <v>0</v>
      </c>
      <c r="BD135" s="794">
        <v>0</v>
      </c>
      <c r="BE135" s="794">
        <v>0</v>
      </c>
      <c r="BF135" s="794">
        <v>0</v>
      </c>
      <c r="BG135" s="794">
        <v>0</v>
      </c>
      <c r="BH135" s="794">
        <v>0</v>
      </c>
      <c r="BI135" s="794">
        <v>0</v>
      </c>
      <c r="BJ135" s="794">
        <v>0</v>
      </c>
      <c r="BK135" s="794">
        <v>0</v>
      </c>
      <c r="BL135" s="794">
        <v>0</v>
      </c>
      <c r="BM135" s="794">
        <v>0</v>
      </c>
      <c r="BN135" s="794">
        <v>0</v>
      </c>
      <c r="BO135" s="794">
        <v>0</v>
      </c>
      <c r="BP135" s="794">
        <v>0</v>
      </c>
      <c r="BQ135" s="794">
        <v>0</v>
      </c>
      <c r="BR135" s="794">
        <v>0</v>
      </c>
      <c r="BS135" s="794">
        <v>0</v>
      </c>
      <c r="BT135" s="794">
        <v>0</v>
      </c>
      <c r="BU135" s="794">
        <v>0</v>
      </c>
      <c r="BV135" s="794">
        <v>0</v>
      </c>
    </row>
    <row r="136" spans="2:74">
      <c r="B136" s="793" t="s">
        <v>2919</v>
      </c>
      <c r="C136" s="793" t="s">
        <v>2916</v>
      </c>
      <c r="D136" s="793"/>
      <c r="E136" s="794"/>
      <c r="F136" s="799"/>
      <c r="G136" s="799"/>
      <c r="H136" s="799"/>
      <c r="I136" s="799"/>
      <c r="J136" s="799"/>
      <c r="K136" s="799"/>
      <c r="L136" s="799">
        <f t="shared" si="7"/>
        <v>331</v>
      </c>
      <c r="M136" s="799"/>
      <c r="N136" s="595"/>
      <c r="O136" s="794">
        <v>0</v>
      </c>
      <c r="P136" s="794">
        <v>0</v>
      </c>
      <c r="Q136" s="794">
        <v>0</v>
      </c>
      <c r="R136" s="794">
        <v>0</v>
      </c>
      <c r="S136" s="794">
        <v>0</v>
      </c>
      <c r="T136" s="794">
        <v>0</v>
      </c>
      <c r="U136" s="794">
        <v>0</v>
      </c>
      <c r="V136" s="794">
        <v>0</v>
      </c>
      <c r="W136" s="794">
        <v>0</v>
      </c>
      <c r="X136" s="794">
        <v>0</v>
      </c>
      <c r="Y136" s="794">
        <v>0</v>
      </c>
      <c r="Z136" s="809">
        <v>3951.2</v>
      </c>
      <c r="AA136" s="794">
        <v>0</v>
      </c>
      <c r="AB136" s="794">
        <v>0</v>
      </c>
      <c r="AC136" s="794">
        <v>0</v>
      </c>
      <c r="AD136" s="794">
        <v>0</v>
      </c>
      <c r="AE136" s="794">
        <v>0</v>
      </c>
      <c r="AF136" s="794">
        <v>0</v>
      </c>
      <c r="AG136" s="794">
        <v>0</v>
      </c>
      <c r="AH136" s="794">
        <v>0</v>
      </c>
      <c r="AI136" s="794">
        <v>0</v>
      </c>
      <c r="AJ136" s="794">
        <v>0</v>
      </c>
      <c r="AK136" s="794">
        <v>0</v>
      </c>
      <c r="AL136" s="794">
        <v>0</v>
      </c>
      <c r="AM136" s="794">
        <v>0</v>
      </c>
      <c r="AN136" s="794">
        <v>0</v>
      </c>
      <c r="AO136" s="794">
        <v>0</v>
      </c>
      <c r="AP136" s="794">
        <v>0</v>
      </c>
      <c r="AQ136" s="794">
        <v>0</v>
      </c>
      <c r="AR136" s="794">
        <v>0</v>
      </c>
      <c r="AS136" s="794">
        <v>0</v>
      </c>
      <c r="AT136" s="794">
        <v>0</v>
      </c>
      <c r="AU136" s="794">
        <v>0</v>
      </c>
      <c r="AV136" s="794">
        <v>0</v>
      </c>
      <c r="AW136" s="794">
        <v>0</v>
      </c>
      <c r="AX136" s="794">
        <v>0</v>
      </c>
      <c r="AY136" s="794">
        <v>0</v>
      </c>
      <c r="AZ136" s="794">
        <v>0</v>
      </c>
      <c r="BA136" s="794">
        <v>0</v>
      </c>
      <c r="BB136" s="794">
        <v>0</v>
      </c>
      <c r="BC136" s="794">
        <v>0</v>
      </c>
      <c r="BD136" s="794">
        <v>0</v>
      </c>
      <c r="BE136" s="794">
        <v>0</v>
      </c>
      <c r="BF136" s="794">
        <v>0</v>
      </c>
      <c r="BG136" s="794">
        <v>0</v>
      </c>
      <c r="BH136" s="794">
        <v>0</v>
      </c>
      <c r="BI136" s="794">
        <v>0</v>
      </c>
      <c r="BJ136" s="794">
        <v>0</v>
      </c>
      <c r="BK136" s="794">
        <v>0</v>
      </c>
      <c r="BL136" s="794">
        <v>0</v>
      </c>
      <c r="BM136" s="794">
        <v>0</v>
      </c>
      <c r="BN136" s="794">
        <v>0</v>
      </c>
      <c r="BO136" s="794">
        <v>0</v>
      </c>
      <c r="BP136" s="794">
        <v>0</v>
      </c>
      <c r="BQ136" s="794">
        <v>0</v>
      </c>
      <c r="BR136" s="794">
        <v>0</v>
      </c>
      <c r="BS136" s="794">
        <v>0</v>
      </c>
      <c r="BT136" s="794">
        <v>0</v>
      </c>
      <c r="BU136" s="794">
        <v>0</v>
      </c>
      <c r="BV136" s="794">
        <v>0</v>
      </c>
    </row>
    <row r="137" spans="2:74">
      <c r="B137" s="793" t="s">
        <v>2920</v>
      </c>
      <c r="C137" s="793" t="s">
        <v>2921</v>
      </c>
      <c r="D137" s="793"/>
      <c r="E137" s="794"/>
      <c r="F137" s="799"/>
      <c r="G137" s="799"/>
      <c r="H137" s="799"/>
      <c r="I137" s="799"/>
      <c r="J137" s="799"/>
      <c r="K137" s="799"/>
      <c r="L137" s="799">
        <f t="shared" si="7"/>
        <v>331</v>
      </c>
      <c r="M137" s="799"/>
      <c r="N137" s="595"/>
      <c r="O137" s="794">
        <v>0</v>
      </c>
      <c r="P137" s="794">
        <v>0</v>
      </c>
      <c r="Q137" s="794">
        <v>0</v>
      </c>
      <c r="R137" s="794">
        <v>0</v>
      </c>
      <c r="S137" s="794">
        <v>0</v>
      </c>
      <c r="T137" s="794">
        <v>0</v>
      </c>
      <c r="U137" s="794">
        <v>0</v>
      </c>
      <c r="V137" s="794">
        <v>0</v>
      </c>
      <c r="W137" s="794">
        <v>0</v>
      </c>
      <c r="X137" s="794">
        <v>0</v>
      </c>
      <c r="Y137" s="794">
        <v>0</v>
      </c>
      <c r="Z137" s="809">
        <v>26054.81</v>
      </c>
      <c r="AA137" s="794">
        <v>158900</v>
      </c>
      <c r="AB137" s="794">
        <v>316641.57</v>
      </c>
      <c r="AC137" s="794">
        <v>185858.22</v>
      </c>
      <c r="AD137" s="794">
        <v>954</v>
      </c>
      <c r="AE137" s="794">
        <v>0</v>
      </c>
      <c r="AF137" s="794">
        <v>0</v>
      </c>
      <c r="AG137" s="794">
        <v>49823.43</v>
      </c>
      <c r="AH137" s="794">
        <v>0</v>
      </c>
      <c r="AI137" s="794">
        <v>0</v>
      </c>
      <c r="AJ137" s="794">
        <v>0</v>
      </c>
      <c r="AK137" s="794">
        <v>0</v>
      </c>
      <c r="AL137" s="794">
        <v>0</v>
      </c>
      <c r="AM137" s="794">
        <v>0</v>
      </c>
      <c r="AN137" s="794">
        <v>0</v>
      </c>
      <c r="AO137" s="794">
        <v>0</v>
      </c>
      <c r="AP137" s="794">
        <v>0</v>
      </c>
      <c r="AQ137" s="794">
        <v>0</v>
      </c>
      <c r="AR137" s="794">
        <v>0</v>
      </c>
      <c r="AS137" s="794">
        <v>0</v>
      </c>
      <c r="AT137" s="794">
        <v>0</v>
      </c>
      <c r="AU137" s="794">
        <v>0</v>
      </c>
      <c r="AV137" s="794">
        <v>0</v>
      </c>
      <c r="AW137" s="794">
        <v>0</v>
      </c>
      <c r="AX137" s="794">
        <v>0</v>
      </c>
      <c r="AY137" s="794">
        <v>0</v>
      </c>
      <c r="AZ137" s="794">
        <v>0</v>
      </c>
      <c r="BA137" s="794">
        <v>0</v>
      </c>
      <c r="BB137" s="794">
        <v>0</v>
      </c>
      <c r="BC137" s="794">
        <v>0</v>
      </c>
      <c r="BD137" s="794">
        <v>0</v>
      </c>
      <c r="BE137" s="794">
        <v>0</v>
      </c>
      <c r="BF137" s="794">
        <v>0</v>
      </c>
      <c r="BG137" s="794">
        <v>0</v>
      </c>
      <c r="BH137" s="794">
        <v>0</v>
      </c>
      <c r="BI137" s="794">
        <v>0</v>
      </c>
      <c r="BJ137" s="794">
        <v>0</v>
      </c>
      <c r="BK137" s="794">
        <v>0</v>
      </c>
      <c r="BL137" s="794">
        <v>0</v>
      </c>
      <c r="BM137" s="794">
        <v>0</v>
      </c>
      <c r="BN137" s="794">
        <v>0</v>
      </c>
      <c r="BO137" s="794">
        <v>0</v>
      </c>
      <c r="BP137" s="794">
        <v>0</v>
      </c>
      <c r="BQ137" s="794">
        <v>0</v>
      </c>
      <c r="BR137" s="794">
        <v>0</v>
      </c>
      <c r="BS137" s="794">
        <v>0</v>
      </c>
      <c r="BT137" s="794">
        <v>0</v>
      </c>
      <c r="BU137" s="794">
        <v>0</v>
      </c>
      <c r="BV137" s="794">
        <v>0</v>
      </c>
    </row>
    <row r="138" spans="2:74">
      <c r="B138" s="793" t="s">
        <v>2922</v>
      </c>
      <c r="C138" s="793" t="s">
        <v>2907</v>
      </c>
      <c r="D138" s="793"/>
      <c r="E138" s="794"/>
      <c r="F138" s="799"/>
      <c r="G138" s="799"/>
      <c r="H138" s="799"/>
      <c r="I138" s="799"/>
      <c r="J138" s="799"/>
      <c r="K138" s="799"/>
      <c r="L138" s="799">
        <f t="shared" si="7"/>
        <v>331</v>
      </c>
      <c r="M138" s="799"/>
      <c r="N138" s="595"/>
      <c r="O138" s="794">
        <v>0</v>
      </c>
      <c r="P138" s="794">
        <v>0</v>
      </c>
      <c r="Q138" s="794">
        <v>0</v>
      </c>
      <c r="R138" s="794">
        <v>0</v>
      </c>
      <c r="S138" s="794">
        <v>0</v>
      </c>
      <c r="T138" s="794">
        <v>0</v>
      </c>
      <c r="U138" s="794">
        <v>0</v>
      </c>
      <c r="V138" s="794">
        <v>0</v>
      </c>
      <c r="W138" s="794">
        <v>0</v>
      </c>
      <c r="X138" s="794">
        <v>0</v>
      </c>
      <c r="Y138" s="794">
        <v>0</v>
      </c>
      <c r="Z138" s="809">
        <v>66121.820000000007</v>
      </c>
      <c r="AA138" s="794">
        <v>47596.62</v>
      </c>
      <c r="AB138" s="794">
        <v>0</v>
      </c>
      <c r="AC138" s="794">
        <v>0</v>
      </c>
      <c r="AD138" s="794">
        <v>0</v>
      </c>
      <c r="AE138" s="794">
        <v>0</v>
      </c>
      <c r="AF138" s="794">
        <v>0</v>
      </c>
      <c r="AG138" s="794">
        <v>0</v>
      </c>
      <c r="AH138" s="794">
        <v>0</v>
      </c>
      <c r="AI138" s="794">
        <v>0</v>
      </c>
      <c r="AJ138" s="794">
        <v>0</v>
      </c>
      <c r="AK138" s="794">
        <v>0</v>
      </c>
      <c r="AL138" s="794">
        <v>0</v>
      </c>
      <c r="AM138" s="794">
        <v>0</v>
      </c>
      <c r="AN138" s="794">
        <v>0</v>
      </c>
      <c r="AO138" s="794">
        <v>0</v>
      </c>
      <c r="AP138" s="794">
        <v>0</v>
      </c>
      <c r="AQ138" s="794">
        <v>0</v>
      </c>
      <c r="AR138" s="794">
        <v>0</v>
      </c>
      <c r="AS138" s="794">
        <v>0</v>
      </c>
      <c r="AT138" s="794">
        <v>0</v>
      </c>
      <c r="AU138" s="794">
        <v>0</v>
      </c>
      <c r="AV138" s="794">
        <v>0</v>
      </c>
      <c r="AW138" s="794">
        <v>0</v>
      </c>
      <c r="AX138" s="794">
        <v>0</v>
      </c>
      <c r="AY138" s="794">
        <v>0</v>
      </c>
      <c r="AZ138" s="794">
        <v>0</v>
      </c>
      <c r="BA138" s="794">
        <v>0</v>
      </c>
      <c r="BB138" s="794">
        <v>0</v>
      </c>
      <c r="BC138" s="794">
        <v>0</v>
      </c>
      <c r="BD138" s="794">
        <v>0</v>
      </c>
      <c r="BE138" s="794">
        <v>0</v>
      </c>
      <c r="BF138" s="794">
        <v>0</v>
      </c>
      <c r="BG138" s="794">
        <v>0</v>
      </c>
      <c r="BH138" s="794">
        <v>0</v>
      </c>
      <c r="BI138" s="794">
        <v>0</v>
      </c>
      <c r="BJ138" s="794">
        <v>0</v>
      </c>
      <c r="BK138" s="794">
        <v>0</v>
      </c>
      <c r="BL138" s="794">
        <v>0</v>
      </c>
      <c r="BM138" s="794">
        <v>0</v>
      </c>
      <c r="BN138" s="794">
        <v>0</v>
      </c>
      <c r="BO138" s="794">
        <v>0</v>
      </c>
      <c r="BP138" s="794">
        <v>0</v>
      </c>
      <c r="BQ138" s="794">
        <v>0</v>
      </c>
      <c r="BR138" s="794">
        <v>0</v>
      </c>
      <c r="BS138" s="794">
        <v>0</v>
      </c>
      <c r="BT138" s="794">
        <v>0</v>
      </c>
      <c r="BU138" s="794">
        <v>0</v>
      </c>
      <c r="BV138" s="794">
        <v>0</v>
      </c>
    </row>
    <row r="139" spans="2:74">
      <c r="B139" s="793" t="s">
        <v>2923</v>
      </c>
      <c r="C139" s="793" t="s">
        <v>2887</v>
      </c>
      <c r="D139" s="793"/>
      <c r="E139" s="794"/>
      <c r="F139" s="799"/>
      <c r="G139" s="799"/>
      <c r="H139" s="799"/>
      <c r="I139" s="799"/>
      <c r="J139" s="799"/>
      <c r="K139" s="799"/>
      <c r="L139" s="799">
        <f t="shared" si="7"/>
        <v>331</v>
      </c>
      <c r="M139" s="799"/>
      <c r="N139" s="595"/>
      <c r="O139" s="794">
        <v>0</v>
      </c>
      <c r="P139" s="794">
        <v>0</v>
      </c>
      <c r="Q139" s="794">
        <v>0</v>
      </c>
      <c r="R139" s="794">
        <v>0</v>
      </c>
      <c r="S139" s="794">
        <v>0</v>
      </c>
      <c r="T139" s="794">
        <v>0</v>
      </c>
      <c r="U139" s="794">
        <v>0</v>
      </c>
      <c r="V139" s="794">
        <v>0</v>
      </c>
      <c r="W139" s="794">
        <v>0</v>
      </c>
      <c r="X139" s="794">
        <v>0</v>
      </c>
      <c r="Y139" s="794">
        <v>0</v>
      </c>
      <c r="Z139" s="809">
        <v>119000</v>
      </c>
      <c r="AA139" s="794">
        <v>0</v>
      </c>
      <c r="AB139" s="794">
        <v>0</v>
      </c>
      <c r="AC139" s="794">
        <v>0</v>
      </c>
      <c r="AD139" s="794">
        <v>0</v>
      </c>
      <c r="AE139" s="794">
        <v>0</v>
      </c>
      <c r="AF139" s="794">
        <v>0</v>
      </c>
      <c r="AG139" s="794">
        <v>0</v>
      </c>
      <c r="AH139" s="794">
        <v>0</v>
      </c>
      <c r="AI139" s="794">
        <v>0</v>
      </c>
      <c r="AJ139" s="794">
        <v>0</v>
      </c>
      <c r="AK139" s="794">
        <v>0</v>
      </c>
      <c r="AL139" s="794">
        <v>0</v>
      </c>
      <c r="AM139" s="794">
        <v>0</v>
      </c>
      <c r="AN139" s="794">
        <v>0</v>
      </c>
      <c r="AO139" s="794">
        <v>0</v>
      </c>
      <c r="AP139" s="794">
        <v>0</v>
      </c>
      <c r="AQ139" s="794">
        <v>0</v>
      </c>
      <c r="AR139" s="794">
        <v>0</v>
      </c>
      <c r="AS139" s="794">
        <v>0</v>
      </c>
      <c r="AT139" s="794">
        <v>0</v>
      </c>
      <c r="AU139" s="794">
        <v>0</v>
      </c>
      <c r="AV139" s="794">
        <v>0</v>
      </c>
      <c r="AW139" s="794">
        <v>0</v>
      </c>
      <c r="AX139" s="794">
        <v>0</v>
      </c>
      <c r="AY139" s="794">
        <v>0</v>
      </c>
      <c r="AZ139" s="794">
        <v>0</v>
      </c>
      <c r="BA139" s="794">
        <v>0</v>
      </c>
      <c r="BB139" s="794">
        <v>0</v>
      </c>
      <c r="BC139" s="794">
        <v>0</v>
      </c>
      <c r="BD139" s="794">
        <v>0</v>
      </c>
      <c r="BE139" s="794">
        <v>0</v>
      </c>
      <c r="BF139" s="794">
        <v>0</v>
      </c>
      <c r="BG139" s="794">
        <v>0</v>
      </c>
      <c r="BH139" s="794">
        <v>0</v>
      </c>
      <c r="BI139" s="794">
        <v>0</v>
      </c>
      <c r="BJ139" s="794">
        <v>0</v>
      </c>
      <c r="BK139" s="794">
        <v>0</v>
      </c>
      <c r="BL139" s="794">
        <v>0</v>
      </c>
      <c r="BM139" s="794">
        <v>0</v>
      </c>
      <c r="BN139" s="794">
        <v>0</v>
      </c>
      <c r="BO139" s="794">
        <v>0</v>
      </c>
      <c r="BP139" s="794">
        <v>0</v>
      </c>
      <c r="BQ139" s="794">
        <v>0</v>
      </c>
      <c r="BR139" s="794">
        <v>0</v>
      </c>
      <c r="BS139" s="794">
        <v>0</v>
      </c>
      <c r="BT139" s="794">
        <v>0</v>
      </c>
      <c r="BU139" s="794">
        <v>0</v>
      </c>
      <c r="BV139" s="794">
        <v>0</v>
      </c>
    </row>
    <row r="140" spans="2:74">
      <c r="B140" s="793" t="s">
        <v>2924</v>
      </c>
      <c r="C140" s="793" t="s">
        <v>2925</v>
      </c>
      <c r="D140" s="793"/>
      <c r="E140" s="794"/>
      <c r="F140" s="799"/>
      <c r="G140" s="799"/>
      <c r="H140" s="799"/>
      <c r="I140" s="799"/>
      <c r="J140" s="799"/>
      <c r="K140" s="799"/>
      <c r="L140" s="799">
        <f t="shared" si="7"/>
        <v>331</v>
      </c>
      <c r="M140" s="799"/>
      <c r="N140" s="595"/>
      <c r="O140" s="794">
        <v>0</v>
      </c>
      <c r="P140" s="794">
        <v>0</v>
      </c>
      <c r="Q140" s="794">
        <v>0</v>
      </c>
      <c r="R140" s="794">
        <v>0</v>
      </c>
      <c r="S140" s="794">
        <v>0</v>
      </c>
      <c r="T140" s="794">
        <v>0</v>
      </c>
      <c r="U140" s="794">
        <v>0</v>
      </c>
      <c r="V140" s="794">
        <v>0</v>
      </c>
      <c r="W140" s="794">
        <v>0</v>
      </c>
      <c r="X140" s="794">
        <v>0</v>
      </c>
      <c r="Y140" s="794">
        <v>0</v>
      </c>
      <c r="Z140" s="809">
        <v>44680.12</v>
      </c>
      <c r="AA140" s="794">
        <v>8650.32</v>
      </c>
      <c r="AB140" s="794">
        <v>0</v>
      </c>
      <c r="AC140" s="794">
        <v>0</v>
      </c>
      <c r="AD140" s="794">
        <v>0</v>
      </c>
      <c r="AE140" s="794">
        <v>0</v>
      </c>
      <c r="AF140" s="794">
        <v>0</v>
      </c>
      <c r="AG140" s="794">
        <v>17000</v>
      </c>
      <c r="AH140" s="794">
        <v>0</v>
      </c>
      <c r="AI140" s="794">
        <v>0</v>
      </c>
      <c r="AJ140" s="794">
        <v>0</v>
      </c>
      <c r="AK140" s="794">
        <v>0</v>
      </c>
      <c r="AL140" s="794">
        <v>0</v>
      </c>
      <c r="AM140" s="794">
        <v>0</v>
      </c>
      <c r="AN140" s="794">
        <v>0</v>
      </c>
      <c r="AO140" s="794">
        <v>0</v>
      </c>
      <c r="AP140" s="794">
        <v>0</v>
      </c>
      <c r="AQ140" s="794">
        <v>0</v>
      </c>
      <c r="AR140" s="794">
        <v>0</v>
      </c>
      <c r="AS140" s="794">
        <v>0</v>
      </c>
      <c r="AT140" s="794">
        <v>0</v>
      </c>
      <c r="AU140" s="794">
        <v>0</v>
      </c>
      <c r="AV140" s="794">
        <v>0</v>
      </c>
      <c r="AW140" s="794">
        <v>0</v>
      </c>
      <c r="AX140" s="794">
        <v>0</v>
      </c>
      <c r="AY140" s="794">
        <v>0</v>
      </c>
      <c r="AZ140" s="794">
        <v>0</v>
      </c>
      <c r="BA140" s="794">
        <v>0</v>
      </c>
      <c r="BB140" s="794">
        <v>0</v>
      </c>
      <c r="BC140" s="794">
        <v>0</v>
      </c>
      <c r="BD140" s="794">
        <v>0</v>
      </c>
      <c r="BE140" s="794">
        <v>0</v>
      </c>
      <c r="BF140" s="794">
        <v>0</v>
      </c>
      <c r="BG140" s="794">
        <v>0</v>
      </c>
      <c r="BH140" s="794">
        <v>0</v>
      </c>
      <c r="BI140" s="794">
        <v>0</v>
      </c>
      <c r="BJ140" s="794">
        <v>0</v>
      </c>
      <c r="BK140" s="794">
        <v>0</v>
      </c>
      <c r="BL140" s="794">
        <v>0</v>
      </c>
      <c r="BM140" s="794">
        <v>0</v>
      </c>
      <c r="BN140" s="794">
        <v>0</v>
      </c>
      <c r="BO140" s="794">
        <v>0</v>
      </c>
      <c r="BP140" s="794">
        <v>0</v>
      </c>
      <c r="BQ140" s="794">
        <v>0</v>
      </c>
      <c r="BR140" s="794">
        <v>0</v>
      </c>
      <c r="BS140" s="794">
        <v>0</v>
      </c>
      <c r="BT140" s="794">
        <v>0</v>
      </c>
      <c r="BU140" s="794">
        <v>0</v>
      </c>
      <c r="BV140" s="794">
        <v>0</v>
      </c>
    </row>
    <row r="141" spans="2:74">
      <c r="B141" s="793" t="s">
        <v>2926</v>
      </c>
      <c r="C141" s="793" t="s">
        <v>2927</v>
      </c>
      <c r="D141" s="793"/>
      <c r="E141" s="794"/>
      <c r="F141" s="799"/>
      <c r="G141" s="799"/>
      <c r="H141" s="799"/>
      <c r="I141" s="799"/>
      <c r="J141" s="799"/>
      <c r="K141" s="799"/>
      <c r="L141" s="799">
        <f t="shared" si="7"/>
        <v>331</v>
      </c>
      <c r="M141" s="799"/>
      <c r="N141" s="595"/>
      <c r="O141" s="794">
        <v>0</v>
      </c>
      <c r="P141" s="794">
        <v>0</v>
      </c>
      <c r="Q141" s="794">
        <v>0</v>
      </c>
      <c r="R141" s="794">
        <v>0</v>
      </c>
      <c r="S141" s="794">
        <v>0</v>
      </c>
      <c r="T141" s="794">
        <v>0</v>
      </c>
      <c r="U141" s="794">
        <v>0</v>
      </c>
      <c r="V141" s="794">
        <v>0</v>
      </c>
      <c r="W141" s="794">
        <v>0</v>
      </c>
      <c r="X141" s="794">
        <v>0</v>
      </c>
      <c r="Y141" s="794">
        <v>0</v>
      </c>
      <c r="Z141" s="809">
        <v>18536</v>
      </c>
      <c r="AA141" s="794">
        <v>24314</v>
      </c>
      <c r="AB141" s="794">
        <v>55618.6</v>
      </c>
      <c r="AC141" s="794">
        <v>0</v>
      </c>
      <c r="AD141" s="794">
        <v>0</v>
      </c>
      <c r="AE141" s="794">
        <v>0</v>
      </c>
      <c r="AF141" s="794">
        <v>0</v>
      </c>
      <c r="AG141" s="794">
        <v>0</v>
      </c>
      <c r="AH141" s="794">
        <v>0</v>
      </c>
      <c r="AI141" s="794">
        <v>0</v>
      </c>
      <c r="AJ141" s="794">
        <v>0</v>
      </c>
      <c r="AK141" s="794">
        <v>0</v>
      </c>
      <c r="AL141" s="794">
        <v>0</v>
      </c>
      <c r="AM141" s="794">
        <v>0</v>
      </c>
      <c r="AN141" s="794">
        <v>0</v>
      </c>
      <c r="AO141" s="794">
        <v>0</v>
      </c>
      <c r="AP141" s="794">
        <v>0</v>
      </c>
      <c r="AQ141" s="794">
        <v>0</v>
      </c>
      <c r="AR141" s="794">
        <v>0</v>
      </c>
      <c r="AS141" s="794">
        <v>0</v>
      </c>
      <c r="AT141" s="794">
        <v>0</v>
      </c>
      <c r="AU141" s="794">
        <v>0</v>
      </c>
      <c r="AV141" s="794">
        <v>0</v>
      </c>
      <c r="AW141" s="794">
        <v>0</v>
      </c>
      <c r="AX141" s="794">
        <v>0</v>
      </c>
      <c r="AY141" s="794">
        <v>0</v>
      </c>
      <c r="AZ141" s="794">
        <v>0</v>
      </c>
      <c r="BA141" s="794">
        <v>0</v>
      </c>
      <c r="BB141" s="794">
        <v>0</v>
      </c>
      <c r="BC141" s="794">
        <v>0</v>
      </c>
      <c r="BD141" s="794">
        <v>0</v>
      </c>
      <c r="BE141" s="794">
        <v>0</v>
      </c>
      <c r="BF141" s="794">
        <v>0</v>
      </c>
      <c r="BG141" s="794">
        <v>0</v>
      </c>
      <c r="BH141" s="794">
        <v>0</v>
      </c>
      <c r="BI141" s="794">
        <v>0</v>
      </c>
      <c r="BJ141" s="794">
        <v>0</v>
      </c>
      <c r="BK141" s="794">
        <v>0</v>
      </c>
      <c r="BL141" s="794">
        <v>0</v>
      </c>
      <c r="BM141" s="794">
        <v>0</v>
      </c>
      <c r="BN141" s="794">
        <v>0</v>
      </c>
      <c r="BO141" s="794">
        <v>0</v>
      </c>
      <c r="BP141" s="794">
        <v>0</v>
      </c>
      <c r="BQ141" s="794">
        <v>0</v>
      </c>
      <c r="BR141" s="794">
        <v>0</v>
      </c>
      <c r="BS141" s="794">
        <v>0</v>
      </c>
      <c r="BT141" s="794">
        <v>0</v>
      </c>
      <c r="BU141" s="794">
        <v>0</v>
      </c>
      <c r="BV141" s="794">
        <v>0</v>
      </c>
    </row>
    <row r="142" spans="2:74">
      <c r="B142" s="793" t="s">
        <v>2928</v>
      </c>
      <c r="C142" s="793" t="s">
        <v>2929</v>
      </c>
      <c r="D142" s="793"/>
      <c r="E142" s="794"/>
      <c r="F142" s="799"/>
      <c r="G142" s="799"/>
      <c r="H142" s="799"/>
      <c r="I142" s="799"/>
      <c r="J142" s="799"/>
      <c r="K142" s="799"/>
      <c r="L142" s="799">
        <f t="shared" si="7"/>
        <v>331</v>
      </c>
      <c r="M142" s="799"/>
      <c r="N142" s="595"/>
      <c r="O142" s="794">
        <v>0</v>
      </c>
      <c r="P142" s="794">
        <v>0</v>
      </c>
      <c r="Q142" s="794">
        <v>0</v>
      </c>
      <c r="R142" s="794">
        <v>0</v>
      </c>
      <c r="S142" s="794">
        <v>0</v>
      </c>
      <c r="T142" s="794">
        <v>0</v>
      </c>
      <c r="U142" s="794">
        <v>0</v>
      </c>
      <c r="V142" s="794">
        <v>0</v>
      </c>
      <c r="W142" s="794">
        <v>0</v>
      </c>
      <c r="X142" s="794">
        <v>0</v>
      </c>
      <c r="Y142" s="794">
        <v>0</v>
      </c>
      <c r="Z142" s="809">
        <v>52000</v>
      </c>
      <c r="AA142" s="794">
        <v>70139.839999999997</v>
      </c>
      <c r="AB142" s="794">
        <v>96606</v>
      </c>
      <c r="AC142" s="794">
        <v>0</v>
      </c>
      <c r="AD142" s="794">
        <v>45990</v>
      </c>
      <c r="AE142" s="794">
        <v>127949.85</v>
      </c>
      <c r="AF142" s="794">
        <v>0</v>
      </c>
      <c r="AG142" s="794">
        <v>0</v>
      </c>
      <c r="AH142" s="794">
        <v>0</v>
      </c>
      <c r="AI142" s="794">
        <v>0</v>
      </c>
      <c r="AJ142" s="794">
        <v>0</v>
      </c>
      <c r="AK142" s="794">
        <v>0</v>
      </c>
      <c r="AL142" s="794">
        <v>0</v>
      </c>
      <c r="AM142" s="794">
        <v>31150</v>
      </c>
      <c r="AN142" s="794">
        <v>31150</v>
      </c>
      <c r="AO142" s="794">
        <v>0</v>
      </c>
      <c r="AP142" s="794">
        <v>0</v>
      </c>
      <c r="AQ142" s="794">
        <v>0</v>
      </c>
      <c r="AR142" s="794">
        <v>0</v>
      </c>
      <c r="AS142" s="794">
        <v>0</v>
      </c>
      <c r="AT142" s="794">
        <v>0</v>
      </c>
      <c r="AU142" s="794">
        <v>0</v>
      </c>
      <c r="AV142" s="794">
        <v>0</v>
      </c>
      <c r="AW142" s="794">
        <v>0</v>
      </c>
      <c r="AX142" s="794">
        <v>0</v>
      </c>
      <c r="AY142" s="794">
        <v>0</v>
      </c>
      <c r="AZ142" s="794">
        <v>0</v>
      </c>
      <c r="BA142" s="794">
        <v>0</v>
      </c>
      <c r="BB142" s="794">
        <v>0</v>
      </c>
      <c r="BC142" s="794">
        <v>0</v>
      </c>
      <c r="BD142" s="794">
        <v>0</v>
      </c>
      <c r="BE142" s="794">
        <v>0</v>
      </c>
      <c r="BF142" s="794">
        <v>0</v>
      </c>
      <c r="BG142" s="794">
        <v>0</v>
      </c>
      <c r="BH142" s="794">
        <v>0</v>
      </c>
      <c r="BI142" s="794">
        <v>0</v>
      </c>
      <c r="BJ142" s="794">
        <v>0</v>
      </c>
      <c r="BK142" s="794">
        <v>0</v>
      </c>
      <c r="BL142" s="794">
        <v>0</v>
      </c>
      <c r="BM142" s="794">
        <v>0</v>
      </c>
      <c r="BN142" s="794">
        <v>0</v>
      </c>
      <c r="BO142" s="794">
        <v>0</v>
      </c>
      <c r="BP142" s="794">
        <v>0</v>
      </c>
      <c r="BQ142" s="794">
        <v>0</v>
      </c>
      <c r="BR142" s="794">
        <v>0</v>
      </c>
      <c r="BS142" s="794">
        <v>0</v>
      </c>
      <c r="BT142" s="794">
        <v>0</v>
      </c>
      <c r="BU142" s="794">
        <v>0</v>
      </c>
      <c r="BV142" s="794">
        <v>0</v>
      </c>
    </row>
    <row r="143" spans="2:74">
      <c r="B143" s="793" t="s">
        <v>2930</v>
      </c>
      <c r="C143" s="793" t="s">
        <v>2931</v>
      </c>
      <c r="D143" s="793"/>
      <c r="E143" s="794"/>
      <c r="F143" s="799"/>
      <c r="G143" s="799"/>
      <c r="H143" s="799"/>
      <c r="I143" s="799"/>
      <c r="J143" s="799"/>
      <c r="K143" s="799"/>
      <c r="L143" s="799">
        <f t="shared" si="7"/>
        <v>331</v>
      </c>
      <c r="M143" s="799"/>
      <c r="N143" s="595"/>
      <c r="O143" s="794">
        <v>0</v>
      </c>
      <c r="P143" s="794">
        <v>0</v>
      </c>
      <c r="Q143" s="794">
        <v>0</v>
      </c>
      <c r="R143" s="794">
        <v>0</v>
      </c>
      <c r="S143" s="794">
        <v>0</v>
      </c>
      <c r="T143" s="794">
        <v>0</v>
      </c>
      <c r="U143" s="794">
        <v>0</v>
      </c>
      <c r="V143" s="794">
        <v>0</v>
      </c>
      <c r="W143" s="794">
        <v>0</v>
      </c>
      <c r="X143" s="794">
        <v>0</v>
      </c>
      <c r="Y143" s="794">
        <v>0</v>
      </c>
      <c r="Z143" s="809">
        <v>28314.48</v>
      </c>
      <c r="AA143" s="794">
        <v>14921</v>
      </c>
      <c r="AB143" s="794">
        <v>0</v>
      </c>
      <c r="AC143" s="794">
        <v>0</v>
      </c>
      <c r="AD143" s="794">
        <v>0</v>
      </c>
      <c r="AE143" s="794">
        <v>0</v>
      </c>
      <c r="AF143" s="794">
        <v>31729.279999999999</v>
      </c>
      <c r="AG143" s="794">
        <v>8142</v>
      </c>
      <c r="AH143" s="794">
        <v>0</v>
      </c>
      <c r="AI143" s="794">
        <v>0</v>
      </c>
      <c r="AJ143" s="794">
        <v>0</v>
      </c>
      <c r="AK143" s="794">
        <v>0</v>
      </c>
      <c r="AL143" s="794">
        <v>0</v>
      </c>
      <c r="AM143" s="794">
        <v>0</v>
      </c>
      <c r="AN143" s="794">
        <v>0</v>
      </c>
      <c r="AO143" s="794">
        <v>0</v>
      </c>
      <c r="AP143" s="794">
        <v>0</v>
      </c>
      <c r="AQ143" s="794">
        <v>0</v>
      </c>
      <c r="AR143" s="794">
        <v>0</v>
      </c>
      <c r="AS143" s="794">
        <v>0</v>
      </c>
      <c r="AT143" s="794">
        <v>0</v>
      </c>
      <c r="AU143" s="794">
        <v>0</v>
      </c>
      <c r="AV143" s="794">
        <v>0</v>
      </c>
      <c r="AW143" s="794">
        <v>0</v>
      </c>
      <c r="AX143" s="794">
        <v>0</v>
      </c>
      <c r="AY143" s="794">
        <v>0</v>
      </c>
      <c r="AZ143" s="794">
        <v>0</v>
      </c>
      <c r="BA143" s="794">
        <v>0</v>
      </c>
      <c r="BB143" s="794">
        <v>0</v>
      </c>
      <c r="BC143" s="794">
        <v>0</v>
      </c>
      <c r="BD143" s="794">
        <v>0</v>
      </c>
      <c r="BE143" s="794">
        <v>0</v>
      </c>
      <c r="BF143" s="794">
        <v>0</v>
      </c>
      <c r="BG143" s="794">
        <v>0</v>
      </c>
      <c r="BH143" s="794">
        <v>0</v>
      </c>
      <c r="BI143" s="794">
        <v>0</v>
      </c>
      <c r="BJ143" s="794">
        <v>0</v>
      </c>
      <c r="BK143" s="794">
        <v>0</v>
      </c>
      <c r="BL143" s="794">
        <v>0</v>
      </c>
      <c r="BM143" s="794">
        <v>0</v>
      </c>
      <c r="BN143" s="794">
        <v>0</v>
      </c>
      <c r="BO143" s="794">
        <v>0</v>
      </c>
      <c r="BP143" s="794">
        <v>0</v>
      </c>
      <c r="BQ143" s="794">
        <v>0</v>
      </c>
      <c r="BR143" s="794">
        <v>0</v>
      </c>
      <c r="BS143" s="794">
        <v>0</v>
      </c>
      <c r="BT143" s="794">
        <v>0</v>
      </c>
      <c r="BU143" s="794">
        <v>0</v>
      </c>
      <c r="BV143" s="794">
        <v>0</v>
      </c>
    </row>
    <row r="144" spans="2:74">
      <c r="B144" s="793" t="s">
        <v>2932</v>
      </c>
      <c r="C144" s="793" t="s">
        <v>2929</v>
      </c>
      <c r="D144" s="793"/>
      <c r="E144" s="794"/>
      <c r="F144" s="799"/>
      <c r="G144" s="799"/>
      <c r="H144" s="799"/>
      <c r="I144" s="799"/>
      <c r="J144" s="799"/>
      <c r="K144" s="799"/>
      <c r="L144" s="799">
        <f t="shared" si="7"/>
        <v>331</v>
      </c>
      <c r="M144" s="799"/>
      <c r="N144" s="595"/>
      <c r="O144" s="794">
        <v>0</v>
      </c>
      <c r="P144" s="794">
        <v>0</v>
      </c>
      <c r="Q144" s="794">
        <v>0</v>
      </c>
      <c r="R144" s="794">
        <v>0</v>
      </c>
      <c r="S144" s="794">
        <v>0</v>
      </c>
      <c r="T144" s="794">
        <v>0</v>
      </c>
      <c r="U144" s="794">
        <v>0</v>
      </c>
      <c r="V144" s="794">
        <v>0</v>
      </c>
      <c r="W144" s="794">
        <v>0</v>
      </c>
      <c r="X144" s="794">
        <v>0</v>
      </c>
      <c r="Y144" s="794">
        <v>0</v>
      </c>
      <c r="Z144" s="809">
        <v>53363.519999999997</v>
      </c>
      <c r="AA144" s="794">
        <v>53363.519999999997</v>
      </c>
      <c r="AB144" s="794">
        <v>0</v>
      </c>
      <c r="AC144" s="794">
        <v>0</v>
      </c>
      <c r="AD144" s="794">
        <v>0</v>
      </c>
      <c r="AE144" s="794">
        <v>0</v>
      </c>
      <c r="AF144" s="794">
        <v>0</v>
      </c>
      <c r="AG144" s="794">
        <v>0</v>
      </c>
      <c r="AH144" s="794">
        <v>0</v>
      </c>
      <c r="AI144" s="794">
        <v>0</v>
      </c>
      <c r="AJ144" s="794">
        <v>0</v>
      </c>
      <c r="AK144" s="794">
        <v>0</v>
      </c>
      <c r="AL144" s="794">
        <v>0</v>
      </c>
      <c r="AM144" s="794">
        <v>0</v>
      </c>
      <c r="AN144" s="794">
        <v>0</v>
      </c>
      <c r="AO144" s="794">
        <v>0</v>
      </c>
      <c r="AP144" s="794">
        <v>0</v>
      </c>
      <c r="AQ144" s="794">
        <v>0</v>
      </c>
      <c r="AR144" s="794">
        <v>0</v>
      </c>
      <c r="AS144" s="794">
        <v>0</v>
      </c>
      <c r="AT144" s="794">
        <v>0</v>
      </c>
      <c r="AU144" s="794">
        <v>0</v>
      </c>
      <c r="AV144" s="794">
        <v>0</v>
      </c>
      <c r="AW144" s="794">
        <v>0</v>
      </c>
      <c r="AX144" s="794">
        <v>0</v>
      </c>
      <c r="AY144" s="794">
        <v>0</v>
      </c>
      <c r="AZ144" s="794">
        <v>0</v>
      </c>
      <c r="BA144" s="794">
        <v>0</v>
      </c>
      <c r="BB144" s="794">
        <v>0</v>
      </c>
      <c r="BC144" s="794">
        <v>0</v>
      </c>
      <c r="BD144" s="794">
        <v>0</v>
      </c>
      <c r="BE144" s="794">
        <v>0</v>
      </c>
      <c r="BF144" s="794">
        <v>0</v>
      </c>
      <c r="BG144" s="794">
        <v>0</v>
      </c>
      <c r="BH144" s="794">
        <v>0</v>
      </c>
      <c r="BI144" s="794">
        <v>0</v>
      </c>
      <c r="BJ144" s="794">
        <v>0</v>
      </c>
      <c r="BK144" s="794">
        <v>0</v>
      </c>
      <c r="BL144" s="794">
        <v>0</v>
      </c>
      <c r="BM144" s="794">
        <v>0</v>
      </c>
      <c r="BN144" s="794">
        <v>0</v>
      </c>
      <c r="BO144" s="794">
        <v>0</v>
      </c>
      <c r="BP144" s="794">
        <v>0</v>
      </c>
      <c r="BQ144" s="794">
        <v>0</v>
      </c>
      <c r="BR144" s="794">
        <v>0</v>
      </c>
      <c r="BS144" s="794">
        <v>0</v>
      </c>
      <c r="BT144" s="794">
        <v>0</v>
      </c>
      <c r="BU144" s="794">
        <v>0</v>
      </c>
      <c r="BV144" s="794">
        <v>0</v>
      </c>
    </row>
    <row r="145" spans="2:74">
      <c r="B145" s="793" t="s">
        <v>2934</v>
      </c>
      <c r="C145" s="793" t="s">
        <v>2874</v>
      </c>
      <c r="D145" s="793"/>
      <c r="E145" s="794"/>
      <c r="F145" s="799"/>
      <c r="G145" s="799"/>
      <c r="H145" s="799"/>
      <c r="I145" s="799"/>
      <c r="J145" s="799"/>
      <c r="K145" s="799"/>
      <c r="L145" s="799">
        <f t="shared" si="7"/>
        <v>331</v>
      </c>
      <c r="M145" s="799"/>
      <c r="N145" s="595"/>
      <c r="O145" s="794">
        <v>0</v>
      </c>
      <c r="P145" s="794">
        <v>0</v>
      </c>
      <c r="Q145" s="794">
        <v>0</v>
      </c>
      <c r="R145" s="794">
        <v>0</v>
      </c>
      <c r="S145" s="794">
        <v>0</v>
      </c>
      <c r="T145" s="794">
        <v>0</v>
      </c>
      <c r="U145" s="794">
        <v>0</v>
      </c>
      <c r="V145" s="794">
        <v>0</v>
      </c>
      <c r="W145" s="794">
        <v>0</v>
      </c>
      <c r="X145" s="794">
        <v>0</v>
      </c>
      <c r="Y145" s="794">
        <v>0</v>
      </c>
      <c r="Z145" s="809">
        <v>182750</v>
      </c>
      <c r="AA145" s="794">
        <v>0</v>
      </c>
      <c r="AB145" s="794">
        <v>0</v>
      </c>
      <c r="AC145" s="794">
        <v>0</v>
      </c>
      <c r="AD145" s="794">
        <v>0</v>
      </c>
      <c r="AE145" s="794">
        <v>0</v>
      </c>
      <c r="AF145" s="794">
        <v>0</v>
      </c>
      <c r="AG145" s="794">
        <v>0</v>
      </c>
      <c r="AH145" s="794">
        <v>0</v>
      </c>
      <c r="AI145" s="794">
        <v>0</v>
      </c>
      <c r="AJ145" s="794">
        <v>0</v>
      </c>
      <c r="AK145" s="794">
        <v>0</v>
      </c>
      <c r="AL145" s="794">
        <v>0</v>
      </c>
      <c r="AM145" s="794">
        <v>0</v>
      </c>
      <c r="AN145" s="794">
        <v>0</v>
      </c>
      <c r="AO145" s="794">
        <v>0</v>
      </c>
      <c r="AP145" s="794">
        <v>0</v>
      </c>
      <c r="AQ145" s="794">
        <v>0</v>
      </c>
      <c r="AR145" s="794">
        <v>0</v>
      </c>
      <c r="AS145" s="794">
        <v>0</v>
      </c>
      <c r="AT145" s="794">
        <v>0</v>
      </c>
      <c r="AU145" s="794">
        <v>0</v>
      </c>
      <c r="AV145" s="794">
        <v>0</v>
      </c>
      <c r="AW145" s="794">
        <v>0</v>
      </c>
      <c r="AX145" s="794">
        <v>0</v>
      </c>
      <c r="AY145" s="794">
        <v>0</v>
      </c>
      <c r="AZ145" s="794">
        <v>0</v>
      </c>
      <c r="BA145" s="794">
        <v>0</v>
      </c>
      <c r="BB145" s="794">
        <v>0</v>
      </c>
      <c r="BC145" s="794">
        <v>0</v>
      </c>
      <c r="BD145" s="794">
        <v>0</v>
      </c>
      <c r="BE145" s="794">
        <v>0</v>
      </c>
      <c r="BF145" s="794">
        <v>0</v>
      </c>
      <c r="BG145" s="794">
        <v>0</v>
      </c>
      <c r="BH145" s="794">
        <v>0</v>
      </c>
      <c r="BI145" s="794">
        <v>0</v>
      </c>
      <c r="BJ145" s="794">
        <v>0</v>
      </c>
      <c r="BK145" s="794">
        <v>0</v>
      </c>
      <c r="BL145" s="794">
        <v>0</v>
      </c>
      <c r="BM145" s="794">
        <v>0</v>
      </c>
      <c r="BN145" s="794">
        <v>0</v>
      </c>
      <c r="BO145" s="794">
        <v>0</v>
      </c>
      <c r="BP145" s="794">
        <v>0</v>
      </c>
      <c r="BQ145" s="794">
        <v>0</v>
      </c>
      <c r="BR145" s="794">
        <v>0</v>
      </c>
      <c r="BS145" s="794">
        <v>0</v>
      </c>
      <c r="BT145" s="794">
        <v>0</v>
      </c>
      <c r="BU145" s="794">
        <v>0</v>
      </c>
      <c r="BV145" s="794">
        <v>0</v>
      </c>
    </row>
    <row r="146" spans="2:74">
      <c r="B146" s="793" t="s">
        <v>2935</v>
      </c>
      <c r="C146" s="793" t="s">
        <v>2834</v>
      </c>
      <c r="D146" s="793"/>
      <c r="E146" s="794"/>
      <c r="F146" s="799"/>
      <c r="G146" s="799"/>
      <c r="H146" s="799"/>
      <c r="I146" s="799"/>
      <c r="J146" s="799"/>
      <c r="K146" s="799"/>
      <c r="L146" s="799">
        <f t="shared" si="7"/>
        <v>331</v>
      </c>
      <c r="M146" s="799"/>
      <c r="N146" s="595"/>
      <c r="O146" s="794">
        <v>0</v>
      </c>
      <c r="P146" s="794">
        <v>0</v>
      </c>
      <c r="Q146" s="794">
        <v>0</v>
      </c>
      <c r="R146" s="794">
        <v>0</v>
      </c>
      <c r="S146" s="794">
        <v>0</v>
      </c>
      <c r="T146" s="794">
        <v>0</v>
      </c>
      <c r="U146" s="794">
        <v>0</v>
      </c>
      <c r="V146" s="794">
        <v>0</v>
      </c>
      <c r="W146" s="794">
        <v>0</v>
      </c>
      <c r="X146" s="794">
        <v>0</v>
      </c>
      <c r="Y146" s="794">
        <v>0</v>
      </c>
      <c r="Z146" s="794">
        <v>0</v>
      </c>
      <c r="AA146" s="809">
        <v>6000</v>
      </c>
      <c r="AB146" s="794">
        <v>0</v>
      </c>
      <c r="AC146" s="794">
        <v>0</v>
      </c>
      <c r="AD146" s="794">
        <v>0</v>
      </c>
      <c r="AE146" s="794">
        <v>0</v>
      </c>
      <c r="AF146" s="794">
        <v>0</v>
      </c>
      <c r="AG146" s="794">
        <v>0</v>
      </c>
      <c r="AH146" s="794">
        <v>0</v>
      </c>
      <c r="AI146" s="794">
        <v>0</v>
      </c>
      <c r="AJ146" s="794">
        <v>0</v>
      </c>
      <c r="AK146" s="794">
        <v>0</v>
      </c>
      <c r="AL146" s="794">
        <v>0</v>
      </c>
      <c r="AM146" s="794">
        <v>0</v>
      </c>
      <c r="AN146" s="794">
        <v>0</v>
      </c>
      <c r="AO146" s="794">
        <v>0</v>
      </c>
      <c r="AP146" s="794">
        <v>0</v>
      </c>
      <c r="AQ146" s="794">
        <v>0</v>
      </c>
      <c r="AR146" s="794">
        <v>0</v>
      </c>
      <c r="AS146" s="794">
        <v>0</v>
      </c>
      <c r="AT146" s="794">
        <v>0</v>
      </c>
      <c r="AU146" s="794">
        <v>0</v>
      </c>
      <c r="AV146" s="794">
        <v>0</v>
      </c>
      <c r="AW146" s="794">
        <v>0</v>
      </c>
      <c r="AX146" s="794">
        <v>0</v>
      </c>
      <c r="AY146" s="794">
        <v>0</v>
      </c>
      <c r="AZ146" s="794">
        <v>0</v>
      </c>
      <c r="BA146" s="794">
        <v>0</v>
      </c>
      <c r="BB146" s="794">
        <v>0</v>
      </c>
      <c r="BC146" s="794">
        <v>0</v>
      </c>
      <c r="BD146" s="794">
        <v>0</v>
      </c>
      <c r="BE146" s="794">
        <v>0</v>
      </c>
      <c r="BF146" s="794">
        <v>0</v>
      </c>
      <c r="BG146" s="794">
        <v>0</v>
      </c>
      <c r="BH146" s="794">
        <v>0</v>
      </c>
      <c r="BI146" s="794">
        <v>0</v>
      </c>
      <c r="BJ146" s="794">
        <v>0</v>
      </c>
      <c r="BK146" s="794">
        <v>0</v>
      </c>
      <c r="BL146" s="794">
        <v>0</v>
      </c>
      <c r="BM146" s="794">
        <v>0</v>
      </c>
      <c r="BN146" s="794">
        <v>0</v>
      </c>
      <c r="BO146" s="794">
        <v>0</v>
      </c>
      <c r="BP146" s="794">
        <v>0</v>
      </c>
      <c r="BQ146" s="794">
        <v>0</v>
      </c>
      <c r="BR146" s="794">
        <v>0</v>
      </c>
      <c r="BS146" s="794">
        <v>0</v>
      </c>
      <c r="BT146" s="794">
        <v>0</v>
      </c>
      <c r="BU146" s="794">
        <v>0</v>
      </c>
      <c r="BV146" s="794">
        <v>0</v>
      </c>
    </row>
    <row r="147" spans="2:74">
      <c r="B147" s="793" t="s">
        <v>2937</v>
      </c>
      <c r="C147" s="793" t="s">
        <v>2938</v>
      </c>
      <c r="D147" s="793"/>
      <c r="E147" s="794"/>
      <c r="F147" s="799"/>
      <c r="G147" s="799"/>
      <c r="H147" s="799"/>
      <c r="I147" s="799"/>
      <c r="J147" s="799"/>
      <c r="K147" s="799"/>
      <c r="L147" s="799">
        <f t="shared" si="7"/>
        <v>331</v>
      </c>
      <c r="M147" s="799"/>
      <c r="N147" s="595"/>
      <c r="O147" s="794">
        <v>0</v>
      </c>
      <c r="P147" s="794">
        <v>0</v>
      </c>
      <c r="Q147" s="794">
        <v>0</v>
      </c>
      <c r="R147" s="794">
        <v>0</v>
      </c>
      <c r="S147" s="794">
        <v>0</v>
      </c>
      <c r="T147" s="794">
        <v>0</v>
      </c>
      <c r="U147" s="794">
        <v>0</v>
      </c>
      <c r="V147" s="794">
        <v>0</v>
      </c>
      <c r="W147" s="794">
        <v>0</v>
      </c>
      <c r="X147" s="794">
        <v>0</v>
      </c>
      <c r="Y147" s="794">
        <v>0</v>
      </c>
      <c r="Z147" s="794">
        <v>0</v>
      </c>
      <c r="AA147" s="809">
        <v>31319.91</v>
      </c>
      <c r="AB147" s="794">
        <v>26250.21</v>
      </c>
      <c r="AC147" s="794">
        <v>0</v>
      </c>
      <c r="AD147" s="794">
        <v>0</v>
      </c>
      <c r="AE147" s="794">
        <v>325632</v>
      </c>
      <c r="AF147" s="794">
        <v>210253.52</v>
      </c>
      <c r="AG147" s="794">
        <v>40856</v>
      </c>
      <c r="AH147" s="794">
        <v>35644.199999999997</v>
      </c>
      <c r="AI147" s="794">
        <v>0</v>
      </c>
      <c r="AJ147" s="794">
        <v>0</v>
      </c>
      <c r="AK147" s="794">
        <v>35644.199999999997</v>
      </c>
      <c r="AL147" s="794">
        <v>0</v>
      </c>
      <c r="AM147" s="794">
        <v>0</v>
      </c>
      <c r="AN147" s="794">
        <v>0</v>
      </c>
      <c r="AO147" s="794">
        <v>0</v>
      </c>
      <c r="AP147" s="794">
        <v>0</v>
      </c>
      <c r="AQ147" s="794">
        <v>0</v>
      </c>
      <c r="AR147" s="794">
        <v>0</v>
      </c>
      <c r="AS147" s="794">
        <v>0</v>
      </c>
      <c r="AT147" s="794">
        <v>0</v>
      </c>
      <c r="AU147" s="794">
        <v>0</v>
      </c>
      <c r="AV147" s="794">
        <v>0</v>
      </c>
      <c r="AW147" s="794">
        <v>0</v>
      </c>
      <c r="AX147" s="794">
        <v>0</v>
      </c>
      <c r="AY147" s="794">
        <v>0</v>
      </c>
      <c r="AZ147" s="794">
        <v>0</v>
      </c>
      <c r="BA147" s="794">
        <v>0</v>
      </c>
      <c r="BB147" s="794">
        <v>0</v>
      </c>
      <c r="BC147" s="794">
        <v>0</v>
      </c>
      <c r="BD147" s="794">
        <v>0</v>
      </c>
      <c r="BE147" s="794">
        <v>0</v>
      </c>
      <c r="BF147" s="794">
        <v>0</v>
      </c>
      <c r="BG147" s="794">
        <v>0</v>
      </c>
      <c r="BH147" s="794">
        <v>0</v>
      </c>
      <c r="BI147" s="794">
        <v>0</v>
      </c>
      <c r="BJ147" s="794">
        <v>0</v>
      </c>
      <c r="BK147" s="794">
        <v>0</v>
      </c>
      <c r="BL147" s="794">
        <v>0</v>
      </c>
      <c r="BM147" s="794">
        <v>0</v>
      </c>
      <c r="BN147" s="794">
        <v>0</v>
      </c>
      <c r="BO147" s="794">
        <v>0</v>
      </c>
      <c r="BP147" s="794">
        <v>0</v>
      </c>
      <c r="BQ147" s="794">
        <v>0</v>
      </c>
      <c r="BR147" s="794">
        <v>0</v>
      </c>
      <c r="BS147" s="794">
        <v>0</v>
      </c>
      <c r="BT147" s="794">
        <v>0</v>
      </c>
      <c r="BU147" s="794">
        <v>0</v>
      </c>
      <c r="BV147" s="794">
        <v>0</v>
      </c>
    </row>
    <row r="148" spans="2:74">
      <c r="B148" s="793" t="s">
        <v>627</v>
      </c>
      <c r="C148" s="793" t="s">
        <v>2940</v>
      </c>
      <c r="D148" s="793"/>
      <c r="E148" s="794"/>
      <c r="F148" s="799"/>
      <c r="G148" s="799"/>
      <c r="H148" s="799"/>
      <c r="I148" s="799"/>
      <c r="J148" s="799"/>
      <c r="K148" s="799"/>
      <c r="L148" s="799">
        <f t="shared" si="7"/>
        <v>331</v>
      </c>
      <c r="M148" s="799"/>
      <c r="N148" s="595"/>
      <c r="O148" s="794">
        <v>0</v>
      </c>
      <c r="P148" s="794">
        <v>0</v>
      </c>
      <c r="Q148" s="794">
        <v>0</v>
      </c>
      <c r="R148" s="794">
        <v>0</v>
      </c>
      <c r="S148" s="794">
        <v>0</v>
      </c>
      <c r="T148" s="794">
        <v>0</v>
      </c>
      <c r="U148" s="794">
        <v>0</v>
      </c>
      <c r="V148" s="794">
        <v>0</v>
      </c>
      <c r="W148" s="794">
        <v>0</v>
      </c>
      <c r="X148" s="794">
        <v>0</v>
      </c>
      <c r="Y148" s="794">
        <v>0</v>
      </c>
      <c r="Z148" s="794">
        <v>0</v>
      </c>
      <c r="AA148" s="809">
        <v>35551.839999999997</v>
      </c>
      <c r="AB148" s="794">
        <v>0</v>
      </c>
      <c r="AC148" s="794">
        <v>0</v>
      </c>
      <c r="AD148" s="794">
        <v>0</v>
      </c>
      <c r="AE148" s="794">
        <v>0</v>
      </c>
      <c r="AF148" s="794">
        <v>0</v>
      </c>
      <c r="AG148" s="794">
        <v>2950</v>
      </c>
      <c r="AH148" s="794">
        <v>2950</v>
      </c>
      <c r="AI148" s="794">
        <v>0</v>
      </c>
      <c r="AJ148" s="794">
        <v>0</v>
      </c>
      <c r="AK148" s="794">
        <v>0</v>
      </c>
      <c r="AL148" s="794">
        <v>0</v>
      </c>
      <c r="AM148" s="794">
        <v>0</v>
      </c>
      <c r="AN148" s="794">
        <v>0</v>
      </c>
      <c r="AO148" s="794">
        <v>0</v>
      </c>
      <c r="AP148" s="794">
        <v>0</v>
      </c>
      <c r="AQ148" s="794">
        <v>0</v>
      </c>
      <c r="AR148" s="794">
        <v>0</v>
      </c>
      <c r="AS148" s="794">
        <v>0</v>
      </c>
      <c r="AT148" s="794">
        <v>0</v>
      </c>
      <c r="AU148" s="794">
        <v>0</v>
      </c>
      <c r="AV148" s="794">
        <v>0</v>
      </c>
      <c r="AW148" s="794">
        <v>0</v>
      </c>
      <c r="AX148" s="794">
        <v>0</v>
      </c>
      <c r="AY148" s="794">
        <v>0</v>
      </c>
      <c r="AZ148" s="794">
        <v>0</v>
      </c>
      <c r="BA148" s="794">
        <v>0</v>
      </c>
      <c r="BB148" s="794">
        <v>0</v>
      </c>
      <c r="BC148" s="794">
        <v>0</v>
      </c>
      <c r="BD148" s="794">
        <v>0</v>
      </c>
      <c r="BE148" s="794">
        <v>0</v>
      </c>
      <c r="BF148" s="794">
        <v>0</v>
      </c>
      <c r="BG148" s="794">
        <v>0</v>
      </c>
      <c r="BH148" s="794">
        <v>0</v>
      </c>
      <c r="BI148" s="794">
        <v>0</v>
      </c>
      <c r="BJ148" s="794">
        <v>0</v>
      </c>
      <c r="BK148" s="794">
        <v>0</v>
      </c>
      <c r="BL148" s="794">
        <v>0</v>
      </c>
      <c r="BM148" s="794">
        <v>0</v>
      </c>
      <c r="BN148" s="794">
        <v>0</v>
      </c>
      <c r="BO148" s="794">
        <v>0</v>
      </c>
      <c r="BP148" s="794">
        <v>26845.84</v>
      </c>
      <c r="BQ148" s="794">
        <v>14624.08</v>
      </c>
      <c r="BR148" s="794">
        <v>0</v>
      </c>
      <c r="BS148" s="794">
        <v>0</v>
      </c>
      <c r="BT148" s="794">
        <v>0</v>
      </c>
      <c r="BU148" s="794">
        <v>0</v>
      </c>
      <c r="BV148" s="794">
        <v>0</v>
      </c>
    </row>
    <row r="149" spans="2:74">
      <c r="B149" s="793" t="s">
        <v>2941</v>
      </c>
      <c r="C149" s="793" t="s">
        <v>2942</v>
      </c>
      <c r="D149" s="793"/>
      <c r="E149" s="794"/>
      <c r="F149" s="799"/>
      <c r="G149" s="799"/>
      <c r="H149" s="799"/>
      <c r="I149" s="799"/>
      <c r="J149" s="799"/>
      <c r="K149" s="799"/>
      <c r="L149" s="799">
        <f t="shared" si="7"/>
        <v>331</v>
      </c>
      <c r="M149" s="799"/>
      <c r="N149" s="595"/>
      <c r="O149" s="794">
        <v>0</v>
      </c>
      <c r="P149" s="794">
        <v>0</v>
      </c>
      <c r="Q149" s="794">
        <v>0</v>
      </c>
      <c r="R149" s="794">
        <v>0</v>
      </c>
      <c r="S149" s="794">
        <v>0</v>
      </c>
      <c r="T149" s="794">
        <v>0</v>
      </c>
      <c r="U149" s="794">
        <v>0</v>
      </c>
      <c r="V149" s="794">
        <v>0</v>
      </c>
      <c r="W149" s="794">
        <v>0</v>
      </c>
      <c r="X149" s="794">
        <v>0</v>
      </c>
      <c r="Y149" s="794">
        <v>0</v>
      </c>
      <c r="Z149" s="794">
        <v>0</v>
      </c>
      <c r="AA149" s="794">
        <v>0</v>
      </c>
      <c r="AB149" s="809">
        <v>3469.94</v>
      </c>
      <c r="AC149" s="794">
        <v>0</v>
      </c>
      <c r="AD149" s="794">
        <v>0</v>
      </c>
      <c r="AE149" s="794">
        <v>0</v>
      </c>
      <c r="AF149" s="794">
        <v>0</v>
      </c>
      <c r="AG149" s="794">
        <v>0</v>
      </c>
      <c r="AH149" s="794">
        <v>0</v>
      </c>
      <c r="AI149" s="794">
        <v>0</v>
      </c>
      <c r="AJ149" s="794">
        <v>0</v>
      </c>
      <c r="AK149" s="794">
        <v>0</v>
      </c>
      <c r="AL149" s="794">
        <v>0</v>
      </c>
      <c r="AM149" s="794">
        <v>0</v>
      </c>
      <c r="AN149" s="794">
        <v>0</v>
      </c>
      <c r="AO149" s="794">
        <v>0</v>
      </c>
      <c r="AP149" s="794">
        <v>0</v>
      </c>
      <c r="AQ149" s="794">
        <v>0</v>
      </c>
      <c r="AR149" s="794">
        <v>0</v>
      </c>
      <c r="AS149" s="794">
        <v>0</v>
      </c>
      <c r="AT149" s="794">
        <v>0</v>
      </c>
      <c r="AU149" s="794">
        <v>0</v>
      </c>
      <c r="AV149" s="794">
        <v>0</v>
      </c>
      <c r="AW149" s="794">
        <v>0</v>
      </c>
      <c r="AX149" s="794">
        <v>0</v>
      </c>
      <c r="AY149" s="794">
        <v>0</v>
      </c>
      <c r="AZ149" s="794">
        <v>0</v>
      </c>
      <c r="BA149" s="794">
        <v>0</v>
      </c>
      <c r="BB149" s="794">
        <v>0</v>
      </c>
      <c r="BC149" s="794">
        <v>0</v>
      </c>
      <c r="BD149" s="794">
        <v>0</v>
      </c>
      <c r="BE149" s="794">
        <v>0</v>
      </c>
      <c r="BF149" s="794">
        <v>0</v>
      </c>
      <c r="BG149" s="794">
        <v>0</v>
      </c>
      <c r="BH149" s="794">
        <v>0</v>
      </c>
      <c r="BI149" s="794">
        <v>0</v>
      </c>
      <c r="BJ149" s="794">
        <v>0</v>
      </c>
      <c r="BK149" s="794">
        <v>0</v>
      </c>
      <c r="BL149" s="794">
        <v>0</v>
      </c>
      <c r="BM149" s="794">
        <v>0</v>
      </c>
      <c r="BN149" s="794">
        <v>0</v>
      </c>
      <c r="BO149" s="794">
        <v>0</v>
      </c>
      <c r="BP149" s="794">
        <v>0</v>
      </c>
      <c r="BQ149" s="794">
        <v>0</v>
      </c>
      <c r="BR149" s="794">
        <v>0</v>
      </c>
      <c r="BS149" s="794">
        <v>0</v>
      </c>
      <c r="BT149" s="794">
        <v>0</v>
      </c>
      <c r="BU149" s="794">
        <v>0</v>
      </c>
      <c r="BV149" s="794">
        <v>0</v>
      </c>
    </row>
    <row r="150" spans="2:74">
      <c r="B150" s="793" t="s">
        <v>2943</v>
      </c>
      <c r="C150" s="793" t="s">
        <v>2915</v>
      </c>
      <c r="D150" s="793"/>
      <c r="E150" s="794"/>
      <c r="F150" s="799"/>
      <c r="G150" s="799"/>
      <c r="H150" s="799"/>
      <c r="I150" s="799"/>
      <c r="J150" s="799"/>
      <c r="K150" s="799"/>
      <c r="L150" s="799">
        <f t="shared" si="7"/>
        <v>331</v>
      </c>
      <c r="M150" s="799"/>
      <c r="N150" s="595"/>
      <c r="O150" s="794">
        <v>0</v>
      </c>
      <c r="P150" s="794">
        <v>0</v>
      </c>
      <c r="Q150" s="794">
        <v>0</v>
      </c>
      <c r="R150" s="794">
        <v>0</v>
      </c>
      <c r="S150" s="794">
        <v>0</v>
      </c>
      <c r="T150" s="794">
        <v>0</v>
      </c>
      <c r="U150" s="794">
        <v>0</v>
      </c>
      <c r="V150" s="794">
        <v>0</v>
      </c>
      <c r="W150" s="794">
        <v>0</v>
      </c>
      <c r="X150" s="794">
        <v>0</v>
      </c>
      <c r="Y150" s="794">
        <v>0</v>
      </c>
      <c r="Z150" s="794">
        <v>0</v>
      </c>
      <c r="AA150" s="794">
        <v>0</v>
      </c>
      <c r="AB150" s="809">
        <v>61990.19</v>
      </c>
      <c r="AC150" s="794">
        <v>266315.78999999998</v>
      </c>
      <c r="AD150" s="794">
        <v>0</v>
      </c>
      <c r="AE150" s="794">
        <v>101694.71</v>
      </c>
      <c r="AF150" s="794">
        <v>0</v>
      </c>
      <c r="AG150" s="794">
        <v>0</v>
      </c>
      <c r="AH150" s="794">
        <v>0</v>
      </c>
      <c r="AI150" s="794">
        <v>0</v>
      </c>
      <c r="AJ150" s="794">
        <v>0</v>
      </c>
      <c r="AK150" s="794">
        <v>0</v>
      </c>
      <c r="AL150" s="794">
        <v>0</v>
      </c>
      <c r="AM150" s="794">
        <v>0</v>
      </c>
      <c r="AN150" s="794">
        <v>0</v>
      </c>
      <c r="AO150" s="794">
        <v>0</v>
      </c>
      <c r="AP150" s="794">
        <v>0</v>
      </c>
      <c r="AQ150" s="794">
        <v>0</v>
      </c>
      <c r="AR150" s="794">
        <v>0</v>
      </c>
      <c r="AS150" s="794">
        <v>0</v>
      </c>
      <c r="AT150" s="794">
        <v>0</v>
      </c>
      <c r="AU150" s="794">
        <v>0</v>
      </c>
      <c r="AV150" s="794">
        <v>0</v>
      </c>
      <c r="AW150" s="794">
        <v>0</v>
      </c>
      <c r="AX150" s="794">
        <v>0</v>
      </c>
      <c r="AY150" s="794">
        <v>0</v>
      </c>
      <c r="AZ150" s="794">
        <v>0</v>
      </c>
      <c r="BA150" s="794">
        <v>0</v>
      </c>
      <c r="BB150" s="794">
        <v>0</v>
      </c>
      <c r="BC150" s="794">
        <v>0</v>
      </c>
      <c r="BD150" s="794">
        <v>0</v>
      </c>
      <c r="BE150" s="794">
        <v>0</v>
      </c>
      <c r="BF150" s="794">
        <v>0</v>
      </c>
      <c r="BG150" s="794">
        <v>0</v>
      </c>
      <c r="BH150" s="794">
        <v>0</v>
      </c>
      <c r="BI150" s="794">
        <v>0</v>
      </c>
      <c r="BJ150" s="794">
        <v>0</v>
      </c>
      <c r="BK150" s="794">
        <v>0</v>
      </c>
      <c r="BL150" s="794">
        <v>0</v>
      </c>
      <c r="BM150" s="794">
        <v>0</v>
      </c>
      <c r="BN150" s="794">
        <v>0</v>
      </c>
      <c r="BO150" s="794">
        <v>0</v>
      </c>
      <c r="BP150" s="794">
        <v>0</v>
      </c>
      <c r="BQ150" s="794">
        <v>0</v>
      </c>
      <c r="BR150" s="794">
        <v>0</v>
      </c>
      <c r="BS150" s="794">
        <v>0</v>
      </c>
      <c r="BT150" s="794">
        <v>0</v>
      </c>
      <c r="BU150" s="794">
        <v>0</v>
      </c>
      <c r="BV150" s="794">
        <v>0</v>
      </c>
    </row>
    <row r="151" spans="2:74">
      <c r="B151" s="793" t="s">
        <v>2944</v>
      </c>
      <c r="C151" s="793" t="s">
        <v>2945</v>
      </c>
      <c r="D151" s="793"/>
      <c r="E151" s="794"/>
      <c r="F151" s="799"/>
      <c r="G151" s="799"/>
      <c r="H151" s="799"/>
      <c r="I151" s="799"/>
      <c r="J151" s="799"/>
      <c r="K151" s="799"/>
      <c r="L151" s="799">
        <f t="shared" si="7"/>
        <v>331</v>
      </c>
      <c r="M151" s="799"/>
      <c r="N151" s="595"/>
      <c r="O151" s="794">
        <v>0</v>
      </c>
      <c r="P151" s="794">
        <v>0</v>
      </c>
      <c r="Q151" s="794">
        <v>0</v>
      </c>
      <c r="R151" s="794">
        <v>0</v>
      </c>
      <c r="S151" s="794">
        <v>0</v>
      </c>
      <c r="T151" s="794">
        <v>0</v>
      </c>
      <c r="U151" s="794">
        <v>0</v>
      </c>
      <c r="V151" s="794">
        <v>0</v>
      </c>
      <c r="W151" s="794">
        <v>0</v>
      </c>
      <c r="X151" s="794">
        <v>0</v>
      </c>
      <c r="Y151" s="794">
        <v>0</v>
      </c>
      <c r="Z151" s="794">
        <v>0</v>
      </c>
      <c r="AA151" s="794">
        <v>0</v>
      </c>
      <c r="AB151" s="809">
        <v>23074.23</v>
      </c>
      <c r="AC151" s="794">
        <v>75587.08</v>
      </c>
      <c r="AD151" s="794">
        <v>59596.83</v>
      </c>
      <c r="AE151" s="794">
        <v>0</v>
      </c>
      <c r="AF151" s="794">
        <v>0</v>
      </c>
      <c r="AG151" s="794">
        <v>0</v>
      </c>
      <c r="AH151" s="794">
        <v>0</v>
      </c>
      <c r="AI151" s="794">
        <v>0</v>
      </c>
      <c r="AJ151" s="794">
        <v>0</v>
      </c>
      <c r="AK151" s="794">
        <v>0</v>
      </c>
      <c r="AL151" s="794">
        <v>0</v>
      </c>
      <c r="AM151" s="794">
        <v>0</v>
      </c>
      <c r="AN151" s="794">
        <v>0</v>
      </c>
      <c r="AO151" s="794">
        <v>0</v>
      </c>
      <c r="AP151" s="794">
        <v>0</v>
      </c>
      <c r="AQ151" s="794">
        <v>0</v>
      </c>
      <c r="AR151" s="794">
        <v>0</v>
      </c>
      <c r="AS151" s="794">
        <v>0</v>
      </c>
      <c r="AT151" s="794">
        <v>0</v>
      </c>
      <c r="AU151" s="794">
        <v>0</v>
      </c>
      <c r="AV151" s="794">
        <v>0</v>
      </c>
      <c r="AW151" s="794">
        <v>0</v>
      </c>
      <c r="AX151" s="794">
        <v>0</v>
      </c>
      <c r="AY151" s="794">
        <v>0</v>
      </c>
      <c r="AZ151" s="794">
        <v>0</v>
      </c>
      <c r="BA151" s="794">
        <v>0</v>
      </c>
      <c r="BB151" s="794">
        <v>0</v>
      </c>
      <c r="BC151" s="794">
        <v>0</v>
      </c>
      <c r="BD151" s="794">
        <v>0</v>
      </c>
      <c r="BE151" s="794">
        <v>0</v>
      </c>
      <c r="BF151" s="794">
        <v>0</v>
      </c>
      <c r="BG151" s="794">
        <v>0</v>
      </c>
      <c r="BH151" s="794">
        <v>0</v>
      </c>
      <c r="BI151" s="794">
        <v>0</v>
      </c>
      <c r="BJ151" s="794">
        <v>0</v>
      </c>
      <c r="BK151" s="794">
        <v>0</v>
      </c>
      <c r="BL151" s="794">
        <v>0</v>
      </c>
      <c r="BM151" s="794">
        <v>0</v>
      </c>
      <c r="BN151" s="794">
        <v>0</v>
      </c>
      <c r="BO151" s="794">
        <v>0</v>
      </c>
      <c r="BP151" s="794">
        <v>0</v>
      </c>
      <c r="BQ151" s="794">
        <v>0</v>
      </c>
      <c r="BR151" s="794">
        <v>0</v>
      </c>
      <c r="BS151" s="794">
        <v>0</v>
      </c>
      <c r="BT151" s="794">
        <v>0</v>
      </c>
      <c r="BU151" s="794">
        <v>0</v>
      </c>
      <c r="BV151" s="794">
        <v>0</v>
      </c>
    </row>
    <row r="152" spans="2:74">
      <c r="B152" s="793" t="s">
        <v>2946</v>
      </c>
      <c r="C152" s="793" t="s">
        <v>2947</v>
      </c>
      <c r="D152" s="793"/>
      <c r="E152" s="794"/>
      <c r="F152" s="799"/>
      <c r="G152" s="799"/>
      <c r="H152" s="799"/>
      <c r="I152" s="799"/>
      <c r="J152" s="799"/>
      <c r="K152" s="799"/>
      <c r="L152" s="799">
        <f t="shared" si="7"/>
        <v>331</v>
      </c>
      <c r="M152" s="799"/>
      <c r="N152" s="595"/>
      <c r="O152" s="794">
        <v>0</v>
      </c>
      <c r="P152" s="794">
        <v>0</v>
      </c>
      <c r="Q152" s="794">
        <v>0</v>
      </c>
      <c r="R152" s="794">
        <v>0</v>
      </c>
      <c r="S152" s="794">
        <v>0</v>
      </c>
      <c r="T152" s="794">
        <v>0</v>
      </c>
      <c r="U152" s="794">
        <v>0</v>
      </c>
      <c r="V152" s="794">
        <v>0</v>
      </c>
      <c r="W152" s="794">
        <v>0</v>
      </c>
      <c r="X152" s="794">
        <v>0</v>
      </c>
      <c r="Y152" s="794">
        <v>0</v>
      </c>
      <c r="Z152" s="794">
        <v>0</v>
      </c>
      <c r="AA152" s="794">
        <v>0</v>
      </c>
      <c r="AB152" s="809">
        <v>289866.73</v>
      </c>
      <c r="AC152" s="794">
        <v>155442.76</v>
      </c>
      <c r="AD152" s="794">
        <v>6583.5</v>
      </c>
      <c r="AE152" s="794">
        <v>6583.5</v>
      </c>
      <c r="AF152" s="794">
        <v>0</v>
      </c>
      <c r="AG152" s="794">
        <v>0</v>
      </c>
      <c r="AH152" s="794">
        <v>0</v>
      </c>
      <c r="AI152" s="794">
        <v>0</v>
      </c>
      <c r="AJ152" s="794">
        <v>0</v>
      </c>
      <c r="AK152" s="794">
        <v>0</v>
      </c>
      <c r="AL152" s="794">
        <v>0</v>
      </c>
      <c r="AM152" s="794">
        <v>0</v>
      </c>
      <c r="AN152" s="794">
        <v>0</v>
      </c>
      <c r="AO152" s="794">
        <v>0</v>
      </c>
      <c r="AP152" s="794">
        <v>0</v>
      </c>
      <c r="AQ152" s="794">
        <v>0</v>
      </c>
      <c r="AR152" s="794">
        <v>0</v>
      </c>
      <c r="AS152" s="794">
        <v>0</v>
      </c>
      <c r="AT152" s="794">
        <v>0</v>
      </c>
      <c r="AU152" s="794">
        <v>0</v>
      </c>
      <c r="AV152" s="794">
        <v>0</v>
      </c>
      <c r="AW152" s="794">
        <v>0</v>
      </c>
      <c r="AX152" s="794">
        <v>0</v>
      </c>
      <c r="AY152" s="794">
        <v>0</v>
      </c>
      <c r="AZ152" s="794">
        <v>0</v>
      </c>
      <c r="BA152" s="794">
        <v>0</v>
      </c>
      <c r="BB152" s="794">
        <v>140241.51</v>
      </c>
      <c r="BC152" s="794">
        <v>2050</v>
      </c>
      <c r="BD152" s="794">
        <v>0</v>
      </c>
      <c r="BE152" s="794">
        <v>112419.53</v>
      </c>
      <c r="BF152" s="794">
        <v>140424.44</v>
      </c>
      <c r="BG152" s="794">
        <v>12707</v>
      </c>
      <c r="BH152" s="794">
        <v>0</v>
      </c>
      <c r="BI152" s="794">
        <v>0</v>
      </c>
      <c r="BJ152" s="794">
        <v>0</v>
      </c>
      <c r="BK152" s="794">
        <v>0</v>
      </c>
      <c r="BL152" s="794">
        <v>0</v>
      </c>
      <c r="BM152" s="794">
        <v>0</v>
      </c>
      <c r="BN152" s="794">
        <v>0</v>
      </c>
      <c r="BO152" s="794">
        <v>0</v>
      </c>
      <c r="BP152" s="794">
        <v>0</v>
      </c>
      <c r="BQ152" s="794">
        <v>0</v>
      </c>
      <c r="BR152" s="794">
        <v>0</v>
      </c>
      <c r="BS152" s="794">
        <v>0</v>
      </c>
      <c r="BT152" s="794">
        <v>0</v>
      </c>
      <c r="BU152" s="794">
        <v>0</v>
      </c>
      <c r="BV152" s="794">
        <v>0</v>
      </c>
    </row>
    <row r="153" spans="2:74">
      <c r="B153" s="793" t="s">
        <v>2948</v>
      </c>
      <c r="C153" s="793" t="s">
        <v>481</v>
      </c>
      <c r="D153" s="793"/>
      <c r="E153" s="794"/>
      <c r="F153" s="799"/>
      <c r="G153" s="799"/>
      <c r="H153" s="799"/>
      <c r="I153" s="799"/>
      <c r="J153" s="799"/>
      <c r="K153" s="799"/>
      <c r="L153" s="799">
        <f t="shared" si="7"/>
        <v>331</v>
      </c>
      <c r="M153" s="799"/>
      <c r="N153" s="595"/>
      <c r="O153" s="794">
        <v>0</v>
      </c>
      <c r="P153" s="794">
        <v>0</v>
      </c>
      <c r="Q153" s="794">
        <v>0</v>
      </c>
      <c r="R153" s="794">
        <v>0</v>
      </c>
      <c r="S153" s="794">
        <v>0</v>
      </c>
      <c r="T153" s="794">
        <v>0</v>
      </c>
      <c r="U153" s="794">
        <v>0</v>
      </c>
      <c r="V153" s="794">
        <v>0</v>
      </c>
      <c r="W153" s="794">
        <v>0</v>
      </c>
      <c r="X153" s="794">
        <v>0</v>
      </c>
      <c r="Y153" s="794">
        <v>0</v>
      </c>
      <c r="Z153" s="794">
        <v>0</v>
      </c>
      <c r="AA153" s="794">
        <v>0</v>
      </c>
      <c r="AB153" s="809">
        <v>30689.39</v>
      </c>
      <c r="AC153" s="794">
        <v>30449.39</v>
      </c>
      <c r="AD153" s="794">
        <v>0</v>
      </c>
      <c r="AE153" s="794">
        <v>0</v>
      </c>
      <c r="AF153" s="794">
        <v>0</v>
      </c>
      <c r="AG153" s="794">
        <v>0</v>
      </c>
      <c r="AH153" s="794">
        <v>0</v>
      </c>
      <c r="AI153" s="794">
        <v>0</v>
      </c>
      <c r="AJ153" s="794">
        <v>0</v>
      </c>
      <c r="AK153" s="794">
        <v>0</v>
      </c>
      <c r="AL153" s="794">
        <v>0</v>
      </c>
      <c r="AM153" s="794">
        <v>0</v>
      </c>
      <c r="AN153" s="794">
        <v>0</v>
      </c>
      <c r="AO153" s="794">
        <v>0</v>
      </c>
      <c r="AP153" s="794">
        <v>0</v>
      </c>
      <c r="AQ153" s="794">
        <v>0</v>
      </c>
      <c r="AR153" s="794">
        <v>0</v>
      </c>
      <c r="AS153" s="794">
        <v>0</v>
      </c>
      <c r="AT153" s="794">
        <v>0</v>
      </c>
      <c r="AU153" s="794">
        <v>0</v>
      </c>
      <c r="AV153" s="794">
        <v>0</v>
      </c>
      <c r="AW153" s="794">
        <v>0</v>
      </c>
      <c r="AX153" s="794">
        <v>0</v>
      </c>
      <c r="AY153" s="794">
        <v>0</v>
      </c>
      <c r="AZ153" s="794">
        <v>0</v>
      </c>
      <c r="BA153" s="794">
        <v>0</v>
      </c>
      <c r="BB153" s="794">
        <v>0</v>
      </c>
      <c r="BC153" s="794">
        <v>0</v>
      </c>
      <c r="BD153" s="794">
        <v>0</v>
      </c>
      <c r="BE153" s="794">
        <v>0</v>
      </c>
      <c r="BF153" s="794">
        <v>0</v>
      </c>
      <c r="BG153" s="794">
        <v>0</v>
      </c>
      <c r="BH153" s="794">
        <v>0</v>
      </c>
      <c r="BI153" s="794">
        <v>0</v>
      </c>
      <c r="BJ153" s="794">
        <v>0</v>
      </c>
      <c r="BK153" s="794">
        <v>0</v>
      </c>
      <c r="BL153" s="794">
        <v>0</v>
      </c>
      <c r="BM153" s="794">
        <v>0</v>
      </c>
      <c r="BN153" s="794">
        <v>0</v>
      </c>
      <c r="BO153" s="794">
        <v>0</v>
      </c>
      <c r="BP153" s="794">
        <v>0</v>
      </c>
      <c r="BQ153" s="794">
        <v>0</v>
      </c>
      <c r="BR153" s="794">
        <v>0</v>
      </c>
      <c r="BS153" s="794">
        <v>0</v>
      </c>
      <c r="BT153" s="794">
        <v>0</v>
      </c>
      <c r="BU153" s="794">
        <v>0</v>
      </c>
      <c r="BV153" s="794">
        <v>0</v>
      </c>
    </row>
    <row r="154" spans="2:74">
      <c r="B154" s="793" t="s">
        <v>2949</v>
      </c>
      <c r="C154" s="793" t="s">
        <v>2950</v>
      </c>
      <c r="D154" s="793"/>
      <c r="E154" s="794"/>
      <c r="F154" s="799"/>
      <c r="G154" s="799"/>
      <c r="H154" s="799"/>
      <c r="I154" s="799"/>
      <c r="J154" s="799"/>
      <c r="K154" s="799"/>
      <c r="L154" s="799">
        <f t="shared" si="7"/>
        <v>331</v>
      </c>
      <c r="M154" s="799"/>
      <c r="N154" s="595"/>
      <c r="O154" s="794">
        <v>0</v>
      </c>
      <c r="P154" s="794">
        <v>0</v>
      </c>
      <c r="Q154" s="794">
        <v>0</v>
      </c>
      <c r="R154" s="794">
        <v>0</v>
      </c>
      <c r="S154" s="794">
        <v>0</v>
      </c>
      <c r="T154" s="794">
        <v>0</v>
      </c>
      <c r="U154" s="794">
        <v>0</v>
      </c>
      <c r="V154" s="794">
        <v>0</v>
      </c>
      <c r="W154" s="794">
        <v>0</v>
      </c>
      <c r="X154" s="794">
        <v>0</v>
      </c>
      <c r="Y154" s="794">
        <v>0</v>
      </c>
      <c r="Z154" s="794">
        <v>0</v>
      </c>
      <c r="AA154" s="794">
        <v>0</v>
      </c>
      <c r="AB154" s="809">
        <v>78017.05</v>
      </c>
      <c r="AC154" s="794">
        <v>104891.76</v>
      </c>
      <c r="AD154" s="794">
        <v>60602.62</v>
      </c>
      <c r="AE154" s="794">
        <v>46586.36</v>
      </c>
      <c r="AF154" s="794">
        <v>61488.5</v>
      </c>
      <c r="AG154" s="794">
        <v>0</v>
      </c>
      <c r="AH154" s="794">
        <v>0</v>
      </c>
      <c r="AI154" s="794">
        <v>0</v>
      </c>
      <c r="AJ154" s="794">
        <v>0</v>
      </c>
      <c r="AK154" s="794">
        <v>0</v>
      </c>
      <c r="AL154" s="794">
        <v>0</v>
      </c>
      <c r="AM154" s="794">
        <v>0</v>
      </c>
      <c r="AN154" s="794">
        <v>0</v>
      </c>
      <c r="AO154" s="794">
        <v>0</v>
      </c>
      <c r="AP154" s="794">
        <v>0</v>
      </c>
      <c r="AQ154" s="794">
        <v>0</v>
      </c>
      <c r="AR154" s="794">
        <v>0</v>
      </c>
      <c r="AS154" s="794">
        <v>0</v>
      </c>
      <c r="AT154" s="794">
        <v>0</v>
      </c>
      <c r="AU154" s="794">
        <v>0</v>
      </c>
      <c r="AV154" s="794">
        <v>0</v>
      </c>
      <c r="AW154" s="794">
        <v>0</v>
      </c>
      <c r="AX154" s="794">
        <v>0</v>
      </c>
      <c r="AY154" s="794">
        <v>0</v>
      </c>
      <c r="AZ154" s="794">
        <v>0</v>
      </c>
      <c r="BA154" s="794">
        <v>0</v>
      </c>
      <c r="BB154" s="794">
        <v>0</v>
      </c>
      <c r="BC154" s="794">
        <v>0</v>
      </c>
      <c r="BD154" s="794">
        <v>0</v>
      </c>
      <c r="BE154" s="794">
        <v>0</v>
      </c>
      <c r="BF154" s="794">
        <v>0</v>
      </c>
      <c r="BG154" s="794">
        <v>0</v>
      </c>
      <c r="BH154" s="794">
        <v>0</v>
      </c>
      <c r="BI154" s="794">
        <v>0</v>
      </c>
      <c r="BJ154" s="794">
        <v>0</v>
      </c>
      <c r="BK154" s="794">
        <v>0</v>
      </c>
      <c r="BL154" s="794">
        <v>0</v>
      </c>
      <c r="BM154" s="794">
        <v>0</v>
      </c>
      <c r="BN154" s="794">
        <v>0</v>
      </c>
      <c r="BO154" s="794">
        <v>0</v>
      </c>
      <c r="BP154" s="794">
        <v>0</v>
      </c>
      <c r="BQ154" s="794">
        <v>0</v>
      </c>
      <c r="BR154" s="794">
        <v>0</v>
      </c>
      <c r="BS154" s="794">
        <v>0</v>
      </c>
      <c r="BT154" s="794">
        <v>0</v>
      </c>
      <c r="BU154" s="794">
        <v>0</v>
      </c>
      <c r="BV154" s="794">
        <v>0</v>
      </c>
    </row>
    <row r="155" spans="2:74">
      <c r="B155" s="793" t="s">
        <v>2951</v>
      </c>
      <c r="C155" s="793" t="s">
        <v>2952</v>
      </c>
      <c r="D155" s="793"/>
      <c r="E155" s="794"/>
      <c r="F155" s="799"/>
      <c r="G155" s="799"/>
      <c r="H155" s="799"/>
      <c r="I155" s="799"/>
      <c r="J155" s="799"/>
      <c r="K155" s="799"/>
      <c r="L155" s="799">
        <f t="shared" si="7"/>
        <v>331</v>
      </c>
      <c r="M155" s="799"/>
      <c r="N155" s="595"/>
      <c r="O155" s="794">
        <v>0</v>
      </c>
      <c r="P155" s="794">
        <v>0</v>
      </c>
      <c r="Q155" s="794">
        <v>0</v>
      </c>
      <c r="R155" s="794">
        <v>0</v>
      </c>
      <c r="S155" s="794">
        <v>0</v>
      </c>
      <c r="T155" s="794">
        <v>0</v>
      </c>
      <c r="U155" s="794">
        <v>0</v>
      </c>
      <c r="V155" s="794">
        <v>0</v>
      </c>
      <c r="W155" s="794">
        <v>0</v>
      </c>
      <c r="X155" s="794">
        <v>0</v>
      </c>
      <c r="Y155" s="794">
        <v>0</v>
      </c>
      <c r="Z155" s="794">
        <v>0</v>
      </c>
      <c r="AA155" s="794">
        <v>0</v>
      </c>
      <c r="AB155" s="809">
        <v>30090.19</v>
      </c>
      <c r="AC155" s="794">
        <v>170348.37</v>
      </c>
      <c r="AD155" s="794">
        <v>90001.44</v>
      </c>
      <c r="AE155" s="794">
        <v>0</v>
      </c>
      <c r="AF155" s="794">
        <v>0</v>
      </c>
      <c r="AG155" s="794">
        <v>0</v>
      </c>
      <c r="AH155" s="794">
        <v>0</v>
      </c>
      <c r="AI155" s="794">
        <v>0</v>
      </c>
      <c r="AJ155" s="794">
        <v>0</v>
      </c>
      <c r="AK155" s="794">
        <v>0</v>
      </c>
      <c r="AL155" s="794">
        <v>0</v>
      </c>
      <c r="AM155" s="794">
        <v>0</v>
      </c>
      <c r="AN155" s="794">
        <v>0</v>
      </c>
      <c r="AO155" s="794">
        <v>0</v>
      </c>
      <c r="AP155" s="794">
        <v>0</v>
      </c>
      <c r="AQ155" s="794">
        <v>0</v>
      </c>
      <c r="AR155" s="794">
        <v>0</v>
      </c>
      <c r="AS155" s="794">
        <v>0</v>
      </c>
      <c r="AT155" s="794">
        <v>0</v>
      </c>
      <c r="AU155" s="794">
        <v>0</v>
      </c>
      <c r="AV155" s="794">
        <v>0</v>
      </c>
      <c r="AW155" s="794">
        <v>0</v>
      </c>
      <c r="AX155" s="794">
        <v>0</v>
      </c>
      <c r="AY155" s="794">
        <v>0</v>
      </c>
      <c r="AZ155" s="794">
        <v>0</v>
      </c>
      <c r="BA155" s="794">
        <v>0</v>
      </c>
      <c r="BB155" s="794">
        <v>0</v>
      </c>
      <c r="BC155" s="794">
        <v>0</v>
      </c>
      <c r="BD155" s="794">
        <v>0</v>
      </c>
      <c r="BE155" s="794">
        <v>0</v>
      </c>
      <c r="BF155" s="794">
        <v>0</v>
      </c>
      <c r="BG155" s="794">
        <v>0</v>
      </c>
      <c r="BH155" s="794">
        <v>0</v>
      </c>
      <c r="BI155" s="794">
        <v>0</v>
      </c>
      <c r="BJ155" s="794">
        <v>0</v>
      </c>
      <c r="BK155" s="794">
        <v>0</v>
      </c>
      <c r="BL155" s="794">
        <v>0</v>
      </c>
      <c r="BM155" s="794">
        <v>0</v>
      </c>
      <c r="BN155" s="794">
        <v>0</v>
      </c>
      <c r="BO155" s="794">
        <v>0</v>
      </c>
      <c r="BP155" s="794">
        <v>0</v>
      </c>
      <c r="BQ155" s="794">
        <v>0</v>
      </c>
      <c r="BR155" s="794">
        <v>0</v>
      </c>
      <c r="BS155" s="794">
        <v>0</v>
      </c>
      <c r="BT155" s="794">
        <v>0</v>
      </c>
      <c r="BU155" s="794">
        <v>0</v>
      </c>
      <c r="BV155" s="794">
        <v>0</v>
      </c>
    </row>
    <row r="156" spans="2:74">
      <c r="B156" s="793" t="s">
        <v>2953</v>
      </c>
      <c r="C156" s="793" t="s">
        <v>2954</v>
      </c>
      <c r="D156" s="793"/>
      <c r="E156" s="794"/>
      <c r="F156" s="799"/>
      <c r="G156" s="799"/>
      <c r="H156" s="799"/>
      <c r="I156" s="799"/>
      <c r="J156" s="799"/>
      <c r="K156" s="799"/>
      <c r="L156" s="799">
        <f t="shared" si="7"/>
        <v>331</v>
      </c>
      <c r="M156" s="799"/>
      <c r="N156" s="595"/>
      <c r="O156" s="794">
        <v>0</v>
      </c>
      <c r="P156" s="794">
        <v>0</v>
      </c>
      <c r="Q156" s="794">
        <v>0</v>
      </c>
      <c r="R156" s="794">
        <v>0</v>
      </c>
      <c r="S156" s="794">
        <v>0</v>
      </c>
      <c r="T156" s="794">
        <v>0</v>
      </c>
      <c r="U156" s="794">
        <v>0</v>
      </c>
      <c r="V156" s="794">
        <v>0</v>
      </c>
      <c r="W156" s="794">
        <v>0</v>
      </c>
      <c r="X156" s="794">
        <v>0</v>
      </c>
      <c r="Y156" s="794">
        <v>0</v>
      </c>
      <c r="Z156" s="794">
        <v>0</v>
      </c>
      <c r="AA156" s="794">
        <v>0</v>
      </c>
      <c r="AB156" s="809">
        <v>14400</v>
      </c>
      <c r="AC156" s="794">
        <v>21000</v>
      </c>
      <c r="AD156" s="794">
        <v>0</v>
      </c>
      <c r="AE156" s="794">
        <v>0</v>
      </c>
      <c r="AF156" s="794">
        <v>0</v>
      </c>
      <c r="AG156" s="794">
        <v>0</v>
      </c>
      <c r="AH156" s="794">
        <v>0</v>
      </c>
      <c r="AI156" s="794">
        <v>0</v>
      </c>
      <c r="AJ156" s="794">
        <v>0</v>
      </c>
      <c r="AK156" s="794">
        <v>0</v>
      </c>
      <c r="AL156" s="794">
        <v>0</v>
      </c>
      <c r="AM156" s="794">
        <v>0</v>
      </c>
      <c r="AN156" s="794">
        <v>0</v>
      </c>
      <c r="AO156" s="794">
        <v>0</v>
      </c>
      <c r="AP156" s="794">
        <v>0</v>
      </c>
      <c r="AQ156" s="794">
        <v>0</v>
      </c>
      <c r="AR156" s="794">
        <v>0</v>
      </c>
      <c r="AS156" s="794">
        <v>0</v>
      </c>
      <c r="AT156" s="794">
        <v>0</v>
      </c>
      <c r="AU156" s="794">
        <v>0</v>
      </c>
      <c r="AV156" s="794">
        <v>0</v>
      </c>
      <c r="AW156" s="794">
        <v>0</v>
      </c>
      <c r="AX156" s="794">
        <v>0</v>
      </c>
      <c r="AY156" s="794">
        <v>0</v>
      </c>
      <c r="AZ156" s="794">
        <v>0</v>
      </c>
      <c r="BA156" s="794">
        <v>0</v>
      </c>
      <c r="BB156" s="794">
        <v>0</v>
      </c>
      <c r="BC156" s="794">
        <v>0</v>
      </c>
      <c r="BD156" s="794">
        <v>0</v>
      </c>
      <c r="BE156" s="794">
        <v>0</v>
      </c>
      <c r="BF156" s="794">
        <v>0</v>
      </c>
      <c r="BG156" s="794">
        <v>0</v>
      </c>
      <c r="BH156" s="794">
        <v>0</v>
      </c>
      <c r="BI156" s="794">
        <v>0</v>
      </c>
      <c r="BJ156" s="794">
        <v>0</v>
      </c>
      <c r="BK156" s="794">
        <v>0</v>
      </c>
      <c r="BL156" s="794">
        <v>0</v>
      </c>
      <c r="BM156" s="794">
        <v>0</v>
      </c>
      <c r="BN156" s="794">
        <v>0</v>
      </c>
      <c r="BO156" s="794">
        <v>0</v>
      </c>
      <c r="BP156" s="794">
        <v>0</v>
      </c>
      <c r="BQ156" s="794">
        <v>0</v>
      </c>
      <c r="BR156" s="794">
        <v>0</v>
      </c>
      <c r="BS156" s="794">
        <v>0</v>
      </c>
      <c r="BT156" s="794">
        <v>0</v>
      </c>
      <c r="BU156" s="794">
        <v>0</v>
      </c>
      <c r="BV156" s="794">
        <v>0</v>
      </c>
    </row>
    <row r="157" spans="2:74">
      <c r="B157" s="793" t="s">
        <v>2939</v>
      </c>
      <c r="C157" s="793" t="s">
        <v>2955</v>
      </c>
      <c r="D157" s="793"/>
      <c r="E157" s="794"/>
      <c r="F157" s="799"/>
      <c r="G157" s="799"/>
      <c r="H157" s="799"/>
      <c r="I157" s="799"/>
      <c r="J157" s="799"/>
      <c r="K157" s="799"/>
      <c r="L157" s="799">
        <f t="shared" si="7"/>
        <v>1</v>
      </c>
      <c r="M157" s="799"/>
      <c r="N157" s="595"/>
      <c r="O157" s="794">
        <v>0</v>
      </c>
      <c r="P157" s="794">
        <v>0</v>
      </c>
      <c r="Q157" s="794">
        <v>0</v>
      </c>
      <c r="R157" s="794">
        <v>0</v>
      </c>
      <c r="S157" s="794">
        <v>0</v>
      </c>
      <c r="T157" s="794">
        <v>0</v>
      </c>
      <c r="U157" s="794">
        <v>0</v>
      </c>
      <c r="V157" s="794">
        <v>0</v>
      </c>
      <c r="W157" s="794">
        <v>0</v>
      </c>
      <c r="X157" s="794">
        <v>0</v>
      </c>
      <c r="Y157" s="794">
        <v>0</v>
      </c>
      <c r="Z157" s="794">
        <v>0</v>
      </c>
      <c r="AA157" s="794">
        <v>0</v>
      </c>
      <c r="AB157" s="809">
        <v>11455</v>
      </c>
      <c r="AC157" s="794">
        <v>45824.51</v>
      </c>
      <c r="AD157" s="794">
        <v>58919.95</v>
      </c>
      <c r="AE157" s="794">
        <v>77838.850000000006</v>
      </c>
      <c r="AF157" s="794">
        <v>77147.960000000006</v>
      </c>
      <c r="AG157" s="794">
        <v>120072.61</v>
      </c>
      <c r="AH157" s="794">
        <v>86500</v>
      </c>
      <c r="AI157" s="794">
        <v>105649.17</v>
      </c>
      <c r="AJ157" s="794">
        <v>137365.49</v>
      </c>
      <c r="AK157" s="794">
        <v>132244.70000000001</v>
      </c>
      <c r="AL157" s="794">
        <v>62817.98</v>
      </c>
      <c r="AM157" s="794">
        <v>123303.01</v>
      </c>
      <c r="AN157" s="794">
        <v>0</v>
      </c>
      <c r="AO157" s="794">
        <v>0</v>
      </c>
      <c r="AP157" s="794">
        <v>0</v>
      </c>
      <c r="AQ157" s="794">
        <v>0</v>
      </c>
      <c r="AR157" s="794">
        <v>0</v>
      </c>
      <c r="AS157" s="794">
        <v>0</v>
      </c>
      <c r="AT157" s="794">
        <v>0</v>
      </c>
      <c r="AU157" s="794">
        <v>0</v>
      </c>
      <c r="AV157" s="794">
        <v>0</v>
      </c>
      <c r="AW157" s="794">
        <v>0</v>
      </c>
      <c r="AX157" s="794">
        <v>0</v>
      </c>
      <c r="AY157" s="794">
        <v>0</v>
      </c>
      <c r="AZ157" s="794">
        <v>0</v>
      </c>
      <c r="BA157" s="794">
        <v>0</v>
      </c>
      <c r="BB157" s="794">
        <v>0</v>
      </c>
      <c r="BC157" s="794">
        <v>0</v>
      </c>
      <c r="BD157" s="794">
        <v>0</v>
      </c>
      <c r="BE157" s="794">
        <v>0</v>
      </c>
      <c r="BF157" s="794">
        <v>0</v>
      </c>
      <c r="BG157" s="794">
        <v>0</v>
      </c>
      <c r="BH157" s="794">
        <v>0</v>
      </c>
      <c r="BI157" s="794">
        <v>0</v>
      </c>
      <c r="BJ157" s="794">
        <v>0</v>
      </c>
      <c r="BK157" s="794">
        <v>0</v>
      </c>
      <c r="BL157" s="794">
        <v>0</v>
      </c>
      <c r="BM157" s="794">
        <v>0</v>
      </c>
      <c r="BN157" s="794">
        <v>0</v>
      </c>
      <c r="BO157" s="794">
        <v>0</v>
      </c>
      <c r="BP157" s="794">
        <v>0</v>
      </c>
      <c r="BQ157" s="794">
        <v>0</v>
      </c>
      <c r="BR157" s="794">
        <v>0</v>
      </c>
      <c r="BS157" s="794">
        <v>0</v>
      </c>
      <c r="BT157" s="794">
        <v>0</v>
      </c>
      <c r="BU157" s="794">
        <v>0</v>
      </c>
      <c r="BV157" s="794">
        <v>0</v>
      </c>
    </row>
    <row r="158" spans="2:74">
      <c r="B158" s="793" t="s">
        <v>2956</v>
      </c>
      <c r="C158" s="793" t="s">
        <v>2957</v>
      </c>
      <c r="D158" s="793"/>
      <c r="E158" s="794"/>
      <c r="F158" s="799"/>
      <c r="G158" s="799"/>
      <c r="H158" s="799"/>
      <c r="I158" s="799"/>
      <c r="J158" s="799"/>
      <c r="K158" s="799"/>
      <c r="L158" s="799">
        <f t="shared" si="7"/>
        <v>331</v>
      </c>
      <c r="M158" s="799"/>
      <c r="N158" s="595"/>
      <c r="O158" s="794">
        <v>0</v>
      </c>
      <c r="P158" s="794">
        <v>0</v>
      </c>
      <c r="Q158" s="794">
        <v>0</v>
      </c>
      <c r="R158" s="794">
        <v>0</v>
      </c>
      <c r="S158" s="794">
        <v>0</v>
      </c>
      <c r="T158" s="794">
        <v>0</v>
      </c>
      <c r="U158" s="794">
        <v>0</v>
      </c>
      <c r="V158" s="794">
        <v>0</v>
      </c>
      <c r="W158" s="794">
        <v>0</v>
      </c>
      <c r="X158" s="794">
        <v>0</v>
      </c>
      <c r="Y158" s="794">
        <v>0</v>
      </c>
      <c r="Z158" s="794">
        <v>0</v>
      </c>
      <c r="AA158" s="794">
        <v>0</v>
      </c>
      <c r="AB158" s="809">
        <v>7543.22</v>
      </c>
      <c r="AC158" s="794">
        <v>22365.64</v>
      </c>
      <c r="AD158" s="794">
        <v>0</v>
      </c>
      <c r="AE158" s="794">
        <v>0</v>
      </c>
      <c r="AF158" s="794">
        <v>0</v>
      </c>
      <c r="AG158" s="794">
        <v>0</v>
      </c>
      <c r="AH158" s="794">
        <v>0</v>
      </c>
      <c r="AI158" s="794">
        <v>0</v>
      </c>
      <c r="AJ158" s="794">
        <v>0</v>
      </c>
      <c r="AK158" s="794">
        <v>0</v>
      </c>
      <c r="AL158" s="794">
        <v>0</v>
      </c>
      <c r="AM158" s="794">
        <v>0</v>
      </c>
      <c r="AN158" s="794">
        <v>0</v>
      </c>
      <c r="AO158" s="794">
        <v>0</v>
      </c>
      <c r="AP158" s="794">
        <v>0</v>
      </c>
      <c r="AQ158" s="794">
        <v>0</v>
      </c>
      <c r="AR158" s="794">
        <v>0</v>
      </c>
      <c r="AS158" s="794">
        <v>0</v>
      </c>
      <c r="AT158" s="794">
        <v>0</v>
      </c>
      <c r="AU158" s="794">
        <v>0</v>
      </c>
      <c r="AV158" s="794">
        <v>0</v>
      </c>
      <c r="AW158" s="794">
        <v>0</v>
      </c>
      <c r="AX158" s="794">
        <v>0</v>
      </c>
      <c r="AY158" s="794">
        <v>0</v>
      </c>
      <c r="AZ158" s="794">
        <v>0</v>
      </c>
      <c r="BA158" s="794">
        <v>0</v>
      </c>
      <c r="BB158" s="794">
        <v>0</v>
      </c>
      <c r="BC158" s="794">
        <v>0</v>
      </c>
      <c r="BD158" s="794">
        <v>0</v>
      </c>
      <c r="BE158" s="794">
        <v>0</v>
      </c>
      <c r="BF158" s="794">
        <v>0</v>
      </c>
      <c r="BG158" s="794">
        <v>0</v>
      </c>
      <c r="BH158" s="794">
        <v>0</v>
      </c>
      <c r="BI158" s="794">
        <v>0</v>
      </c>
      <c r="BJ158" s="794">
        <v>0</v>
      </c>
      <c r="BK158" s="794">
        <v>0</v>
      </c>
      <c r="BL158" s="794">
        <v>0</v>
      </c>
      <c r="BM158" s="794">
        <v>0</v>
      </c>
      <c r="BN158" s="794">
        <v>0</v>
      </c>
      <c r="BO158" s="794">
        <v>0</v>
      </c>
      <c r="BP158" s="794">
        <v>0</v>
      </c>
      <c r="BQ158" s="794">
        <v>0</v>
      </c>
      <c r="BR158" s="794">
        <v>0</v>
      </c>
      <c r="BS158" s="794">
        <v>0</v>
      </c>
      <c r="BT158" s="794">
        <v>0</v>
      </c>
      <c r="BU158" s="794">
        <v>0</v>
      </c>
      <c r="BV158" s="794">
        <v>0</v>
      </c>
    </row>
    <row r="159" spans="2:74">
      <c r="B159" s="793" t="s">
        <v>2958</v>
      </c>
      <c r="C159" s="793" t="s">
        <v>2860</v>
      </c>
      <c r="D159" s="793"/>
      <c r="E159" s="794"/>
      <c r="F159" s="799"/>
      <c r="G159" s="799"/>
      <c r="H159" s="799"/>
      <c r="I159" s="799"/>
      <c r="J159" s="799"/>
      <c r="K159" s="799"/>
      <c r="L159" s="799">
        <f t="shared" si="7"/>
        <v>331</v>
      </c>
      <c r="M159" s="799"/>
      <c r="N159" s="595"/>
      <c r="O159" s="794">
        <v>0</v>
      </c>
      <c r="P159" s="794">
        <v>0</v>
      </c>
      <c r="Q159" s="794">
        <v>0</v>
      </c>
      <c r="R159" s="794">
        <v>0</v>
      </c>
      <c r="S159" s="794">
        <v>0</v>
      </c>
      <c r="T159" s="794">
        <v>0</v>
      </c>
      <c r="U159" s="794">
        <v>0</v>
      </c>
      <c r="V159" s="794">
        <v>0</v>
      </c>
      <c r="W159" s="794">
        <v>0</v>
      </c>
      <c r="X159" s="794">
        <v>0</v>
      </c>
      <c r="Y159" s="794">
        <v>0</v>
      </c>
      <c r="Z159" s="794">
        <v>0</v>
      </c>
      <c r="AA159" s="794">
        <v>0</v>
      </c>
      <c r="AB159" s="809">
        <v>24975</v>
      </c>
      <c r="AC159" s="794">
        <v>6950</v>
      </c>
      <c r="AD159" s="794">
        <v>0</v>
      </c>
      <c r="AE159" s="794">
        <v>0</v>
      </c>
      <c r="AF159" s="794">
        <v>0</v>
      </c>
      <c r="AG159" s="794">
        <v>0</v>
      </c>
      <c r="AH159" s="794">
        <v>0</v>
      </c>
      <c r="AI159" s="794">
        <v>0</v>
      </c>
      <c r="AJ159" s="794">
        <v>0</v>
      </c>
      <c r="AK159" s="794">
        <v>0</v>
      </c>
      <c r="AL159" s="794">
        <v>0</v>
      </c>
      <c r="AM159" s="794">
        <v>0</v>
      </c>
      <c r="AN159" s="794">
        <v>0</v>
      </c>
      <c r="AO159" s="794">
        <v>0</v>
      </c>
      <c r="AP159" s="794">
        <v>0</v>
      </c>
      <c r="AQ159" s="794">
        <v>0</v>
      </c>
      <c r="AR159" s="794">
        <v>0</v>
      </c>
      <c r="AS159" s="794">
        <v>0</v>
      </c>
      <c r="AT159" s="794">
        <v>0</v>
      </c>
      <c r="AU159" s="794">
        <v>0</v>
      </c>
      <c r="AV159" s="794">
        <v>0</v>
      </c>
      <c r="AW159" s="794">
        <v>0</v>
      </c>
      <c r="AX159" s="794">
        <v>0</v>
      </c>
      <c r="AY159" s="794">
        <v>0</v>
      </c>
      <c r="AZ159" s="794">
        <v>0</v>
      </c>
      <c r="BA159" s="794">
        <v>0</v>
      </c>
      <c r="BB159" s="794">
        <v>0</v>
      </c>
      <c r="BC159" s="794">
        <v>0</v>
      </c>
      <c r="BD159" s="794">
        <v>0</v>
      </c>
      <c r="BE159" s="794">
        <v>0</v>
      </c>
      <c r="BF159" s="794">
        <v>0</v>
      </c>
      <c r="BG159" s="794">
        <v>0</v>
      </c>
      <c r="BH159" s="794">
        <v>0</v>
      </c>
      <c r="BI159" s="794">
        <v>0</v>
      </c>
      <c r="BJ159" s="794">
        <v>0</v>
      </c>
      <c r="BK159" s="794">
        <v>0</v>
      </c>
      <c r="BL159" s="794">
        <v>0</v>
      </c>
      <c r="BM159" s="794">
        <v>53366</v>
      </c>
      <c r="BN159" s="794">
        <v>0</v>
      </c>
      <c r="BO159" s="794">
        <v>0</v>
      </c>
      <c r="BP159" s="794">
        <v>0</v>
      </c>
      <c r="BQ159" s="794">
        <v>0</v>
      </c>
      <c r="BR159" s="794">
        <v>0</v>
      </c>
      <c r="BS159" s="794">
        <v>0</v>
      </c>
      <c r="BT159" s="794">
        <v>0</v>
      </c>
      <c r="BU159" s="794">
        <v>0</v>
      </c>
      <c r="BV159" s="794">
        <v>0</v>
      </c>
    </row>
    <row r="160" spans="2:74">
      <c r="B160" s="793" t="s">
        <v>2959</v>
      </c>
      <c r="C160" s="793" t="s">
        <v>2960</v>
      </c>
      <c r="D160" s="793"/>
      <c r="E160" s="794"/>
      <c r="F160" s="799"/>
      <c r="G160" s="799"/>
      <c r="H160" s="799"/>
      <c r="I160" s="799"/>
      <c r="J160" s="799"/>
      <c r="K160" s="799"/>
      <c r="L160" s="799">
        <f t="shared" si="7"/>
        <v>331</v>
      </c>
      <c r="M160" s="799"/>
      <c r="N160" s="595"/>
      <c r="O160" s="794">
        <v>0</v>
      </c>
      <c r="P160" s="794">
        <v>0</v>
      </c>
      <c r="Q160" s="794">
        <v>0</v>
      </c>
      <c r="R160" s="794">
        <v>0</v>
      </c>
      <c r="S160" s="794">
        <v>0</v>
      </c>
      <c r="T160" s="794">
        <v>0</v>
      </c>
      <c r="U160" s="794">
        <v>0</v>
      </c>
      <c r="V160" s="794">
        <v>0</v>
      </c>
      <c r="W160" s="794">
        <v>0</v>
      </c>
      <c r="X160" s="794">
        <v>0</v>
      </c>
      <c r="Y160" s="794">
        <v>0</v>
      </c>
      <c r="Z160" s="794">
        <v>0</v>
      </c>
      <c r="AA160" s="794">
        <v>0</v>
      </c>
      <c r="AB160" s="794">
        <v>0</v>
      </c>
      <c r="AC160" s="794">
        <v>0</v>
      </c>
      <c r="AD160" s="794">
        <v>0</v>
      </c>
      <c r="AE160" s="794">
        <v>0</v>
      </c>
      <c r="AF160" s="794">
        <v>0</v>
      </c>
      <c r="AG160" s="794">
        <v>0</v>
      </c>
      <c r="AH160" s="794">
        <v>0</v>
      </c>
      <c r="AI160" s="794">
        <v>0</v>
      </c>
      <c r="AJ160" s="794">
        <v>0</v>
      </c>
      <c r="AK160" s="794">
        <v>0</v>
      </c>
      <c r="AL160" s="794">
        <v>0</v>
      </c>
      <c r="AM160" s="794">
        <v>0</v>
      </c>
      <c r="AN160" s="794">
        <v>0</v>
      </c>
      <c r="AO160" s="794">
        <v>0</v>
      </c>
      <c r="AP160" s="794">
        <v>0</v>
      </c>
      <c r="AQ160" s="794">
        <v>0</v>
      </c>
      <c r="AR160" s="794">
        <v>0</v>
      </c>
      <c r="AS160" s="794">
        <v>0</v>
      </c>
      <c r="AT160" s="794">
        <v>0</v>
      </c>
      <c r="AU160" s="794">
        <v>0</v>
      </c>
      <c r="AV160" s="794">
        <v>0</v>
      </c>
      <c r="AW160" s="794">
        <v>0</v>
      </c>
      <c r="AX160" s="794">
        <v>0</v>
      </c>
      <c r="AY160" s="794">
        <v>0</v>
      </c>
      <c r="AZ160" s="794">
        <v>0</v>
      </c>
      <c r="BA160" s="794">
        <v>0</v>
      </c>
      <c r="BB160" s="794">
        <v>0</v>
      </c>
      <c r="BC160" s="794">
        <v>0</v>
      </c>
      <c r="BD160" s="794">
        <v>0</v>
      </c>
      <c r="BE160" s="794">
        <v>0</v>
      </c>
      <c r="BF160" s="794">
        <v>0</v>
      </c>
      <c r="BG160" s="794">
        <v>0</v>
      </c>
      <c r="BH160" s="794">
        <v>0</v>
      </c>
      <c r="BI160" s="794">
        <v>0</v>
      </c>
      <c r="BJ160" s="794">
        <v>0</v>
      </c>
      <c r="BK160" s="794">
        <v>0</v>
      </c>
      <c r="BL160" s="794">
        <v>0</v>
      </c>
      <c r="BM160" s="794">
        <v>0</v>
      </c>
      <c r="BN160" s="794">
        <v>0</v>
      </c>
      <c r="BO160" s="794">
        <v>0</v>
      </c>
      <c r="BP160" s="794">
        <v>0</v>
      </c>
      <c r="BQ160" s="794">
        <v>0</v>
      </c>
      <c r="BR160" s="794">
        <v>0</v>
      </c>
      <c r="BS160" s="794">
        <v>0</v>
      </c>
      <c r="BT160" s="794">
        <v>0</v>
      </c>
      <c r="BU160" s="794">
        <v>0</v>
      </c>
      <c r="BV160" s="794">
        <v>0</v>
      </c>
    </row>
    <row r="161" spans="2:74">
      <c r="B161" s="793" t="s">
        <v>2961</v>
      </c>
      <c r="C161" s="793" t="s">
        <v>2942</v>
      </c>
      <c r="D161" s="793"/>
      <c r="E161" s="794"/>
      <c r="F161" s="799"/>
      <c r="G161" s="799"/>
      <c r="H161" s="799"/>
      <c r="I161" s="799"/>
      <c r="J161" s="799"/>
      <c r="K161" s="799"/>
      <c r="L161" s="799">
        <f t="shared" si="7"/>
        <v>331</v>
      </c>
      <c r="M161" s="799"/>
      <c r="N161" s="595"/>
      <c r="O161" s="794">
        <v>0</v>
      </c>
      <c r="P161" s="794">
        <v>0</v>
      </c>
      <c r="Q161" s="794">
        <v>0</v>
      </c>
      <c r="R161" s="794">
        <v>0</v>
      </c>
      <c r="S161" s="794">
        <v>0</v>
      </c>
      <c r="T161" s="794">
        <v>0</v>
      </c>
      <c r="U161" s="794">
        <v>0</v>
      </c>
      <c r="V161" s="794">
        <v>0</v>
      </c>
      <c r="W161" s="794">
        <v>0</v>
      </c>
      <c r="X161" s="794">
        <v>0</v>
      </c>
      <c r="Y161" s="794">
        <v>0</v>
      </c>
      <c r="Z161" s="794">
        <v>0</v>
      </c>
      <c r="AA161" s="794">
        <v>0</v>
      </c>
      <c r="AB161" s="809">
        <v>19657.939999999999</v>
      </c>
      <c r="AC161" s="794">
        <v>7706.17</v>
      </c>
      <c r="AD161" s="794">
        <v>0</v>
      </c>
      <c r="AE161" s="794">
        <v>0</v>
      </c>
      <c r="AF161" s="794">
        <v>0</v>
      </c>
      <c r="AG161" s="794">
        <v>0</v>
      </c>
      <c r="AH161" s="794">
        <v>0</v>
      </c>
      <c r="AI161" s="794">
        <v>0</v>
      </c>
      <c r="AJ161" s="794">
        <v>0</v>
      </c>
      <c r="AK161" s="794">
        <v>0</v>
      </c>
      <c r="AL161" s="794">
        <v>0</v>
      </c>
      <c r="AM161" s="794">
        <v>0</v>
      </c>
      <c r="AN161" s="794">
        <v>0</v>
      </c>
      <c r="AO161" s="794">
        <v>0</v>
      </c>
      <c r="AP161" s="794">
        <v>0</v>
      </c>
      <c r="AQ161" s="794">
        <v>0</v>
      </c>
      <c r="AR161" s="794">
        <v>0</v>
      </c>
      <c r="AS161" s="794">
        <v>0</v>
      </c>
      <c r="AT161" s="794">
        <v>0</v>
      </c>
      <c r="AU161" s="794">
        <v>0</v>
      </c>
      <c r="AV161" s="794">
        <v>0</v>
      </c>
      <c r="AW161" s="794">
        <v>0</v>
      </c>
      <c r="AX161" s="794">
        <v>0</v>
      </c>
      <c r="AY161" s="794">
        <v>0</v>
      </c>
      <c r="AZ161" s="794">
        <v>0</v>
      </c>
      <c r="BA161" s="794">
        <v>0</v>
      </c>
      <c r="BB161" s="794">
        <v>0</v>
      </c>
      <c r="BC161" s="794">
        <v>0</v>
      </c>
      <c r="BD161" s="794">
        <v>0</v>
      </c>
      <c r="BE161" s="794">
        <v>0</v>
      </c>
      <c r="BF161" s="794">
        <v>0</v>
      </c>
      <c r="BG161" s="794">
        <v>0</v>
      </c>
      <c r="BH161" s="794">
        <v>0</v>
      </c>
      <c r="BI161" s="794">
        <v>0</v>
      </c>
      <c r="BJ161" s="794">
        <v>0</v>
      </c>
      <c r="BK161" s="794">
        <v>0</v>
      </c>
      <c r="BL161" s="794">
        <v>0</v>
      </c>
      <c r="BM161" s="794">
        <v>0</v>
      </c>
      <c r="BN161" s="794">
        <v>0</v>
      </c>
      <c r="BO161" s="794">
        <v>0</v>
      </c>
      <c r="BP161" s="794">
        <v>0</v>
      </c>
      <c r="BQ161" s="794">
        <v>0</v>
      </c>
      <c r="BR161" s="794">
        <v>0</v>
      </c>
      <c r="BS161" s="794">
        <v>0</v>
      </c>
      <c r="BT161" s="794">
        <v>0</v>
      </c>
      <c r="BU161" s="794">
        <v>0</v>
      </c>
      <c r="BV161" s="794">
        <v>0</v>
      </c>
    </row>
    <row r="162" spans="2:74">
      <c r="B162" s="793" t="s">
        <v>2962</v>
      </c>
      <c r="C162" s="793" t="s">
        <v>2963</v>
      </c>
      <c r="D162" s="793"/>
      <c r="E162" s="794"/>
      <c r="F162" s="799"/>
      <c r="G162" s="799"/>
      <c r="H162" s="799"/>
      <c r="I162" s="799"/>
      <c r="J162" s="799"/>
      <c r="K162" s="799"/>
      <c r="L162" s="799">
        <f t="shared" si="7"/>
        <v>331</v>
      </c>
      <c r="M162" s="799"/>
      <c r="N162" s="595"/>
      <c r="O162" s="794">
        <v>0</v>
      </c>
      <c r="P162" s="794">
        <v>0</v>
      </c>
      <c r="Q162" s="794">
        <v>0</v>
      </c>
      <c r="R162" s="794">
        <v>0</v>
      </c>
      <c r="S162" s="794">
        <v>0</v>
      </c>
      <c r="T162" s="794">
        <v>0</v>
      </c>
      <c r="U162" s="794">
        <v>0</v>
      </c>
      <c r="V162" s="794">
        <v>0</v>
      </c>
      <c r="W162" s="794">
        <v>0</v>
      </c>
      <c r="X162" s="794">
        <v>0</v>
      </c>
      <c r="Y162" s="794">
        <v>0</v>
      </c>
      <c r="Z162" s="794">
        <v>0</v>
      </c>
      <c r="AA162" s="794">
        <v>0</v>
      </c>
      <c r="AB162" s="809">
        <v>15532.15</v>
      </c>
      <c r="AC162" s="794">
        <v>0</v>
      </c>
      <c r="AD162" s="794">
        <v>0</v>
      </c>
      <c r="AE162" s="794">
        <v>0</v>
      </c>
      <c r="AF162" s="794">
        <v>0</v>
      </c>
      <c r="AG162" s="794">
        <v>0</v>
      </c>
      <c r="AH162" s="794">
        <v>0</v>
      </c>
      <c r="AI162" s="794">
        <v>0</v>
      </c>
      <c r="AJ162" s="794">
        <v>0</v>
      </c>
      <c r="AK162" s="794">
        <v>0</v>
      </c>
      <c r="AL162" s="794">
        <v>0</v>
      </c>
      <c r="AM162" s="794">
        <v>0</v>
      </c>
      <c r="AN162" s="794">
        <v>0</v>
      </c>
      <c r="AO162" s="794">
        <v>0</v>
      </c>
      <c r="AP162" s="794">
        <v>0</v>
      </c>
      <c r="AQ162" s="794">
        <v>0</v>
      </c>
      <c r="AR162" s="794">
        <v>0</v>
      </c>
      <c r="AS162" s="794">
        <v>0</v>
      </c>
      <c r="AT162" s="794">
        <v>0</v>
      </c>
      <c r="AU162" s="794">
        <v>0</v>
      </c>
      <c r="AV162" s="794">
        <v>0</v>
      </c>
      <c r="AW162" s="794">
        <v>0</v>
      </c>
      <c r="AX162" s="794">
        <v>0</v>
      </c>
      <c r="AY162" s="794">
        <v>0</v>
      </c>
      <c r="AZ162" s="794">
        <v>0</v>
      </c>
      <c r="BA162" s="794">
        <v>0</v>
      </c>
      <c r="BB162" s="794">
        <v>0</v>
      </c>
      <c r="BC162" s="794">
        <v>0</v>
      </c>
      <c r="BD162" s="794">
        <v>0</v>
      </c>
      <c r="BE162" s="794">
        <v>0</v>
      </c>
      <c r="BF162" s="794">
        <v>0</v>
      </c>
      <c r="BG162" s="794">
        <v>0</v>
      </c>
      <c r="BH162" s="794">
        <v>0</v>
      </c>
      <c r="BI162" s="794">
        <v>0</v>
      </c>
      <c r="BJ162" s="794">
        <v>0</v>
      </c>
      <c r="BK162" s="794">
        <v>0</v>
      </c>
      <c r="BL162" s="794">
        <v>0</v>
      </c>
      <c r="BM162" s="794">
        <v>0</v>
      </c>
      <c r="BN162" s="794">
        <v>0</v>
      </c>
      <c r="BO162" s="794">
        <v>0</v>
      </c>
      <c r="BP162" s="794">
        <v>0</v>
      </c>
      <c r="BQ162" s="794">
        <v>0</v>
      </c>
      <c r="BR162" s="794">
        <v>0</v>
      </c>
      <c r="BS162" s="794">
        <v>0</v>
      </c>
      <c r="BT162" s="794">
        <v>0</v>
      </c>
      <c r="BU162" s="794">
        <v>0</v>
      </c>
      <c r="BV162" s="794">
        <v>0</v>
      </c>
    </row>
    <row r="163" spans="2:74">
      <c r="B163" s="793" t="s">
        <v>2964</v>
      </c>
      <c r="C163" s="793" t="s">
        <v>2766</v>
      </c>
      <c r="D163" s="793"/>
      <c r="E163" s="794"/>
      <c r="F163" s="799"/>
      <c r="G163" s="799"/>
      <c r="H163" s="799"/>
      <c r="I163" s="799"/>
      <c r="J163" s="799"/>
      <c r="K163" s="799"/>
      <c r="L163" s="799">
        <f t="shared" si="7"/>
        <v>331</v>
      </c>
      <c r="M163" s="799"/>
      <c r="N163" s="595"/>
      <c r="O163" s="794">
        <v>0</v>
      </c>
      <c r="P163" s="794">
        <v>0</v>
      </c>
      <c r="Q163" s="794">
        <v>0</v>
      </c>
      <c r="R163" s="794">
        <v>0</v>
      </c>
      <c r="S163" s="794">
        <v>0</v>
      </c>
      <c r="T163" s="794">
        <v>0</v>
      </c>
      <c r="U163" s="794">
        <v>0</v>
      </c>
      <c r="V163" s="794">
        <v>0</v>
      </c>
      <c r="W163" s="794">
        <v>0</v>
      </c>
      <c r="X163" s="794">
        <v>0</v>
      </c>
      <c r="Y163" s="794">
        <v>0</v>
      </c>
      <c r="Z163" s="794">
        <v>0</v>
      </c>
      <c r="AA163" s="794">
        <v>0</v>
      </c>
      <c r="AB163" s="794">
        <v>0</v>
      </c>
      <c r="AC163" s="794">
        <v>7905</v>
      </c>
      <c r="AD163" s="794">
        <v>0</v>
      </c>
      <c r="AE163" s="794">
        <v>0</v>
      </c>
      <c r="AF163" s="794">
        <v>0</v>
      </c>
      <c r="AG163" s="794">
        <v>0</v>
      </c>
      <c r="AH163" s="794">
        <v>0</v>
      </c>
      <c r="AI163" s="794">
        <v>0</v>
      </c>
      <c r="AJ163" s="794">
        <v>0</v>
      </c>
      <c r="AK163" s="794">
        <v>0</v>
      </c>
      <c r="AL163" s="794">
        <v>0</v>
      </c>
      <c r="AM163" s="794">
        <v>0</v>
      </c>
      <c r="AN163" s="794">
        <v>0</v>
      </c>
      <c r="AO163" s="794">
        <v>0</v>
      </c>
      <c r="AP163" s="794">
        <v>0</v>
      </c>
      <c r="AQ163" s="794">
        <v>0</v>
      </c>
      <c r="AR163" s="794">
        <v>0</v>
      </c>
      <c r="AS163" s="794">
        <v>0</v>
      </c>
      <c r="AT163" s="794">
        <v>0</v>
      </c>
      <c r="AU163" s="794">
        <v>0</v>
      </c>
      <c r="AV163" s="794">
        <v>0</v>
      </c>
      <c r="AW163" s="794">
        <v>0</v>
      </c>
      <c r="AX163" s="794">
        <v>0</v>
      </c>
      <c r="AY163" s="794">
        <v>0</v>
      </c>
      <c r="AZ163" s="794">
        <v>0</v>
      </c>
      <c r="BA163" s="794">
        <v>0</v>
      </c>
      <c r="BB163" s="794">
        <v>0</v>
      </c>
      <c r="BC163" s="794">
        <v>0</v>
      </c>
      <c r="BD163" s="794">
        <v>0</v>
      </c>
      <c r="BE163" s="794">
        <v>0</v>
      </c>
      <c r="BF163" s="794">
        <v>0</v>
      </c>
      <c r="BG163" s="794">
        <v>0</v>
      </c>
      <c r="BH163" s="794">
        <v>0</v>
      </c>
      <c r="BI163" s="794">
        <v>0</v>
      </c>
      <c r="BJ163" s="794">
        <v>0</v>
      </c>
      <c r="BK163" s="794">
        <v>0</v>
      </c>
      <c r="BL163" s="794">
        <v>0</v>
      </c>
      <c r="BM163" s="794">
        <v>0</v>
      </c>
      <c r="BN163" s="794">
        <v>0</v>
      </c>
      <c r="BO163" s="794">
        <v>0</v>
      </c>
      <c r="BP163" s="794">
        <v>0</v>
      </c>
      <c r="BQ163" s="794">
        <v>0</v>
      </c>
      <c r="BR163" s="794">
        <v>0</v>
      </c>
      <c r="BS163" s="794">
        <v>0</v>
      </c>
      <c r="BT163" s="794">
        <v>0</v>
      </c>
      <c r="BU163" s="794">
        <v>0</v>
      </c>
      <c r="BV163" s="794">
        <v>0</v>
      </c>
    </row>
    <row r="164" spans="2:74">
      <c r="B164" s="793" t="s">
        <v>2965</v>
      </c>
      <c r="C164" s="793" t="s">
        <v>2739</v>
      </c>
      <c r="D164" s="793"/>
      <c r="E164" s="794"/>
      <c r="F164" s="799"/>
      <c r="G164" s="799"/>
      <c r="H164" s="799"/>
      <c r="I164" s="799"/>
      <c r="J164" s="799"/>
      <c r="K164" s="799"/>
      <c r="L164" s="799">
        <f t="shared" si="7"/>
        <v>331</v>
      </c>
      <c r="M164" s="799"/>
      <c r="N164" s="595"/>
      <c r="O164" s="794">
        <v>0</v>
      </c>
      <c r="P164" s="794">
        <v>0</v>
      </c>
      <c r="Q164" s="794">
        <v>0</v>
      </c>
      <c r="R164" s="794">
        <v>0</v>
      </c>
      <c r="S164" s="794">
        <v>0</v>
      </c>
      <c r="T164" s="794">
        <v>0</v>
      </c>
      <c r="U164" s="794">
        <v>0</v>
      </c>
      <c r="V164" s="794">
        <v>0</v>
      </c>
      <c r="W164" s="794">
        <v>0</v>
      </c>
      <c r="X164" s="794">
        <v>0</v>
      </c>
      <c r="Y164" s="794">
        <v>0</v>
      </c>
      <c r="Z164" s="794">
        <v>0</v>
      </c>
      <c r="AA164" s="794">
        <v>0</v>
      </c>
      <c r="AB164" s="794">
        <v>0</v>
      </c>
      <c r="AC164" s="794">
        <v>0</v>
      </c>
      <c r="AD164" s="794">
        <v>0</v>
      </c>
      <c r="AE164" s="794">
        <v>0</v>
      </c>
      <c r="AF164" s="794">
        <v>0</v>
      </c>
      <c r="AG164" s="794">
        <v>0</v>
      </c>
      <c r="AH164" s="794">
        <v>0</v>
      </c>
      <c r="AI164" s="794">
        <v>0</v>
      </c>
      <c r="AJ164" s="794">
        <v>0</v>
      </c>
      <c r="AK164" s="794">
        <v>0</v>
      </c>
      <c r="AL164" s="794">
        <v>0</v>
      </c>
      <c r="AM164" s="794">
        <v>0</v>
      </c>
      <c r="AN164" s="794">
        <v>0</v>
      </c>
      <c r="AO164" s="794">
        <v>0</v>
      </c>
      <c r="AP164" s="794">
        <v>0</v>
      </c>
      <c r="AQ164" s="794">
        <v>0</v>
      </c>
      <c r="AR164" s="794">
        <v>0</v>
      </c>
      <c r="AS164" s="794">
        <v>0</v>
      </c>
      <c r="AT164" s="794">
        <v>0</v>
      </c>
      <c r="AU164" s="794">
        <v>0</v>
      </c>
      <c r="AV164" s="794">
        <v>0</v>
      </c>
      <c r="AW164" s="794">
        <v>0</v>
      </c>
      <c r="AX164" s="794">
        <v>0</v>
      </c>
      <c r="AY164" s="794">
        <v>0</v>
      </c>
      <c r="AZ164" s="794">
        <v>0</v>
      </c>
      <c r="BA164" s="794">
        <v>0</v>
      </c>
      <c r="BB164" s="794">
        <v>0</v>
      </c>
      <c r="BC164" s="794">
        <v>0</v>
      </c>
      <c r="BD164" s="794">
        <v>0</v>
      </c>
      <c r="BE164" s="794">
        <v>0</v>
      </c>
      <c r="BF164" s="794">
        <v>0</v>
      </c>
      <c r="BG164" s="794">
        <v>0</v>
      </c>
      <c r="BH164" s="794">
        <v>0</v>
      </c>
      <c r="BI164" s="794">
        <v>0</v>
      </c>
      <c r="BJ164" s="794">
        <v>0</v>
      </c>
      <c r="BK164" s="794">
        <v>0</v>
      </c>
      <c r="BL164" s="794">
        <v>0</v>
      </c>
      <c r="BM164" s="794">
        <v>0</v>
      </c>
      <c r="BN164" s="794">
        <v>0</v>
      </c>
      <c r="BO164" s="794">
        <v>0</v>
      </c>
      <c r="BP164" s="794">
        <v>0</v>
      </c>
      <c r="BQ164" s="794">
        <v>0</v>
      </c>
      <c r="BR164" s="794">
        <v>0</v>
      </c>
      <c r="BS164" s="794">
        <v>0</v>
      </c>
      <c r="BT164" s="794">
        <v>0</v>
      </c>
      <c r="BU164" s="794">
        <v>0</v>
      </c>
      <c r="BV164" s="794">
        <v>0</v>
      </c>
    </row>
    <row r="165" spans="2:74">
      <c r="B165" s="793" t="s">
        <v>528</v>
      </c>
      <c r="C165" s="793" t="s">
        <v>2739</v>
      </c>
      <c r="D165" s="793"/>
      <c r="E165" s="794"/>
      <c r="F165" s="799"/>
      <c r="G165" s="799"/>
      <c r="H165" s="799"/>
      <c r="I165" s="799"/>
      <c r="J165" s="799"/>
      <c r="K165" s="799"/>
      <c r="L165" s="799">
        <f t="shared" si="7"/>
        <v>331</v>
      </c>
      <c r="M165" s="799"/>
      <c r="N165" s="595"/>
      <c r="O165" s="794">
        <v>0</v>
      </c>
      <c r="P165" s="794">
        <v>0</v>
      </c>
      <c r="Q165" s="794">
        <v>0</v>
      </c>
      <c r="R165" s="794">
        <v>0</v>
      </c>
      <c r="S165" s="794">
        <v>0</v>
      </c>
      <c r="T165" s="794">
        <v>0</v>
      </c>
      <c r="U165" s="794">
        <v>0</v>
      </c>
      <c r="V165" s="794">
        <v>0</v>
      </c>
      <c r="W165" s="794">
        <v>0</v>
      </c>
      <c r="X165" s="794">
        <v>0</v>
      </c>
      <c r="Y165" s="794">
        <v>0</v>
      </c>
      <c r="Z165" s="794">
        <v>0</v>
      </c>
      <c r="AA165" s="794">
        <v>0</v>
      </c>
      <c r="AB165" s="794">
        <v>0</v>
      </c>
      <c r="AC165" s="794">
        <v>0</v>
      </c>
      <c r="AD165" s="809">
        <v>139923</v>
      </c>
      <c r="AE165" s="794">
        <v>585499.35</v>
      </c>
      <c r="AF165" s="794">
        <v>0</v>
      </c>
      <c r="AG165" s="794">
        <v>17205.29</v>
      </c>
      <c r="AH165" s="794">
        <v>86223.48</v>
      </c>
      <c r="AI165" s="794">
        <v>0</v>
      </c>
      <c r="AJ165" s="794">
        <v>0</v>
      </c>
      <c r="AK165" s="794">
        <v>183450.23</v>
      </c>
      <c r="AL165" s="794">
        <v>0</v>
      </c>
      <c r="AM165" s="794">
        <v>0</v>
      </c>
      <c r="AN165" s="794">
        <v>0</v>
      </c>
      <c r="AO165" s="794">
        <v>0</v>
      </c>
      <c r="AP165" s="794">
        <v>0</v>
      </c>
      <c r="AQ165" s="794">
        <v>0</v>
      </c>
      <c r="AR165" s="794">
        <v>0</v>
      </c>
      <c r="AS165" s="794">
        <v>0</v>
      </c>
      <c r="AT165" s="794">
        <v>0</v>
      </c>
      <c r="AU165" s="794">
        <v>0</v>
      </c>
      <c r="AV165" s="794">
        <v>0</v>
      </c>
      <c r="AW165" s="794">
        <v>0</v>
      </c>
      <c r="AX165" s="794">
        <v>0</v>
      </c>
      <c r="AY165" s="794">
        <v>0</v>
      </c>
      <c r="AZ165" s="794">
        <v>0</v>
      </c>
      <c r="BA165" s="794">
        <v>0</v>
      </c>
      <c r="BB165" s="794">
        <v>0</v>
      </c>
      <c r="BC165" s="794">
        <v>0</v>
      </c>
      <c r="BD165" s="794">
        <v>0</v>
      </c>
      <c r="BE165" s="794">
        <v>0</v>
      </c>
      <c r="BF165" s="794">
        <v>152925.20000000001</v>
      </c>
      <c r="BG165" s="794">
        <v>71139.5</v>
      </c>
      <c r="BH165" s="794">
        <v>54813.9</v>
      </c>
      <c r="BI165" s="794">
        <v>0</v>
      </c>
      <c r="BJ165" s="794">
        <v>25646</v>
      </c>
      <c r="BK165" s="794">
        <v>50430</v>
      </c>
      <c r="BL165" s="794">
        <v>43520</v>
      </c>
      <c r="BM165" s="794">
        <v>43200</v>
      </c>
      <c r="BN165" s="794">
        <v>11000</v>
      </c>
      <c r="BO165" s="794">
        <v>0</v>
      </c>
      <c r="BP165" s="794">
        <v>0</v>
      </c>
      <c r="BQ165" s="794">
        <v>0</v>
      </c>
      <c r="BR165" s="794">
        <v>0</v>
      </c>
      <c r="BS165" s="794">
        <v>193333.5</v>
      </c>
      <c r="BT165" s="794">
        <v>0</v>
      </c>
      <c r="BU165" s="794">
        <v>0</v>
      </c>
      <c r="BV165" s="794">
        <v>0</v>
      </c>
    </row>
    <row r="166" spans="2:74">
      <c r="B166" s="793" t="s">
        <v>2966</v>
      </c>
      <c r="C166" s="793" t="s">
        <v>2967</v>
      </c>
      <c r="D166" s="793"/>
      <c r="E166" s="794"/>
      <c r="F166" s="799"/>
      <c r="G166" s="799"/>
      <c r="H166" s="799"/>
      <c r="I166" s="799"/>
      <c r="J166" s="799"/>
      <c r="K166" s="799"/>
      <c r="L166" s="799">
        <f t="shared" si="7"/>
        <v>331</v>
      </c>
      <c r="M166" s="799"/>
      <c r="N166" s="595"/>
      <c r="O166" s="794">
        <v>0</v>
      </c>
      <c r="P166" s="794">
        <v>0</v>
      </c>
      <c r="Q166" s="794">
        <v>0</v>
      </c>
      <c r="R166" s="794">
        <v>0</v>
      </c>
      <c r="S166" s="794">
        <v>0</v>
      </c>
      <c r="T166" s="794">
        <v>0</v>
      </c>
      <c r="U166" s="794">
        <v>0</v>
      </c>
      <c r="V166" s="794">
        <v>0</v>
      </c>
      <c r="W166" s="794">
        <v>0</v>
      </c>
      <c r="X166" s="794">
        <v>0</v>
      </c>
      <c r="Y166" s="794">
        <v>0</v>
      </c>
      <c r="Z166" s="794">
        <v>0</v>
      </c>
      <c r="AA166" s="794">
        <v>0</v>
      </c>
      <c r="AB166" s="794">
        <v>0</v>
      </c>
      <c r="AC166" s="809">
        <v>20000</v>
      </c>
      <c r="AD166" s="794">
        <v>3500</v>
      </c>
      <c r="AE166" s="794">
        <v>0</v>
      </c>
      <c r="AF166" s="794">
        <v>0</v>
      </c>
      <c r="AG166" s="794">
        <v>0</v>
      </c>
      <c r="AH166" s="794">
        <v>3500</v>
      </c>
      <c r="AI166" s="794">
        <v>0</v>
      </c>
      <c r="AJ166" s="794">
        <v>0</v>
      </c>
      <c r="AK166" s="794">
        <v>0</v>
      </c>
      <c r="AL166" s="794">
        <v>0</v>
      </c>
      <c r="AM166" s="794">
        <v>0</v>
      </c>
      <c r="AN166" s="794">
        <v>0</v>
      </c>
      <c r="AO166" s="794">
        <v>0</v>
      </c>
      <c r="AP166" s="794">
        <v>0</v>
      </c>
      <c r="AQ166" s="794">
        <v>0</v>
      </c>
      <c r="AR166" s="794">
        <v>0</v>
      </c>
      <c r="AS166" s="794">
        <v>0</v>
      </c>
      <c r="AT166" s="794">
        <v>0</v>
      </c>
      <c r="AU166" s="794">
        <v>0</v>
      </c>
      <c r="AV166" s="794">
        <v>0</v>
      </c>
      <c r="AW166" s="794">
        <v>0</v>
      </c>
      <c r="AX166" s="794">
        <v>0</v>
      </c>
      <c r="AY166" s="794">
        <v>0</v>
      </c>
      <c r="AZ166" s="794">
        <v>0</v>
      </c>
      <c r="BA166" s="794">
        <v>0</v>
      </c>
      <c r="BB166" s="794">
        <v>0</v>
      </c>
      <c r="BC166" s="794">
        <v>0</v>
      </c>
      <c r="BD166" s="794">
        <v>0</v>
      </c>
      <c r="BE166" s="794">
        <v>0</v>
      </c>
      <c r="BF166" s="794">
        <v>0</v>
      </c>
      <c r="BG166" s="794">
        <v>0</v>
      </c>
      <c r="BH166" s="794">
        <v>0</v>
      </c>
      <c r="BI166" s="794">
        <v>0</v>
      </c>
      <c r="BJ166" s="794">
        <v>0</v>
      </c>
      <c r="BK166" s="794">
        <v>0</v>
      </c>
      <c r="BL166" s="794">
        <v>0</v>
      </c>
      <c r="BM166" s="794">
        <v>0</v>
      </c>
      <c r="BN166" s="794">
        <v>0</v>
      </c>
      <c r="BO166" s="794">
        <v>0</v>
      </c>
      <c r="BP166" s="794">
        <v>0</v>
      </c>
      <c r="BQ166" s="794">
        <v>0</v>
      </c>
      <c r="BR166" s="794">
        <v>0</v>
      </c>
      <c r="BS166" s="794">
        <v>0</v>
      </c>
      <c r="BT166" s="794">
        <v>0</v>
      </c>
      <c r="BU166" s="794">
        <v>0</v>
      </c>
      <c r="BV166" s="794">
        <v>0</v>
      </c>
    </row>
    <row r="167" spans="2:74">
      <c r="B167" s="793" t="s">
        <v>641</v>
      </c>
      <c r="C167" s="793" t="s">
        <v>2936</v>
      </c>
      <c r="D167" s="793"/>
      <c r="E167" s="794"/>
      <c r="F167" s="799"/>
      <c r="G167" s="799"/>
      <c r="H167" s="799"/>
      <c r="I167" s="799"/>
      <c r="J167" s="799"/>
      <c r="K167" s="799"/>
      <c r="L167" s="799">
        <f t="shared" si="7"/>
        <v>331</v>
      </c>
      <c r="M167" s="799"/>
      <c r="N167" s="595"/>
      <c r="O167" s="794">
        <v>0</v>
      </c>
      <c r="P167" s="794">
        <v>0</v>
      </c>
      <c r="Q167" s="794">
        <v>0</v>
      </c>
      <c r="R167" s="794">
        <v>0</v>
      </c>
      <c r="S167" s="794">
        <v>0</v>
      </c>
      <c r="T167" s="794">
        <v>0</v>
      </c>
      <c r="U167" s="794">
        <v>0</v>
      </c>
      <c r="V167" s="794">
        <v>0</v>
      </c>
      <c r="W167" s="794">
        <v>0</v>
      </c>
      <c r="X167" s="794">
        <v>0</v>
      </c>
      <c r="Y167" s="794">
        <v>0</v>
      </c>
      <c r="Z167" s="794">
        <v>0</v>
      </c>
      <c r="AA167" s="794">
        <v>0</v>
      </c>
      <c r="AB167" s="794">
        <v>0</v>
      </c>
      <c r="AC167" s="794">
        <v>0</v>
      </c>
      <c r="AD167" s="794">
        <v>0</v>
      </c>
      <c r="AE167" s="794">
        <v>0</v>
      </c>
      <c r="AF167" s="794">
        <v>0</v>
      </c>
      <c r="AG167" s="794">
        <v>0</v>
      </c>
      <c r="AH167" s="794">
        <v>0</v>
      </c>
      <c r="AI167" s="794">
        <v>0</v>
      </c>
      <c r="AJ167" s="794">
        <v>0</v>
      </c>
      <c r="AK167" s="794">
        <v>0</v>
      </c>
      <c r="AL167" s="794">
        <v>0</v>
      </c>
      <c r="AM167" s="794">
        <v>0</v>
      </c>
      <c r="AN167" s="794">
        <v>0</v>
      </c>
      <c r="AO167" s="794">
        <v>0</v>
      </c>
      <c r="AP167" s="794">
        <v>0</v>
      </c>
      <c r="AQ167" s="794">
        <v>0</v>
      </c>
      <c r="AR167" s="794">
        <v>0</v>
      </c>
      <c r="AS167" s="794">
        <v>0</v>
      </c>
      <c r="AT167" s="794">
        <v>0</v>
      </c>
      <c r="AU167" s="794">
        <v>0</v>
      </c>
      <c r="AV167" s="794">
        <v>0</v>
      </c>
      <c r="AW167" s="794">
        <v>0</v>
      </c>
      <c r="AX167" s="794">
        <v>0</v>
      </c>
      <c r="AY167" s="794">
        <v>0</v>
      </c>
      <c r="AZ167" s="794">
        <v>0</v>
      </c>
      <c r="BA167" s="794">
        <v>0</v>
      </c>
      <c r="BB167" s="794">
        <v>0</v>
      </c>
      <c r="BC167" s="794">
        <v>0</v>
      </c>
      <c r="BD167" s="794">
        <v>0</v>
      </c>
      <c r="BE167" s="794">
        <v>0</v>
      </c>
      <c r="BF167" s="794">
        <v>0</v>
      </c>
      <c r="BG167" s="794">
        <v>0</v>
      </c>
      <c r="BH167" s="794">
        <v>0</v>
      </c>
      <c r="BI167" s="794">
        <v>0</v>
      </c>
      <c r="BJ167" s="794">
        <v>0</v>
      </c>
      <c r="BK167" s="794">
        <v>0</v>
      </c>
      <c r="BL167" s="794">
        <v>0</v>
      </c>
      <c r="BM167" s="809">
        <v>9616.7000000000007</v>
      </c>
      <c r="BN167" s="794">
        <v>40927.35</v>
      </c>
      <c r="BO167" s="794">
        <v>0</v>
      </c>
      <c r="BP167" s="794">
        <v>0</v>
      </c>
      <c r="BQ167" s="794">
        <v>0</v>
      </c>
      <c r="BR167" s="794">
        <v>0</v>
      </c>
      <c r="BS167" s="794">
        <v>0</v>
      </c>
      <c r="BT167" s="794">
        <v>0</v>
      </c>
      <c r="BU167" s="794">
        <v>0</v>
      </c>
      <c r="BV167" s="794">
        <v>0</v>
      </c>
    </row>
    <row r="168" spans="2:74">
      <c r="B168" s="793" t="s">
        <v>2968</v>
      </c>
      <c r="C168" s="793" t="s">
        <v>518</v>
      </c>
      <c r="D168" s="793"/>
      <c r="E168" s="794"/>
      <c r="F168" s="799"/>
      <c r="G168" s="799"/>
      <c r="H168" s="799"/>
      <c r="I168" s="799"/>
      <c r="J168" s="799"/>
      <c r="K168" s="799"/>
      <c r="L168" s="799">
        <f t="shared" si="7"/>
        <v>331</v>
      </c>
      <c r="M168" s="799"/>
      <c r="N168" s="595"/>
      <c r="O168" s="794">
        <v>0</v>
      </c>
      <c r="P168" s="794">
        <v>0</v>
      </c>
      <c r="Q168" s="794">
        <v>0</v>
      </c>
      <c r="R168" s="794">
        <v>0</v>
      </c>
      <c r="S168" s="794">
        <v>0</v>
      </c>
      <c r="T168" s="794">
        <v>0</v>
      </c>
      <c r="U168" s="794">
        <v>0</v>
      </c>
      <c r="V168" s="794">
        <v>0</v>
      </c>
      <c r="W168" s="794">
        <v>0</v>
      </c>
      <c r="X168" s="794">
        <v>0</v>
      </c>
      <c r="Y168" s="794">
        <v>0</v>
      </c>
      <c r="Z168" s="794">
        <v>0</v>
      </c>
      <c r="AA168" s="794">
        <v>0</v>
      </c>
      <c r="AB168" s="794">
        <v>0</v>
      </c>
      <c r="AC168" s="809">
        <v>60042.25</v>
      </c>
      <c r="AD168" s="794">
        <v>48240.72</v>
      </c>
      <c r="AE168" s="794">
        <v>32790.870000000003</v>
      </c>
      <c r="AF168" s="794">
        <v>46957.440000000002</v>
      </c>
      <c r="AG168" s="794">
        <v>0</v>
      </c>
      <c r="AH168" s="794">
        <v>0</v>
      </c>
      <c r="AI168" s="794">
        <v>0</v>
      </c>
      <c r="AJ168" s="794">
        <v>0</v>
      </c>
      <c r="AK168" s="794">
        <v>0</v>
      </c>
      <c r="AL168" s="794">
        <v>0</v>
      </c>
      <c r="AM168" s="794">
        <v>0</v>
      </c>
      <c r="AN168" s="794">
        <v>0</v>
      </c>
      <c r="AO168" s="794">
        <v>0</v>
      </c>
      <c r="AP168" s="794">
        <v>0</v>
      </c>
      <c r="AQ168" s="794">
        <v>0</v>
      </c>
      <c r="AR168" s="794">
        <v>0</v>
      </c>
      <c r="AS168" s="794">
        <v>0</v>
      </c>
      <c r="AT168" s="794">
        <v>0</v>
      </c>
      <c r="AU168" s="794">
        <v>0</v>
      </c>
      <c r="AV168" s="794">
        <v>0</v>
      </c>
      <c r="AW168" s="794">
        <v>0</v>
      </c>
      <c r="AX168" s="794">
        <v>0</v>
      </c>
      <c r="AY168" s="794">
        <v>0</v>
      </c>
      <c r="AZ168" s="794">
        <v>0</v>
      </c>
      <c r="BA168" s="794">
        <v>0</v>
      </c>
      <c r="BB168" s="794">
        <v>0</v>
      </c>
      <c r="BC168" s="794">
        <v>0</v>
      </c>
      <c r="BD168" s="794">
        <v>0</v>
      </c>
      <c r="BE168" s="794">
        <v>0</v>
      </c>
      <c r="BF168" s="794">
        <v>0</v>
      </c>
      <c r="BG168" s="794">
        <v>0</v>
      </c>
      <c r="BH168" s="794">
        <v>0</v>
      </c>
      <c r="BI168" s="794">
        <v>0</v>
      </c>
      <c r="BJ168" s="794">
        <v>0</v>
      </c>
      <c r="BK168" s="794">
        <v>0</v>
      </c>
      <c r="BL168" s="794">
        <v>0</v>
      </c>
      <c r="BM168" s="794">
        <v>0</v>
      </c>
      <c r="BN168" s="794">
        <v>0</v>
      </c>
      <c r="BO168" s="794">
        <v>0</v>
      </c>
      <c r="BP168" s="794">
        <v>0</v>
      </c>
      <c r="BQ168" s="794">
        <v>0</v>
      </c>
      <c r="BR168" s="794">
        <v>0</v>
      </c>
      <c r="BS168" s="794">
        <v>0</v>
      </c>
      <c r="BT168" s="794">
        <v>0</v>
      </c>
      <c r="BU168" s="794">
        <v>0</v>
      </c>
      <c r="BV168" s="794">
        <v>0</v>
      </c>
    </row>
    <row r="169" spans="2:74">
      <c r="B169" s="793" t="s">
        <v>2969</v>
      </c>
      <c r="C169" s="793" t="s">
        <v>2970</v>
      </c>
      <c r="D169" s="793"/>
      <c r="E169" s="794"/>
      <c r="F169" s="799"/>
      <c r="G169" s="799"/>
      <c r="H169" s="799"/>
      <c r="I169" s="799"/>
      <c r="J169" s="799"/>
      <c r="K169" s="799"/>
      <c r="L169" s="799">
        <f t="shared" si="7"/>
        <v>331</v>
      </c>
      <c r="M169" s="799"/>
      <c r="N169" s="595"/>
      <c r="O169" s="794">
        <v>0</v>
      </c>
      <c r="P169" s="794">
        <v>0</v>
      </c>
      <c r="Q169" s="794">
        <v>0</v>
      </c>
      <c r="R169" s="794">
        <v>0</v>
      </c>
      <c r="S169" s="794">
        <v>0</v>
      </c>
      <c r="T169" s="794">
        <v>0</v>
      </c>
      <c r="U169" s="794">
        <v>0</v>
      </c>
      <c r="V169" s="794">
        <v>0</v>
      </c>
      <c r="W169" s="794">
        <v>0</v>
      </c>
      <c r="X169" s="794">
        <v>0</v>
      </c>
      <c r="Y169" s="794">
        <v>0</v>
      </c>
      <c r="Z169" s="794">
        <v>0</v>
      </c>
      <c r="AA169" s="794">
        <v>0</v>
      </c>
      <c r="AB169" s="794">
        <v>0</v>
      </c>
      <c r="AC169" s="794">
        <v>0</v>
      </c>
      <c r="AD169" s="809">
        <v>146809.45000000001</v>
      </c>
      <c r="AE169" s="794">
        <v>31610.400000000001</v>
      </c>
      <c r="AF169" s="794">
        <v>0</v>
      </c>
      <c r="AG169" s="794">
        <v>0</v>
      </c>
      <c r="AH169" s="794">
        <v>0</v>
      </c>
      <c r="AI169" s="794">
        <v>0</v>
      </c>
      <c r="AJ169" s="794">
        <v>0</v>
      </c>
      <c r="AK169" s="794">
        <v>0</v>
      </c>
      <c r="AL169" s="794">
        <v>0</v>
      </c>
      <c r="AM169" s="794">
        <v>0</v>
      </c>
      <c r="AN169" s="794">
        <v>0</v>
      </c>
      <c r="AO169" s="794">
        <v>0</v>
      </c>
      <c r="AP169" s="794">
        <v>0</v>
      </c>
      <c r="AQ169" s="794">
        <v>0</v>
      </c>
      <c r="AR169" s="794">
        <v>0</v>
      </c>
      <c r="AS169" s="794">
        <v>0</v>
      </c>
      <c r="AT169" s="794">
        <v>0</v>
      </c>
      <c r="AU169" s="794">
        <v>0</v>
      </c>
      <c r="AV169" s="794">
        <v>0</v>
      </c>
      <c r="AW169" s="794">
        <v>0</v>
      </c>
      <c r="AX169" s="794">
        <v>0</v>
      </c>
      <c r="AY169" s="794">
        <v>0</v>
      </c>
      <c r="AZ169" s="794">
        <v>0</v>
      </c>
      <c r="BA169" s="794">
        <v>0</v>
      </c>
      <c r="BB169" s="794">
        <v>0</v>
      </c>
      <c r="BC169" s="794">
        <v>0</v>
      </c>
      <c r="BD169" s="794">
        <v>0</v>
      </c>
      <c r="BE169" s="794">
        <v>0</v>
      </c>
      <c r="BF169" s="794">
        <v>0</v>
      </c>
      <c r="BG169" s="794">
        <v>0</v>
      </c>
      <c r="BH169" s="794">
        <v>0</v>
      </c>
      <c r="BI169" s="794">
        <v>0</v>
      </c>
      <c r="BJ169" s="794">
        <v>0</v>
      </c>
      <c r="BK169" s="794">
        <v>0</v>
      </c>
      <c r="BL169" s="794">
        <v>0</v>
      </c>
      <c r="BM169" s="794">
        <v>0</v>
      </c>
      <c r="BN169" s="794">
        <v>0</v>
      </c>
      <c r="BO169" s="794">
        <v>0</v>
      </c>
      <c r="BP169" s="794">
        <v>0</v>
      </c>
      <c r="BQ169" s="794">
        <v>0</v>
      </c>
      <c r="BR169" s="794">
        <v>0</v>
      </c>
      <c r="BS169" s="794">
        <v>0</v>
      </c>
      <c r="BT169" s="794">
        <v>0</v>
      </c>
      <c r="BU169" s="794">
        <v>0</v>
      </c>
      <c r="BV169" s="794">
        <v>0</v>
      </c>
    </row>
    <row r="170" spans="2:74">
      <c r="B170" s="793" t="s">
        <v>2971</v>
      </c>
      <c r="C170" s="793" t="s">
        <v>2972</v>
      </c>
      <c r="D170" s="793"/>
      <c r="E170" s="794"/>
      <c r="F170" s="799"/>
      <c r="G170" s="799"/>
      <c r="H170" s="799"/>
      <c r="I170" s="799"/>
      <c r="J170" s="799"/>
      <c r="K170" s="799"/>
      <c r="L170" s="799">
        <f t="shared" si="7"/>
        <v>331</v>
      </c>
      <c r="M170" s="799"/>
      <c r="N170" s="595"/>
      <c r="O170" s="794">
        <v>0</v>
      </c>
      <c r="P170" s="794">
        <v>0</v>
      </c>
      <c r="Q170" s="794">
        <v>0</v>
      </c>
      <c r="R170" s="794">
        <v>0</v>
      </c>
      <c r="S170" s="794">
        <v>0</v>
      </c>
      <c r="T170" s="794">
        <v>0</v>
      </c>
      <c r="U170" s="794">
        <v>0</v>
      </c>
      <c r="V170" s="794">
        <v>0</v>
      </c>
      <c r="W170" s="794">
        <v>0</v>
      </c>
      <c r="X170" s="794">
        <v>0</v>
      </c>
      <c r="Y170" s="794">
        <v>0</v>
      </c>
      <c r="Z170" s="794">
        <v>0</v>
      </c>
      <c r="AA170" s="794">
        <v>0</v>
      </c>
      <c r="AB170" s="794">
        <v>0</v>
      </c>
      <c r="AC170" s="794">
        <v>0</v>
      </c>
      <c r="AD170" s="794">
        <v>0</v>
      </c>
      <c r="AE170" s="794">
        <v>0</v>
      </c>
      <c r="AF170" s="794">
        <v>0</v>
      </c>
      <c r="AG170" s="809">
        <v>22295</v>
      </c>
      <c r="AH170" s="794">
        <v>22295</v>
      </c>
      <c r="AI170" s="794">
        <v>0</v>
      </c>
      <c r="AJ170" s="794">
        <v>0</v>
      </c>
      <c r="AK170" s="794">
        <v>0</v>
      </c>
      <c r="AL170" s="794">
        <v>0</v>
      </c>
      <c r="AM170" s="794">
        <v>0</v>
      </c>
      <c r="AN170" s="794">
        <v>0</v>
      </c>
      <c r="AO170" s="794">
        <v>0</v>
      </c>
      <c r="AP170" s="794">
        <v>0</v>
      </c>
      <c r="AQ170" s="794">
        <v>0</v>
      </c>
      <c r="AR170" s="794">
        <v>0</v>
      </c>
      <c r="AS170" s="794">
        <v>0</v>
      </c>
      <c r="AT170" s="794">
        <v>0</v>
      </c>
      <c r="AU170" s="794">
        <v>0</v>
      </c>
      <c r="AV170" s="794">
        <v>0</v>
      </c>
      <c r="AW170" s="794">
        <v>0</v>
      </c>
      <c r="AX170" s="794">
        <v>0</v>
      </c>
      <c r="AY170" s="794">
        <v>0</v>
      </c>
      <c r="AZ170" s="794">
        <v>0</v>
      </c>
      <c r="BA170" s="794">
        <v>0</v>
      </c>
      <c r="BB170" s="794">
        <v>0</v>
      </c>
      <c r="BC170" s="794">
        <v>0</v>
      </c>
      <c r="BD170" s="794">
        <v>0</v>
      </c>
      <c r="BE170" s="794">
        <v>0</v>
      </c>
      <c r="BF170" s="794">
        <v>0</v>
      </c>
      <c r="BG170" s="794">
        <v>0</v>
      </c>
      <c r="BH170" s="794">
        <v>0</v>
      </c>
      <c r="BI170" s="794">
        <v>0</v>
      </c>
      <c r="BJ170" s="794">
        <v>0</v>
      </c>
      <c r="BK170" s="794">
        <v>0</v>
      </c>
      <c r="BL170" s="794">
        <v>0</v>
      </c>
      <c r="BM170" s="794">
        <v>0</v>
      </c>
      <c r="BN170" s="794">
        <v>0</v>
      </c>
      <c r="BO170" s="794">
        <v>0</v>
      </c>
      <c r="BP170" s="794">
        <v>0</v>
      </c>
      <c r="BQ170" s="794">
        <v>0</v>
      </c>
      <c r="BR170" s="794">
        <v>0</v>
      </c>
      <c r="BS170" s="794">
        <v>0</v>
      </c>
      <c r="BT170" s="794">
        <v>0</v>
      </c>
      <c r="BU170" s="794">
        <v>0</v>
      </c>
      <c r="BV170" s="794">
        <v>0</v>
      </c>
    </row>
    <row r="171" spans="2:74">
      <c r="B171" s="793" t="s">
        <v>2973</v>
      </c>
      <c r="C171" s="793" t="s">
        <v>2974</v>
      </c>
      <c r="D171" s="793"/>
      <c r="E171" s="794"/>
      <c r="F171" s="799"/>
      <c r="G171" s="799"/>
      <c r="H171" s="799"/>
      <c r="I171" s="799"/>
      <c r="J171" s="799"/>
      <c r="K171" s="799"/>
      <c r="L171" s="799">
        <f t="shared" si="7"/>
        <v>331</v>
      </c>
      <c r="M171" s="799"/>
      <c r="N171" s="595"/>
      <c r="O171" s="794">
        <v>0</v>
      </c>
      <c r="P171" s="794">
        <v>0</v>
      </c>
      <c r="Q171" s="794">
        <v>0</v>
      </c>
      <c r="R171" s="794">
        <v>0</v>
      </c>
      <c r="S171" s="794">
        <v>0</v>
      </c>
      <c r="T171" s="794">
        <v>0</v>
      </c>
      <c r="U171" s="794">
        <v>0</v>
      </c>
      <c r="V171" s="794">
        <v>0</v>
      </c>
      <c r="W171" s="794">
        <v>0</v>
      </c>
      <c r="X171" s="794">
        <v>0</v>
      </c>
      <c r="Y171" s="794">
        <v>0</v>
      </c>
      <c r="Z171" s="794">
        <v>0</v>
      </c>
      <c r="AA171" s="794">
        <v>0</v>
      </c>
      <c r="AB171" s="794">
        <v>0</v>
      </c>
      <c r="AC171" s="809">
        <v>77000</v>
      </c>
      <c r="AD171" s="794">
        <v>35770</v>
      </c>
      <c r="AE171" s="794">
        <v>0</v>
      </c>
      <c r="AF171" s="794">
        <v>0</v>
      </c>
      <c r="AG171" s="794">
        <v>0</v>
      </c>
      <c r="AH171" s="794">
        <v>0</v>
      </c>
      <c r="AI171" s="794">
        <v>0</v>
      </c>
      <c r="AJ171" s="794">
        <v>0</v>
      </c>
      <c r="AK171" s="794">
        <v>0</v>
      </c>
      <c r="AL171" s="794">
        <v>0</v>
      </c>
      <c r="AM171" s="794">
        <v>0</v>
      </c>
      <c r="AN171" s="794">
        <v>0</v>
      </c>
      <c r="AO171" s="794">
        <v>0</v>
      </c>
      <c r="AP171" s="794">
        <v>0</v>
      </c>
      <c r="AQ171" s="794">
        <v>0</v>
      </c>
      <c r="AR171" s="794">
        <v>0</v>
      </c>
      <c r="AS171" s="794">
        <v>0</v>
      </c>
      <c r="AT171" s="794">
        <v>0</v>
      </c>
      <c r="AU171" s="794">
        <v>0</v>
      </c>
      <c r="AV171" s="794">
        <v>0</v>
      </c>
      <c r="AW171" s="794">
        <v>0</v>
      </c>
      <c r="AX171" s="794">
        <v>0</v>
      </c>
      <c r="AY171" s="794">
        <v>0</v>
      </c>
      <c r="AZ171" s="794">
        <v>0</v>
      </c>
      <c r="BA171" s="794">
        <v>0</v>
      </c>
      <c r="BB171" s="794">
        <v>0</v>
      </c>
      <c r="BC171" s="794">
        <v>0</v>
      </c>
      <c r="BD171" s="794">
        <v>0</v>
      </c>
      <c r="BE171" s="794">
        <v>0</v>
      </c>
      <c r="BF171" s="794">
        <v>0</v>
      </c>
      <c r="BG171" s="794">
        <v>0</v>
      </c>
      <c r="BH171" s="794">
        <v>0</v>
      </c>
      <c r="BI171" s="794">
        <v>0</v>
      </c>
      <c r="BJ171" s="794">
        <v>0</v>
      </c>
      <c r="BK171" s="794">
        <v>0</v>
      </c>
      <c r="BL171" s="794">
        <v>0</v>
      </c>
      <c r="BM171" s="794">
        <v>0</v>
      </c>
      <c r="BN171" s="794">
        <v>0</v>
      </c>
      <c r="BO171" s="794">
        <v>0</v>
      </c>
      <c r="BP171" s="794">
        <v>0</v>
      </c>
      <c r="BQ171" s="794">
        <v>0</v>
      </c>
      <c r="BR171" s="794">
        <v>0</v>
      </c>
      <c r="BS171" s="794">
        <v>0</v>
      </c>
      <c r="BT171" s="794">
        <v>0</v>
      </c>
      <c r="BU171" s="794">
        <v>0</v>
      </c>
      <c r="BV171" s="794">
        <v>0</v>
      </c>
    </row>
    <row r="172" spans="2:74">
      <c r="B172" s="793" t="s">
        <v>2975</v>
      </c>
      <c r="C172" s="793" t="s">
        <v>2976</v>
      </c>
      <c r="D172" s="793"/>
      <c r="E172" s="794"/>
      <c r="F172" s="799"/>
      <c r="G172" s="799"/>
      <c r="H172" s="799"/>
      <c r="I172" s="799"/>
      <c r="J172" s="799"/>
      <c r="K172" s="799"/>
      <c r="L172" s="799">
        <f t="shared" si="7"/>
        <v>331</v>
      </c>
      <c r="M172" s="799"/>
      <c r="N172" s="595"/>
      <c r="O172" s="794">
        <v>0</v>
      </c>
      <c r="P172" s="794">
        <v>0</v>
      </c>
      <c r="Q172" s="794">
        <v>0</v>
      </c>
      <c r="R172" s="794">
        <v>0</v>
      </c>
      <c r="S172" s="794">
        <v>0</v>
      </c>
      <c r="T172" s="794">
        <v>0</v>
      </c>
      <c r="U172" s="794">
        <v>0</v>
      </c>
      <c r="V172" s="794">
        <v>0</v>
      </c>
      <c r="W172" s="794">
        <v>0</v>
      </c>
      <c r="X172" s="794">
        <v>0</v>
      </c>
      <c r="Y172" s="794">
        <v>0</v>
      </c>
      <c r="Z172" s="794">
        <v>0</v>
      </c>
      <c r="AA172" s="794">
        <v>0</v>
      </c>
      <c r="AB172" s="794">
        <v>0</v>
      </c>
      <c r="AC172" s="794">
        <v>0</v>
      </c>
      <c r="AD172" s="794">
        <v>0</v>
      </c>
      <c r="AE172" s="809">
        <v>85201.73</v>
      </c>
      <c r="AF172" s="794">
        <v>0</v>
      </c>
      <c r="AG172" s="794">
        <v>0</v>
      </c>
      <c r="AH172" s="794">
        <v>0</v>
      </c>
      <c r="AI172" s="794">
        <v>0</v>
      </c>
      <c r="AJ172" s="794">
        <v>0</v>
      </c>
      <c r="AK172" s="794">
        <v>0</v>
      </c>
      <c r="AL172" s="794">
        <v>0</v>
      </c>
      <c r="AM172" s="794">
        <v>0</v>
      </c>
      <c r="AN172" s="794">
        <v>0</v>
      </c>
      <c r="AO172" s="794">
        <v>0</v>
      </c>
      <c r="AP172" s="794">
        <v>0</v>
      </c>
      <c r="AQ172" s="794">
        <v>0</v>
      </c>
      <c r="AR172" s="794">
        <v>0</v>
      </c>
      <c r="AS172" s="794">
        <v>0</v>
      </c>
      <c r="AT172" s="794">
        <v>0</v>
      </c>
      <c r="AU172" s="794">
        <v>0</v>
      </c>
      <c r="AV172" s="794">
        <v>0</v>
      </c>
      <c r="AW172" s="794">
        <v>0</v>
      </c>
      <c r="AX172" s="794">
        <v>0</v>
      </c>
      <c r="AY172" s="794">
        <v>0</v>
      </c>
      <c r="AZ172" s="794">
        <v>0</v>
      </c>
      <c r="BA172" s="794">
        <v>0</v>
      </c>
      <c r="BB172" s="794">
        <v>0</v>
      </c>
      <c r="BC172" s="794">
        <v>0</v>
      </c>
      <c r="BD172" s="794">
        <v>0</v>
      </c>
      <c r="BE172" s="794">
        <v>0</v>
      </c>
      <c r="BF172" s="794">
        <v>0</v>
      </c>
      <c r="BG172" s="794">
        <v>0</v>
      </c>
      <c r="BH172" s="794">
        <v>0</v>
      </c>
      <c r="BI172" s="794">
        <v>0</v>
      </c>
      <c r="BJ172" s="794">
        <v>0</v>
      </c>
      <c r="BK172" s="794">
        <v>0</v>
      </c>
      <c r="BL172" s="794">
        <v>0</v>
      </c>
      <c r="BM172" s="794">
        <v>0</v>
      </c>
      <c r="BN172" s="794">
        <v>0</v>
      </c>
      <c r="BO172" s="794">
        <v>0</v>
      </c>
      <c r="BP172" s="794">
        <v>0</v>
      </c>
      <c r="BQ172" s="794">
        <v>0</v>
      </c>
      <c r="BR172" s="794">
        <v>0</v>
      </c>
      <c r="BS172" s="794">
        <v>0</v>
      </c>
      <c r="BT172" s="794">
        <v>0</v>
      </c>
      <c r="BU172" s="794">
        <v>0</v>
      </c>
      <c r="BV172" s="794">
        <v>0</v>
      </c>
    </row>
    <row r="173" spans="2:74">
      <c r="B173" s="793" t="s">
        <v>2977</v>
      </c>
      <c r="C173" s="793" t="s">
        <v>2978</v>
      </c>
      <c r="D173" s="793"/>
      <c r="E173" s="794"/>
      <c r="F173" s="799"/>
      <c r="G173" s="799"/>
      <c r="H173" s="799"/>
      <c r="I173" s="799"/>
      <c r="J173" s="799"/>
      <c r="K173" s="799"/>
      <c r="L173" s="799">
        <f t="shared" si="7"/>
        <v>331</v>
      </c>
      <c r="M173" s="799"/>
      <c r="N173" s="595"/>
      <c r="O173" s="794">
        <v>0</v>
      </c>
      <c r="P173" s="794">
        <v>0</v>
      </c>
      <c r="Q173" s="794">
        <v>0</v>
      </c>
      <c r="R173" s="794">
        <v>0</v>
      </c>
      <c r="S173" s="794">
        <v>0</v>
      </c>
      <c r="T173" s="794">
        <v>0</v>
      </c>
      <c r="U173" s="794">
        <v>0</v>
      </c>
      <c r="V173" s="794">
        <v>0</v>
      </c>
      <c r="W173" s="794">
        <v>0</v>
      </c>
      <c r="X173" s="794">
        <v>0</v>
      </c>
      <c r="Y173" s="794">
        <v>0</v>
      </c>
      <c r="Z173" s="794">
        <v>0</v>
      </c>
      <c r="AA173" s="794">
        <v>0</v>
      </c>
      <c r="AB173" s="794">
        <v>0</v>
      </c>
      <c r="AC173" s="794">
        <v>0</v>
      </c>
      <c r="AD173" s="809">
        <v>34284.57</v>
      </c>
      <c r="AE173" s="794">
        <v>23602.23</v>
      </c>
      <c r="AF173" s="794">
        <v>0</v>
      </c>
      <c r="AG173" s="794">
        <v>8968.82</v>
      </c>
      <c r="AH173" s="794">
        <v>0</v>
      </c>
      <c r="AI173" s="794">
        <v>0</v>
      </c>
      <c r="AJ173" s="794">
        <v>0</v>
      </c>
      <c r="AK173" s="794">
        <v>0</v>
      </c>
      <c r="AL173" s="794">
        <v>0</v>
      </c>
      <c r="AM173" s="794">
        <v>0</v>
      </c>
      <c r="AN173" s="794">
        <v>0</v>
      </c>
      <c r="AO173" s="794">
        <v>0</v>
      </c>
      <c r="AP173" s="794">
        <v>0</v>
      </c>
      <c r="AQ173" s="794">
        <v>0</v>
      </c>
      <c r="AR173" s="794">
        <v>0</v>
      </c>
      <c r="AS173" s="794">
        <v>0</v>
      </c>
      <c r="AT173" s="794">
        <v>0</v>
      </c>
      <c r="AU173" s="794">
        <v>0</v>
      </c>
      <c r="AV173" s="794">
        <v>0</v>
      </c>
      <c r="AW173" s="794">
        <v>0</v>
      </c>
      <c r="AX173" s="794">
        <v>0</v>
      </c>
      <c r="AY173" s="794">
        <v>0</v>
      </c>
      <c r="AZ173" s="794">
        <v>0</v>
      </c>
      <c r="BA173" s="794">
        <v>0</v>
      </c>
      <c r="BB173" s="794">
        <v>0</v>
      </c>
      <c r="BC173" s="794">
        <v>0</v>
      </c>
      <c r="BD173" s="794">
        <v>0</v>
      </c>
      <c r="BE173" s="794">
        <v>0</v>
      </c>
      <c r="BF173" s="794">
        <v>0</v>
      </c>
      <c r="BG173" s="794">
        <v>0</v>
      </c>
      <c r="BH173" s="794">
        <v>0</v>
      </c>
      <c r="BI173" s="794">
        <v>0</v>
      </c>
      <c r="BJ173" s="794">
        <v>0</v>
      </c>
      <c r="BK173" s="794">
        <v>0</v>
      </c>
      <c r="BL173" s="794">
        <v>0</v>
      </c>
      <c r="BM173" s="794">
        <v>0</v>
      </c>
      <c r="BN173" s="794">
        <v>0</v>
      </c>
      <c r="BO173" s="794">
        <v>0</v>
      </c>
      <c r="BP173" s="794">
        <v>0</v>
      </c>
      <c r="BQ173" s="794">
        <v>0</v>
      </c>
      <c r="BR173" s="794">
        <v>0</v>
      </c>
      <c r="BS173" s="794">
        <v>0</v>
      </c>
      <c r="BT173" s="794">
        <v>0</v>
      </c>
      <c r="BU173" s="794">
        <v>0</v>
      </c>
      <c r="BV173" s="794">
        <v>0</v>
      </c>
    </row>
    <row r="174" spans="2:74">
      <c r="B174" s="793" t="s">
        <v>2979</v>
      </c>
      <c r="C174" s="793" t="s">
        <v>2860</v>
      </c>
      <c r="D174" s="793"/>
      <c r="E174" s="794"/>
      <c r="F174" s="799"/>
      <c r="G174" s="799"/>
      <c r="H174" s="799"/>
      <c r="I174" s="799"/>
      <c r="J174" s="799"/>
      <c r="K174" s="799"/>
      <c r="L174" s="799">
        <f t="shared" si="7"/>
        <v>331</v>
      </c>
      <c r="M174" s="799"/>
      <c r="N174" s="595"/>
      <c r="O174" s="794">
        <v>0</v>
      </c>
      <c r="P174" s="794">
        <v>0</v>
      </c>
      <c r="Q174" s="794">
        <v>0</v>
      </c>
      <c r="R174" s="794">
        <v>0</v>
      </c>
      <c r="S174" s="794">
        <v>0</v>
      </c>
      <c r="T174" s="794">
        <v>0</v>
      </c>
      <c r="U174" s="794">
        <v>0</v>
      </c>
      <c r="V174" s="794">
        <v>0</v>
      </c>
      <c r="W174" s="794">
        <v>0</v>
      </c>
      <c r="X174" s="794">
        <v>0</v>
      </c>
      <c r="Y174" s="794">
        <v>0</v>
      </c>
      <c r="Z174" s="794">
        <v>0</v>
      </c>
      <c r="AA174" s="794">
        <v>0</v>
      </c>
      <c r="AB174" s="794">
        <v>0</v>
      </c>
      <c r="AC174" s="794">
        <v>0</v>
      </c>
      <c r="AD174" s="809">
        <v>56294.15</v>
      </c>
      <c r="AE174" s="794">
        <v>0</v>
      </c>
      <c r="AF174" s="794">
        <v>0</v>
      </c>
      <c r="AG174" s="794">
        <v>0</v>
      </c>
      <c r="AH174" s="794">
        <v>0</v>
      </c>
      <c r="AI174" s="794">
        <v>0</v>
      </c>
      <c r="AJ174" s="794">
        <v>0</v>
      </c>
      <c r="AK174" s="794">
        <v>0</v>
      </c>
      <c r="AL174" s="794">
        <v>0</v>
      </c>
      <c r="AM174" s="794">
        <v>0</v>
      </c>
      <c r="AN174" s="794">
        <v>0</v>
      </c>
      <c r="AO174" s="794">
        <v>0</v>
      </c>
      <c r="AP174" s="794">
        <v>0</v>
      </c>
      <c r="AQ174" s="794">
        <v>0</v>
      </c>
      <c r="AR174" s="794">
        <v>0</v>
      </c>
      <c r="AS174" s="794">
        <v>0</v>
      </c>
      <c r="AT174" s="794">
        <v>0</v>
      </c>
      <c r="AU174" s="794">
        <v>0</v>
      </c>
      <c r="AV174" s="794">
        <v>0</v>
      </c>
      <c r="AW174" s="794">
        <v>0</v>
      </c>
      <c r="AX174" s="794">
        <v>0</v>
      </c>
      <c r="AY174" s="794">
        <v>0</v>
      </c>
      <c r="AZ174" s="794">
        <v>0</v>
      </c>
      <c r="BA174" s="794">
        <v>0</v>
      </c>
      <c r="BB174" s="794">
        <v>0</v>
      </c>
      <c r="BC174" s="794">
        <v>0</v>
      </c>
      <c r="BD174" s="794">
        <v>0</v>
      </c>
      <c r="BE174" s="794">
        <v>0</v>
      </c>
      <c r="BF174" s="794">
        <v>0</v>
      </c>
      <c r="BG174" s="794">
        <v>0</v>
      </c>
      <c r="BH174" s="794">
        <v>0</v>
      </c>
      <c r="BI174" s="794">
        <v>0</v>
      </c>
      <c r="BJ174" s="794">
        <v>0</v>
      </c>
      <c r="BK174" s="794">
        <v>0</v>
      </c>
      <c r="BL174" s="794">
        <v>0</v>
      </c>
      <c r="BM174" s="794">
        <v>0</v>
      </c>
      <c r="BN174" s="794">
        <v>0</v>
      </c>
      <c r="BO174" s="794">
        <v>0</v>
      </c>
      <c r="BP174" s="794">
        <v>0</v>
      </c>
      <c r="BQ174" s="794">
        <v>0</v>
      </c>
      <c r="BR174" s="794">
        <v>0</v>
      </c>
      <c r="BS174" s="794">
        <v>0</v>
      </c>
      <c r="BT174" s="794">
        <v>0</v>
      </c>
      <c r="BU174" s="794">
        <v>0</v>
      </c>
      <c r="BV174" s="794">
        <v>0</v>
      </c>
    </row>
    <row r="175" spans="2:74">
      <c r="B175" s="793" t="s">
        <v>2980</v>
      </c>
      <c r="C175" s="793" t="s">
        <v>2981</v>
      </c>
      <c r="D175" s="793"/>
      <c r="E175" s="794"/>
      <c r="F175" s="799"/>
      <c r="G175" s="799"/>
      <c r="H175" s="799"/>
      <c r="I175" s="799"/>
      <c r="J175" s="799"/>
      <c r="K175" s="799"/>
      <c r="L175" s="799">
        <f t="shared" si="7"/>
        <v>331</v>
      </c>
      <c r="M175" s="799"/>
      <c r="N175" s="595"/>
      <c r="O175" s="794">
        <v>0</v>
      </c>
      <c r="P175" s="794">
        <v>0</v>
      </c>
      <c r="Q175" s="794">
        <v>0</v>
      </c>
      <c r="R175" s="794">
        <v>0</v>
      </c>
      <c r="S175" s="794">
        <v>0</v>
      </c>
      <c r="T175" s="794">
        <v>0</v>
      </c>
      <c r="U175" s="794">
        <v>0</v>
      </c>
      <c r="V175" s="794">
        <v>0</v>
      </c>
      <c r="W175" s="794">
        <v>0</v>
      </c>
      <c r="X175" s="794">
        <v>0</v>
      </c>
      <c r="Y175" s="794">
        <v>0</v>
      </c>
      <c r="Z175" s="794">
        <v>0</v>
      </c>
      <c r="AA175" s="794">
        <v>0</v>
      </c>
      <c r="AB175" s="794">
        <v>0</v>
      </c>
      <c r="AC175" s="794">
        <v>0</v>
      </c>
      <c r="AD175" s="809">
        <v>43100</v>
      </c>
      <c r="AE175" s="794">
        <v>0</v>
      </c>
      <c r="AF175" s="794">
        <v>0</v>
      </c>
      <c r="AG175" s="794">
        <v>0</v>
      </c>
      <c r="AH175" s="794">
        <v>0</v>
      </c>
      <c r="AI175" s="794">
        <v>0</v>
      </c>
      <c r="AJ175" s="794">
        <v>0</v>
      </c>
      <c r="AK175" s="794">
        <v>0</v>
      </c>
      <c r="AL175" s="794">
        <v>0</v>
      </c>
      <c r="AM175" s="794">
        <v>0</v>
      </c>
      <c r="AN175" s="794">
        <v>0</v>
      </c>
      <c r="AO175" s="794">
        <v>0</v>
      </c>
      <c r="AP175" s="794">
        <v>0</v>
      </c>
      <c r="AQ175" s="794">
        <v>0</v>
      </c>
      <c r="AR175" s="794">
        <v>0</v>
      </c>
      <c r="AS175" s="794">
        <v>0</v>
      </c>
      <c r="AT175" s="794">
        <v>0</v>
      </c>
      <c r="AU175" s="794">
        <v>0</v>
      </c>
      <c r="AV175" s="794">
        <v>0</v>
      </c>
      <c r="AW175" s="794">
        <v>0</v>
      </c>
      <c r="AX175" s="794">
        <v>0</v>
      </c>
      <c r="AY175" s="794">
        <v>0</v>
      </c>
      <c r="AZ175" s="794">
        <v>0</v>
      </c>
      <c r="BA175" s="794">
        <v>0</v>
      </c>
      <c r="BB175" s="794">
        <v>0</v>
      </c>
      <c r="BC175" s="794">
        <v>0</v>
      </c>
      <c r="BD175" s="794">
        <v>0</v>
      </c>
      <c r="BE175" s="794">
        <v>0</v>
      </c>
      <c r="BF175" s="794">
        <v>0</v>
      </c>
      <c r="BG175" s="794">
        <v>0</v>
      </c>
      <c r="BH175" s="794">
        <v>0</v>
      </c>
      <c r="BI175" s="794">
        <v>0</v>
      </c>
      <c r="BJ175" s="794">
        <v>0</v>
      </c>
      <c r="BK175" s="794">
        <v>0</v>
      </c>
      <c r="BL175" s="794">
        <v>0</v>
      </c>
      <c r="BM175" s="794">
        <v>0</v>
      </c>
      <c r="BN175" s="794">
        <v>0</v>
      </c>
      <c r="BO175" s="794">
        <v>0</v>
      </c>
      <c r="BP175" s="794">
        <v>0</v>
      </c>
      <c r="BQ175" s="794">
        <v>0</v>
      </c>
      <c r="BR175" s="794">
        <v>0</v>
      </c>
      <c r="BS175" s="794">
        <v>0</v>
      </c>
      <c r="BT175" s="794">
        <v>0</v>
      </c>
      <c r="BU175" s="794">
        <v>0</v>
      </c>
      <c r="BV175" s="794">
        <v>0</v>
      </c>
    </row>
    <row r="176" spans="2:74">
      <c r="B176" s="793" t="s">
        <v>2982</v>
      </c>
      <c r="C176" s="793" t="s">
        <v>2983</v>
      </c>
      <c r="D176" s="793"/>
      <c r="E176" s="794"/>
      <c r="F176" s="799"/>
      <c r="G176" s="799"/>
      <c r="H176" s="799"/>
      <c r="I176" s="799"/>
      <c r="J176" s="799"/>
      <c r="K176" s="799"/>
      <c r="L176" s="799">
        <f t="shared" si="7"/>
        <v>331</v>
      </c>
      <c r="M176" s="799"/>
      <c r="N176" s="595"/>
      <c r="O176" s="794">
        <v>0</v>
      </c>
      <c r="P176" s="794">
        <v>0</v>
      </c>
      <c r="Q176" s="794">
        <v>0</v>
      </c>
      <c r="R176" s="794">
        <v>0</v>
      </c>
      <c r="S176" s="794">
        <v>0</v>
      </c>
      <c r="T176" s="794">
        <v>0</v>
      </c>
      <c r="U176" s="794">
        <v>0</v>
      </c>
      <c r="V176" s="794">
        <v>0</v>
      </c>
      <c r="W176" s="794">
        <v>0</v>
      </c>
      <c r="X176" s="794">
        <v>0</v>
      </c>
      <c r="Y176" s="794">
        <v>0</v>
      </c>
      <c r="Z176" s="794">
        <v>0</v>
      </c>
      <c r="AA176" s="794">
        <v>0</v>
      </c>
      <c r="AB176" s="794">
        <v>0</v>
      </c>
      <c r="AC176" s="794">
        <v>0</v>
      </c>
      <c r="AD176" s="809">
        <v>31585.14</v>
      </c>
      <c r="AE176" s="794">
        <v>53653.74</v>
      </c>
      <c r="AF176" s="794">
        <v>75668.97</v>
      </c>
      <c r="AG176" s="794">
        <v>0</v>
      </c>
      <c r="AH176" s="794">
        <v>17597.04</v>
      </c>
      <c r="AI176" s="794">
        <v>0</v>
      </c>
      <c r="AJ176" s="794">
        <v>0</v>
      </c>
      <c r="AK176" s="794">
        <v>0</v>
      </c>
      <c r="AL176" s="794">
        <v>0</v>
      </c>
      <c r="AM176" s="794">
        <v>0</v>
      </c>
      <c r="AN176" s="794">
        <v>0</v>
      </c>
      <c r="AO176" s="794">
        <v>0</v>
      </c>
      <c r="AP176" s="794">
        <v>0</v>
      </c>
      <c r="AQ176" s="794">
        <v>0</v>
      </c>
      <c r="AR176" s="794">
        <v>0</v>
      </c>
      <c r="AS176" s="794">
        <v>0</v>
      </c>
      <c r="AT176" s="794">
        <v>0</v>
      </c>
      <c r="AU176" s="794">
        <v>0</v>
      </c>
      <c r="AV176" s="794">
        <v>0</v>
      </c>
      <c r="AW176" s="794">
        <v>0</v>
      </c>
      <c r="AX176" s="794">
        <v>0</v>
      </c>
      <c r="AY176" s="794">
        <v>0</v>
      </c>
      <c r="AZ176" s="794">
        <v>0</v>
      </c>
      <c r="BA176" s="794">
        <v>0</v>
      </c>
      <c r="BB176" s="794">
        <v>0</v>
      </c>
      <c r="BC176" s="794">
        <v>0</v>
      </c>
      <c r="BD176" s="794">
        <v>0</v>
      </c>
      <c r="BE176" s="794">
        <v>0</v>
      </c>
      <c r="BF176" s="794">
        <v>0</v>
      </c>
      <c r="BG176" s="794">
        <v>0</v>
      </c>
      <c r="BH176" s="794">
        <v>0</v>
      </c>
      <c r="BI176" s="794">
        <v>0</v>
      </c>
      <c r="BJ176" s="794">
        <v>0</v>
      </c>
      <c r="BK176" s="794">
        <v>0</v>
      </c>
      <c r="BL176" s="794">
        <v>0</v>
      </c>
      <c r="BM176" s="794">
        <v>0</v>
      </c>
      <c r="BN176" s="794">
        <v>0</v>
      </c>
      <c r="BO176" s="794">
        <v>0</v>
      </c>
      <c r="BP176" s="794">
        <v>0</v>
      </c>
      <c r="BQ176" s="794">
        <v>0</v>
      </c>
      <c r="BR176" s="794">
        <v>0</v>
      </c>
      <c r="BS176" s="794">
        <v>0</v>
      </c>
      <c r="BT176" s="794">
        <v>0</v>
      </c>
      <c r="BU176" s="794">
        <v>0</v>
      </c>
      <c r="BV176" s="794">
        <v>0</v>
      </c>
    </row>
    <row r="177" spans="2:74">
      <c r="B177" s="793" t="s">
        <v>2984</v>
      </c>
      <c r="C177" s="793" t="s">
        <v>2985</v>
      </c>
      <c r="D177" s="793"/>
      <c r="E177" s="794"/>
      <c r="F177" s="799"/>
      <c r="G177" s="799"/>
      <c r="H177" s="799"/>
      <c r="I177" s="799"/>
      <c r="J177" s="799"/>
      <c r="K177" s="799"/>
      <c r="L177" s="799">
        <f t="shared" si="7"/>
        <v>331</v>
      </c>
      <c r="M177" s="799"/>
      <c r="N177" s="595"/>
      <c r="O177" s="794">
        <v>0</v>
      </c>
      <c r="P177" s="794">
        <v>0</v>
      </c>
      <c r="Q177" s="794">
        <v>0</v>
      </c>
      <c r="R177" s="794">
        <v>0</v>
      </c>
      <c r="S177" s="794">
        <v>0</v>
      </c>
      <c r="T177" s="794">
        <v>0</v>
      </c>
      <c r="U177" s="794">
        <v>0</v>
      </c>
      <c r="V177" s="794">
        <v>0</v>
      </c>
      <c r="W177" s="794">
        <v>0</v>
      </c>
      <c r="X177" s="794">
        <v>0</v>
      </c>
      <c r="Y177" s="794">
        <v>0</v>
      </c>
      <c r="Z177" s="794">
        <v>0</v>
      </c>
      <c r="AA177" s="794">
        <v>0</v>
      </c>
      <c r="AB177" s="794">
        <v>0</v>
      </c>
      <c r="AC177" s="794">
        <v>0</v>
      </c>
      <c r="AD177" s="809">
        <v>38800</v>
      </c>
      <c r="AE177" s="794">
        <v>0</v>
      </c>
      <c r="AF177" s="794">
        <v>0</v>
      </c>
      <c r="AG177" s="794">
        <v>0</v>
      </c>
      <c r="AH177" s="794">
        <v>0</v>
      </c>
      <c r="AI177" s="794">
        <v>0</v>
      </c>
      <c r="AJ177" s="794">
        <v>0</v>
      </c>
      <c r="AK177" s="794">
        <v>0</v>
      </c>
      <c r="AL177" s="794">
        <v>0</v>
      </c>
      <c r="AM177" s="794">
        <v>0</v>
      </c>
      <c r="AN177" s="794">
        <v>0</v>
      </c>
      <c r="AO177" s="794">
        <v>0</v>
      </c>
      <c r="AP177" s="794">
        <v>0</v>
      </c>
      <c r="AQ177" s="794">
        <v>0</v>
      </c>
      <c r="AR177" s="794">
        <v>0</v>
      </c>
      <c r="AS177" s="794">
        <v>0</v>
      </c>
      <c r="AT177" s="794">
        <v>0</v>
      </c>
      <c r="AU177" s="794">
        <v>0</v>
      </c>
      <c r="AV177" s="794">
        <v>0</v>
      </c>
      <c r="AW177" s="794">
        <v>0</v>
      </c>
      <c r="AX177" s="794">
        <v>0</v>
      </c>
      <c r="AY177" s="794">
        <v>0</v>
      </c>
      <c r="AZ177" s="794">
        <v>0</v>
      </c>
      <c r="BA177" s="794">
        <v>0</v>
      </c>
      <c r="BB177" s="794">
        <v>0</v>
      </c>
      <c r="BC177" s="794">
        <v>0</v>
      </c>
      <c r="BD177" s="794">
        <v>0</v>
      </c>
      <c r="BE177" s="794">
        <v>0</v>
      </c>
      <c r="BF177" s="794">
        <v>0</v>
      </c>
      <c r="BG177" s="794">
        <v>0</v>
      </c>
      <c r="BH177" s="794">
        <v>0</v>
      </c>
      <c r="BI177" s="794">
        <v>0</v>
      </c>
      <c r="BJ177" s="794">
        <v>0</v>
      </c>
      <c r="BK177" s="794">
        <v>22438.240000000002</v>
      </c>
      <c r="BL177" s="794">
        <v>0</v>
      </c>
      <c r="BM177" s="794">
        <v>0</v>
      </c>
      <c r="BN177" s="794">
        <v>0</v>
      </c>
      <c r="BO177" s="794">
        <v>0</v>
      </c>
      <c r="BP177" s="794">
        <v>0</v>
      </c>
      <c r="BQ177" s="794">
        <v>0</v>
      </c>
      <c r="BR177" s="794">
        <v>0</v>
      </c>
      <c r="BS177" s="794">
        <v>0</v>
      </c>
      <c r="BT177" s="794">
        <v>0</v>
      </c>
      <c r="BU177" s="794">
        <v>0</v>
      </c>
      <c r="BV177" s="794">
        <v>0</v>
      </c>
    </row>
    <row r="178" spans="2:74">
      <c r="B178" s="793" t="s">
        <v>2986</v>
      </c>
      <c r="C178" s="793" t="s">
        <v>2987</v>
      </c>
      <c r="D178" s="793"/>
      <c r="E178" s="794"/>
      <c r="F178" s="799"/>
      <c r="G178" s="799"/>
      <c r="H178" s="799"/>
      <c r="I178" s="799"/>
      <c r="J178" s="799"/>
      <c r="K178" s="799"/>
      <c r="L178" s="799">
        <f t="shared" si="7"/>
        <v>1</v>
      </c>
      <c r="M178" s="799"/>
      <c r="N178" s="595"/>
      <c r="O178" s="794">
        <v>0</v>
      </c>
      <c r="P178" s="794">
        <v>0</v>
      </c>
      <c r="Q178" s="794">
        <v>0</v>
      </c>
      <c r="R178" s="794">
        <v>0</v>
      </c>
      <c r="S178" s="794">
        <v>0</v>
      </c>
      <c r="T178" s="794">
        <v>0</v>
      </c>
      <c r="U178" s="794">
        <v>0</v>
      </c>
      <c r="V178" s="794">
        <v>0</v>
      </c>
      <c r="W178" s="794">
        <v>0</v>
      </c>
      <c r="X178" s="794">
        <v>0</v>
      </c>
      <c r="Y178" s="794">
        <v>0</v>
      </c>
      <c r="Z178" s="794">
        <v>0</v>
      </c>
      <c r="AA178" s="794">
        <v>0</v>
      </c>
      <c r="AB178" s="794">
        <v>0</v>
      </c>
      <c r="AC178" s="794">
        <v>0</v>
      </c>
      <c r="AD178" s="809">
        <v>34140</v>
      </c>
      <c r="AE178" s="794">
        <v>62220</v>
      </c>
      <c r="AF178" s="794">
        <v>29299.1</v>
      </c>
      <c r="AG178" s="794">
        <v>31640</v>
      </c>
      <c r="AH178" s="794">
        <v>19950</v>
      </c>
      <c r="AI178" s="794">
        <v>0</v>
      </c>
      <c r="AJ178" s="794">
        <v>30250</v>
      </c>
      <c r="AK178" s="794">
        <v>48804</v>
      </c>
      <c r="AL178" s="794">
        <v>8978.4500000000007</v>
      </c>
      <c r="AM178" s="794">
        <v>0</v>
      </c>
      <c r="AN178" s="794">
        <v>0</v>
      </c>
      <c r="AO178" s="794">
        <v>56458.75</v>
      </c>
      <c r="AP178" s="794">
        <v>0</v>
      </c>
      <c r="AQ178" s="794">
        <v>65099.8</v>
      </c>
      <c r="AR178" s="794">
        <v>0</v>
      </c>
      <c r="AS178" s="794">
        <v>74463.009999999995</v>
      </c>
      <c r="AT178" s="794">
        <v>0</v>
      </c>
      <c r="AU178" s="794">
        <v>0</v>
      </c>
      <c r="AV178" s="794">
        <v>0</v>
      </c>
      <c r="AW178" s="794">
        <v>0</v>
      </c>
      <c r="AX178" s="794">
        <v>0</v>
      </c>
      <c r="AY178" s="794">
        <v>0</v>
      </c>
      <c r="AZ178" s="794">
        <v>0</v>
      </c>
      <c r="BA178" s="794">
        <v>0</v>
      </c>
      <c r="BB178" s="794">
        <v>0</v>
      </c>
      <c r="BC178" s="794">
        <v>22975</v>
      </c>
      <c r="BD178" s="794">
        <v>29299.1</v>
      </c>
      <c r="BE178" s="794">
        <v>45838</v>
      </c>
      <c r="BF178" s="794">
        <v>0</v>
      </c>
      <c r="BG178" s="794">
        <v>48595</v>
      </c>
      <c r="BH178" s="794">
        <v>11685</v>
      </c>
      <c r="BI178" s="794">
        <v>0</v>
      </c>
      <c r="BJ178" s="794">
        <v>0</v>
      </c>
      <c r="BK178" s="794">
        <v>0</v>
      </c>
      <c r="BL178" s="794">
        <v>0</v>
      </c>
      <c r="BM178" s="794">
        <v>0</v>
      </c>
      <c r="BN178" s="794">
        <v>0</v>
      </c>
      <c r="BO178" s="794">
        <v>0</v>
      </c>
      <c r="BP178" s="794">
        <v>0</v>
      </c>
      <c r="BQ178" s="794">
        <v>0</v>
      </c>
      <c r="BR178" s="794">
        <v>0</v>
      </c>
      <c r="BS178" s="794">
        <v>0</v>
      </c>
      <c r="BT178" s="794">
        <v>0</v>
      </c>
      <c r="BU178" s="794">
        <v>0</v>
      </c>
      <c r="BV178" s="794">
        <v>0</v>
      </c>
    </row>
    <row r="179" spans="2:74">
      <c r="B179" s="793" t="s">
        <v>2988</v>
      </c>
      <c r="C179" s="793" t="s">
        <v>2989</v>
      </c>
      <c r="D179" s="793"/>
      <c r="E179" s="794"/>
      <c r="F179" s="799"/>
      <c r="G179" s="799"/>
      <c r="H179" s="799"/>
      <c r="I179" s="799"/>
      <c r="J179" s="799"/>
      <c r="K179" s="799"/>
      <c r="L179" s="799">
        <f t="shared" si="7"/>
        <v>331</v>
      </c>
      <c r="M179" s="799"/>
      <c r="N179" s="595"/>
      <c r="O179" s="794">
        <v>0</v>
      </c>
      <c r="P179" s="794">
        <v>0</v>
      </c>
      <c r="Q179" s="794">
        <v>0</v>
      </c>
      <c r="R179" s="794">
        <v>0</v>
      </c>
      <c r="S179" s="794">
        <v>0</v>
      </c>
      <c r="T179" s="794">
        <v>0</v>
      </c>
      <c r="U179" s="794">
        <v>0</v>
      </c>
      <c r="V179" s="794">
        <v>0</v>
      </c>
      <c r="W179" s="794">
        <v>0</v>
      </c>
      <c r="X179" s="794">
        <v>0</v>
      </c>
      <c r="Y179" s="794">
        <v>0</v>
      </c>
      <c r="Z179" s="794">
        <v>0</v>
      </c>
      <c r="AA179" s="794">
        <v>0</v>
      </c>
      <c r="AB179" s="794">
        <v>0</v>
      </c>
      <c r="AC179" s="794">
        <v>0</v>
      </c>
      <c r="AD179" s="809">
        <v>27934.89</v>
      </c>
      <c r="AE179" s="794">
        <v>0</v>
      </c>
      <c r="AF179" s="794">
        <v>0</v>
      </c>
      <c r="AG179" s="794">
        <v>0</v>
      </c>
      <c r="AH179" s="794">
        <v>0</v>
      </c>
      <c r="AI179" s="794">
        <v>0</v>
      </c>
      <c r="AJ179" s="794">
        <v>0</v>
      </c>
      <c r="AK179" s="794">
        <v>0</v>
      </c>
      <c r="AL179" s="794">
        <v>0</v>
      </c>
      <c r="AM179" s="794">
        <v>0</v>
      </c>
      <c r="AN179" s="794">
        <v>0</v>
      </c>
      <c r="AO179" s="794">
        <v>0</v>
      </c>
      <c r="AP179" s="794">
        <v>0</v>
      </c>
      <c r="AQ179" s="794">
        <v>0</v>
      </c>
      <c r="AR179" s="794">
        <v>0</v>
      </c>
      <c r="AS179" s="794">
        <v>0</v>
      </c>
      <c r="AT179" s="794">
        <v>0</v>
      </c>
      <c r="AU179" s="794">
        <v>0</v>
      </c>
      <c r="AV179" s="794">
        <v>0</v>
      </c>
      <c r="AW179" s="794">
        <v>0</v>
      </c>
      <c r="AX179" s="794">
        <v>0</v>
      </c>
      <c r="AY179" s="794">
        <v>0</v>
      </c>
      <c r="AZ179" s="794">
        <v>0</v>
      </c>
      <c r="BA179" s="794">
        <v>0</v>
      </c>
      <c r="BB179" s="794">
        <v>0</v>
      </c>
      <c r="BC179" s="794">
        <v>0</v>
      </c>
      <c r="BD179" s="794">
        <v>0</v>
      </c>
      <c r="BE179" s="794">
        <v>0</v>
      </c>
      <c r="BF179" s="794">
        <v>0</v>
      </c>
      <c r="BG179" s="794">
        <v>0</v>
      </c>
      <c r="BH179" s="794">
        <v>0</v>
      </c>
      <c r="BI179" s="794">
        <v>0</v>
      </c>
      <c r="BJ179" s="794">
        <v>0</v>
      </c>
      <c r="BK179" s="794">
        <v>0</v>
      </c>
      <c r="BL179" s="794">
        <v>0</v>
      </c>
      <c r="BM179" s="794">
        <v>0</v>
      </c>
      <c r="BN179" s="794">
        <v>0</v>
      </c>
      <c r="BO179" s="794">
        <v>0</v>
      </c>
      <c r="BP179" s="794">
        <v>0</v>
      </c>
      <c r="BQ179" s="794">
        <v>0</v>
      </c>
      <c r="BR179" s="794">
        <v>0</v>
      </c>
      <c r="BS179" s="794">
        <v>0</v>
      </c>
      <c r="BT179" s="794">
        <v>0</v>
      </c>
      <c r="BU179" s="794">
        <v>0</v>
      </c>
      <c r="BV179" s="794">
        <v>0</v>
      </c>
    </row>
    <row r="180" spans="2:74">
      <c r="B180" s="793" t="s">
        <v>2990</v>
      </c>
      <c r="C180" s="793" t="s">
        <v>2991</v>
      </c>
      <c r="D180" s="793"/>
      <c r="E180" s="794"/>
      <c r="F180" s="799"/>
      <c r="G180" s="799"/>
      <c r="H180" s="799"/>
      <c r="I180" s="799"/>
      <c r="J180" s="799"/>
      <c r="K180" s="799"/>
      <c r="L180" s="799">
        <f t="shared" si="7"/>
        <v>331</v>
      </c>
      <c r="M180" s="799"/>
      <c r="N180" s="595"/>
      <c r="O180" s="794">
        <v>0</v>
      </c>
      <c r="P180" s="794">
        <v>0</v>
      </c>
      <c r="Q180" s="794">
        <v>0</v>
      </c>
      <c r="R180" s="794">
        <v>0</v>
      </c>
      <c r="S180" s="794">
        <v>0</v>
      </c>
      <c r="T180" s="794">
        <v>0</v>
      </c>
      <c r="U180" s="794">
        <v>0</v>
      </c>
      <c r="V180" s="794">
        <v>0</v>
      </c>
      <c r="W180" s="794">
        <v>0</v>
      </c>
      <c r="X180" s="794">
        <v>0</v>
      </c>
      <c r="Y180" s="794">
        <v>0</v>
      </c>
      <c r="Z180" s="794">
        <v>0</v>
      </c>
      <c r="AA180" s="794">
        <v>0</v>
      </c>
      <c r="AB180" s="794">
        <v>0</v>
      </c>
      <c r="AC180" s="794">
        <v>0</v>
      </c>
      <c r="AD180" s="794">
        <v>0</v>
      </c>
      <c r="AE180" s="809">
        <v>159337.74</v>
      </c>
      <c r="AF180" s="794">
        <v>87616.58</v>
      </c>
      <c r="AG180" s="794">
        <v>40500</v>
      </c>
      <c r="AH180" s="794">
        <v>0</v>
      </c>
      <c r="AI180" s="794">
        <v>107387.35</v>
      </c>
      <c r="AJ180" s="794">
        <v>0</v>
      </c>
      <c r="AK180" s="794">
        <v>0</v>
      </c>
      <c r="AL180" s="794">
        <v>0</v>
      </c>
      <c r="AM180" s="794">
        <v>0</v>
      </c>
      <c r="AN180" s="794">
        <v>0</v>
      </c>
      <c r="AO180" s="794">
        <v>0</v>
      </c>
      <c r="AP180" s="794">
        <v>38272.42</v>
      </c>
      <c r="AQ180" s="794">
        <v>15105.73</v>
      </c>
      <c r="AR180" s="794">
        <v>55508.95</v>
      </c>
      <c r="AS180" s="794">
        <v>125596.7</v>
      </c>
      <c r="AT180" s="794">
        <v>100356.84</v>
      </c>
      <c r="AU180" s="794">
        <v>57578.3</v>
      </c>
      <c r="AV180" s="794">
        <v>32340</v>
      </c>
      <c r="AW180" s="794">
        <v>102324.48</v>
      </c>
      <c r="AX180" s="794">
        <v>150203.96</v>
      </c>
      <c r="AY180" s="794">
        <v>66244.03</v>
      </c>
      <c r="AZ180" s="794">
        <v>61307.6</v>
      </c>
      <c r="BA180" s="794">
        <v>82518.559999999998</v>
      </c>
      <c r="BB180" s="794">
        <v>53430</v>
      </c>
      <c r="BC180" s="794">
        <v>0</v>
      </c>
      <c r="BD180" s="794">
        <v>44179.09</v>
      </c>
      <c r="BE180" s="794">
        <v>0</v>
      </c>
      <c r="BF180" s="794">
        <v>0</v>
      </c>
      <c r="BG180" s="794">
        <v>0</v>
      </c>
      <c r="BH180" s="794">
        <v>0</v>
      </c>
      <c r="BI180" s="794">
        <v>0</v>
      </c>
      <c r="BJ180" s="794">
        <v>0</v>
      </c>
      <c r="BK180" s="794">
        <v>0</v>
      </c>
      <c r="BL180" s="794">
        <v>0</v>
      </c>
      <c r="BM180" s="794">
        <v>0</v>
      </c>
      <c r="BN180" s="794">
        <v>0</v>
      </c>
      <c r="BO180" s="794">
        <v>0</v>
      </c>
      <c r="BP180" s="794">
        <v>0</v>
      </c>
      <c r="BQ180" s="794">
        <v>0</v>
      </c>
      <c r="BR180" s="794">
        <v>0</v>
      </c>
      <c r="BS180" s="794">
        <v>0</v>
      </c>
      <c r="BT180" s="794">
        <v>0</v>
      </c>
      <c r="BU180" s="794">
        <v>0</v>
      </c>
      <c r="BV180" s="794">
        <v>0</v>
      </c>
    </row>
    <row r="181" spans="2:74">
      <c r="B181" s="793" t="s">
        <v>2992</v>
      </c>
      <c r="C181" s="793" t="s">
        <v>2993</v>
      </c>
      <c r="D181" s="793"/>
      <c r="E181" s="794"/>
      <c r="F181" s="799"/>
      <c r="G181" s="799"/>
      <c r="H181" s="799"/>
      <c r="I181" s="799"/>
      <c r="J181" s="799"/>
      <c r="K181" s="799"/>
      <c r="L181" s="799">
        <f t="shared" si="7"/>
        <v>331</v>
      </c>
      <c r="M181" s="799"/>
      <c r="N181" s="595"/>
      <c r="O181" s="794">
        <v>0</v>
      </c>
      <c r="P181" s="794">
        <v>0</v>
      </c>
      <c r="Q181" s="794">
        <v>0</v>
      </c>
      <c r="R181" s="794">
        <v>0</v>
      </c>
      <c r="S181" s="794">
        <v>0</v>
      </c>
      <c r="T181" s="794">
        <v>0</v>
      </c>
      <c r="U181" s="794">
        <v>0</v>
      </c>
      <c r="V181" s="794">
        <v>0</v>
      </c>
      <c r="W181" s="794">
        <v>0</v>
      </c>
      <c r="X181" s="794">
        <v>0</v>
      </c>
      <c r="Y181" s="794">
        <v>0</v>
      </c>
      <c r="Z181" s="794">
        <v>0</v>
      </c>
      <c r="AA181" s="794">
        <v>0</v>
      </c>
      <c r="AB181" s="794">
        <v>0</v>
      </c>
      <c r="AC181" s="794">
        <v>0</v>
      </c>
      <c r="AD181" s="794">
        <v>0</v>
      </c>
      <c r="AE181" s="809">
        <v>51900</v>
      </c>
      <c r="AF181" s="794">
        <v>21350</v>
      </c>
      <c r="AG181" s="794">
        <v>0</v>
      </c>
      <c r="AH181" s="794">
        <v>0</v>
      </c>
      <c r="AI181" s="794">
        <v>0</v>
      </c>
      <c r="AJ181" s="794">
        <v>0</v>
      </c>
      <c r="AK181" s="794">
        <v>0</v>
      </c>
      <c r="AL181" s="794">
        <v>0</v>
      </c>
      <c r="AM181" s="794">
        <v>0</v>
      </c>
      <c r="AN181" s="794">
        <v>0</v>
      </c>
      <c r="AO181" s="794">
        <v>0</v>
      </c>
      <c r="AP181" s="794">
        <v>0</v>
      </c>
      <c r="AQ181" s="794">
        <v>0</v>
      </c>
      <c r="AR181" s="794">
        <v>0</v>
      </c>
      <c r="AS181" s="794">
        <v>0</v>
      </c>
      <c r="AT181" s="794">
        <v>0</v>
      </c>
      <c r="AU181" s="794">
        <v>0</v>
      </c>
      <c r="AV181" s="794">
        <v>0</v>
      </c>
      <c r="AW181" s="794">
        <v>0</v>
      </c>
      <c r="AX181" s="794">
        <v>0</v>
      </c>
      <c r="AY181" s="794">
        <v>0</v>
      </c>
      <c r="AZ181" s="794">
        <v>0</v>
      </c>
      <c r="BA181" s="794">
        <v>0</v>
      </c>
      <c r="BB181" s="794">
        <v>0</v>
      </c>
      <c r="BC181" s="794">
        <v>0</v>
      </c>
      <c r="BD181" s="794">
        <v>0</v>
      </c>
      <c r="BE181" s="794">
        <v>0</v>
      </c>
      <c r="BF181" s="794">
        <v>0</v>
      </c>
      <c r="BG181" s="794">
        <v>0</v>
      </c>
      <c r="BH181" s="794">
        <v>0</v>
      </c>
      <c r="BI181" s="794">
        <v>0</v>
      </c>
      <c r="BJ181" s="794">
        <v>0</v>
      </c>
      <c r="BK181" s="794">
        <v>0</v>
      </c>
      <c r="BL181" s="794">
        <v>0</v>
      </c>
      <c r="BM181" s="794">
        <v>0</v>
      </c>
      <c r="BN181" s="794">
        <v>0</v>
      </c>
      <c r="BO181" s="794">
        <v>0</v>
      </c>
      <c r="BP181" s="794">
        <v>0</v>
      </c>
      <c r="BQ181" s="794">
        <v>0</v>
      </c>
      <c r="BR181" s="794">
        <v>0</v>
      </c>
      <c r="BS181" s="794">
        <v>0</v>
      </c>
      <c r="BT181" s="794">
        <v>0</v>
      </c>
      <c r="BU181" s="794">
        <v>0</v>
      </c>
      <c r="BV181" s="794">
        <v>0</v>
      </c>
    </row>
    <row r="182" spans="2:74">
      <c r="B182" s="793" t="s">
        <v>2994</v>
      </c>
      <c r="C182" s="793" t="s">
        <v>592</v>
      </c>
      <c r="D182" s="793"/>
      <c r="E182" s="794"/>
      <c r="F182" s="799"/>
      <c r="G182" s="799"/>
      <c r="H182" s="799"/>
      <c r="I182" s="799"/>
      <c r="J182" s="799"/>
      <c r="K182" s="799"/>
      <c r="L182" s="799">
        <f t="shared" si="7"/>
        <v>331</v>
      </c>
      <c r="M182" s="799"/>
      <c r="N182" s="595"/>
      <c r="O182" s="794">
        <v>0</v>
      </c>
      <c r="P182" s="794">
        <v>0</v>
      </c>
      <c r="Q182" s="794">
        <v>0</v>
      </c>
      <c r="R182" s="794">
        <v>0</v>
      </c>
      <c r="S182" s="794">
        <v>0</v>
      </c>
      <c r="T182" s="794">
        <v>0</v>
      </c>
      <c r="U182" s="794">
        <v>0</v>
      </c>
      <c r="V182" s="794">
        <v>0</v>
      </c>
      <c r="W182" s="794">
        <v>0</v>
      </c>
      <c r="X182" s="794">
        <v>0</v>
      </c>
      <c r="Y182" s="794">
        <v>0</v>
      </c>
      <c r="Z182" s="794">
        <v>0</v>
      </c>
      <c r="AA182" s="794">
        <v>0</v>
      </c>
      <c r="AB182" s="794">
        <v>0</v>
      </c>
      <c r="AC182" s="794">
        <v>0</v>
      </c>
      <c r="AD182" s="794">
        <v>0</v>
      </c>
      <c r="AE182" s="809">
        <v>36639.5</v>
      </c>
      <c r="AF182" s="794">
        <v>95600</v>
      </c>
      <c r="AG182" s="794">
        <v>0</v>
      </c>
      <c r="AH182" s="794">
        <v>0</v>
      </c>
      <c r="AI182" s="794">
        <v>12402.99</v>
      </c>
      <c r="AJ182" s="794">
        <v>0</v>
      </c>
      <c r="AK182" s="794">
        <v>0</v>
      </c>
      <c r="AL182" s="794">
        <v>0</v>
      </c>
      <c r="AM182" s="794">
        <v>0</v>
      </c>
      <c r="AN182" s="794">
        <v>0</v>
      </c>
      <c r="AO182" s="794">
        <v>0</v>
      </c>
      <c r="AP182" s="794">
        <v>0</v>
      </c>
      <c r="AQ182" s="794">
        <v>0</v>
      </c>
      <c r="AR182" s="794">
        <v>0</v>
      </c>
      <c r="AS182" s="794">
        <v>0</v>
      </c>
      <c r="AT182" s="794">
        <v>0</v>
      </c>
      <c r="AU182" s="794">
        <v>0</v>
      </c>
      <c r="AV182" s="794">
        <v>0</v>
      </c>
      <c r="AW182" s="794">
        <v>0</v>
      </c>
      <c r="AX182" s="794">
        <v>0</v>
      </c>
      <c r="AY182" s="794">
        <v>0</v>
      </c>
      <c r="AZ182" s="794">
        <v>0</v>
      </c>
      <c r="BA182" s="794">
        <v>0</v>
      </c>
      <c r="BB182" s="794">
        <v>0</v>
      </c>
      <c r="BC182" s="794">
        <v>0</v>
      </c>
      <c r="BD182" s="794">
        <v>0</v>
      </c>
      <c r="BE182" s="794">
        <v>0</v>
      </c>
      <c r="BF182" s="794">
        <v>0</v>
      </c>
      <c r="BG182" s="794">
        <v>0</v>
      </c>
      <c r="BH182" s="794">
        <v>0</v>
      </c>
      <c r="BI182" s="794">
        <v>0</v>
      </c>
      <c r="BJ182" s="794">
        <v>0</v>
      </c>
      <c r="BK182" s="794">
        <v>0</v>
      </c>
      <c r="BL182" s="794">
        <v>0</v>
      </c>
      <c r="BM182" s="794">
        <v>0</v>
      </c>
      <c r="BN182" s="794">
        <v>0</v>
      </c>
      <c r="BO182" s="794">
        <v>0</v>
      </c>
      <c r="BP182" s="794">
        <v>0</v>
      </c>
      <c r="BQ182" s="794">
        <v>0</v>
      </c>
      <c r="BR182" s="794">
        <v>0</v>
      </c>
      <c r="BS182" s="794">
        <v>0</v>
      </c>
      <c r="BT182" s="794">
        <v>0</v>
      </c>
      <c r="BU182" s="794">
        <v>0</v>
      </c>
      <c r="BV182" s="794">
        <v>0</v>
      </c>
    </row>
    <row r="183" spans="2:74">
      <c r="B183" s="793" t="s">
        <v>2995</v>
      </c>
      <c r="C183" s="793" t="s">
        <v>2996</v>
      </c>
      <c r="D183" s="793"/>
      <c r="E183" s="794"/>
      <c r="F183" s="799"/>
      <c r="G183" s="799"/>
      <c r="H183" s="799"/>
      <c r="I183" s="799"/>
      <c r="J183" s="799"/>
      <c r="K183" s="799"/>
      <c r="L183" s="799">
        <f t="shared" si="7"/>
        <v>331</v>
      </c>
      <c r="M183" s="799"/>
      <c r="N183" s="595"/>
      <c r="O183" s="794">
        <v>0</v>
      </c>
      <c r="P183" s="794">
        <v>0</v>
      </c>
      <c r="Q183" s="794">
        <v>0</v>
      </c>
      <c r="R183" s="794">
        <v>0</v>
      </c>
      <c r="S183" s="794">
        <v>0</v>
      </c>
      <c r="T183" s="794">
        <v>0</v>
      </c>
      <c r="U183" s="794">
        <v>0</v>
      </c>
      <c r="V183" s="794">
        <v>0</v>
      </c>
      <c r="W183" s="794">
        <v>0</v>
      </c>
      <c r="X183" s="794">
        <v>0</v>
      </c>
      <c r="Y183" s="794">
        <v>0</v>
      </c>
      <c r="Z183" s="794">
        <v>0</v>
      </c>
      <c r="AA183" s="794">
        <v>0</v>
      </c>
      <c r="AB183" s="794">
        <v>0</v>
      </c>
      <c r="AC183" s="794">
        <v>0</v>
      </c>
      <c r="AD183" s="794">
        <v>0</v>
      </c>
      <c r="AE183" s="809">
        <v>10990</v>
      </c>
      <c r="AF183" s="794">
        <v>19266</v>
      </c>
      <c r="AG183" s="794">
        <v>0</v>
      </c>
      <c r="AH183" s="794">
        <v>0</v>
      </c>
      <c r="AI183" s="794">
        <v>0</v>
      </c>
      <c r="AJ183" s="794">
        <v>0</v>
      </c>
      <c r="AK183" s="794">
        <v>0</v>
      </c>
      <c r="AL183" s="794">
        <v>0</v>
      </c>
      <c r="AM183" s="794">
        <v>0</v>
      </c>
      <c r="AN183" s="794">
        <v>0</v>
      </c>
      <c r="AO183" s="794">
        <v>0</v>
      </c>
      <c r="AP183" s="794">
        <v>0</v>
      </c>
      <c r="AQ183" s="794">
        <v>0</v>
      </c>
      <c r="AR183" s="794">
        <v>0</v>
      </c>
      <c r="AS183" s="794">
        <v>0</v>
      </c>
      <c r="AT183" s="794">
        <v>0</v>
      </c>
      <c r="AU183" s="794">
        <v>0</v>
      </c>
      <c r="AV183" s="794">
        <v>0</v>
      </c>
      <c r="AW183" s="794">
        <v>0</v>
      </c>
      <c r="AX183" s="794">
        <v>0</v>
      </c>
      <c r="AY183" s="794">
        <v>0</v>
      </c>
      <c r="AZ183" s="794">
        <v>0</v>
      </c>
      <c r="BA183" s="794">
        <v>0</v>
      </c>
      <c r="BB183" s="794">
        <v>0</v>
      </c>
      <c r="BC183" s="794">
        <v>0</v>
      </c>
      <c r="BD183" s="794">
        <v>0</v>
      </c>
      <c r="BE183" s="794">
        <v>0</v>
      </c>
      <c r="BF183" s="794">
        <v>0</v>
      </c>
      <c r="BG183" s="794">
        <v>0</v>
      </c>
      <c r="BH183" s="794">
        <v>0</v>
      </c>
      <c r="BI183" s="794">
        <v>0</v>
      </c>
      <c r="BJ183" s="794">
        <v>0</v>
      </c>
      <c r="BK183" s="794">
        <v>0</v>
      </c>
      <c r="BL183" s="794">
        <v>0</v>
      </c>
      <c r="BM183" s="794">
        <v>0</v>
      </c>
      <c r="BN183" s="794">
        <v>0</v>
      </c>
      <c r="BO183" s="794">
        <v>0</v>
      </c>
      <c r="BP183" s="794">
        <v>0</v>
      </c>
      <c r="BQ183" s="794">
        <v>0</v>
      </c>
      <c r="BR183" s="794">
        <v>0</v>
      </c>
      <c r="BS183" s="794">
        <v>0</v>
      </c>
      <c r="BT183" s="794">
        <v>0</v>
      </c>
      <c r="BU183" s="794">
        <v>0</v>
      </c>
      <c r="BV183" s="794">
        <v>0</v>
      </c>
    </row>
    <row r="184" spans="2:74">
      <c r="B184" s="793" t="s">
        <v>2997</v>
      </c>
      <c r="C184" s="793" t="s">
        <v>1813</v>
      </c>
      <c r="D184" s="793"/>
      <c r="E184" s="794"/>
      <c r="F184" s="799"/>
      <c r="G184" s="799"/>
      <c r="H184" s="799"/>
      <c r="I184" s="799"/>
      <c r="J184" s="799"/>
      <c r="K184" s="799"/>
      <c r="L184" s="799">
        <f t="shared" si="7"/>
        <v>331</v>
      </c>
      <c r="M184" s="799"/>
      <c r="N184" s="595"/>
      <c r="O184" s="794">
        <v>0</v>
      </c>
      <c r="P184" s="794">
        <v>0</v>
      </c>
      <c r="Q184" s="794">
        <v>0</v>
      </c>
      <c r="R184" s="794">
        <v>0</v>
      </c>
      <c r="S184" s="794">
        <v>0</v>
      </c>
      <c r="T184" s="794">
        <v>0</v>
      </c>
      <c r="U184" s="794">
        <v>0</v>
      </c>
      <c r="V184" s="794">
        <v>0</v>
      </c>
      <c r="W184" s="794">
        <v>0</v>
      </c>
      <c r="X184" s="794">
        <v>0</v>
      </c>
      <c r="Y184" s="794">
        <v>0</v>
      </c>
      <c r="Z184" s="794">
        <v>0</v>
      </c>
      <c r="AA184" s="794">
        <v>0</v>
      </c>
      <c r="AB184" s="794">
        <v>0</v>
      </c>
      <c r="AC184" s="794">
        <v>0</v>
      </c>
      <c r="AD184" s="794">
        <v>0</v>
      </c>
      <c r="AE184" s="809">
        <v>61203.05</v>
      </c>
      <c r="AF184" s="794">
        <v>28245.75</v>
      </c>
      <c r="AG184" s="794">
        <v>0</v>
      </c>
      <c r="AH184" s="794">
        <v>0</v>
      </c>
      <c r="AI184" s="794">
        <v>0</v>
      </c>
      <c r="AJ184" s="794">
        <v>0</v>
      </c>
      <c r="AK184" s="794">
        <v>0</v>
      </c>
      <c r="AL184" s="794">
        <v>0</v>
      </c>
      <c r="AM184" s="794">
        <v>0</v>
      </c>
      <c r="AN184" s="794">
        <v>0</v>
      </c>
      <c r="AO184" s="794">
        <v>0</v>
      </c>
      <c r="AP184" s="794">
        <v>0</v>
      </c>
      <c r="AQ184" s="794">
        <v>0</v>
      </c>
      <c r="AR184" s="794">
        <v>0</v>
      </c>
      <c r="AS184" s="794">
        <v>0</v>
      </c>
      <c r="AT184" s="794">
        <v>0</v>
      </c>
      <c r="AU184" s="794">
        <v>0</v>
      </c>
      <c r="AV184" s="794">
        <v>0</v>
      </c>
      <c r="AW184" s="794">
        <v>0</v>
      </c>
      <c r="AX184" s="794">
        <v>0</v>
      </c>
      <c r="AY184" s="794">
        <v>0</v>
      </c>
      <c r="AZ184" s="794">
        <v>0</v>
      </c>
      <c r="BA184" s="794">
        <v>0</v>
      </c>
      <c r="BB184" s="794">
        <v>0</v>
      </c>
      <c r="BC184" s="794">
        <v>0</v>
      </c>
      <c r="BD184" s="794">
        <v>0</v>
      </c>
      <c r="BE184" s="794">
        <v>0</v>
      </c>
      <c r="BF184" s="794">
        <v>0</v>
      </c>
      <c r="BG184" s="794">
        <v>0</v>
      </c>
      <c r="BH184" s="794">
        <v>0</v>
      </c>
      <c r="BI184" s="794">
        <v>0</v>
      </c>
      <c r="BJ184" s="794">
        <v>0</v>
      </c>
      <c r="BK184" s="794">
        <v>0</v>
      </c>
      <c r="BL184" s="794">
        <v>0</v>
      </c>
      <c r="BM184" s="794">
        <v>0</v>
      </c>
      <c r="BN184" s="794">
        <v>0</v>
      </c>
      <c r="BO184" s="794">
        <v>0</v>
      </c>
      <c r="BP184" s="794">
        <v>0</v>
      </c>
      <c r="BQ184" s="794">
        <v>0</v>
      </c>
      <c r="BR184" s="794">
        <v>0</v>
      </c>
      <c r="BS184" s="794">
        <v>0</v>
      </c>
      <c r="BT184" s="794">
        <v>0</v>
      </c>
      <c r="BU184" s="794">
        <v>0</v>
      </c>
      <c r="BV184" s="794">
        <v>0</v>
      </c>
    </row>
    <row r="185" spans="2:74">
      <c r="B185" s="793" t="s">
        <v>2998</v>
      </c>
      <c r="C185" s="793" t="s">
        <v>2867</v>
      </c>
      <c r="D185" s="793"/>
      <c r="E185" s="794"/>
      <c r="F185" s="799"/>
      <c r="G185" s="799"/>
      <c r="H185" s="799"/>
      <c r="I185" s="799"/>
      <c r="J185" s="799"/>
      <c r="K185" s="799"/>
      <c r="L185" s="799">
        <f t="shared" si="7"/>
        <v>331</v>
      </c>
      <c r="M185" s="799"/>
      <c r="N185" s="595"/>
      <c r="O185" s="794">
        <v>0</v>
      </c>
      <c r="P185" s="794">
        <v>0</v>
      </c>
      <c r="Q185" s="794">
        <v>0</v>
      </c>
      <c r="R185" s="794">
        <v>0</v>
      </c>
      <c r="S185" s="794">
        <v>0</v>
      </c>
      <c r="T185" s="794">
        <v>0</v>
      </c>
      <c r="U185" s="794">
        <v>0</v>
      </c>
      <c r="V185" s="794">
        <v>0</v>
      </c>
      <c r="W185" s="794">
        <v>0</v>
      </c>
      <c r="X185" s="794">
        <v>0</v>
      </c>
      <c r="Y185" s="794">
        <v>0</v>
      </c>
      <c r="Z185" s="794">
        <v>0</v>
      </c>
      <c r="AA185" s="794">
        <v>0</v>
      </c>
      <c r="AB185" s="794">
        <v>0</v>
      </c>
      <c r="AC185" s="794">
        <v>0</v>
      </c>
      <c r="AD185" s="794">
        <v>0</v>
      </c>
      <c r="AE185" s="794">
        <v>0</v>
      </c>
      <c r="AF185" s="809">
        <v>3000.01</v>
      </c>
      <c r="AG185" s="794">
        <v>0</v>
      </c>
      <c r="AH185" s="794">
        <v>0</v>
      </c>
      <c r="AI185" s="794">
        <v>0</v>
      </c>
      <c r="AJ185" s="794">
        <v>0</v>
      </c>
      <c r="AK185" s="794">
        <v>0</v>
      </c>
      <c r="AL185" s="794">
        <v>0</v>
      </c>
      <c r="AM185" s="794">
        <v>0</v>
      </c>
      <c r="AN185" s="794">
        <v>0</v>
      </c>
      <c r="AO185" s="794">
        <v>0</v>
      </c>
      <c r="AP185" s="794">
        <v>0</v>
      </c>
      <c r="AQ185" s="794">
        <v>0</v>
      </c>
      <c r="AR185" s="794">
        <v>0</v>
      </c>
      <c r="AS185" s="794">
        <v>0</v>
      </c>
      <c r="AT185" s="794">
        <v>0</v>
      </c>
      <c r="AU185" s="794">
        <v>0</v>
      </c>
      <c r="AV185" s="794">
        <v>0</v>
      </c>
      <c r="AW185" s="794">
        <v>0</v>
      </c>
      <c r="AX185" s="794">
        <v>0</v>
      </c>
      <c r="AY185" s="794">
        <v>0</v>
      </c>
      <c r="AZ185" s="794">
        <v>0</v>
      </c>
      <c r="BA185" s="794">
        <v>0</v>
      </c>
      <c r="BB185" s="794">
        <v>0</v>
      </c>
      <c r="BC185" s="794">
        <v>0</v>
      </c>
      <c r="BD185" s="794">
        <v>0</v>
      </c>
      <c r="BE185" s="794">
        <v>0</v>
      </c>
      <c r="BF185" s="794">
        <v>0</v>
      </c>
      <c r="BG185" s="794">
        <v>0</v>
      </c>
      <c r="BH185" s="794">
        <v>0</v>
      </c>
      <c r="BI185" s="794">
        <v>0</v>
      </c>
      <c r="BJ185" s="794">
        <v>0</v>
      </c>
      <c r="BK185" s="794">
        <v>0</v>
      </c>
      <c r="BL185" s="794">
        <v>0</v>
      </c>
      <c r="BM185" s="794">
        <v>0</v>
      </c>
      <c r="BN185" s="794">
        <v>0</v>
      </c>
      <c r="BO185" s="794">
        <v>0</v>
      </c>
      <c r="BP185" s="794">
        <v>0</v>
      </c>
      <c r="BQ185" s="794">
        <v>0</v>
      </c>
      <c r="BR185" s="794">
        <v>0</v>
      </c>
      <c r="BS185" s="794">
        <v>0</v>
      </c>
      <c r="BT185" s="794">
        <v>0</v>
      </c>
      <c r="BU185" s="794">
        <v>0</v>
      </c>
      <c r="BV185" s="794">
        <v>0</v>
      </c>
    </row>
    <row r="186" spans="2:74">
      <c r="B186" s="793" t="s">
        <v>2999</v>
      </c>
      <c r="C186" s="793" t="s">
        <v>3000</v>
      </c>
      <c r="D186" s="793"/>
      <c r="E186" s="794"/>
      <c r="F186" s="799"/>
      <c r="G186" s="799"/>
      <c r="H186" s="799"/>
      <c r="I186" s="799"/>
      <c r="J186" s="799"/>
      <c r="K186" s="799"/>
      <c r="L186" s="799">
        <f t="shared" si="7"/>
        <v>331</v>
      </c>
      <c r="M186" s="799"/>
      <c r="N186" s="595"/>
      <c r="O186" s="794">
        <v>0</v>
      </c>
      <c r="P186" s="794">
        <v>0</v>
      </c>
      <c r="Q186" s="794">
        <v>0</v>
      </c>
      <c r="R186" s="794">
        <v>0</v>
      </c>
      <c r="S186" s="794">
        <v>0</v>
      </c>
      <c r="T186" s="794">
        <v>0</v>
      </c>
      <c r="U186" s="794">
        <v>0</v>
      </c>
      <c r="V186" s="794">
        <v>0</v>
      </c>
      <c r="W186" s="794">
        <v>0</v>
      </c>
      <c r="X186" s="794">
        <v>0</v>
      </c>
      <c r="Y186" s="794">
        <v>0</v>
      </c>
      <c r="Z186" s="794">
        <v>0</v>
      </c>
      <c r="AA186" s="794">
        <v>0</v>
      </c>
      <c r="AB186" s="794">
        <v>0</v>
      </c>
      <c r="AC186" s="794">
        <v>0</v>
      </c>
      <c r="AD186" s="794">
        <v>0</v>
      </c>
      <c r="AE186" s="794">
        <v>0</v>
      </c>
      <c r="AF186" s="809">
        <v>43675.78</v>
      </c>
      <c r="AG186" s="794">
        <v>0</v>
      </c>
      <c r="AH186" s="794">
        <v>0</v>
      </c>
      <c r="AI186" s="794">
        <v>0</v>
      </c>
      <c r="AJ186" s="794">
        <v>0</v>
      </c>
      <c r="AK186" s="794">
        <v>0</v>
      </c>
      <c r="AL186" s="794">
        <v>0</v>
      </c>
      <c r="AM186" s="794">
        <v>0</v>
      </c>
      <c r="AN186" s="794">
        <v>0</v>
      </c>
      <c r="AO186" s="794">
        <v>0</v>
      </c>
      <c r="AP186" s="794">
        <v>0</v>
      </c>
      <c r="AQ186" s="794">
        <v>0</v>
      </c>
      <c r="AR186" s="794">
        <v>0</v>
      </c>
      <c r="AS186" s="794">
        <v>0</v>
      </c>
      <c r="AT186" s="794">
        <v>0</v>
      </c>
      <c r="AU186" s="794">
        <v>0</v>
      </c>
      <c r="AV186" s="794">
        <v>0</v>
      </c>
      <c r="AW186" s="794">
        <v>0</v>
      </c>
      <c r="AX186" s="794">
        <v>0</v>
      </c>
      <c r="AY186" s="794">
        <v>0</v>
      </c>
      <c r="AZ186" s="794">
        <v>0</v>
      </c>
      <c r="BA186" s="794">
        <v>0</v>
      </c>
      <c r="BB186" s="794">
        <v>0</v>
      </c>
      <c r="BC186" s="794">
        <v>0</v>
      </c>
      <c r="BD186" s="794">
        <v>0</v>
      </c>
      <c r="BE186" s="794">
        <v>0</v>
      </c>
      <c r="BF186" s="794">
        <v>0</v>
      </c>
      <c r="BG186" s="794">
        <v>0</v>
      </c>
      <c r="BH186" s="794">
        <v>0</v>
      </c>
      <c r="BI186" s="794">
        <v>0</v>
      </c>
      <c r="BJ186" s="794">
        <v>0</v>
      </c>
      <c r="BK186" s="794">
        <v>0</v>
      </c>
      <c r="BL186" s="794">
        <v>0</v>
      </c>
      <c r="BM186" s="794">
        <v>0</v>
      </c>
      <c r="BN186" s="794">
        <v>0</v>
      </c>
      <c r="BO186" s="794">
        <v>0</v>
      </c>
      <c r="BP186" s="794">
        <v>0</v>
      </c>
      <c r="BQ186" s="794">
        <v>0</v>
      </c>
      <c r="BR186" s="794">
        <v>0</v>
      </c>
      <c r="BS186" s="794">
        <v>0</v>
      </c>
      <c r="BT186" s="794">
        <v>0</v>
      </c>
      <c r="BU186" s="794">
        <v>0</v>
      </c>
      <c r="BV186" s="794">
        <v>0</v>
      </c>
    </row>
    <row r="187" spans="2:74">
      <c r="B187" s="793" t="s">
        <v>526</v>
      </c>
      <c r="C187" s="793" t="s">
        <v>3001</v>
      </c>
      <c r="D187" s="793"/>
      <c r="E187" s="794"/>
      <c r="F187" s="799"/>
      <c r="G187" s="799"/>
      <c r="H187" s="799"/>
      <c r="I187" s="799"/>
      <c r="J187" s="799"/>
      <c r="K187" s="799"/>
      <c r="L187" s="799">
        <f t="shared" si="7"/>
        <v>1</v>
      </c>
      <c r="M187" s="799"/>
      <c r="N187" s="595"/>
      <c r="O187" s="794">
        <v>0</v>
      </c>
      <c r="P187" s="794">
        <v>0</v>
      </c>
      <c r="Q187" s="794">
        <v>0</v>
      </c>
      <c r="R187" s="794">
        <v>0</v>
      </c>
      <c r="S187" s="794">
        <v>0</v>
      </c>
      <c r="T187" s="794">
        <v>0</v>
      </c>
      <c r="U187" s="794">
        <v>0</v>
      </c>
      <c r="V187" s="794">
        <v>0</v>
      </c>
      <c r="W187" s="794">
        <v>0</v>
      </c>
      <c r="X187" s="794">
        <v>0</v>
      </c>
      <c r="Y187" s="794">
        <v>0</v>
      </c>
      <c r="Z187" s="794">
        <v>0</v>
      </c>
      <c r="AA187" s="794">
        <v>0</v>
      </c>
      <c r="AB187" s="794">
        <v>0</v>
      </c>
      <c r="AC187" s="794">
        <v>0</v>
      </c>
      <c r="AD187" s="794">
        <v>0</v>
      </c>
      <c r="AE187" s="794">
        <v>0</v>
      </c>
      <c r="AF187" s="809">
        <v>58310</v>
      </c>
      <c r="AG187" s="794">
        <v>86513.42</v>
      </c>
      <c r="AH187" s="794">
        <v>41987.16</v>
      </c>
      <c r="AI187" s="794">
        <v>96182.76</v>
      </c>
      <c r="AJ187" s="794">
        <v>96544.74</v>
      </c>
      <c r="AK187" s="794">
        <v>64622.17</v>
      </c>
      <c r="AL187" s="794">
        <v>59359.26</v>
      </c>
      <c r="AM187" s="794">
        <v>102114.97</v>
      </c>
      <c r="AN187" s="794">
        <v>101808.15</v>
      </c>
      <c r="AO187" s="794">
        <v>53908.62</v>
      </c>
      <c r="AP187" s="794">
        <v>53039.29</v>
      </c>
      <c r="AQ187" s="794">
        <v>43894.31</v>
      </c>
      <c r="AR187" s="794">
        <v>69022.37</v>
      </c>
      <c r="AS187" s="794">
        <v>36923.629999999997</v>
      </c>
      <c r="AT187" s="794">
        <v>0</v>
      </c>
      <c r="AU187" s="794">
        <v>0</v>
      </c>
      <c r="AV187" s="794">
        <v>0</v>
      </c>
      <c r="AW187" s="794">
        <v>0</v>
      </c>
      <c r="AX187" s="794">
        <v>0</v>
      </c>
      <c r="AY187" s="794">
        <v>0</v>
      </c>
      <c r="AZ187" s="794">
        <v>0</v>
      </c>
      <c r="BA187" s="794">
        <v>0</v>
      </c>
      <c r="BB187" s="794">
        <v>0</v>
      </c>
      <c r="BC187" s="794">
        <v>0</v>
      </c>
      <c r="BD187" s="794">
        <v>0</v>
      </c>
      <c r="BE187" s="794">
        <v>0</v>
      </c>
      <c r="BF187" s="794">
        <v>0</v>
      </c>
      <c r="BG187" s="794">
        <v>0</v>
      </c>
      <c r="BH187" s="794">
        <v>0</v>
      </c>
      <c r="BI187" s="794">
        <v>10361.85</v>
      </c>
      <c r="BJ187" s="794">
        <v>25208.66</v>
      </c>
      <c r="BK187" s="794">
        <v>46098.07</v>
      </c>
      <c r="BL187" s="794">
        <v>57817.87</v>
      </c>
      <c r="BM187" s="794">
        <v>36000</v>
      </c>
      <c r="BN187" s="794">
        <v>98654.43</v>
      </c>
      <c r="BO187" s="794">
        <v>114410.79</v>
      </c>
      <c r="BP187" s="794">
        <v>0</v>
      </c>
      <c r="BQ187" s="794">
        <v>0</v>
      </c>
      <c r="BR187" s="794">
        <v>0</v>
      </c>
      <c r="BS187" s="794">
        <v>0</v>
      </c>
      <c r="BT187" s="794">
        <v>0</v>
      </c>
      <c r="BU187" s="794">
        <v>79800.850000000006</v>
      </c>
      <c r="BV187" s="794">
        <v>0</v>
      </c>
    </row>
    <row r="188" spans="2:74">
      <c r="B188" s="793" t="s">
        <v>3002</v>
      </c>
      <c r="C188" s="793" t="s">
        <v>3003</v>
      </c>
      <c r="D188" s="793"/>
      <c r="E188" s="794"/>
      <c r="F188" s="799"/>
      <c r="G188" s="799"/>
      <c r="H188" s="799"/>
      <c r="I188" s="799"/>
      <c r="J188" s="799"/>
      <c r="K188" s="799"/>
      <c r="L188" s="799">
        <f t="shared" si="7"/>
        <v>1</v>
      </c>
      <c r="M188" s="799"/>
      <c r="N188" s="595"/>
      <c r="O188" s="794">
        <v>0</v>
      </c>
      <c r="P188" s="794">
        <v>0</v>
      </c>
      <c r="Q188" s="794">
        <v>0</v>
      </c>
      <c r="R188" s="794">
        <v>0</v>
      </c>
      <c r="S188" s="794">
        <v>0</v>
      </c>
      <c r="T188" s="794">
        <v>0</v>
      </c>
      <c r="U188" s="794">
        <v>0</v>
      </c>
      <c r="V188" s="794">
        <v>0</v>
      </c>
      <c r="W188" s="794">
        <v>0</v>
      </c>
      <c r="X188" s="794">
        <v>0</v>
      </c>
      <c r="Y188" s="794">
        <v>0</v>
      </c>
      <c r="Z188" s="794">
        <v>0</v>
      </c>
      <c r="AA188" s="794">
        <v>0</v>
      </c>
      <c r="AB188" s="794">
        <v>0</v>
      </c>
      <c r="AC188" s="794">
        <v>0</v>
      </c>
      <c r="AD188" s="794">
        <v>0</v>
      </c>
      <c r="AE188" s="794">
        <v>0</v>
      </c>
      <c r="AF188" s="794">
        <v>0</v>
      </c>
      <c r="AG188" s="809">
        <v>130800</v>
      </c>
      <c r="AH188" s="794">
        <v>11800</v>
      </c>
      <c r="AI188" s="794">
        <v>70000</v>
      </c>
      <c r="AJ188" s="794">
        <v>36700</v>
      </c>
      <c r="AK188" s="794">
        <v>0</v>
      </c>
      <c r="AL188" s="794">
        <v>0</v>
      </c>
      <c r="AM188" s="794">
        <v>0</v>
      </c>
      <c r="AN188" s="794">
        <v>0</v>
      </c>
      <c r="AO188" s="794">
        <v>0</v>
      </c>
      <c r="AP188" s="794">
        <v>0</v>
      </c>
      <c r="AQ188" s="794">
        <v>0</v>
      </c>
      <c r="AR188" s="794">
        <v>0</v>
      </c>
      <c r="AS188" s="794">
        <v>0</v>
      </c>
      <c r="AT188" s="794">
        <v>0</v>
      </c>
      <c r="AU188" s="794">
        <v>0</v>
      </c>
      <c r="AV188" s="794">
        <v>0</v>
      </c>
      <c r="AW188" s="794">
        <v>0</v>
      </c>
      <c r="AX188" s="794">
        <v>0</v>
      </c>
      <c r="AY188" s="794">
        <v>0</v>
      </c>
      <c r="AZ188" s="794">
        <v>0</v>
      </c>
      <c r="BA188" s="794">
        <v>0</v>
      </c>
      <c r="BB188" s="794">
        <v>0</v>
      </c>
      <c r="BC188" s="794">
        <v>0</v>
      </c>
      <c r="BD188" s="794">
        <v>0</v>
      </c>
      <c r="BE188" s="794">
        <v>0</v>
      </c>
      <c r="BF188" s="794">
        <v>0</v>
      </c>
      <c r="BG188" s="794">
        <v>0</v>
      </c>
      <c r="BH188" s="794">
        <v>0</v>
      </c>
      <c r="BI188" s="794">
        <v>0</v>
      </c>
      <c r="BJ188" s="794">
        <v>0</v>
      </c>
      <c r="BK188" s="794">
        <v>0</v>
      </c>
      <c r="BL188" s="794">
        <v>0</v>
      </c>
      <c r="BM188" s="794">
        <v>0</v>
      </c>
      <c r="BN188" s="794">
        <v>0</v>
      </c>
      <c r="BO188" s="794">
        <v>0</v>
      </c>
      <c r="BP188" s="794">
        <v>0</v>
      </c>
      <c r="BQ188" s="794">
        <v>0</v>
      </c>
      <c r="BR188" s="794">
        <v>0</v>
      </c>
      <c r="BS188" s="794">
        <v>0</v>
      </c>
      <c r="BT188" s="794">
        <v>0</v>
      </c>
      <c r="BU188" s="794">
        <v>0</v>
      </c>
      <c r="BV188" s="794">
        <v>0</v>
      </c>
    </row>
    <row r="189" spans="2:74">
      <c r="B189" s="793" t="s">
        <v>3004</v>
      </c>
      <c r="C189" s="793" t="s">
        <v>3005</v>
      </c>
      <c r="D189" s="793"/>
      <c r="E189" s="794"/>
      <c r="F189" s="799"/>
      <c r="G189" s="799"/>
      <c r="H189" s="799"/>
      <c r="I189" s="799"/>
      <c r="J189" s="799"/>
      <c r="K189" s="799"/>
      <c r="L189" s="799">
        <f t="shared" si="7"/>
        <v>331</v>
      </c>
      <c r="M189" s="799"/>
      <c r="N189" s="595"/>
      <c r="O189" s="794">
        <v>0</v>
      </c>
      <c r="P189" s="794">
        <v>0</v>
      </c>
      <c r="Q189" s="794">
        <v>0</v>
      </c>
      <c r="R189" s="794">
        <v>0</v>
      </c>
      <c r="S189" s="794">
        <v>0</v>
      </c>
      <c r="T189" s="794">
        <v>0</v>
      </c>
      <c r="U189" s="794">
        <v>0</v>
      </c>
      <c r="V189" s="794">
        <v>0</v>
      </c>
      <c r="W189" s="794">
        <v>0</v>
      </c>
      <c r="X189" s="794">
        <v>0</v>
      </c>
      <c r="Y189" s="794">
        <v>0</v>
      </c>
      <c r="Z189" s="794">
        <v>0</v>
      </c>
      <c r="AA189" s="794">
        <v>0</v>
      </c>
      <c r="AB189" s="794">
        <v>0</v>
      </c>
      <c r="AC189" s="794">
        <v>0</v>
      </c>
      <c r="AD189" s="794">
        <v>0</v>
      </c>
      <c r="AE189" s="794">
        <v>0</v>
      </c>
      <c r="AF189" s="809">
        <v>104094.39999999999</v>
      </c>
      <c r="AG189" s="794">
        <v>0</v>
      </c>
      <c r="AH189" s="794">
        <v>0</v>
      </c>
      <c r="AI189" s="794">
        <v>0</v>
      </c>
      <c r="AJ189" s="794">
        <v>0</v>
      </c>
      <c r="AK189" s="794">
        <v>0</v>
      </c>
      <c r="AL189" s="794">
        <v>0</v>
      </c>
      <c r="AM189" s="794">
        <v>0</v>
      </c>
      <c r="AN189" s="794">
        <v>0</v>
      </c>
      <c r="AO189" s="794">
        <v>0</v>
      </c>
      <c r="AP189" s="794">
        <v>0</v>
      </c>
      <c r="AQ189" s="794">
        <v>0</v>
      </c>
      <c r="AR189" s="794">
        <v>0</v>
      </c>
      <c r="AS189" s="794">
        <v>0</v>
      </c>
      <c r="AT189" s="794">
        <v>0</v>
      </c>
      <c r="AU189" s="794">
        <v>0</v>
      </c>
      <c r="AV189" s="794">
        <v>0</v>
      </c>
      <c r="AW189" s="794">
        <v>0</v>
      </c>
      <c r="AX189" s="794">
        <v>0</v>
      </c>
      <c r="AY189" s="794">
        <v>0</v>
      </c>
      <c r="AZ189" s="794">
        <v>0</v>
      </c>
      <c r="BA189" s="794">
        <v>0</v>
      </c>
      <c r="BB189" s="794">
        <v>0</v>
      </c>
      <c r="BC189" s="794">
        <v>0</v>
      </c>
      <c r="BD189" s="794">
        <v>0</v>
      </c>
      <c r="BE189" s="794">
        <v>0</v>
      </c>
      <c r="BF189" s="794">
        <v>0</v>
      </c>
      <c r="BG189" s="794">
        <v>0</v>
      </c>
      <c r="BH189" s="794">
        <v>0</v>
      </c>
      <c r="BI189" s="794">
        <v>0</v>
      </c>
      <c r="BJ189" s="794">
        <v>0</v>
      </c>
      <c r="BK189" s="794">
        <v>0</v>
      </c>
      <c r="BL189" s="794">
        <v>0</v>
      </c>
      <c r="BM189" s="794">
        <v>0</v>
      </c>
      <c r="BN189" s="794">
        <v>0</v>
      </c>
      <c r="BO189" s="794">
        <v>0</v>
      </c>
      <c r="BP189" s="794">
        <v>0</v>
      </c>
      <c r="BQ189" s="794">
        <v>0</v>
      </c>
      <c r="BR189" s="794">
        <v>0</v>
      </c>
      <c r="BS189" s="794">
        <v>0</v>
      </c>
      <c r="BT189" s="794">
        <v>0</v>
      </c>
      <c r="BU189" s="794">
        <v>0</v>
      </c>
      <c r="BV189" s="794">
        <v>0</v>
      </c>
    </row>
    <row r="190" spans="2:74">
      <c r="B190" s="793" t="s">
        <v>3006</v>
      </c>
      <c r="C190" s="793" t="s">
        <v>3007</v>
      </c>
      <c r="D190" s="793"/>
      <c r="E190" s="794"/>
      <c r="F190" s="799"/>
      <c r="G190" s="799"/>
      <c r="H190" s="799"/>
      <c r="I190" s="799"/>
      <c r="J190" s="799"/>
      <c r="K190" s="799"/>
      <c r="L190" s="799">
        <f t="shared" si="7"/>
        <v>331</v>
      </c>
      <c r="M190" s="799"/>
      <c r="N190" s="595"/>
      <c r="O190" s="794">
        <v>0</v>
      </c>
      <c r="P190" s="794">
        <v>0</v>
      </c>
      <c r="Q190" s="794">
        <v>0</v>
      </c>
      <c r="R190" s="794">
        <v>0</v>
      </c>
      <c r="S190" s="794">
        <v>0</v>
      </c>
      <c r="T190" s="794">
        <v>0</v>
      </c>
      <c r="U190" s="794">
        <v>0</v>
      </c>
      <c r="V190" s="794">
        <v>0</v>
      </c>
      <c r="W190" s="794">
        <v>0</v>
      </c>
      <c r="X190" s="794">
        <v>0</v>
      </c>
      <c r="Y190" s="794">
        <v>0</v>
      </c>
      <c r="Z190" s="794">
        <v>0</v>
      </c>
      <c r="AA190" s="794">
        <v>0</v>
      </c>
      <c r="AB190" s="794">
        <v>0</v>
      </c>
      <c r="AC190" s="794">
        <v>0</v>
      </c>
      <c r="AD190" s="794">
        <v>0</v>
      </c>
      <c r="AE190" s="794">
        <v>0</v>
      </c>
      <c r="AF190" s="794">
        <v>0</v>
      </c>
      <c r="AG190" s="809">
        <v>31920</v>
      </c>
      <c r="AH190" s="794">
        <v>0</v>
      </c>
      <c r="AI190" s="794">
        <v>0</v>
      </c>
      <c r="AJ190" s="794">
        <v>0</v>
      </c>
      <c r="AK190" s="794">
        <v>0</v>
      </c>
      <c r="AL190" s="794">
        <v>0</v>
      </c>
      <c r="AM190" s="794">
        <v>0</v>
      </c>
      <c r="AN190" s="794">
        <v>0</v>
      </c>
      <c r="AO190" s="794">
        <v>0</v>
      </c>
      <c r="AP190" s="794">
        <v>0</v>
      </c>
      <c r="AQ190" s="794">
        <v>0</v>
      </c>
      <c r="AR190" s="794">
        <v>0</v>
      </c>
      <c r="AS190" s="794">
        <v>0</v>
      </c>
      <c r="AT190" s="794">
        <v>0</v>
      </c>
      <c r="AU190" s="794">
        <v>0</v>
      </c>
      <c r="AV190" s="794">
        <v>0</v>
      </c>
      <c r="AW190" s="794">
        <v>0</v>
      </c>
      <c r="AX190" s="794">
        <v>0</v>
      </c>
      <c r="AY190" s="794">
        <v>0</v>
      </c>
      <c r="AZ190" s="794">
        <v>0</v>
      </c>
      <c r="BA190" s="794">
        <v>0</v>
      </c>
      <c r="BB190" s="794">
        <v>0</v>
      </c>
      <c r="BC190" s="794">
        <v>0</v>
      </c>
      <c r="BD190" s="794">
        <v>0</v>
      </c>
      <c r="BE190" s="794">
        <v>0</v>
      </c>
      <c r="BF190" s="794">
        <v>0</v>
      </c>
      <c r="BG190" s="794">
        <v>0</v>
      </c>
      <c r="BH190" s="794">
        <v>0</v>
      </c>
      <c r="BI190" s="794">
        <v>0</v>
      </c>
      <c r="BJ190" s="794">
        <v>0</v>
      </c>
      <c r="BK190" s="794">
        <v>0</v>
      </c>
      <c r="BL190" s="794">
        <v>0</v>
      </c>
      <c r="BM190" s="794">
        <v>0</v>
      </c>
      <c r="BN190" s="794">
        <v>0</v>
      </c>
      <c r="BO190" s="794">
        <v>0</v>
      </c>
      <c r="BP190" s="794">
        <v>0</v>
      </c>
      <c r="BQ190" s="794">
        <v>0</v>
      </c>
      <c r="BR190" s="794">
        <v>0</v>
      </c>
      <c r="BS190" s="794">
        <v>0</v>
      </c>
      <c r="BT190" s="794">
        <v>0</v>
      </c>
      <c r="BU190" s="794">
        <v>0</v>
      </c>
      <c r="BV190" s="794">
        <v>0</v>
      </c>
    </row>
    <row r="191" spans="2:74">
      <c r="B191" s="793" t="s">
        <v>599</v>
      </c>
      <c r="C191" s="793" t="s">
        <v>2816</v>
      </c>
      <c r="D191" s="793"/>
      <c r="E191" s="794"/>
      <c r="F191" s="799"/>
      <c r="G191" s="799"/>
      <c r="H191" s="799"/>
      <c r="I191" s="799"/>
      <c r="J191" s="799"/>
      <c r="K191" s="799"/>
      <c r="L191" s="799">
        <f t="shared" si="7"/>
        <v>331</v>
      </c>
      <c r="M191" s="799"/>
      <c r="N191" s="595"/>
      <c r="O191" s="794">
        <v>0</v>
      </c>
      <c r="P191" s="794">
        <v>0</v>
      </c>
      <c r="Q191" s="794">
        <v>0</v>
      </c>
      <c r="R191" s="794">
        <v>0</v>
      </c>
      <c r="S191" s="794">
        <v>0</v>
      </c>
      <c r="T191" s="794">
        <v>0</v>
      </c>
      <c r="U191" s="794">
        <v>0</v>
      </c>
      <c r="V191" s="794">
        <v>0</v>
      </c>
      <c r="W191" s="794">
        <v>0</v>
      </c>
      <c r="X191" s="794">
        <v>0</v>
      </c>
      <c r="Y191" s="794">
        <v>0</v>
      </c>
      <c r="Z191" s="794">
        <v>0</v>
      </c>
      <c r="AA191" s="794">
        <v>0</v>
      </c>
      <c r="AB191" s="794">
        <v>0</v>
      </c>
      <c r="AC191" s="794">
        <v>0</v>
      </c>
      <c r="AD191" s="794">
        <v>0</v>
      </c>
      <c r="AE191" s="794">
        <v>0</v>
      </c>
      <c r="AF191" s="809">
        <v>42936.84</v>
      </c>
      <c r="AG191" s="794">
        <v>0</v>
      </c>
      <c r="AH191" s="794">
        <v>0</v>
      </c>
      <c r="AI191" s="794">
        <v>0</v>
      </c>
      <c r="AJ191" s="794">
        <v>0</v>
      </c>
      <c r="AK191" s="794">
        <v>0</v>
      </c>
      <c r="AL191" s="794">
        <v>0</v>
      </c>
      <c r="AM191" s="794">
        <v>0</v>
      </c>
      <c r="AN191" s="794">
        <v>0</v>
      </c>
      <c r="AO191" s="794">
        <v>0</v>
      </c>
      <c r="AP191" s="794">
        <v>0</v>
      </c>
      <c r="AQ191" s="794">
        <v>0</v>
      </c>
      <c r="AR191" s="794">
        <v>0</v>
      </c>
      <c r="AS191" s="794">
        <v>0</v>
      </c>
      <c r="AT191" s="794">
        <v>0</v>
      </c>
      <c r="AU191" s="794">
        <v>0</v>
      </c>
      <c r="AV191" s="794">
        <v>0</v>
      </c>
      <c r="AW191" s="794">
        <v>0</v>
      </c>
      <c r="AX191" s="794">
        <v>0</v>
      </c>
      <c r="AY191" s="794">
        <v>0</v>
      </c>
      <c r="AZ191" s="794">
        <v>0</v>
      </c>
      <c r="BA191" s="794">
        <v>0</v>
      </c>
      <c r="BB191" s="794">
        <v>0</v>
      </c>
      <c r="BC191" s="794">
        <v>69250</v>
      </c>
      <c r="BD191" s="794">
        <v>110020.56</v>
      </c>
      <c r="BE191" s="794">
        <v>0</v>
      </c>
      <c r="BF191" s="794">
        <v>0</v>
      </c>
      <c r="BG191" s="794">
        <v>0</v>
      </c>
      <c r="BH191" s="794">
        <v>0</v>
      </c>
      <c r="BI191" s="794">
        <v>0</v>
      </c>
      <c r="BJ191" s="794">
        <v>0</v>
      </c>
      <c r="BK191" s="794">
        <v>0</v>
      </c>
      <c r="BL191" s="794">
        <v>27282.36</v>
      </c>
      <c r="BM191" s="794">
        <v>64690</v>
      </c>
      <c r="BN191" s="794">
        <v>0</v>
      </c>
      <c r="BO191" s="794">
        <v>0</v>
      </c>
      <c r="BP191" s="794">
        <v>0</v>
      </c>
      <c r="BQ191" s="794">
        <v>0</v>
      </c>
      <c r="BR191" s="794">
        <v>0</v>
      </c>
      <c r="BS191" s="794">
        <v>0</v>
      </c>
      <c r="BT191" s="794">
        <v>0</v>
      </c>
      <c r="BU191" s="794">
        <v>0</v>
      </c>
      <c r="BV191" s="794">
        <v>0</v>
      </c>
    </row>
    <row r="192" spans="2:74">
      <c r="B192" s="793" t="s">
        <v>3008</v>
      </c>
      <c r="C192" s="793" t="s">
        <v>3009</v>
      </c>
      <c r="D192" s="793"/>
      <c r="E192" s="794"/>
      <c r="F192" s="799"/>
      <c r="G192" s="799"/>
      <c r="H192" s="799"/>
      <c r="I192" s="799"/>
      <c r="J192" s="799"/>
      <c r="K192" s="799"/>
      <c r="L192" s="799">
        <f t="shared" si="7"/>
        <v>1</v>
      </c>
      <c r="M192" s="799"/>
      <c r="N192" s="595"/>
      <c r="O192" s="794">
        <v>0</v>
      </c>
      <c r="P192" s="794">
        <v>0</v>
      </c>
      <c r="Q192" s="794">
        <v>0</v>
      </c>
      <c r="R192" s="794">
        <v>0</v>
      </c>
      <c r="S192" s="794">
        <v>0</v>
      </c>
      <c r="T192" s="794">
        <v>0</v>
      </c>
      <c r="U192" s="794">
        <v>0</v>
      </c>
      <c r="V192" s="794">
        <v>0</v>
      </c>
      <c r="W192" s="794">
        <v>0</v>
      </c>
      <c r="X192" s="794">
        <v>0</v>
      </c>
      <c r="Y192" s="794">
        <v>0</v>
      </c>
      <c r="Z192" s="794">
        <v>0</v>
      </c>
      <c r="AA192" s="794">
        <v>0</v>
      </c>
      <c r="AB192" s="794">
        <v>0</v>
      </c>
      <c r="AC192" s="794">
        <v>0</v>
      </c>
      <c r="AD192" s="794">
        <v>0</v>
      </c>
      <c r="AE192" s="794">
        <v>0</v>
      </c>
      <c r="AF192" s="809">
        <v>220285.66</v>
      </c>
      <c r="AG192" s="794">
        <v>0</v>
      </c>
      <c r="AH192" s="794">
        <v>277750.03000000003</v>
      </c>
      <c r="AI192" s="794">
        <v>0</v>
      </c>
      <c r="AJ192" s="794">
        <v>266155.65000000002</v>
      </c>
      <c r="AK192" s="794">
        <v>0</v>
      </c>
      <c r="AL192" s="794">
        <v>317465.28000000003</v>
      </c>
      <c r="AM192" s="794">
        <v>0</v>
      </c>
      <c r="AN192" s="794">
        <v>248088.76</v>
      </c>
      <c r="AO192" s="794">
        <v>0</v>
      </c>
      <c r="AP192" s="794">
        <v>277151.75</v>
      </c>
      <c r="AQ192" s="794">
        <v>0</v>
      </c>
      <c r="AR192" s="794">
        <v>0</v>
      </c>
      <c r="AS192" s="794">
        <v>314248.28999999998</v>
      </c>
      <c r="AT192" s="794">
        <v>0</v>
      </c>
      <c r="AU192" s="794">
        <v>169015.33</v>
      </c>
      <c r="AV192" s="794">
        <v>0</v>
      </c>
      <c r="AW192" s="794">
        <v>254812.85</v>
      </c>
      <c r="AX192" s="794">
        <v>0</v>
      </c>
      <c r="AY192" s="794">
        <v>295010.57</v>
      </c>
      <c r="AZ192" s="794">
        <v>0</v>
      </c>
      <c r="BA192" s="794">
        <v>366433.77</v>
      </c>
      <c r="BB192" s="794">
        <v>0</v>
      </c>
      <c r="BC192" s="794">
        <v>421600.26</v>
      </c>
      <c r="BD192" s="794">
        <v>0</v>
      </c>
      <c r="BE192" s="794">
        <v>307775.03000000003</v>
      </c>
      <c r="BF192" s="794">
        <v>0</v>
      </c>
      <c r="BG192" s="794">
        <v>0</v>
      </c>
      <c r="BH192" s="794">
        <v>0</v>
      </c>
      <c r="BI192" s="794">
        <v>723381.79</v>
      </c>
      <c r="BJ192" s="794">
        <v>0</v>
      </c>
      <c r="BK192" s="794">
        <v>0</v>
      </c>
      <c r="BL192" s="794">
        <v>0</v>
      </c>
      <c r="BM192" s="794">
        <v>0</v>
      </c>
      <c r="BN192" s="794">
        <v>0</v>
      </c>
      <c r="BO192" s="794">
        <v>0</v>
      </c>
      <c r="BP192" s="794">
        <v>0</v>
      </c>
      <c r="BQ192" s="794">
        <v>0</v>
      </c>
      <c r="BR192" s="794">
        <v>0</v>
      </c>
      <c r="BS192" s="794">
        <v>0</v>
      </c>
      <c r="BT192" s="794">
        <v>0</v>
      </c>
      <c r="BU192" s="794">
        <v>0</v>
      </c>
      <c r="BV192" s="794">
        <v>0</v>
      </c>
    </row>
    <row r="193" spans="2:74">
      <c r="B193" s="793" t="s">
        <v>3010</v>
      </c>
      <c r="C193" s="793" t="s">
        <v>3011</v>
      </c>
      <c r="D193" s="793"/>
      <c r="E193" s="794"/>
      <c r="F193" s="799"/>
      <c r="G193" s="799"/>
      <c r="H193" s="799"/>
      <c r="I193" s="799"/>
      <c r="J193" s="799"/>
      <c r="K193" s="799"/>
      <c r="L193" s="799">
        <f t="shared" si="7"/>
        <v>331</v>
      </c>
      <c r="M193" s="799"/>
      <c r="N193" s="595"/>
      <c r="O193" s="794">
        <v>0</v>
      </c>
      <c r="P193" s="794">
        <v>0</v>
      </c>
      <c r="Q193" s="794">
        <v>0</v>
      </c>
      <c r="R193" s="794">
        <v>0</v>
      </c>
      <c r="S193" s="794">
        <v>0</v>
      </c>
      <c r="T193" s="794">
        <v>0</v>
      </c>
      <c r="U193" s="794">
        <v>0</v>
      </c>
      <c r="V193" s="794">
        <v>0</v>
      </c>
      <c r="W193" s="794">
        <v>0</v>
      </c>
      <c r="X193" s="794">
        <v>0</v>
      </c>
      <c r="Y193" s="794">
        <v>0</v>
      </c>
      <c r="Z193" s="794">
        <v>0</v>
      </c>
      <c r="AA193" s="794">
        <v>0</v>
      </c>
      <c r="AB193" s="794">
        <v>0</v>
      </c>
      <c r="AC193" s="794">
        <v>0</v>
      </c>
      <c r="AD193" s="794">
        <v>0</v>
      </c>
      <c r="AE193" s="794">
        <v>0</v>
      </c>
      <c r="AF193" s="794">
        <v>0</v>
      </c>
      <c r="AG193" s="809">
        <v>127552.54</v>
      </c>
      <c r="AH193" s="794">
        <v>0</v>
      </c>
      <c r="AI193" s="794">
        <v>0</v>
      </c>
      <c r="AJ193" s="794">
        <v>0</v>
      </c>
      <c r="AK193" s="794">
        <v>0</v>
      </c>
      <c r="AL193" s="794">
        <v>0</v>
      </c>
      <c r="AM193" s="794">
        <v>0</v>
      </c>
      <c r="AN193" s="794">
        <v>0</v>
      </c>
      <c r="AO193" s="794">
        <v>0</v>
      </c>
      <c r="AP193" s="794">
        <v>0</v>
      </c>
      <c r="AQ193" s="794">
        <v>0</v>
      </c>
      <c r="AR193" s="794">
        <v>0</v>
      </c>
      <c r="AS193" s="794">
        <v>0</v>
      </c>
      <c r="AT193" s="794">
        <v>0</v>
      </c>
      <c r="AU193" s="794">
        <v>0</v>
      </c>
      <c r="AV193" s="794">
        <v>0</v>
      </c>
      <c r="AW193" s="794">
        <v>0</v>
      </c>
      <c r="AX193" s="794">
        <v>0</v>
      </c>
      <c r="AY193" s="794">
        <v>0</v>
      </c>
      <c r="AZ193" s="794">
        <v>0</v>
      </c>
      <c r="BA193" s="794">
        <v>0</v>
      </c>
      <c r="BB193" s="794">
        <v>0</v>
      </c>
      <c r="BC193" s="794">
        <v>0</v>
      </c>
      <c r="BD193" s="794">
        <v>0</v>
      </c>
      <c r="BE193" s="794">
        <v>0</v>
      </c>
      <c r="BF193" s="794">
        <v>0</v>
      </c>
      <c r="BG193" s="794">
        <v>0</v>
      </c>
      <c r="BH193" s="794">
        <v>0</v>
      </c>
      <c r="BI193" s="794">
        <v>0</v>
      </c>
      <c r="BJ193" s="794">
        <v>0</v>
      </c>
      <c r="BK193" s="794">
        <v>0</v>
      </c>
      <c r="BL193" s="794">
        <v>0</v>
      </c>
      <c r="BM193" s="794">
        <v>0</v>
      </c>
      <c r="BN193" s="794">
        <v>0</v>
      </c>
      <c r="BO193" s="794">
        <v>0</v>
      </c>
      <c r="BP193" s="794">
        <v>0</v>
      </c>
      <c r="BQ193" s="794">
        <v>0</v>
      </c>
      <c r="BR193" s="794">
        <v>0</v>
      </c>
      <c r="BS193" s="794">
        <v>0</v>
      </c>
      <c r="BT193" s="794">
        <v>0</v>
      </c>
      <c r="BU193" s="794">
        <v>0</v>
      </c>
      <c r="BV193" s="794">
        <v>0</v>
      </c>
    </row>
    <row r="194" spans="2:74">
      <c r="B194" s="793" t="s">
        <v>3012</v>
      </c>
      <c r="C194" s="793" t="s">
        <v>3013</v>
      </c>
      <c r="D194" s="793"/>
      <c r="E194" s="794"/>
      <c r="F194" s="799"/>
      <c r="G194" s="799"/>
      <c r="H194" s="799"/>
      <c r="I194" s="799"/>
      <c r="J194" s="799"/>
      <c r="K194" s="799"/>
      <c r="L194" s="799">
        <f t="shared" si="7"/>
        <v>331</v>
      </c>
      <c r="M194" s="799"/>
      <c r="N194" s="595"/>
      <c r="O194" s="794">
        <v>0</v>
      </c>
      <c r="P194" s="794">
        <v>0</v>
      </c>
      <c r="Q194" s="794">
        <v>0</v>
      </c>
      <c r="R194" s="794">
        <v>0</v>
      </c>
      <c r="S194" s="794">
        <v>0</v>
      </c>
      <c r="T194" s="794">
        <v>0</v>
      </c>
      <c r="U194" s="794">
        <v>0</v>
      </c>
      <c r="V194" s="794">
        <v>0</v>
      </c>
      <c r="W194" s="794">
        <v>0</v>
      </c>
      <c r="X194" s="794">
        <v>0</v>
      </c>
      <c r="Y194" s="794">
        <v>0</v>
      </c>
      <c r="Z194" s="794">
        <v>0</v>
      </c>
      <c r="AA194" s="794">
        <v>0</v>
      </c>
      <c r="AB194" s="794">
        <v>0</v>
      </c>
      <c r="AC194" s="794">
        <v>0</v>
      </c>
      <c r="AD194" s="794">
        <v>0</v>
      </c>
      <c r="AE194" s="794">
        <v>0</v>
      </c>
      <c r="AF194" s="794">
        <v>0</v>
      </c>
      <c r="AG194" s="809">
        <v>64213.04</v>
      </c>
      <c r="AH194" s="794">
        <v>56730.64</v>
      </c>
      <c r="AI194" s="794">
        <v>113503.49</v>
      </c>
      <c r="AJ194" s="794">
        <v>0</v>
      </c>
      <c r="AK194" s="794">
        <v>0</v>
      </c>
      <c r="AL194" s="794">
        <v>0</v>
      </c>
      <c r="AM194" s="794">
        <v>0</v>
      </c>
      <c r="AN194" s="794">
        <v>0</v>
      </c>
      <c r="AO194" s="794">
        <v>0</v>
      </c>
      <c r="AP194" s="794">
        <v>0</v>
      </c>
      <c r="AQ194" s="794">
        <v>0</v>
      </c>
      <c r="AR194" s="794">
        <v>0</v>
      </c>
      <c r="AS194" s="794">
        <v>0</v>
      </c>
      <c r="AT194" s="794">
        <v>0</v>
      </c>
      <c r="AU194" s="794">
        <v>0</v>
      </c>
      <c r="AV194" s="794">
        <v>0</v>
      </c>
      <c r="AW194" s="794">
        <v>0</v>
      </c>
      <c r="AX194" s="794">
        <v>0</v>
      </c>
      <c r="AY194" s="794">
        <v>0</v>
      </c>
      <c r="AZ194" s="794">
        <v>0</v>
      </c>
      <c r="BA194" s="794">
        <v>0</v>
      </c>
      <c r="BB194" s="794">
        <v>0</v>
      </c>
      <c r="BC194" s="794">
        <v>0</v>
      </c>
      <c r="BD194" s="794">
        <v>0</v>
      </c>
      <c r="BE194" s="794">
        <v>0</v>
      </c>
      <c r="BF194" s="794">
        <v>0</v>
      </c>
      <c r="BG194" s="794">
        <v>0</v>
      </c>
      <c r="BH194" s="794">
        <v>0</v>
      </c>
      <c r="BI194" s="794">
        <v>0</v>
      </c>
      <c r="BJ194" s="794">
        <v>0</v>
      </c>
      <c r="BK194" s="794">
        <v>0</v>
      </c>
      <c r="BL194" s="794">
        <v>0</v>
      </c>
      <c r="BM194" s="794">
        <v>0</v>
      </c>
      <c r="BN194" s="794">
        <v>0</v>
      </c>
      <c r="BO194" s="794">
        <v>0</v>
      </c>
      <c r="BP194" s="794">
        <v>0</v>
      </c>
      <c r="BQ194" s="794">
        <v>0</v>
      </c>
      <c r="BR194" s="794">
        <v>0</v>
      </c>
      <c r="BS194" s="794">
        <v>0</v>
      </c>
      <c r="BT194" s="794">
        <v>0</v>
      </c>
      <c r="BU194" s="794">
        <v>0</v>
      </c>
      <c r="BV194" s="794">
        <v>0</v>
      </c>
    </row>
    <row r="195" spans="2:74">
      <c r="B195" s="793" t="s">
        <v>3014</v>
      </c>
      <c r="C195" s="793" t="s">
        <v>592</v>
      </c>
      <c r="D195" s="793"/>
      <c r="E195" s="794"/>
      <c r="F195" s="799"/>
      <c r="G195" s="799"/>
      <c r="H195" s="799"/>
      <c r="I195" s="799"/>
      <c r="J195" s="799"/>
      <c r="K195" s="799"/>
      <c r="L195" s="799">
        <f t="shared" si="7"/>
        <v>331</v>
      </c>
      <c r="M195" s="799"/>
      <c r="N195" s="595"/>
      <c r="O195" s="794">
        <v>0</v>
      </c>
      <c r="P195" s="794">
        <v>0</v>
      </c>
      <c r="Q195" s="794">
        <v>0</v>
      </c>
      <c r="R195" s="794">
        <v>0</v>
      </c>
      <c r="S195" s="794">
        <v>0</v>
      </c>
      <c r="T195" s="794">
        <v>0</v>
      </c>
      <c r="U195" s="794">
        <v>0</v>
      </c>
      <c r="V195" s="794">
        <v>0</v>
      </c>
      <c r="W195" s="794">
        <v>0</v>
      </c>
      <c r="X195" s="794">
        <v>0</v>
      </c>
      <c r="Y195" s="794">
        <v>0</v>
      </c>
      <c r="Z195" s="794">
        <v>0</v>
      </c>
      <c r="AA195" s="794">
        <v>0</v>
      </c>
      <c r="AB195" s="794">
        <v>0</v>
      </c>
      <c r="AC195" s="794">
        <v>0</v>
      </c>
      <c r="AD195" s="794">
        <v>0</v>
      </c>
      <c r="AE195" s="794">
        <v>0</v>
      </c>
      <c r="AF195" s="794">
        <v>0</v>
      </c>
      <c r="AG195" s="809">
        <v>150000</v>
      </c>
      <c r="AH195" s="794">
        <v>22000</v>
      </c>
      <c r="AI195" s="794">
        <v>0</v>
      </c>
      <c r="AJ195" s="794">
        <v>0</v>
      </c>
      <c r="AK195" s="794">
        <v>0</v>
      </c>
      <c r="AL195" s="794">
        <v>0</v>
      </c>
      <c r="AM195" s="794">
        <v>0</v>
      </c>
      <c r="AN195" s="794">
        <v>0</v>
      </c>
      <c r="AO195" s="794">
        <v>0</v>
      </c>
      <c r="AP195" s="794">
        <v>0</v>
      </c>
      <c r="AQ195" s="794">
        <v>0</v>
      </c>
      <c r="AR195" s="794">
        <v>0</v>
      </c>
      <c r="AS195" s="794">
        <v>0</v>
      </c>
      <c r="AT195" s="794">
        <v>0</v>
      </c>
      <c r="AU195" s="794">
        <v>0</v>
      </c>
      <c r="AV195" s="794">
        <v>0</v>
      </c>
      <c r="AW195" s="794">
        <v>0</v>
      </c>
      <c r="AX195" s="794">
        <v>0</v>
      </c>
      <c r="AY195" s="794">
        <v>0</v>
      </c>
      <c r="AZ195" s="794">
        <v>0</v>
      </c>
      <c r="BA195" s="794">
        <v>0</v>
      </c>
      <c r="BB195" s="794">
        <v>0</v>
      </c>
      <c r="BC195" s="794">
        <v>0</v>
      </c>
      <c r="BD195" s="794">
        <v>0</v>
      </c>
      <c r="BE195" s="794">
        <v>0</v>
      </c>
      <c r="BF195" s="794">
        <v>0</v>
      </c>
      <c r="BG195" s="794">
        <v>0</v>
      </c>
      <c r="BH195" s="794">
        <v>0</v>
      </c>
      <c r="BI195" s="794">
        <v>0</v>
      </c>
      <c r="BJ195" s="794">
        <v>0</v>
      </c>
      <c r="BK195" s="794">
        <v>0</v>
      </c>
      <c r="BL195" s="794">
        <v>0</v>
      </c>
      <c r="BM195" s="794">
        <v>0</v>
      </c>
      <c r="BN195" s="794">
        <v>0</v>
      </c>
      <c r="BO195" s="794">
        <v>0</v>
      </c>
      <c r="BP195" s="794">
        <v>0</v>
      </c>
      <c r="BQ195" s="794">
        <v>0</v>
      </c>
      <c r="BR195" s="794">
        <v>0</v>
      </c>
      <c r="BS195" s="794">
        <v>0</v>
      </c>
      <c r="BT195" s="794">
        <v>0</v>
      </c>
      <c r="BU195" s="794">
        <v>0</v>
      </c>
      <c r="BV195" s="794">
        <v>0</v>
      </c>
    </row>
    <row r="196" spans="2:74">
      <c r="B196" s="793" t="s">
        <v>3015</v>
      </c>
      <c r="C196" s="793" t="s">
        <v>3016</v>
      </c>
      <c r="D196" s="793"/>
      <c r="E196" s="794"/>
      <c r="F196" s="799"/>
      <c r="G196" s="799"/>
      <c r="H196" s="799"/>
      <c r="I196" s="799"/>
      <c r="J196" s="799"/>
      <c r="K196" s="799"/>
      <c r="L196" s="799">
        <f t="shared" si="7"/>
        <v>1</v>
      </c>
      <c r="M196" s="799"/>
      <c r="N196" s="595"/>
      <c r="O196" s="794">
        <v>0</v>
      </c>
      <c r="P196" s="794">
        <v>0</v>
      </c>
      <c r="Q196" s="794">
        <v>0</v>
      </c>
      <c r="R196" s="794">
        <v>0</v>
      </c>
      <c r="S196" s="794">
        <v>0</v>
      </c>
      <c r="T196" s="794">
        <v>0</v>
      </c>
      <c r="U196" s="794">
        <v>0</v>
      </c>
      <c r="V196" s="794">
        <v>0</v>
      </c>
      <c r="W196" s="794">
        <v>0</v>
      </c>
      <c r="X196" s="794">
        <v>0</v>
      </c>
      <c r="Y196" s="794">
        <v>0</v>
      </c>
      <c r="Z196" s="794">
        <v>0</v>
      </c>
      <c r="AA196" s="794">
        <v>0</v>
      </c>
      <c r="AB196" s="794">
        <v>0</v>
      </c>
      <c r="AC196" s="794">
        <v>0</v>
      </c>
      <c r="AD196" s="794">
        <v>0</v>
      </c>
      <c r="AE196" s="794">
        <v>0</v>
      </c>
      <c r="AF196" s="794">
        <v>0</v>
      </c>
      <c r="AG196" s="809">
        <v>78013.25</v>
      </c>
      <c r="AH196" s="794">
        <v>171450.02</v>
      </c>
      <c r="AI196" s="794">
        <v>188471.46</v>
      </c>
      <c r="AJ196" s="794">
        <v>27065.27</v>
      </c>
      <c r="AK196" s="794">
        <v>0</v>
      </c>
      <c r="AL196" s="794">
        <v>0</v>
      </c>
      <c r="AM196" s="794">
        <v>0</v>
      </c>
      <c r="AN196" s="794">
        <v>0</v>
      </c>
      <c r="AO196" s="794">
        <v>0</v>
      </c>
      <c r="AP196" s="794">
        <v>0</v>
      </c>
      <c r="AQ196" s="794">
        <v>0</v>
      </c>
      <c r="AR196" s="794">
        <v>0</v>
      </c>
      <c r="AS196" s="794">
        <v>0</v>
      </c>
      <c r="AT196" s="794">
        <v>0</v>
      </c>
      <c r="AU196" s="794">
        <v>0</v>
      </c>
      <c r="AV196" s="794">
        <v>0</v>
      </c>
      <c r="AW196" s="794">
        <v>0</v>
      </c>
      <c r="AX196" s="794">
        <v>0</v>
      </c>
      <c r="AY196" s="794">
        <v>0</v>
      </c>
      <c r="AZ196" s="794">
        <v>0</v>
      </c>
      <c r="BA196" s="794">
        <v>0</v>
      </c>
      <c r="BB196" s="794">
        <v>0</v>
      </c>
      <c r="BC196" s="794">
        <v>0</v>
      </c>
      <c r="BD196" s="794">
        <v>0</v>
      </c>
      <c r="BE196" s="794">
        <v>0</v>
      </c>
      <c r="BF196" s="794">
        <v>0</v>
      </c>
      <c r="BG196" s="794">
        <v>0</v>
      </c>
      <c r="BH196" s="794">
        <v>0</v>
      </c>
      <c r="BI196" s="794">
        <v>0</v>
      </c>
      <c r="BJ196" s="794">
        <v>0</v>
      </c>
      <c r="BK196" s="794">
        <v>0</v>
      </c>
      <c r="BL196" s="794">
        <v>0</v>
      </c>
      <c r="BM196" s="794">
        <v>0</v>
      </c>
      <c r="BN196" s="794">
        <v>0</v>
      </c>
      <c r="BO196" s="794">
        <v>0</v>
      </c>
      <c r="BP196" s="794">
        <v>0</v>
      </c>
      <c r="BQ196" s="794">
        <v>0</v>
      </c>
      <c r="BR196" s="794">
        <v>0</v>
      </c>
      <c r="BS196" s="794">
        <v>0</v>
      </c>
      <c r="BT196" s="794">
        <v>0</v>
      </c>
      <c r="BU196" s="794">
        <v>0</v>
      </c>
      <c r="BV196" s="794">
        <v>0</v>
      </c>
    </row>
    <row r="197" spans="2:74">
      <c r="B197" s="793" t="s">
        <v>3017</v>
      </c>
      <c r="C197" s="793" t="s">
        <v>2981</v>
      </c>
      <c r="D197" s="793"/>
      <c r="E197" s="794"/>
      <c r="F197" s="799"/>
      <c r="G197" s="799"/>
      <c r="H197" s="799"/>
      <c r="I197" s="799"/>
      <c r="J197" s="799"/>
      <c r="K197" s="799"/>
      <c r="L197" s="799">
        <f t="shared" ref="L197:L260" si="8">+COUNTIF($AJ$5:$AJ$371,AJ197)</f>
        <v>331</v>
      </c>
      <c r="M197" s="799"/>
      <c r="N197" s="595"/>
      <c r="O197" s="794">
        <v>0</v>
      </c>
      <c r="P197" s="794">
        <v>0</v>
      </c>
      <c r="Q197" s="794">
        <v>0</v>
      </c>
      <c r="R197" s="794">
        <v>0</v>
      </c>
      <c r="S197" s="794">
        <v>0</v>
      </c>
      <c r="T197" s="794">
        <v>0</v>
      </c>
      <c r="U197" s="794">
        <v>0</v>
      </c>
      <c r="V197" s="794">
        <v>0</v>
      </c>
      <c r="W197" s="794">
        <v>0</v>
      </c>
      <c r="X197" s="794">
        <v>0</v>
      </c>
      <c r="Y197" s="794">
        <v>0</v>
      </c>
      <c r="Z197" s="794">
        <v>0</v>
      </c>
      <c r="AA197" s="794">
        <v>0</v>
      </c>
      <c r="AB197" s="794">
        <v>0</v>
      </c>
      <c r="AC197" s="794">
        <v>0</v>
      </c>
      <c r="AD197" s="794">
        <v>0</v>
      </c>
      <c r="AE197" s="794">
        <v>0</v>
      </c>
      <c r="AF197" s="794">
        <v>0</v>
      </c>
      <c r="AG197" s="809">
        <v>9319.49</v>
      </c>
      <c r="AH197" s="794">
        <v>28800</v>
      </c>
      <c r="AI197" s="794">
        <v>0</v>
      </c>
      <c r="AJ197" s="794">
        <v>0</v>
      </c>
      <c r="AK197" s="794">
        <v>35373.07</v>
      </c>
      <c r="AL197" s="794">
        <v>0</v>
      </c>
      <c r="AM197" s="794">
        <v>22705.67</v>
      </c>
      <c r="AN197" s="794">
        <v>0</v>
      </c>
      <c r="AO197" s="794">
        <v>0</v>
      </c>
      <c r="AP197" s="794">
        <v>0</v>
      </c>
      <c r="AQ197" s="794">
        <v>0</v>
      </c>
      <c r="AR197" s="794">
        <v>0</v>
      </c>
      <c r="AS197" s="794">
        <v>0</v>
      </c>
      <c r="AT197" s="794">
        <v>0</v>
      </c>
      <c r="AU197" s="794">
        <v>0</v>
      </c>
      <c r="AV197" s="794">
        <v>0</v>
      </c>
      <c r="AW197" s="794">
        <v>0</v>
      </c>
      <c r="AX197" s="794">
        <v>0</v>
      </c>
      <c r="AY197" s="794">
        <v>0</v>
      </c>
      <c r="AZ197" s="794">
        <v>0</v>
      </c>
      <c r="BA197" s="794">
        <v>0</v>
      </c>
      <c r="BB197" s="794">
        <v>0</v>
      </c>
      <c r="BC197" s="794">
        <v>0</v>
      </c>
      <c r="BD197" s="794">
        <v>0</v>
      </c>
      <c r="BE197" s="794">
        <v>0</v>
      </c>
      <c r="BF197" s="794">
        <v>0</v>
      </c>
      <c r="BG197" s="794">
        <v>0</v>
      </c>
      <c r="BH197" s="794">
        <v>0</v>
      </c>
      <c r="BI197" s="794">
        <v>0</v>
      </c>
      <c r="BJ197" s="794">
        <v>0</v>
      </c>
      <c r="BK197" s="794">
        <v>0</v>
      </c>
      <c r="BL197" s="794">
        <v>0</v>
      </c>
      <c r="BM197" s="794">
        <v>0</v>
      </c>
      <c r="BN197" s="794">
        <v>0</v>
      </c>
      <c r="BO197" s="794">
        <v>0</v>
      </c>
      <c r="BP197" s="794">
        <v>0</v>
      </c>
      <c r="BQ197" s="794">
        <v>0</v>
      </c>
      <c r="BR197" s="794">
        <v>0</v>
      </c>
      <c r="BS197" s="794">
        <v>0</v>
      </c>
      <c r="BT197" s="794">
        <v>0</v>
      </c>
      <c r="BU197" s="794">
        <v>0</v>
      </c>
      <c r="BV197" s="794">
        <v>0</v>
      </c>
    </row>
    <row r="198" spans="2:74">
      <c r="B198" s="793" t="s">
        <v>3018</v>
      </c>
      <c r="C198" s="793" t="s">
        <v>3019</v>
      </c>
      <c r="D198" s="793"/>
      <c r="E198" s="794"/>
      <c r="F198" s="799"/>
      <c r="G198" s="799"/>
      <c r="H198" s="799"/>
      <c r="I198" s="799"/>
      <c r="J198" s="799"/>
      <c r="K198" s="799"/>
      <c r="L198" s="799">
        <f t="shared" si="8"/>
        <v>331</v>
      </c>
      <c r="M198" s="799"/>
      <c r="N198" s="595"/>
      <c r="O198" s="794">
        <v>0</v>
      </c>
      <c r="P198" s="794">
        <v>0</v>
      </c>
      <c r="Q198" s="794">
        <v>0</v>
      </c>
      <c r="R198" s="794">
        <v>0</v>
      </c>
      <c r="S198" s="794">
        <v>0</v>
      </c>
      <c r="T198" s="794">
        <v>0</v>
      </c>
      <c r="U198" s="794">
        <v>0</v>
      </c>
      <c r="V198" s="794">
        <v>0</v>
      </c>
      <c r="W198" s="794">
        <v>0</v>
      </c>
      <c r="X198" s="794">
        <v>0</v>
      </c>
      <c r="Y198" s="794">
        <v>0</v>
      </c>
      <c r="Z198" s="794">
        <v>0</v>
      </c>
      <c r="AA198" s="794">
        <v>0</v>
      </c>
      <c r="AB198" s="794">
        <v>0</v>
      </c>
      <c r="AC198" s="794">
        <v>0</v>
      </c>
      <c r="AD198" s="794">
        <v>0</v>
      </c>
      <c r="AE198" s="794">
        <v>0</v>
      </c>
      <c r="AF198" s="794">
        <v>0</v>
      </c>
      <c r="AG198" s="809">
        <v>12200.4</v>
      </c>
      <c r="AH198" s="794">
        <v>0</v>
      </c>
      <c r="AI198" s="794">
        <v>0</v>
      </c>
      <c r="AJ198" s="794">
        <v>0</v>
      </c>
      <c r="AK198" s="794">
        <v>0</v>
      </c>
      <c r="AL198" s="794">
        <v>0</v>
      </c>
      <c r="AM198" s="794">
        <v>0</v>
      </c>
      <c r="AN198" s="794">
        <v>0</v>
      </c>
      <c r="AO198" s="794">
        <v>0</v>
      </c>
      <c r="AP198" s="794">
        <v>0</v>
      </c>
      <c r="AQ198" s="794">
        <v>83989.94</v>
      </c>
      <c r="AR198" s="794">
        <v>104670</v>
      </c>
      <c r="AS198" s="794">
        <v>0</v>
      </c>
      <c r="AT198" s="794">
        <v>71118.05</v>
      </c>
      <c r="AU198" s="794">
        <v>0</v>
      </c>
      <c r="AV198" s="794">
        <v>0</v>
      </c>
      <c r="AW198" s="794">
        <v>0</v>
      </c>
      <c r="AX198" s="794">
        <v>0</v>
      </c>
      <c r="AY198" s="794">
        <v>0</v>
      </c>
      <c r="AZ198" s="794">
        <v>0</v>
      </c>
      <c r="BA198" s="794">
        <v>0</v>
      </c>
      <c r="BB198" s="794">
        <v>0</v>
      </c>
      <c r="BC198" s="794">
        <v>0</v>
      </c>
      <c r="BD198" s="794">
        <v>0</v>
      </c>
      <c r="BE198" s="794">
        <v>0</v>
      </c>
      <c r="BF198" s="794">
        <v>0</v>
      </c>
      <c r="BG198" s="794">
        <v>0</v>
      </c>
      <c r="BH198" s="794">
        <v>0</v>
      </c>
      <c r="BI198" s="794">
        <v>0</v>
      </c>
      <c r="BJ198" s="794">
        <v>0</v>
      </c>
      <c r="BK198" s="794">
        <v>0</v>
      </c>
      <c r="BL198" s="794">
        <v>0</v>
      </c>
      <c r="BM198" s="794">
        <v>0</v>
      </c>
      <c r="BN198" s="794">
        <v>0</v>
      </c>
      <c r="BO198" s="794">
        <v>0</v>
      </c>
      <c r="BP198" s="794">
        <v>0</v>
      </c>
      <c r="BQ198" s="794">
        <v>0</v>
      </c>
      <c r="BR198" s="794">
        <v>0</v>
      </c>
      <c r="BS198" s="794">
        <v>0</v>
      </c>
      <c r="BT198" s="794">
        <v>0</v>
      </c>
      <c r="BU198" s="794">
        <v>0</v>
      </c>
      <c r="BV198" s="794">
        <v>0</v>
      </c>
    </row>
    <row r="199" spans="2:74">
      <c r="B199" s="793" t="s">
        <v>3020</v>
      </c>
      <c r="C199" s="793" t="s">
        <v>3021</v>
      </c>
      <c r="D199" s="793"/>
      <c r="E199" s="794"/>
      <c r="F199" s="799"/>
      <c r="G199" s="799"/>
      <c r="H199" s="799"/>
      <c r="I199" s="799"/>
      <c r="J199" s="799"/>
      <c r="K199" s="799"/>
      <c r="L199" s="799">
        <f t="shared" si="8"/>
        <v>331</v>
      </c>
      <c r="M199" s="799"/>
      <c r="N199" s="595"/>
      <c r="O199" s="794">
        <v>0</v>
      </c>
      <c r="P199" s="794">
        <v>0</v>
      </c>
      <c r="Q199" s="794">
        <v>0</v>
      </c>
      <c r="R199" s="794">
        <v>0</v>
      </c>
      <c r="S199" s="794">
        <v>0</v>
      </c>
      <c r="T199" s="794">
        <v>0</v>
      </c>
      <c r="U199" s="794">
        <v>0</v>
      </c>
      <c r="V199" s="794">
        <v>0</v>
      </c>
      <c r="W199" s="794">
        <v>0</v>
      </c>
      <c r="X199" s="794">
        <v>0</v>
      </c>
      <c r="Y199" s="794">
        <v>0</v>
      </c>
      <c r="Z199" s="794">
        <v>0</v>
      </c>
      <c r="AA199" s="794">
        <v>0</v>
      </c>
      <c r="AB199" s="794">
        <v>0</v>
      </c>
      <c r="AC199" s="794">
        <v>0</v>
      </c>
      <c r="AD199" s="794">
        <v>0</v>
      </c>
      <c r="AE199" s="794">
        <v>0</v>
      </c>
      <c r="AF199" s="794">
        <v>0</v>
      </c>
      <c r="AG199" s="809">
        <v>56000</v>
      </c>
      <c r="AH199" s="794">
        <v>0</v>
      </c>
      <c r="AI199" s="794">
        <v>0</v>
      </c>
      <c r="AJ199" s="794">
        <v>0</v>
      </c>
      <c r="AK199" s="794">
        <v>0</v>
      </c>
      <c r="AL199" s="794">
        <v>0</v>
      </c>
      <c r="AM199" s="794">
        <v>0</v>
      </c>
      <c r="AN199" s="794">
        <v>0</v>
      </c>
      <c r="AO199" s="794">
        <v>0</v>
      </c>
      <c r="AP199" s="794">
        <v>0</v>
      </c>
      <c r="AQ199" s="794">
        <v>0</v>
      </c>
      <c r="AR199" s="794">
        <v>0</v>
      </c>
      <c r="AS199" s="794">
        <v>0</v>
      </c>
      <c r="AT199" s="794">
        <v>0</v>
      </c>
      <c r="AU199" s="794">
        <v>0</v>
      </c>
      <c r="AV199" s="794">
        <v>0</v>
      </c>
      <c r="AW199" s="794">
        <v>0</v>
      </c>
      <c r="AX199" s="794">
        <v>0</v>
      </c>
      <c r="AY199" s="794">
        <v>0</v>
      </c>
      <c r="AZ199" s="794">
        <v>0</v>
      </c>
      <c r="BA199" s="794">
        <v>0</v>
      </c>
      <c r="BB199" s="794">
        <v>0</v>
      </c>
      <c r="BC199" s="794">
        <v>0</v>
      </c>
      <c r="BD199" s="794">
        <v>0</v>
      </c>
      <c r="BE199" s="794">
        <v>0</v>
      </c>
      <c r="BF199" s="794">
        <v>0</v>
      </c>
      <c r="BG199" s="794">
        <v>0</v>
      </c>
      <c r="BH199" s="794">
        <v>0</v>
      </c>
      <c r="BI199" s="794">
        <v>0</v>
      </c>
      <c r="BJ199" s="794">
        <v>0</v>
      </c>
      <c r="BK199" s="794">
        <v>0</v>
      </c>
      <c r="BL199" s="794">
        <v>0</v>
      </c>
      <c r="BM199" s="794">
        <v>0</v>
      </c>
      <c r="BN199" s="794">
        <v>0</v>
      </c>
      <c r="BO199" s="794">
        <v>0</v>
      </c>
      <c r="BP199" s="794">
        <v>0</v>
      </c>
      <c r="BQ199" s="794">
        <v>0</v>
      </c>
      <c r="BR199" s="794">
        <v>0</v>
      </c>
      <c r="BS199" s="794">
        <v>0</v>
      </c>
      <c r="BT199" s="794">
        <v>0</v>
      </c>
      <c r="BU199" s="794">
        <v>0</v>
      </c>
      <c r="BV199" s="794">
        <v>0</v>
      </c>
    </row>
    <row r="200" spans="2:74">
      <c r="B200" s="793" t="s">
        <v>3022</v>
      </c>
      <c r="C200" s="793" t="s">
        <v>3023</v>
      </c>
      <c r="D200" s="793"/>
      <c r="E200" s="794"/>
      <c r="F200" s="799"/>
      <c r="G200" s="799"/>
      <c r="H200" s="799"/>
      <c r="I200" s="799"/>
      <c r="J200" s="799"/>
      <c r="K200" s="799"/>
      <c r="L200" s="799">
        <f t="shared" si="8"/>
        <v>331</v>
      </c>
      <c r="M200" s="799"/>
      <c r="N200" s="595"/>
      <c r="O200" s="794">
        <v>0</v>
      </c>
      <c r="P200" s="794">
        <v>0</v>
      </c>
      <c r="Q200" s="794">
        <v>0</v>
      </c>
      <c r="R200" s="794">
        <v>0</v>
      </c>
      <c r="S200" s="794">
        <v>0</v>
      </c>
      <c r="T200" s="794">
        <v>0</v>
      </c>
      <c r="U200" s="794">
        <v>0</v>
      </c>
      <c r="V200" s="794">
        <v>0</v>
      </c>
      <c r="W200" s="794">
        <v>0</v>
      </c>
      <c r="X200" s="794">
        <v>0</v>
      </c>
      <c r="Y200" s="794">
        <v>0</v>
      </c>
      <c r="Z200" s="794">
        <v>0</v>
      </c>
      <c r="AA200" s="794">
        <v>0</v>
      </c>
      <c r="AB200" s="794">
        <v>0</v>
      </c>
      <c r="AC200" s="794">
        <v>0</v>
      </c>
      <c r="AD200" s="794">
        <v>0</v>
      </c>
      <c r="AE200" s="794">
        <v>0</v>
      </c>
      <c r="AF200" s="794">
        <v>0</v>
      </c>
      <c r="AG200" s="809">
        <v>157000</v>
      </c>
      <c r="AH200" s="794">
        <v>0</v>
      </c>
      <c r="AI200" s="794">
        <v>0</v>
      </c>
      <c r="AJ200" s="794">
        <v>0</v>
      </c>
      <c r="AK200" s="794">
        <v>0</v>
      </c>
      <c r="AL200" s="794">
        <v>0</v>
      </c>
      <c r="AM200" s="794">
        <v>0</v>
      </c>
      <c r="AN200" s="794">
        <v>0</v>
      </c>
      <c r="AO200" s="794">
        <v>0</v>
      </c>
      <c r="AP200" s="794">
        <v>0</v>
      </c>
      <c r="AQ200" s="794">
        <v>0</v>
      </c>
      <c r="AR200" s="794">
        <v>0</v>
      </c>
      <c r="AS200" s="794">
        <v>0</v>
      </c>
      <c r="AT200" s="794">
        <v>0</v>
      </c>
      <c r="AU200" s="794">
        <v>0</v>
      </c>
      <c r="AV200" s="794">
        <v>0</v>
      </c>
      <c r="AW200" s="794">
        <v>0</v>
      </c>
      <c r="AX200" s="794">
        <v>0</v>
      </c>
      <c r="AY200" s="794">
        <v>0</v>
      </c>
      <c r="AZ200" s="794">
        <v>0</v>
      </c>
      <c r="BA200" s="794">
        <v>0</v>
      </c>
      <c r="BB200" s="794">
        <v>0</v>
      </c>
      <c r="BC200" s="794">
        <v>0</v>
      </c>
      <c r="BD200" s="794">
        <v>0</v>
      </c>
      <c r="BE200" s="794">
        <v>0</v>
      </c>
      <c r="BF200" s="794">
        <v>0</v>
      </c>
      <c r="BG200" s="794">
        <v>0</v>
      </c>
      <c r="BH200" s="794">
        <v>0</v>
      </c>
      <c r="BI200" s="794">
        <v>0</v>
      </c>
      <c r="BJ200" s="794">
        <v>0</v>
      </c>
      <c r="BK200" s="794">
        <v>0</v>
      </c>
      <c r="BL200" s="794">
        <v>0</v>
      </c>
      <c r="BM200" s="794">
        <v>0</v>
      </c>
      <c r="BN200" s="794">
        <v>0</v>
      </c>
      <c r="BO200" s="794">
        <v>0</v>
      </c>
      <c r="BP200" s="794">
        <v>0</v>
      </c>
      <c r="BQ200" s="794">
        <v>0</v>
      </c>
      <c r="BR200" s="794">
        <v>0</v>
      </c>
      <c r="BS200" s="794">
        <v>0</v>
      </c>
      <c r="BT200" s="794">
        <v>0</v>
      </c>
      <c r="BU200" s="794">
        <v>0</v>
      </c>
      <c r="BV200" s="794">
        <v>0</v>
      </c>
    </row>
    <row r="201" spans="2:74">
      <c r="B201" s="793" t="s">
        <v>3024</v>
      </c>
      <c r="C201" s="793" t="s">
        <v>3025</v>
      </c>
      <c r="D201" s="793"/>
      <c r="E201" s="794"/>
      <c r="F201" s="799"/>
      <c r="G201" s="799"/>
      <c r="H201" s="799"/>
      <c r="I201" s="799"/>
      <c r="J201" s="799"/>
      <c r="K201" s="799"/>
      <c r="L201" s="799">
        <f t="shared" si="8"/>
        <v>331</v>
      </c>
      <c r="M201" s="799"/>
      <c r="N201" s="595"/>
      <c r="O201" s="794">
        <v>0</v>
      </c>
      <c r="P201" s="794">
        <v>0</v>
      </c>
      <c r="Q201" s="794">
        <v>0</v>
      </c>
      <c r="R201" s="794">
        <v>0</v>
      </c>
      <c r="S201" s="794">
        <v>0</v>
      </c>
      <c r="T201" s="794">
        <v>0</v>
      </c>
      <c r="U201" s="794">
        <v>0</v>
      </c>
      <c r="V201" s="794">
        <v>0</v>
      </c>
      <c r="W201" s="794">
        <v>0</v>
      </c>
      <c r="X201" s="794">
        <v>0</v>
      </c>
      <c r="Y201" s="794">
        <v>0</v>
      </c>
      <c r="Z201" s="794">
        <v>0</v>
      </c>
      <c r="AA201" s="794">
        <v>0</v>
      </c>
      <c r="AB201" s="794">
        <v>0</v>
      </c>
      <c r="AC201" s="794">
        <v>0</v>
      </c>
      <c r="AD201" s="794">
        <v>0</v>
      </c>
      <c r="AE201" s="794">
        <v>0</v>
      </c>
      <c r="AF201" s="794">
        <v>0</v>
      </c>
      <c r="AG201" s="809">
        <v>61660</v>
      </c>
      <c r="AH201" s="794">
        <v>61660</v>
      </c>
      <c r="AI201" s="794">
        <v>0</v>
      </c>
      <c r="AJ201" s="794">
        <v>0</v>
      </c>
      <c r="AK201" s="794">
        <v>0</v>
      </c>
      <c r="AL201" s="794">
        <v>0</v>
      </c>
      <c r="AM201" s="794">
        <v>0</v>
      </c>
      <c r="AN201" s="794">
        <v>0</v>
      </c>
      <c r="AO201" s="794">
        <v>0</v>
      </c>
      <c r="AP201" s="794">
        <v>0</v>
      </c>
      <c r="AQ201" s="794">
        <v>0</v>
      </c>
      <c r="AR201" s="794">
        <v>0</v>
      </c>
      <c r="AS201" s="794">
        <v>0</v>
      </c>
      <c r="AT201" s="794">
        <v>0</v>
      </c>
      <c r="AU201" s="794">
        <v>0</v>
      </c>
      <c r="AV201" s="794">
        <v>0</v>
      </c>
      <c r="AW201" s="794">
        <v>0</v>
      </c>
      <c r="AX201" s="794">
        <v>0</v>
      </c>
      <c r="AY201" s="794">
        <v>0</v>
      </c>
      <c r="AZ201" s="794">
        <v>0</v>
      </c>
      <c r="BA201" s="794">
        <v>0</v>
      </c>
      <c r="BB201" s="794">
        <v>0</v>
      </c>
      <c r="BC201" s="794">
        <v>0</v>
      </c>
      <c r="BD201" s="794">
        <v>0</v>
      </c>
      <c r="BE201" s="794">
        <v>0</v>
      </c>
      <c r="BF201" s="794">
        <v>0</v>
      </c>
      <c r="BG201" s="794">
        <v>0</v>
      </c>
      <c r="BH201" s="794">
        <v>0</v>
      </c>
      <c r="BI201" s="794">
        <v>0</v>
      </c>
      <c r="BJ201" s="794">
        <v>0</v>
      </c>
      <c r="BK201" s="794">
        <v>0</v>
      </c>
      <c r="BL201" s="794">
        <v>0</v>
      </c>
      <c r="BM201" s="794">
        <v>0</v>
      </c>
      <c r="BN201" s="794">
        <v>0</v>
      </c>
      <c r="BO201" s="794">
        <v>0</v>
      </c>
      <c r="BP201" s="794">
        <v>0</v>
      </c>
      <c r="BQ201" s="794">
        <v>0</v>
      </c>
      <c r="BR201" s="794">
        <v>0</v>
      </c>
      <c r="BS201" s="794">
        <v>0</v>
      </c>
      <c r="BT201" s="794">
        <v>0</v>
      </c>
      <c r="BU201" s="794">
        <v>0</v>
      </c>
      <c r="BV201" s="794">
        <v>0</v>
      </c>
    </row>
    <row r="202" spans="2:74">
      <c r="B202" s="793" t="s">
        <v>3427</v>
      </c>
      <c r="C202" s="793" t="s">
        <v>3027</v>
      </c>
      <c r="D202" s="793"/>
      <c r="E202" s="794"/>
      <c r="F202" s="799"/>
      <c r="G202" s="799"/>
      <c r="H202" s="799"/>
      <c r="I202" s="799"/>
      <c r="J202" s="799"/>
      <c r="K202" s="799"/>
      <c r="L202" s="799">
        <f t="shared" si="8"/>
        <v>331</v>
      </c>
      <c r="M202" s="799"/>
      <c r="N202" s="595"/>
      <c r="O202" s="794">
        <v>0</v>
      </c>
      <c r="P202" s="794">
        <v>0</v>
      </c>
      <c r="Q202" s="794">
        <v>0</v>
      </c>
      <c r="R202" s="794">
        <v>0</v>
      </c>
      <c r="S202" s="794">
        <v>0</v>
      </c>
      <c r="T202" s="794">
        <v>0</v>
      </c>
      <c r="U202" s="794">
        <v>0</v>
      </c>
      <c r="V202" s="794">
        <v>0</v>
      </c>
      <c r="W202" s="794">
        <v>0</v>
      </c>
      <c r="X202" s="794">
        <v>0</v>
      </c>
      <c r="Y202" s="794">
        <v>0</v>
      </c>
      <c r="Z202" s="794">
        <v>0</v>
      </c>
      <c r="AA202" s="794">
        <v>0</v>
      </c>
      <c r="AB202" s="794">
        <v>0</v>
      </c>
      <c r="AC202" s="794">
        <v>0</v>
      </c>
      <c r="AD202" s="794">
        <v>0</v>
      </c>
      <c r="AE202" s="794">
        <v>0</v>
      </c>
      <c r="AF202" s="794">
        <v>0</v>
      </c>
      <c r="AG202" s="794">
        <v>0</v>
      </c>
      <c r="AH202" s="809">
        <v>136800</v>
      </c>
      <c r="AI202" s="794">
        <v>0</v>
      </c>
      <c r="AJ202" s="794">
        <v>0</v>
      </c>
      <c r="AK202" s="794">
        <v>0</v>
      </c>
      <c r="AL202" s="794">
        <v>0</v>
      </c>
      <c r="AM202" s="794">
        <v>0</v>
      </c>
      <c r="AN202" s="794">
        <v>0</v>
      </c>
      <c r="AO202" s="794">
        <v>0</v>
      </c>
      <c r="AP202" s="794">
        <v>0</v>
      </c>
      <c r="AQ202" s="794">
        <v>0</v>
      </c>
      <c r="AR202" s="794">
        <v>0</v>
      </c>
      <c r="AS202" s="794">
        <v>0</v>
      </c>
      <c r="AT202" s="794">
        <v>0</v>
      </c>
      <c r="AU202" s="794">
        <v>0</v>
      </c>
      <c r="AV202" s="794">
        <v>0</v>
      </c>
      <c r="AW202" s="794">
        <v>0</v>
      </c>
      <c r="AX202" s="794">
        <v>0</v>
      </c>
      <c r="AY202" s="794">
        <v>0</v>
      </c>
      <c r="AZ202" s="794">
        <v>0</v>
      </c>
      <c r="BA202" s="794">
        <v>0</v>
      </c>
      <c r="BB202" s="794">
        <v>0</v>
      </c>
      <c r="BC202" s="794">
        <v>0</v>
      </c>
      <c r="BD202" s="794">
        <v>0</v>
      </c>
      <c r="BE202" s="794">
        <v>0</v>
      </c>
      <c r="BF202" s="794">
        <v>0</v>
      </c>
      <c r="BG202" s="794">
        <v>0</v>
      </c>
      <c r="BH202" s="794">
        <v>0</v>
      </c>
      <c r="BI202" s="794">
        <v>0</v>
      </c>
      <c r="BJ202" s="794">
        <v>0</v>
      </c>
      <c r="BK202" s="794">
        <v>0</v>
      </c>
      <c r="BL202" s="794">
        <v>0</v>
      </c>
      <c r="BM202" s="794">
        <v>0</v>
      </c>
      <c r="BN202" s="794">
        <v>0</v>
      </c>
      <c r="BO202" s="794">
        <v>0</v>
      </c>
      <c r="BP202" s="794">
        <v>0</v>
      </c>
      <c r="BQ202" s="794">
        <v>0</v>
      </c>
      <c r="BR202" s="794">
        <v>0</v>
      </c>
      <c r="BS202" s="794">
        <v>0</v>
      </c>
      <c r="BT202" s="794">
        <v>0</v>
      </c>
      <c r="BU202" s="794">
        <v>0</v>
      </c>
      <c r="BV202" s="794">
        <v>0</v>
      </c>
    </row>
    <row r="203" spans="2:74">
      <c r="B203" s="793" t="s">
        <v>3028</v>
      </c>
      <c r="C203" s="793" t="s">
        <v>3029</v>
      </c>
      <c r="D203" s="793"/>
      <c r="E203" s="794"/>
      <c r="F203" s="799"/>
      <c r="G203" s="799"/>
      <c r="H203" s="799"/>
      <c r="I203" s="799"/>
      <c r="J203" s="799"/>
      <c r="K203" s="799"/>
      <c r="L203" s="799">
        <f t="shared" si="8"/>
        <v>1</v>
      </c>
      <c r="M203" s="799"/>
      <c r="N203" s="595"/>
      <c r="O203" s="794">
        <v>0</v>
      </c>
      <c r="P203" s="794">
        <v>0</v>
      </c>
      <c r="Q203" s="794">
        <v>0</v>
      </c>
      <c r="R203" s="794">
        <v>0</v>
      </c>
      <c r="S203" s="794">
        <v>0</v>
      </c>
      <c r="T203" s="794">
        <v>0</v>
      </c>
      <c r="U203" s="794">
        <v>0</v>
      </c>
      <c r="V203" s="794">
        <v>0</v>
      </c>
      <c r="W203" s="794">
        <v>0</v>
      </c>
      <c r="X203" s="794">
        <v>0</v>
      </c>
      <c r="Y203" s="794">
        <v>0</v>
      </c>
      <c r="Z203" s="794">
        <v>0</v>
      </c>
      <c r="AA203" s="794">
        <v>0</v>
      </c>
      <c r="AB203" s="794">
        <v>0</v>
      </c>
      <c r="AC203" s="794">
        <v>0</v>
      </c>
      <c r="AD203" s="794">
        <v>0</v>
      </c>
      <c r="AE203" s="794">
        <v>0</v>
      </c>
      <c r="AF203" s="794">
        <v>0</v>
      </c>
      <c r="AG203" s="794">
        <v>0</v>
      </c>
      <c r="AH203" s="809">
        <v>111735.01</v>
      </c>
      <c r="AI203" s="794">
        <v>367669.52</v>
      </c>
      <c r="AJ203" s="794">
        <v>161529.4</v>
      </c>
      <c r="AK203" s="794">
        <v>17000</v>
      </c>
      <c r="AL203" s="794">
        <v>0</v>
      </c>
      <c r="AM203" s="794">
        <v>0</v>
      </c>
      <c r="AN203" s="794">
        <v>0</v>
      </c>
      <c r="AO203" s="794">
        <v>0</v>
      </c>
      <c r="AP203" s="794">
        <v>0</v>
      </c>
      <c r="AQ203" s="794">
        <v>17000</v>
      </c>
      <c r="AR203" s="794">
        <v>0</v>
      </c>
      <c r="AS203" s="794">
        <v>0</v>
      </c>
      <c r="AT203" s="794">
        <v>0</v>
      </c>
      <c r="AU203" s="794">
        <v>0</v>
      </c>
      <c r="AV203" s="794">
        <v>0</v>
      </c>
      <c r="AW203" s="794">
        <v>0</v>
      </c>
      <c r="AX203" s="794">
        <v>0</v>
      </c>
      <c r="AY203" s="794">
        <v>0</v>
      </c>
      <c r="AZ203" s="794">
        <v>0</v>
      </c>
      <c r="BA203" s="794">
        <v>0</v>
      </c>
      <c r="BB203" s="794">
        <v>0</v>
      </c>
      <c r="BC203" s="794">
        <v>0</v>
      </c>
      <c r="BD203" s="794">
        <v>0</v>
      </c>
      <c r="BE203" s="794">
        <v>0</v>
      </c>
      <c r="BF203" s="794">
        <v>0</v>
      </c>
      <c r="BG203" s="794">
        <v>0</v>
      </c>
      <c r="BH203" s="794">
        <v>0</v>
      </c>
      <c r="BI203" s="794">
        <v>0</v>
      </c>
      <c r="BJ203" s="794">
        <v>0</v>
      </c>
      <c r="BK203" s="794">
        <v>0</v>
      </c>
      <c r="BL203" s="794">
        <v>0</v>
      </c>
      <c r="BM203" s="794">
        <v>0</v>
      </c>
      <c r="BN203" s="794">
        <v>0</v>
      </c>
      <c r="BO203" s="794">
        <v>0</v>
      </c>
      <c r="BP203" s="794">
        <v>0</v>
      </c>
      <c r="BQ203" s="794">
        <v>0</v>
      </c>
      <c r="BR203" s="794">
        <v>0</v>
      </c>
      <c r="BS203" s="794">
        <v>0</v>
      </c>
      <c r="BT203" s="794">
        <v>0</v>
      </c>
      <c r="BU203" s="794">
        <v>0</v>
      </c>
      <c r="BV203" s="794">
        <v>0</v>
      </c>
    </row>
    <row r="204" spans="2:74">
      <c r="B204" s="793" t="s">
        <v>3030</v>
      </c>
      <c r="C204" s="793" t="s">
        <v>2794</v>
      </c>
      <c r="D204" s="793"/>
      <c r="E204" s="794"/>
      <c r="F204" s="799"/>
      <c r="G204" s="799"/>
      <c r="H204" s="799"/>
      <c r="I204" s="799"/>
      <c r="J204" s="799"/>
      <c r="K204" s="799"/>
      <c r="L204" s="799">
        <f t="shared" si="8"/>
        <v>331</v>
      </c>
      <c r="M204" s="799"/>
      <c r="N204" s="595"/>
      <c r="O204" s="794">
        <v>0</v>
      </c>
      <c r="P204" s="794">
        <v>0</v>
      </c>
      <c r="Q204" s="794">
        <v>0</v>
      </c>
      <c r="R204" s="794">
        <v>0</v>
      </c>
      <c r="S204" s="794">
        <v>0</v>
      </c>
      <c r="T204" s="794">
        <v>0</v>
      </c>
      <c r="U204" s="794">
        <v>0</v>
      </c>
      <c r="V204" s="794">
        <v>0</v>
      </c>
      <c r="W204" s="794">
        <v>0</v>
      </c>
      <c r="X204" s="794">
        <v>0</v>
      </c>
      <c r="Y204" s="794">
        <v>0</v>
      </c>
      <c r="Z204" s="794">
        <v>0</v>
      </c>
      <c r="AA204" s="794">
        <v>0</v>
      </c>
      <c r="AB204" s="794">
        <v>0</v>
      </c>
      <c r="AC204" s="794">
        <v>0</v>
      </c>
      <c r="AD204" s="794">
        <v>0</v>
      </c>
      <c r="AE204" s="794">
        <v>0</v>
      </c>
      <c r="AF204" s="794">
        <v>0</v>
      </c>
      <c r="AG204" s="794">
        <v>0</v>
      </c>
      <c r="AH204" s="809">
        <v>115243.8</v>
      </c>
      <c r="AI204" s="794">
        <v>0</v>
      </c>
      <c r="AJ204" s="794">
        <v>0</v>
      </c>
      <c r="AK204" s="794">
        <v>0</v>
      </c>
      <c r="AL204" s="794">
        <v>0</v>
      </c>
      <c r="AM204" s="794">
        <v>0</v>
      </c>
      <c r="AN204" s="794">
        <v>0</v>
      </c>
      <c r="AO204" s="794">
        <v>0</v>
      </c>
      <c r="AP204" s="794">
        <v>0</v>
      </c>
      <c r="AQ204" s="794">
        <v>0</v>
      </c>
      <c r="AR204" s="794">
        <v>52738.23</v>
      </c>
      <c r="AS204" s="794">
        <v>5200</v>
      </c>
      <c r="AT204" s="794">
        <v>6775.4</v>
      </c>
      <c r="AU204" s="794">
        <v>2850</v>
      </c>
      <c r="AV204" s="794">
        <v>0</v>
      </c>
      <c r="AW204" s="794">
        <v>0</v>
      </c>
      <c r="AX204" s="794">
        <v>24500</v>
      </c>
      <c r="AY204" s="794">
        <v>3500</v>
      </c>
      <c r="AZ204" s="794">
        <v>0</v>
      </c>
      <c r="BA204" s="794">
        <v>0</v>
      </c>
      <c r="BB204" s="794">
        <v>0</v>
      </c>
      <c r="BC204" s="794">
        <v>0</v>
      </c>
      <c r="BD204" s="794">
        <v>0</v>
      </c>
      <c r="BE204" s="794">
        <v>0</v>
      </c>
      <c r="BF204" s="794">
        <v>0</v>
      </c>
      <c r="BG204" s="794">
        <v>0</v>
      </c>
      <c r="BH204" s="794">
        <v>0</v>
      </c>
      <c r="BI204" s="794">
        <v>0</v>
      </c>
      <c r="BJ204" s="794">
        <v>0</v>
      </c>
      <c r="BK204" s="794">
        <v>0</v>
      </c>
      <c r="BL204" s="794">
        <v>0</v>
      </c>
      <c r="BM204" s="794">
        <v>0</v>
      </c>
      <c r="BN204" s="794">
        <v>0</v>
      </c>
      <c r="BO204" s="794">
        <v>0</v>
      </c>
      <c r="BP204" s="794">
        <v>0</v>
      </c>
      <c r="BQ204" s="794">
        <v>0</v>
      </c>
      <c r="BR204" s="794">
        <v>0</v>
      </c>
      <c r="BS204" s="794">
        <v>0</v>
      </c>
      <c r="BT204" s="794">
        <v>0</v>
      </c>
      <c r="BU204" s="794">
        <v>0</v>
      </c>
      <c r="BV204" s="794">
        <v>0</v>
      </c>
    </row>
    <row r="205" spans="2:74">
      <c r="B205" s="793" t="s">
        <v>3031</v>
      </c>
      <c r="C205" s="793" t="s">
        <v>594</v>
      </c>
      <c r="D205" s="793"/>
      <c r="E205" s="794"/>
      <c r="F205" s="799"/>
      <c r="G205" s="799"/>
      <c r="H205" s="799"/>
      <c r="I205" s="799"/>
      <c r="J205" s="799"/>
      <c r="K205" s="799"/>
      <c r="L205" s="799">
        <f t="shared" si="8"/>
        <v>1</v>
      </c>
      <c r="M205" s="799"/>
      <c r="N205" s="595"/>
      <c r="O205" s="794">
        <v>0</v>
      </c>
      <c r="P205" s="794">
        <v>0</v>
      </c>
      <c r="Q205" s="794">
        <v>0</v>
      </c>
      <c r="R205" s="794">
        <v>0</v>
      </c>
      <c r="S205" s="794">
        <v>0</v>
      </c>
      <c r="T205" s="794">
        <v>0</v>
      </c>
      <c r="U205" s="794">
        <v>0</v>
      </c>
      <c r="V205" s="794">
        <v>0</v>
      </c>
      <c r="W205" s="794">
        <v>0</v>
      </c>
      <c r="X205" s="794">
        <v>0</v>
      </c>
      <c r="Y205" s="794">
        <v>0</v>
      </c>
      <c r="Z205" s="794">
        <v>0</v>
      </c>
      <c r="AA205" s="794">
        <v>0</v>
      </c>
      <c r="AB205" s="794">
        <v>0</v>
      </c>
      <c r="AC205" s="794">
        <v>0</v>
      </c>
      <c r="AD205" s="794">
        <v>0</v>
      </c>
      <c r="AE205" s="794">
        <v>0</v>
      </c>
      <c r="AF205" s="794">
        <v>0</v>
      </c>
      <c r="AG205" s="794">
        <v>0</v>
      </c>
      <c r="AH205" s="809">
        <v>23000</v>
      </c>
      <c r="AI205" s="794">
        <v>37019.21</v>
      </c>
      <c r="AJ205" s="794">
        <v>46230.71</v>
      </c>
      <c r="AK205" s="794">
        <v>0</v>
      </c>
      <c r="AL205" s="794">
        <v>0</v>
      </c>
      <c r="AM205" s="794">
        <v>0</v>
      </c>
      <c r="AN205" s="794">
        <v>0</v>
      </c>
      <c r="AO205" s="794">
        <v>0</v>
      </c>
      <c r="AP205" s="794">
        <v>0</v>
      </c>
      <c r="AQ205" s="794">
        <v>0</v>
      </c>
      <c r="AR205" s="794">
        <v>0</v>
      </c>
      <c r="AS205" s="794">
        <v>0</v>
      </c>
      <c r="AT205" s="794">
        <v>0</v>
      </c>
      <c r="AU205" s="794">
        <v>0</v>
      </c>
      <c r="AV205" s="794">
        <v>0</v>
      </c>
      <c r="AW205" s="794">
        <v>0</v>
      </c>
      <c r="AX205" s="794">
        <v>0</v>
      </c>
      <c r="AY205" s="794">
        <v>0</v>
      </c>
      <c r="AZ205" s="794">
        <v>0</v>
      </c>
      <c r="BA205" s="794">
        <v>0</v>
      </c>
      <c r="BB205" s="794">
        <v>0</v>
      </c>
      <c r="BC205" s="794">
        <v>0</v>
      </c>
      <c r="BD205" s="794">
        <v>0</v>
      </c>
      <c r="BE205" s="794">
        <v>0</v>
      </c>
      <c r="BF205" s="794">
        <v>0</v>
      </c>
      <c r="BG205" s="794">
        <v>0</v>
      </c>
      <c r="BH205" s="794">
        <v>0</v>
      </c>
      <c r="BI205" s="794">
        <v>0</v>
      </c>
      <c r="BJ205" s="794">
        <v>0</v>
      </c>
      <c r="BK205" s="794">
        <v>0</v>
      </c>
      <c r="BL205" s="794">
        <v>0</v>
      </c>
      <c r="BM205" s="794">
        <v>0</v>
      </c>
      <c r="BN205" s="794">
        <v>0</v>
      </c>
      <c r="BO205" s="794">
        <v>0</v>
      </c>
      <c r="BP205" s="794">
        <v>0</v>
      </c>
      <c r="BQ205" s="794">
        <v>0</v>
      </c>
      <c r="BR205" s="794">
        <v>0</v>
      </c>
      <c r="BS205" s="794">
        <v>0</v>
      </c>
      <c r="BT205" s="794">
        <v>0</v>
      </c>
      <c r="BU205" s="794">
        <v>0</v>
      </c>
      <c r="BV205" s="794">
        <v>0</v>
      </c>
    </row>
    <row r="206" spans="2:74">
      <c r="B206" s="793" t="s">
        <v>3032</v>
      </c>
      <c r="C206" s="793" t="s">
        <v>3033</v>
      </c>
      <c r="D206" s="793"/>
      <c r="E206" s="794"/>
      <c r="F206" s="799"/>
      <c r="G206" s="799"/>
      <c r="H206" s="799"/>
      <c r="I206" s="799"/>
      <c r="J206" s="799"/>
      <c r="K206" s="799"/>
      <c r="L206" s="799">
        <f t="shared" si="8"/>
        <v>331</v>
      </c>
      <c r="M206" s="799"/>
      <c r="N206" s="595"/>
      <c r="O206" s="794">
        <v>0</v>
      </c>
      <c r="P206" s="794">
        <v>0</v>
      </c>
      <c r="Q206" s="794">
        <v>0</v>
      </c>
      <c r="R206" s="794">
        <v>0</v>
      </c>
      <c r="S206" s="794">
        <v>0</v>
      </c>
      <c r="T206" s="794">
        <v>0</v>
      </c>
      <c r="U206" s="794">
        <v>0</v>
      </c>
      <c r="V206" s="794">
        <v>0</v>
      </c>
      <c r="W206" s="794">
        <v>0</v>
      </c>
      <c r="X206" s="794">
        <v>0</v>
      </c>
      <c r="Y206" s="794">
        <v>0</v>
      </c>
      <c r="Z206" s="794">
        <v>0</v>
      </c>
      <c r="AA206" s="794">
        <v>0</v>
      </c>
      <c r="AB206" s="794">
        <v>0</v>
      </c>
      <c r="AC206" s="794">
        <v>0</v>
      </c>
      <c r="AD206" s="794">
        <v>0</v>
      </c>
      <c r="AE206" s="794">
        <v>0</v>
      </c>
      <c r="AF206" s="794">
        <v>0</v>
      </c>
      <c r="AG206" s="794">
        <v>0</v>
      </c>
      <c r="AH206" s="809">
        <v>31008.04</v>
      </c>
      <c r="AI206" s="794">
        <v>44994.87</v>
      </c>
      <c r="AJ206" s="794">
        <v>0</v>
      </c>
      <c r="AK206" s="794">
        <v>0</v>
      </c>
      <c r="AL206" s="794">
        <v>0</v>
      </c>
      <c r="AM206" s="794">
        <v>18640.400000000001</v>
      </c>
      <c r="AN206" s="794">
        <v>0</v>
      </c>
      <c r="AO206" s="794">
        <v>0</v>
      </c>
      <c r="AP206" s="794">
        <v>0</v>
      </c>
      <c r="AQ206" s="794">
        <v>0</v>
      </c>
      <c r="AR206" s="794">
        <v>0</v>
      </c>
      <c r="AS206" s="794">
        <v>0</v>
      </c>
      <c r="AT206" s="794">
        <v>0</v>
      </c>
      <c r="AU206" s="794">
        <v>0</v>
      </c>
      <c r="AV206" s="794">
        <v>0</v>
      </c>
      <c r="AW206" s="794">
        <v>0</v>
      </c>
      <c r="AX206" s="794">
        <v>0</v>
      </c>
      <c r="AY206" s="794">
        <v>0</v>
      </c>
      <c r="AZ206" s="794">
        <v>0</v>
      </c>
      <c r="BA206" s="794">
        <v>0</v>
      </c>
      <c r="BB206" s="794">
        <v>0</v>
      </c>
      <c r="BC206" s="794">
        <v>0</v>
      </c>
      <c r="BD206" s="794">
        <v>0</v>
      </c>
      <c r="BE206" s="794">
        <v>0</v>
      </c>
      <c r="BF206" s="794">
        <v>0</v>
      </c>
      <c r="BG206" s="794">
        <v>0</v>
      </c>
      <c r="BH206" s="794">
        <v>0</v>
      </c>
      <c r="BI206" s="794">
        <v>0</v>
      </c>
      <c r="BJ206" s="794">
        <v>0</v>
      </c>
      <c r="BK206" s="794">
        <v>0</v>
      </c>
      <c r="BL206" s="794">
        <v>0</v>
      </c>
      <c r="BM206" s="794">
        <v>0</v>
      </c>
      <c r="BN206" s="794">
        <v>0</v>
      </c>
      <c r="BO206" s="794">
        <v>0</v>
      </c>
      <c r="BP206" s="794">
        <v>0</v>
      </c>
      <c r="BQ206" s="794">
        <v>0</v>
      </c>
      <c r="BR206" s="794">
        <v>0</v>
      </c>
      <c r="BS206" s="794">
        <v>0</v>
      </c>
      <c r="BT206" s="794">
        <v>0</v>
      </c>
      <c r="BU206" s="794">
        <v>0</v>
      </c>
      <c r="BV206" s="794">
        <v>0</v>
      </c>
    </row>
    <row r="207" spans="2:74">
      <c r="B207" s="793" t="s">
        <v>3034</v>
      </c>
      <c r="C207" s="793" t="s">
        <v>698</v>
      </c>
      <c r="D207" s="793"/>
      <c r="E207" s="794"/>
      <c r="F207" s="799"/>
      <c r="G207" s="799"/>
      <c r="H207" s="799"/>
      <c r="I207" s="799"/>
      <c r="J207" s="799"/>
      <c r="K207" s="799"/>
      <c r="L207" s="799">
        <f t="shared" si="8"/>
        <v>331</v>
      </c>
      <c r="M207" s="799"/>
      <c r="N207" s="595"/>
      <c r="O207" s="794">
        <v>0</v>
      </c>
      <c r="P207" s="794">
        <v>0</v>
      </c>
      <c r="Q207" s="794">
        <v>0</v>
      </c>
      <c r="R207" s="794">
        <v>0</v>
      </c>
      <c r="S207" s="794">
        <v>0</v>
      </c>
      <c r="T207" s="794">
        <v>0</v>
      </c>
      <c r="U207" s="794">
        <v>0</v>
      </c>
      <c r="V207" s="794">
        <v>0</v>
      </c>
      <c r="W207" s="794">
        <v>0</v>
      </c>
      <c r="X207" s="794">
        <v>0</v>
      </c>
      <c r="Y207" s="794">
        <v>0</v>
      </c>
      <c r="Z207" s="794">
        <v>0</v>
      </c>
      <c r="AA207" s="794">
        <v>0</v>
      </c>
      <c r="AB207" s="794">
        <v>0</v>
      </c>
      <c r="AC207" s="794">
        <v>0</v>
      </c>
      <c r="AD207" s="794">
        <v>0</v>
      </c>
      <c r="AE207" s="794">
        <v>0</v>
      </c>
      <c r="AF207" s="794">
        <v>0</v>
      </c>
      <c r="AG207" s="794">
        <v>0</v>
      </c>
      <c r="AH207" s="809">
        <v>21000.18</v>
      </c>
      <c r="AI207" s="794">
        <v>0</v>
      </c>
      <c r="AJ207" s="794">
        <v>0</v>
      </c>
      <c r="AK207" s="794">
        <v>0</v>
      </c>
      <c r="AL207" s="794">
        <v>0</v>
      </c>
      <c r="AM207" s="794">
        <v>0</v>
      </c>
      <c r="AN207" s="794">
        <v>0</v>
      </c>
      <c r="AO207" s="794">
        <v>0</v>
      </c>
      <c r="AP207" s="794">
        <v>0</v>
      </c>
      <c r="AQ207" s="794">
        <v>0</v>
      </c>
      <c r="AR207" s="794">
        <v>0</v>
      </c>
      <c r="AS207" s="794">
        <v>0</v>
      </c>
      <c r="AT207" s="794">
        <v>0</v>
      </c>
      <c r="AU207" s="794">
        <v>0</v>
      </c>
      <c r="AV207" s="794">
        <v>0</v>
      </c>
      <c r="AW207" s="794">
        <v>0</v>
      </c>
      <c r="AX207" s="794">
        <v>0</v>
      </c>
      <c r="AY207" s="794">
        <v>0</v>
      </c>
      <c r="AZ207" s="794">
        <v>0</v>
      </c>
      <c r="BA207" s="794">
        <v>0</v>
      </c>
      <c r="BB207" s="794">
        <v>0</v>
      </c>
      <c r="BC207" s="794">
        <v>0</v>
      </c>
      <c r="BD207" s="794">
        <v>0</v>
      </c>
      <c r="BE207" s="794">
        <v>0</v>
      </c>
      <c r="BF207" s="794">
        <v>0</v>
      </c>
      <c r="BG207" s="794">
        <v>0</v>
      </c>
      <c r="BH207" s="794">
        <v>0</v>
      </c>
      <c r="BI207" s="794">
        <v>0</v>
      </c>
      <c r="BJ207" s="794">
        <v>0</v>
      </c>
      <c r="BK207" s="794">
        <v>0</v>
      </c>
      <c r="BL207" s="794">
        <v>0</v>
      </c>
      <c r="BM207" s="794">
        <v>0</v>
      </c>
      <c r="BN207" s="794">
        <v>0</v>
      </c>
      <c r="BO207" s="794">
        <v>0</v>
      </c>
      <c r="BP207" s="794">
        <v>0</v>
      </c>
      <c r="BQ207" s="794">
        <v>0</v>
      </c>
      <c r="BR207" s="794">
        <v>0</v>
      </c>
      <c r="BS207" s="794">
        <v>0</v>
      </c>
      <c r="BT207" s="794">
        <v>0</v>
      </c>
      <c r="BU207" s="794">
        <v>0</v>
      </c>
      <c r="BV207" s="794">
        <v>0</v>
      </c>
    </row>
    <row r="208" spans="2:74">
      <c r="B208" s="793" t="s">
        <v>3035</v>
      </c>
      <c r="C208" s="793" t="s">
        <v>3000</v>
      </c>
      <c r="D208" s="793"/>
      <c r="E208" s="794"/>
      <c r="F208" s="799"/>
      <c r="G208" s="799"/>
      <c r="H208" s="799"/>
      <c r="I208" s="799"/>
      <c r="J208" s="799"/>
      <c r="K208" s="799"/>
      <c r="L208" s="799">
        <f t="shared" si="8"/>
        <v>331</v>
      </c>
      <c r="M208" s="799"/>
      <c r="N208" s="595"/>
      <c r="O208" s="794">
        <v>0</v>
      </c>
      <c r="P208" s="794">
        <v>0</v>
      </c>
      <c r="Q208" s="794">
        <v>0</v>
      </c>
      <c r="R208" s="794">
        <v>0</v>
      </c>
      <c r="S208" s="794">
        <v>0</v>
      </c>
      <c r="T208" s="794">
        <v>0</v>
      </c>
      <c r="U208" s="794">
        <v>0</v>
      </c>
      <c r="V208" s="794">
        <v>0</v>
      </c>
      <c r="W208" s="794">
        <v>0</v>
      </c>
      <c r="X208" s="794">
        <v>0</v>
      </c>
      <c r="Y208" s="794">
        <v>0</v>
      </c>
      <c r="Z208" s="794">
        <v>0</v>
      </c>
      <c r="AA208" s="794">
        <v>0</v>
      </c>
      <c r="AB208" s="794">
        <v>0</v>
      </c>
      <c r="AC208" s="794">
        <v>0</v>
      </c>
      <c r="AD208" s="794">
        <v>0</v>
      </c>
      <c r="AE208" s="794">
        <v>0</v>
      </c>
      <c r="AF208" s="794">
        <v>0</v>
      </c>
      <c r="AG208" s="794">
        <v>0</v>
      </c>
      <c r="AH208" s="809">
        <v>8000</v>
      </c>
      <c r="AI208" s="794">
        <v>0</v>
      </c>
      <c r="AJ208" s="794">
        <v>0</v>
      </c>
      <c r="AK208" s="794">
        <v>0</v>
      </c>
      <c r="AL208" s="794">
        <v>0</v>
      </c>
      <c r="AM208" s="794">
        <v>0</v>
      </c>
      <c r="AN208" s="794">
        <v>0</v>
      </c>
      <c r="AO208" s="794">
        <v>0</v>
      </c>
      <c r="AP208" s="794">
        <v>0</v>
      </c>
      <c r="AQ208" s="794">
        <v>0</v>
      </c>
      <c r="AR208" s="794">
        <v>0</v>
      </c>
      <c r="AS208" s="794">
        <v>0</v>
      </c>
      <c r="AT208" s="794">
        <v>0</v>
      </c>
      <c r="AU208" s="794">
        <v>0</v>
      </c>
      <c r="AV208" s="794">
        <v>0</v>
      </c>
      <c r="AW208" s="794">
        <v>0</v>
      </c>
      <c r="AX208" s="794">
        <v>0</v>
      </c>
      <c r="AY208" s="794">
        <v>0</v>
      </c>
      <c r="AZ208" s="794">
        <v>0</v>
      </c>
      <c r="BA208" s="794">
        <v>0</v>
      </c>
      <c r="BB208" s="794">
        <v>0</v>
      </c>
      <c r="BC208" s="794">
        <v>0</v>
      </c>
      <c r="BD208" s="794">
        <v>0</v>
      </c>
      <c r="BE208" s="794">
        <v>0</v>
      </c>
      <c r="BF208" s="794">
        <v>0</v>
      </c>
      <c r="BG208" s="794">
        <v>0</v>
      </c>
      <c r="BH208" s="794">
        <v>0</v>
      </c>
      <c r="BI208" s="794">
        <v>0</v>
      </c>
      <c r="BJ208" s="794">
        <v>0</v>
      </c>
      <c r="BK208" s="794">
        <v>0</v>
      </c>
      <c r="BL208" s="794">
        <v>0</v>
      </c>
      <c r="BM208" s="794">
        <v>0</v>
      </c>
      <c r="BN208" s="794">
        <v>0</v>
      </c>
      <c r="BO208" s="794">
        <v>0</v>
      </c>
      <c r="BP208" s="794">
        <v>0</v>
      </c>
      <c r="BQ208" s="794">
        <v>0</v>
      </c>
      <c r="BR208" s="794">
        <v>0</v>
      </c>
      <c r="BS208" s="794">
        <v>0</v>
      </c>
      <c r="BT208" s="794">
        <v>0</v>
      </c>
      <c r="BU208" s="794">
        <v>0</v>
      </c>
      <c r="BV208" s="794">
        <v>0</v>
      </c>
    </row>
    <row r="209" spans="2:74">
      <c r="B209" s="793" t="s">
        <v>3036</v>
      </c>
      <c r="C209" s="793" t="s">
        <v>3037</v>
      </c>
      <c r="D209" s="793"/>
      <c r="E209" s="794"/>
      <c r="F209" s="799"/>
      <c r="G209" s="799"/>
      <c r="H209" s="799"/>
      <c r="I209" s="799"/>
      <c r="J209" s="799"/>
      <c r="K209" s="799"/>
      <c r="L209" s="799">
        <f t="shared" si="8"/>
        <v>1</v>
      </c>
      <c r="M209" s="799"/>
      <c r="N209" s="595"/>
      <c r="O209" s="794">
        <v>0</v>
      </c>
      <c r="P209" s="794">
        <v>0</v>
      </c>
      <c r="Q209" s="794">
        <v>0</v>
      </c>
      <c r="R209" s="794">
        <v>0</v>
      </c>
      <c r="S209" s="794">
        <v>0</v>
      </c>
      <c r="T209" s="794">
        <v>0</v>
      </c>
      <c r="U209" s="794">
        <v>0</v>
      </c>
      <c r="V209" s="794">
        <v>0</v>
      </c>
      <c r="W209" s="794">
        <v>0</v>
      </c>
      <c r="X209" s="794">
        <v>0</v>
      </c>
      <c r="Y209" s="794">
        <v>0</v>
      </c>
      <c r="Z209" s="794">
        <v>0</v>
      </c>
      <c r="AA209" s="794">
        <v>0</v>
      </c>
      <c r="AB209" s="794">
        <v>0</v>
      </c>
      <c r="AC209" s="794">
        <v>0</v>
      </c>
      <c r="AD209" s="794">
        <v>0</v>
      </c>
      <c r="AE209" s="794">
        <v>0</v>
      </c>
      <c r="AF209" s="794">
        <v>0</v>
      </c>
      <c r="AG209" s="794">
        <v>0</v>
      </c>
      <c r="AH209" s="794">
        <v>0</v>
      </c>
      <c r="AI209" s="809">
        <v>81317.5</v>
      </c>
      <c r="AJ209" s="794">
        <v>81317.5</v>
      </c>
      <c r="AK209" s="794">
        <v>56149.37</v>
      </c>
      <c r="AL209" s="794">
        <v>0</v>
      </c>
      <c r="AM209" s="794">
        <v>57304.86</v>
      </c>
      <c r="AN209" s="794">
        <v>11200</v>
      </c>
      <c r="AO209" s="794">
        <v>0</v>
      </c>
      <c r="AP209" s="794">
        <v>0</v>
      </c>
      <c r="AQ209" s="794">
        <v>0</v>
      </c>
      <c r="AR209" s="794">
        <v>0</v>
      </c>
      <c r="AS209" s="794">
        <v>0</v>
      </c>
      <c r="AT209" s="794">
        <v>0</v>
      </c>
      <c r="AU209" s="794">
        <v>0</v>
      </c>
      <c r="AV209" s="794">
        <v>0</v>
      </c>
      <c r="AW209" s="794">
        <v>0</v>
      </c>
      <c r="AX209" s="794">
        <v>0</v>
      </c>
      <c r="AY209" s="794">
        <v>0</v>
      </c>
      <c r="AZ209" s="794">
        <v>0</v>
      </c>
      <c r="BA209" s="794">
        <v>0</v>
      </c>
      <c r="BB209" s="794">
        <v>0</v>
      </c>
      <c r="BC209" s="794">
        <v>0</v>
      </c>
      <c r="BD209" s="794">
        <v>0</v>
      </c>
      <c r="BE209" s="794">
        <v>0</v>
      </c>
      <c r="BF209" s="794">
        <v>0</v>
      </c>
      <c r="BG209" s="794">
        <v>0</v>
      </c>
      <c r="BH209" s="794">
        <v>0</v>
      </c>
      <c r="BI209" s="794">
        <v>0</v>
      </c>
      <c r="BJ209" s="794">
        <v>0</v>
      </c>
      <c r="BK209" s="794">
        <v>0</v>
      </c>
      <c r="BL209" s="794">
        <v>0</v>
      </c>
      <c r="BM209" s="794">
        <v>0</v>
      </c>
      <c r="BN209" s="794">
        <v>0</v>
      </c>
      <c r="BO209" s="794">
        <v>0</v>
      </c>
      <c r="BP209" s="794">
        <v>0</v>
      </c>
      <c r="BQ209" s="794">
        <v>0</v>
      </c>
      <c r="BR209" s="794">
        <v>0</v>
      </c>
      <c r="BS209" s="794">
        <v>0</v>
      </c>
      <c r="BT209" s="794">
        <v>0</v>
      </c>
      <c r="BU209" s="794">
        <v>0</v>
      </c>
      <c r="BV209" s="794">
        <v>0</v>
      </c>
    </row>
    <row r="210" spans="2:74">
      <c r="B210" s="793" t="s">
        <v>3038</v>
      </c>
      <c r="C210" s="793" t="s">
        <v>3039</v>
      </c>
      <c r="D210" s="793"/>
      <c r="E210" s="794"/>
      <c r="F210" s="799"/>
      <c r="G210" s="799"/>
      <c r="H210" s="799"/>
      <c r="I210" s="799"/>
      <c r="J210" s="799"/>
      <c r="K210" s="799"/>
      <c r="L210" s="799">
        <f t="shared" si="8"/>
        <v>1</v>
      </c>
      <c r="M210" s="799"/>
      <c r="N210" s="595"/>
      <c r="O210" s="794">
        <v>0</v>
      </c>
      <c r="P210" s="794">
        <v>0</v>
      </c>
      <c r="Q210" s="794">
        <v>0</v>
      </c>
      <c r="R210" s="794">
        <v>0</v>
      </c>
      <c r="S210" s="794">
        <v>0</v>
      </c>
      <c r="T210" s="794">
        <v>0</v>
      </c>
      <c r="U210" s="794">
        <v>0</v>
      </c>
      <c r="V210" s="794">
        <v>0</v>
      </c>
      <c r="W210" s="794">
        <v>0</v>
      </c>
      <c r="X210" s="794">
        <v>0</v>
      </c>
      <c r="Y210" s="794">
        <v>0</v>
      </c>
      <c r="Z210" s="794">
        <v>0</v>
      </c>
      <c r="AA210" s="794">
        <v>0</v>
      </c>
      <c r="AB210" s="794">
        <v>0</v>
      </c>
      <c r="AC210" s="794">
        <v>0</v>
      </c>
      <c r="AD210" s="794">
        <v>0</v>
      </c>
      <c r="AE210" s="794">
        <v>0</v>
      </c>
      <c r="AF210" s="794">
        <v>0</v>
      </c>
      <c r="AG210" s="794">
        <v>0</v>
      </c>
      <c r="AH210" s="794">
        <v>0</v>
      </c>
      <c r="AI210" s="809">
        <v>9780</v>
      </c>
      <c r="AJ210" s="794">
        <v>59319</v>
      </c>
      <c r="AK210" s="794">
        <v>38769</v>
      </c>
      <c r="AL210" s="794">
        <v>16635</v>
      </c>
      <c r="AM210" s="794">
        <v>1695.39</v>
      </c>
      <c r="AN210" s="794">
        <v>0</v>
      </c>
      <c r="AO210" s="794">
        <v>0</v>
      </c>
      <c r="AP210" s="794">
        <v>0</v>
      </c>
      <c r="AQ210" s="794">
        <v>0</v>
      </c>
      <c r="AR210" s="794">
        <v>0</v>
      </c>
      <c r="AS210" s="794">
        <v>0</v>
      </c>
      <c r="AT210" s="794">
        <v>0</v>
      </c>
      <c r="AU210" s="794">
        <v>0</v>
      </c>
      <c r="AV210" s="794">
        <v>0</v>
      </c>
      <c r="AW210" s="794">
        <v>0</v>
      </c>
      <c r="AX210" s="794">
        <v>0</v>
      </c>
      <c r="AY210" s="794">
        <v>0</v>
      </c>
      <c r="AZ210" s="794">
        <v>0</v>
      </c>
      <c r="BA210" s="794">
        <v>0</v>
      </c>
      <c r="BB210" s="794">
        <v>0</v>
      </c>
      <c r="BC210" s="794">
        <v>0</v>
      </c>
      <c r="BD210" s="794">
        <v>0</v>
      </c>
      <c r="BE210" s="794">
        <v>0</v>
      </c>
      <c r="BF210" s="794">
        <v>0</v>
      </c>
      <c r="BG210" s="794">
        <v>0</v>
      </c>
      <c r="BH210" s="794">
        <v>0</v>
      </c>
      <c r="BI210" s="794">
        <v>0</v>
      </c>
      <c r="BJ210" s="794">
        <v>0</v>
      </c>
      <c r="BK210" s="794">
        <v>0</v>
      </c>
      <c r="BL210" s="794">
        <v>0</v>
      </c>
      <c r="BM210" s="794">
        <v>0</v>
      </c>
      <c r="BN210" s="794">
        <v>0</v>
      </c>
      <c r="BO210" s="794">
        <v>0</v>
      </c>
      <c r="BP210" s="794">
        <v>0</v>
      </c>
      <c r="BQ210" s="794">
        <v>0</v>
      </c>
      <c r="BR210" s="794">
        <v>0</v>
      </c>
      <c r="BS210" s="794">
        <v>0</v>
      </c>
      <c r="BT210" s="794">
        <v>0</v>
      </c>
      <c r="BU210" s="794">
        <v>0</v>
      </c>
      <c r="BV210" s="794">
        <v>0</v>
      </c>
    </row>
    <row r="211" spans="2:74">
      <c r="B211" s="793" t="s">
        <v>3040</v>
      </c>
      <c r="C211" s="793" t="s">
        <v>3041</v>
      </c>
      <c r="D211" s="793"/>
      <c r="E211" s="794"/>
      <c r="F211" s="799"/>
      <c r="G211" s="799"/>
      <c r="H211" s="799"/>
      <c r="I211" s="799"/>
      <c r="J211" s="799"/>
      <c r="K211" s="799"/>
      <c r="L211" s="799">
        <f t="shared" si="8"/>
        <v>331</v>
      </c>
      <c r="M211" s="799"/>
      <c r="N211" s="595"/>
      <c r="O211" s="794">
        <v>0</v>
      </c>
      <c r="P211" s="794">
        <v>0</v>
      </c>
      <c r="Q211" s="794">
        <v>0</v>
      </c>
      <c r="R211" s="794">
        <v>0</v>
      </c>
      <c r="S211" s="794">
        <v>0</v>
      </c>
      <c r="T211" s="794">
        <v>0</v>
      </c>
      <c r="U211" s="794">
        <v>0</v>
      </c>
      <c r="V211" s="794">
        <v>0</v>
      </c>
      <c r="W211" s="794">
        <v>0</v>
      </c>
      <c r="X211" s="794">
        <v>0</v>
      </c>
      <c r="Y211" s="794">
        <v>0</v>
      </c>
      <c r="Z211" s="794">
        <v>0</v>
      </c>
      <c r="AA211" s="794">
        <v>0</v>
      </c>
      <c r="AB211" s="794">
        <v>0</v>
      </c>
      <c r="AC211" s="794">
        <v>0</v>
      </c>
      <c r="AD211" s="794">
        <v>0</v>
      </c>
      <c r="AE211" s="794">
        <v>0</v>
      </c>
      <c r="AF211" s="794">
        <v>0</v>
      </c>
      <c r="AG211" s="794">
        <v>0</v>
      </c>
      <c r="AH211" s="794">
        <v>0</v>
      </c>
      <c r="AI211" s="809">
        <v>60000</v>
      </c>
      <c r="AJ211" s="794">
        <v>0</v>
      </c>
      <c r="AK211" s="794">
        <v>0</v>
      </c>
      <c r="AL211" s="794">
        <v>0</v>
      </c>
      <c r="AM211" s="794">
        <v>0</v>
      </c>
      <c r="AN211" s="794">
        <v>0</v>
      </c>
      <c r="AO211" s="794">
        <v>0</v>
      </c>
      <c r="AP211" s="794">
        <v>0</v>
      </c>
      <c r="AQ211" s="794">
        <v>0</v>
      </c>
      <c r="AR211" s="794">
        <v>0</v>
      </c>
      <c r="AS211" s="794">
        <v>0</v>
      </c>
      <c r="AT211" s="794">
        <v>0</v>
      </c>
      <c r="AU211" s="794">
        <v>0</v>
      </c>
      <c r="AV211" s="794">
        <v>0</v>
      </c>
      <c r="AW211" s="794">
        <v>0</v>
      </c>
      <c r="AX211" s="794">
        <v>0</v>
      </c>
      <c r="AY211" s="794">
        <v>0</v>
      </c>
      <c r="AZ211" s="794">
        <v>0</v>
      </c>
      <c r="BA211" s="794">
        <v>0</v>
      </c>
      <c r="BB211" s="794">
        <v>0</v>
      </c>
      <c r="BC211" s="794">
        <v>0</v>
      </c>
      <c r="BD211" s="794">
        <v>0</v>
      </c>
      <c r="BE211" s="794">
        <v>0</v>
      </c>
      <c r="BF211" s="794">
        <v>0</v>
      </c>
      <c r="BG211" s="794">
        <v>0</v>
      </c>
      <c r="BH211" s="794">
        <v>0</v>
      </c>
      <c r="BI211" s="794">
        <v>0</v>
      </c>
      <c r="BJ211" s="794">
        <v>0</v>
      </c>
      <c r="BK211" s="794">
        <v>0</v>
      </c>
      <c r="BL211" s="794">
        <v>0</v>
      </c>
      <c r="BM211" s="794">
        <v>0</v>
      </c>
      <c r="BN211" s="794">
        <v>0</v>
      </c>
      <c r="BO211" s="794">
        <v>0</v>
      </c>
      <c r="BP211" s="794">
        <v>0</v>
      </c>
      <c r="BQ211" s="794">
        <v>0</v>
      </c>
      <c r="BR211" s="794">
        <v>0</v>
      </c>
      <c r="BS211" s="794">
        <v>0</v>
      </c>
      <c r="BT211" s="794">
        <v>0</v>
      </c>
      <c r="BU211" s="794">
        <v>0</v>
      </c>
      <c r="BV211" s="794">
        <v>0</v>
      </c>
    </row>
    <row r="212" spans="2:74">
      <c r="B212" s="793" t="s">
        <v>3042</v>
      </c>
      <c r="C212" s="793" t="s">
        <v>2834</v>
      </c>
      <c r="D212" s="793"/>
      <c r="E212" s="794"/>
      <c r="F212" s="799"/>
      <c r="G212" s="799"/>
      <c r="H212" s="799"/>
      <c r="I212" s="799"/>
      <c r="J212" s="799"/>
      <c r="K212" s="799"/>
      <c r="L212" s="799">
        <f t="shared" si="8"/>
        <v>1</v>
      </c>
      <c r="M212" s="799"/>
      <c r="N212" s="595"/>
      <c r="O212" s="794">
        <v>0</v>
      </c>
      <c r="P212" s="794">
        <v>0</v>
      </c>
      <c r="Q212" s="794">
        <v>0</v>
      </c>
      <c r="R212" s="794">
        <v>0</v>
      </c>
      <c r="S212" s="794">
        <v>0</v>
      </c>
      <c r="T212" s="794">
        <v>0</v>
      </c>
      <c r="U212" s="794">
        <v>0</v>
      </c>
      <c r="V212" s="794">
        <v>0</v>
      </c>
      <c r="W212" s="794">
        <v>0</v>
      </c>
      <c r="X212" s="794">
        <v>0</v>
      </c>
      <c r="Y212" s="794">
        <v>0</v>
      </c>
      <c r="Z212" s="794">
        <v>0</v>
      </c>
      <c r="AA212" s="794">
        <v>0</v>
      </c>
      <c r="AB212" s="794">
        <v>0</v>
      </c>
      <c r="AC212" s="794">
        <v>0</v>
      </c>
      <c r="AD212" s="794">
        <v>0</v>
      </c>
      <c r="AE212" s="794">
        <v>0</v>
      </c>
      <c r="AF212" s="794">
        <v>0</v>
      </c>
      <c r="AG212" s="794">
        <v>0</v>
      </c>
      <c r="AH212" s="794">
        <v>0</v>
      </c>
      <c r="AI212" s="809">
        <v>41869.199999999997</v>
      </c>
      <c r="AJ212" s="794">
        <v>30400.2</v>
      </c>
      <c r="AK212" s="794">
        <v>47586.76</v>
      </c>
      <c r="AL212" s="794">
        <v>30601.8</v>
      </c>
      <c r="AM212" s="794">
        <v>38384</v>
      </c>
      <c r="AN212" s="794">
        <v>0</v>
      </c>
      <c r="AO212" s="794">
        <v>0</v>
      </c>
      <c r="AP212" s="794">
        <v>0</v>
      </c>
      <c r="AQ212" s="794">
        <v>0</v>
      </c>
      <c r="AR212" s="794">
        <v>0</v>
      </c>
      <c r="AS212" s="794">
        <v>0</v>
      </c>
      <c r="AT212" s="794">
        <v>0</v>
      </c>
      <c r="AU212" s="794">
        <v>0</v>
      </c>
      <c r="AV212" s="794">
        <v>0</v>
      </c>
      <c r="AW212" s="794">
        <v>0</v>
      </c>
      <c r="AX212" s="794">
        <v>0</v>
      </c>
      <c r="AY212" s="794">
        <v>0</v>
      </c>
      <c r="AZ212" s="794">
        <v>0</v>
      </c>
      <c r="BA212" s="794">
        <v>0</v>
      </c>
      <c r="BB212" s="794">
        <v>0</v>
      </c>
      <c r="BC212" s="794">
        <v>0</v>
      </c>
      <c r="BD212" s="794">
        <v>0</v>
      </c>
      <c r="BE212" s="794">
        <v>0</v>
      </c>
      <c r="BF212" s="794">
        <v>0</v>
      </c>
      <c r="BG212" s="794">
        <v>0</v>
      </c>
      <c r="BH212" s="794">
        <v>0</v>
      </c>
      <c r="BI212" s="794">
        <v>0</v>
      </c>
      <c r="BJ212" s="794">
        <v>0</v>
      </c>
      <c r="BK212" s="794">
        <v>0</v>
      </c>
      <c r="BL212" s="794">
        <v>0</v>
      </c>
      <c r="BM212" s="794">
        <v>0</v>
      </c>
      <c r="BN212" s="794">
        <v>0</v>
      </c>
      <c r="BO212" s="794">
        <v>0</v>
      </c>
      <c r="BP212" s="794">
        <v>0</v>
      </c>
      <c r="BQ212" s="794">
        <v>0</v>
      </c>
      <c r="BR212" s="794">
        <v>0</v>
      </c>
      <c r="BS212" s="794">
        <v>0</v>
      </c>
      <c r="BT212" s="794">
        <v>0</v>
      </c>
      <c r="BU212" s="794">
        <v>0</v>
      </c>
      <c r="BV212" s="794">
        <v>0</v>
      </c>
    </row>
    <row r="213" spans="2:74">
      <c r="B213" s="793" t="s">
        <v>3043</v>
      </c>
      <c r="C213" s="793" t="s">
        <v>3044</v>
      </c>
      <c r="D213" s="793"/>
      <c r="E213" s="794"/>
      <c r="F213" s="799"/>
      <c r="G213" s="799"/>
      <c r="H213" s="799"/>
      <c r="I213" s="799"/>
      <c r="J213" s="799"/>
      <c r="K213" s="799"/>
      <c r="L213" s="799">
        <f t="shared" si="8"/>
        <v>1</v>
      </c>
      <c r="M213" s="799"/>
      <c r="N213" s="595"/>
      <c r="O213" s="794">
        <v>0</v>
      </c>
      <c r="P213" s="794">
        <v>0</v>
      </c>
      <c r="Q213" s="794">
        <v>0</v>
      </c>
      <c r="R213" s="794">
        <v>0</v>
      </c>
      <c r="S213" s="794">
        <v>0</v>
      </c>
      <c r="T213" s="794">
        <v>0</v>
      </c>
      <c r="U213" s="794">
        <v>0</v>
      </c>
      <c r="V213" s="794">
        <v>0</v>
      </c>
      <c r="W213" s="794">
        <v>0</v>
      </c>
      <c r="X213" s="794">
        <v>0</v>
      </c>
      <c r="Y213" s="794">
        <v>0</v>
      </c>
      <c r="Z213" s="794">
        <v>0</v>
      </c>
      <c r="AA213" s="794">
        <v>0</v>
      </c>
      <c r="AB213" s="794">
        <v>0</v>
      </c>
      <c r="AC213" s="794">
        <v>0</v>
      </c>
      <c r="AD213" s="794">
        <v>0</v>
      </c>
      <c r="AE213" s="794">
        <v>0</v>
      </c>
      <c r="AF213" s="794">
        <v>0</v>
      </c>
      <c r="AG213" s="794">
        <v>0</v>
      </c>
      <c r="AH213" s="794">
        <v>0</v>
      </c>
      <c r="AI213" s="809">
        <v>42795</v>
      </c>
      <c r="AJ213" s="794">
        <v>61560</v>
      </c>
      <c r="AK213" s="794">
        <v>0</v>
      </c>
      <c r="AL213" s="794">
        <v>14400</v>
      </c>
      <c r="AM213" s="794">
        <v>0</v>
      </c>
      <c r="AN213" s="794">
        <v>0</v>
      </c>
      <c r="AO213" s="794">
        <v>0</v>
      </c>
      <c r="AP213" s="794">
        <v>0</v>
      </c>
      <c r="AQ213" s="794">
        <v>0</v>
      </c>
      <c r="AR213" s="794">
        <v>0</v>
      </c>
      <c r="AS213" s="794">
        <v>0</v>
      </c>
      <c r="AT213" s="794">
        <v>0</v>
      </c>
      <c r="AU213" s="794">
        <v>0</v>
      </c>
      <c r="AV213" s="794">
        <v>0</v>
      </c>
      <c r="AW213" s="794">
        <v>0</v>
      </c>
      <c r="AX213" s="794">
        <v>0</v>
      </c>
      <c r="AY213" s="794">
        <v>0</v>
      </c>
      <c r="AZ213" s="794">
        <v>0</v>
      </c>
      <c r="BA213" s="794">
        <v>0</v>
      </c>
      <c r="BB213" s="794">
        <v>0</v>
      </c>
      <c r="BC213" s="794">
        <v>0</v>
      </c>
      <c r="BD213" s="794">
        <v>0</v>
      </c>
      <c r="BE213" s="794">
        <v>0</v>
      </c>
      <c r="BF213" s="794">
        <v>0</v>
      </c>
      <c r="BG213" s="794">
        <v>0</v>
      </c>
      <c r="BH213" s="794">
        <v>0</v>
      </c>
      <c r="BI213" s="794">
        <v>0</v>
      </c>
      <c r="BJ213" s="794">
        <v>0</v>
      </c>
      <c r="BK213" s="794">
        <v>0</v>
      </c>
      <c r="BL213" s="794">
        <v>0</v>
      </c>
      <c r="BM213" s="794">
        <v>0</v>
      </c>
      <c r="BN213" s="794">
        <v>0</v>
      </c>
      <c r="BO213" s="794">
        <v>0</v>
      </c>
      <c r="BP213" s="794">
        <v>0</v>
      </c>
      <c r="BQ213" s="794">
        <v>0</v>
      </c>
      <c r="BR213" s="794">
        <v>0</v>
      </c>
      <c r="BS213" s="794">
        <v>0</v>
      </c>
      <c r="BT213" s="794">
        <v>0</v>
      </c>
      <c r="BU213" s="794">
        <v>0</v>
      </c>
      <c r="BV213" s="794">
        <v>0</v>
      </c>
    </row>
    <row r="214" spans="2:74">
      <c r="B214" s="793" t="s">
        <v>3045</v>
      </c>
      <c r="C214" s="793" t="s">
        <v>3046</v>
      </c>
      <c r="D214" s="793"/>
      <c r="E214" s="794"/>
      <c r="F214" s="799"/>
      <c r="G214" s="799"/>
      <c r="H214" s="799"/>
      <c r="I214" s="799"/>
      <c r="J214" s="799"/>
      <c r="K214" s="799"/>
      <c r="L214" s="799">
        <f t="shared" si="8"/>
        <v>1</v>
      </c>
      <c r="M214" s="799"/>
      <c r="N214" s="595"/>
      <c r="O214" s="794">
        <v>0</v>
      </c>
      <c r="P214" s="794">
        <v>0</v>
      </c>
      <c r="Q214" s="794">
        <v>0</v>
      </c>
      <c r="R214" s="794">
        <v>0</v>
      </c>
      <c r="S214" s="794">
        <v>0</v>
      </c>
      <c r="T214" s="794">
        <v>0</v>
      </c>
      <c r="U214" s="794">
        <v>0</v>
      </c>
      <c r="V214" s="794">
        <v>0</v>
      </c>
      <c r="W214" s="794">
        <v>0</v>
      </c>
      <c r="X214" s="794">
        <v>0</v>
      </c>
      <c r="Y214" s="794">
        <v>0</v>
      </c>
      <c r="Z214" s="794">
        <v>0</v>
      </c>
      <c r="AA214" s="794">
        <v>0</v>
      </c>
      <c r="AB214" s="794">
        <v>0</v>
      </c>
      <c r="AC214" s="794">
        <v>0</v>
      </c>
      <c r="AD214" s="794">
        <v>0</v>
      </c>
      <c r="AE214" s="794">
        <v>0</v>
      </c>
      <c r="AF214" s="794">
        <v>0</v>
      </c>
      <c r="AG214" s="794">
        <v>0</v>
      </c>
      <c r="AH214" s="794">
        <v>0</v>
      </c>
      <c r="AI214" s="809">
        <v>16170.72</v>
      </c>
      <c r="AJ214" s="794">
        <v>2831.2</v>
      </c>
      <c r="AK214" s="794">
        <v>0</v>
      </c>
      <c r="AL214" s="794">
        <v>0</v>
      </c>
      <c r="AM214" s="794">
        <v>0</v>
      </c>
      <c r="AN214" s="794">
        <v>0</v>
      </c>
      <c r="AO214" s="794">
        <v>0</v>
      </c>
      <c r="AP214" s="794">
        <v>0</v>
      </c>
      <c r="AQ214" s="794">
        <v>0</v>
      </c>
      <c r="AR214" s="794">
        <v>0</v>
      </c>
      <c r="AS214" s="794">
        <v>0</v>
      </c>
      <c r="AT214" s="794">
        <v>0</v>
      </c>
      <c r="AU214" s="794">
        <v>0</v>
      </c>
      <c r="AV214" s="794">
        <v>0</v>
      </c>
      <c r="AW214" s="794">
        <v>0</v>
      </c>
      <c r="AX214" s="794">
        <v>0</v>
      </c>
      <c r="AY214" s="794">
        <v>0</v>
      </c>
      <c r="AZ214" s="794">
        <v>0</v>
      </c>
      <c r="BA214" s="794">
        <v>0</v>
      </c>
      <c r="BB214" s="794">
        <v>0</v>
      </c>
      <c r="BC214" s="794">
        <v>0</v>
      </c>
      <c r="BD214" s="794">
        <v>0</v>
      </c>
      <c r="BE214" s="794">
        <v>0</v>
      </c>
      <c r="BF214" s="794">
        <v>0</v>
      </c>
      <c r="BG214" s="794">
        <v>0</v>
      </c>
      <c r="BH214" s="794">
        <v>0</v>
      </c>
      <c r="BI214" s="794">
        <v>0</v>
      </c>
      <c r="BJ214" s="794">
        <v>0</v>
      </c>
      <c r="BK214" s="794">
        <v>0</v>
      </c>
      <c r="BL214" s="794">
        <v>0</v>
      </c>
      <c r="BM214" s="794">
        <v>0</v>
      </c>
      <c r="BN214" s="794">
        <v>0</v>
      </c>
      <c r="BO214" s="794">
        <v>0</v>
      </c>
      <c r="BP214" s="794">
        <v>0</v>
      </c>
      <c r="BQ214" s="794">
        <v>0</v>
      </c>
      <c r="BR214" s="794">
        <v>0</v>
      </c>
      <c r="BS214" s="794">
        <v>0</v>
      </c>
      <c r="BT214" s="794">
        <v>0</v>
      </c>
      <c r="BU214" s="794">
        <v>0</v>
      </c>
      <c r="BV214" s="794">
        <v>0</v>
      </c>
    </row>
    <row r="215" spans="2:74">
      <c r="B215" s="793" t="s">
        <v>3047</v>
      </c>
      <c r="C215" s="793" t="s">
        <v>3048</v>
      </c>
      <c r="D215" s="793"/>
      <c r="E215" s="794"/>
      <c r="F215" s="799"/>
      <c r="G215" s="799"/>
      <c r="H215" s="799"/>
      <c r="I215" s="799"/>
      <c r="J215" s="799"/>
      <c r="K215" s="799"/>
      <c r="L215" s="799">
        <f t="shared" si="8"/>
        <v>331</v>
      </c>
      <c r="M215" s="799"/>
      <c r="N215" s="595"/>
      <c r="O215" s="794">
        <v>0</v>
      </c>
      <c r="P215" s="794">
        <v>0</v>
      </c>
      <c r="Q215" s="794">
        <v>0</v>
      </c>
      <c r="R215" s="794">
        <v>0</v>
      </c>
      <c r="S215" s="794">
        <v>0</v>
      </c>
      <c r="T215" s="794">
        <v>0</v>
      </c>
      <c r="U215" s="794">
        <v>0</v>
      </c>
      <c r="V215" s="794">
        <v>0</v>
      </c>
      <c r="W215" s="794">
        <v>0</v>
      </c>
      <c r="X215" s="794">
        <v>0</v>
      </c>
      <c r="Y215" s="794">
        <v>0</v>
      </c>
      <c r="Z215" s="794">
        <v>0</v>
      </c>
      <c r="AA215" s="794">
        <v>0</v>
      </c>
      <c r="AB215" s="794">
        <v>0</v>
      </c>
      <c r="AC215" s="794">
        <v>0</v>
      </c>
      <c r="AD215" s="794">
        <v>0</v>
      </c>
      <c r="AE215" s="794">
        <v>0</v>
      </c>
      <c r="AF215" s="794">
        <v>0</v>
      </c>
      <c r="AG215" s="794">
        <v>0</v>
      </c>
      <c r="AH215" s="794">
        <v>0</v>
      </c>
      <c r="AI215" s="794">
        <v>0</v>
      </c>
      <c r="AJ215" s="794">
        <v>0</v>
      </c>
      <c r="AK215" s="809">
        <v>14000</v>
      </c>
      <c r="AL215" s="794">
        <v>0</v>
      </c>
      <c r="AM215" s="794">
        <v>0</v>
      </c>
      <c r="AN215" s="794">
        <v>0</v>
      </c>
      <c r="AO215" s="794">
        <v>0</v>
      </c>
      <c r="AP215" s="794">
        <v>0</v>
      </c>
      <c r="AQ215" s="794">
        <v>0</v>
      </c>
      <c r="AR215" s="794">
        <v>0</v>
      </c>
      <c r="AS215" s="794">
        <v>0</v>
      </c>
      <c r="AT215" s="794">
        <v>0</v>
      </c>
      <c r="AU215" s="794">
        <v>0</v>
      </c>
      <c r="AV215" s="794">
        <v>0</v>
      </c>
      <c r="AW215" s="794">
        <v>0</v>
      </c>
      <c r="AX215" s="794">
        <v>0</v>
      </c>
      <c r="AY215" s="794">
        <v>0</v>
      </c>
      <c r="AZ215" s="794">
        <v>0</v>
      </c>
      <c r="BA215" s="794">
        <v>0</v>
      </c>
      <c r="BB215" s="794">
        <v>0</v>
      </c>
      <c r="BC215" s="794">
        <v>0</v>
      </c>
      <c r="BD215" s="794">
        <v>0</v>
      </c>
      <c r="BE215" s="794">
        <v>0</v>
      </c>
      <c r="BF215" s="794">
        <v>0</v>
      </c>
      <c r="BG215" s="794">
        <v>0</v>
      </c>
      <c r="BH215" s="794">
        <v>0</v>
      </c>
      <c r="BI215" s="794">
        <v>0</v>
      </c>
      <c r="BJ215" s="794">
        <v>0</v>
      </c>
      <c r="BK215" s="794">
        <v>0</v>
      </c>
      <c r="BL215" s="794">
        <v>0</v>
      </c>
      <c r="BM215" s="794">
        <v>0</v>
      </c>
      <c r="BN215" s="794">
        <v>0</v>
      </c>
      <c r="BO215" s="794">
        <v>0</v>
      </c>
      <c r="BP215" s="794">
        <v>0</v>
      </c>
      <c r="BQ215" s="794">
        <v>0</v>
      </c>
      <c r="BR215" s="794">
        <v>0</v>
      </c>
      <c r="BS215" s="794">
        <v>0</v>
      </c>
      <c r="BT215" s="794">
        <v>0</v>
      </c>
      <c r="BU215" s="794">
        <v>0</v>
      </c>
      <c r="BV215" s="794">
        <v>0</v>
      </c>
    </row>
    <row r="216" spans="2:74">
      <c r="B216" s="793" t="s">
        <v>859</v>
      </c>
      <c r="C216" s="793" t="s">
        <v>495</v>
      </c>
      <c r="D216" s="793"/>
      <c r="E216" s="794"/>
      <c r="F216" s="799"/>
      <c r="G216" s="799"/>
      <c r="H216" s="799"/>
      <c r="I216" s="799"/>
      <c r="J216" s="799"/>
      <c r="K216" s="799"/>
      <c r="L216" s="799">
        <f t="shared" si="8"/>
        <v>1</v>
      </c>
      <c r="M216" s="799"/>
      <c r="N216" s="595"/>
      <c r="O216" s="794">
        <v>0</v>
      </c>
      <c r="P216" s="794">
        <v>0</v>
      </c>
      <c r="Q216" s="794">
        <v>0</v>
      </c>
      <c r="R216" s="794">
        <v>0</v>
      </c>
      <c r="S216" s="794">
        <v>0</v>
      </c>
      <c r="T216" s="794">
        <v>0</v>
      </c>
      <c r="U216" s="794">
        <v>0</v>
      </c>
      <c r="V216" s="794">
        <v>0</v>
      </c>
      <c r="W216" s="794">
        <v>0</v>
      </c>
      <c r="X216" s="794">
        <v>0</v>
      </c>
      <c r="Y216" s="794">
        <v>0</v>
      </c>
      <c r="Z216" s="794">
        <v>0</v>
      </c>
      <c r="AA216" s="794">
        <v>0</v>
      </c>
      <c r="AB216" s="794">
        <v>0</v>
      </c>
      <c r="AC216" s="794">
        <v>0</v>
      </c>
      <c r="AD216" s="794">
        <v>0</v>
      </c>
      <c r="AE216" s="794">
        <v>0</v>
      </c>
      <c r="AF216" s="794">
        <v>0</v>
      </c>
      <c r="AG216" s="794">
        <v>0</v>
      </c>
      <c r="AH216" s="794">
        <v>0</v>
      </c>
      <c r="AI216" s="794">
        <v>0</v>
      </c>
      <c r="AJ216" s="809">
        <v>42852.79</v>
      </c>
      <c r="AK216" s="794">
        <v>41839.21</v>
      </c>
      <c r="AL216" s="794">
        <v>28230.38</v>
      </c>
      <c r="AM216" s="794">
        <v>32624.384999999998</v>
      </c>
      <c r="AN216" s="794">
        <v>119594.97</v>
      </c>
      <c r="AO216" s="794">
        <v>44131.519999999997</v>
      </c>
      <c r="AP216" s="794">
        <v>0</v>
      </c>
      <c r="AQ216" s="794">
        <v>44222.720000000001</v>
      </c>
      <c r="AR216" s="794">
        <v>53236.5</v>
      </c>
      <c r="AS216" s="794">
        <v>42009.08</v>
      </c>
      <c r="AT216" s="794">
        <v>30245.64</v>
      </c>
      <c r="AU216" s="794">
        <v>25020.799999999999</v>
      </c>
      <c r="AV216" s="794">
        <v>58549</v>
      </c>
      <c r="AW216" s="794">
        <v>44055.56</v>
      </c>
      <c r="AX216" s="794">
        <v>29124.400000000001</v>
      </c>
      <c r="AY216" s="794">
        <v>26128</v>
      </c>
      <c r="AZ216" s="794">
        <v>8660</v>
      </c>
      <c r="BA216" s="794">
        <v>0</v>
      </c>
      <c r="BB216" s="794">
        <v>0</v>
      </c>
      <c r="BC216" s="794">
        <v>0</v>
      </c>
      <c r="BD216" s="794">
        <v>0</v>
      </c>
      <c r="BE216" s="794">
        <v>0</v>
      </c>
      <c r="BF216" s="794">
        <v>0</v>
      </c>
      <c r="BG216" s="794">
        <v>0</v>
      </c>
      <c r="BH216" s="794">
        <v>0</v>
      </c>
      <c r="BI216" s="794">
        <v>0</v>
      </c>
      <c r="BJ216" s="794">
        <v>0</v>
      </c>
      <c r="BK216" s="794">
        <v>44944.24</v>
      </c>
      <c r="BL216" s="794">
        <v>58730.48</v>
      </c>
      <c r="BM216" s="794">
        <v>48885.35</v>
      </c>
      <c r="BN216" s="794">
        <v>43131.11</v>
      </c>
      <c r="BO216" s="794">
        <v>32630.76</v>
      </c>
      <c r="BP216" s="794">
        <v>73129.350000000006</v>
      </c>
      <c r="BQ216" s="794">
        <v>50580.61</v>
      </c>
      <c r="BR216" s="794">
        <v>0</v>
      </c>
      <c r="BS216" s="794">
        <v>0</v>
      </c>
      <c r="BT216" s="794">
        <v>0</v>
      </c>
      <c r="BU216" s="794">
        <v>271165.53999999998</v>
      </c>
      <c r="BV216" s="794">
        <v>6900</v>
      </c>
    </row>
    <row r="217" spans="2:74">
      <c r="B217" s="793" t="s">
        <v>3049</v>
      </c>
      <c r="C217" s="793" t="s">
        <v>3050</v>
      </c>
      <c r="D217" s="793"/>
      <c r="E217" s="794"/>
      <c r="F217" s="799"/>
      <c r="G217" s="799"/>
      <c r="H217" s="799"/>
      <c r="I217" s="799"/>
      <c r="J217" s="799"/>
      <c r="K217" s="799"/>
      <c r="L217" s="799">
        <f t="shared" si="8"/>
        <v>1</v>
      </c>
      <c r="M217" s="799"/>
      <c r="N217" s="595"/>
      <c r="O217" s="794">
        <v>0</v>
      </c>
      <c r="P217" s="794">
        <v>0</v>
      </c>
      <c r="Q217" s="794">
        <v>0</v>
      </c>
      <c r="R217" s="794">
        <v>0</v>
      </c>
      <c r="S217" s="794">
        <v>0</v>
      </c>
      <c r="T217" s="794">
        <v>0</v>
      </c>
      <c r="U217" s="794">
        <v>0</v>
      </c>
      <c r="V217" s="794">
        <v>0</v>
      </c>
      <c r="W217" s="794">
        <v>0</v>
      </c>
      <c r="X217" s="794">
        <v>0</v>
      </c>
      <c r="Y217" s="794">
        <v>0</v>
      </c>
      <c r="Z217" s="794">
        <v>0</v>
      </c>
      <c r="AA217" s="794">
        <v>0</v>
      </c>
      <c r="AB217" s="794">
        <v>0</v>
      </c>
      <c r="AC217" s="794">
        <v>0</v>
      </c>
      <c r="AD217" s="794">
        <v>0</v>
      </c>
      <c r="AE217" s="794">
        <v>0</v>
      </c>
      <c r="AF217" s="794">
        <v>0</v>
      </c>
      <c r="AG217" s="794">
        <v>0</v>
      </c>
      <c r="AH217" s="794">
        <v>0</v>
      </c>
      <c r="AI217" s="794">
        <v>0</v>
      </c>
      <c r="AJ217" s="809">
        <v>72900</v>
      </c>
      <c r="AK217" s="794">
        <v>39150</v>
      </c>
      <c r="AL217" s="794">
        <v>66236.19</v>
      </c>
      <c r="AM217" s="794">
        <v>135851.78</v>
      </c>
      <c r="AN217" s="794">
        <v>151397.01</v>
      </c>
      <c r="AO217" s="794">
        <v>35314</v>
      </c>
      <c r="AP217" s="794">
        <v>0</v>
      </c>
      <c r="AQ217" s="794">
        <v>48055.03</v>
      </c>
      <c r="AR217" s="794">
        <v>34064.33</v>
      </c>
      <c r="AS217" s="794">
        <v>169780.93</v>
      </c>
      <c r="AT217" s="794">
        <v>169780.93</v>
      </c>
      <c r="AU217" s="794">
        <v>0</v>
      </c>
      <c r="AV217" s="794">
        <v>0</v>
      </c>
      <c r="AW217" s="794">
        <v>0</v>
      </c>
      <c r="AX217" s="794">
        <v>0</v>
      </c>
      <c r="AY217" s="794">
        <v>0</v>
      </c>
      <c r="AZ217" s="794">
        <v>0</v>
      </c>
      <c r="BA217" s="794">
        <v>0</v>
      </c>
      <c r="BB217" s="794">
        <v>0</v>
      </c>
      <c r="BC217" s="794">
        <v>0</v>
      </c>
      <c r="BD217" s="794">
        <v>0</v>
      </c>
      <c r="BE217" s="794">
        <v>0</v>
      </c>
      <c r="BF217" s="794">
        <v>0</v>
      </c>
      <c r="BG217" s="794">
        <v>0</v>
      </c>
      <c r="BH217" s="794">
        <v>0</v>
      </c>
      <c r="BI217" s="794">
        <v>0</v>
      </c>
      <c r="BJ217" s="794">
        <v>0</v>
      </c>
      <c r="BK217" s="794">
        <v>0</v>
      </c>
      <c r="BL217" s="794">
        <v>0</v>
      </c>
      <c r="BM217" s="794">
        <v>0</v>
      </c>
      <c r="BN217" s="794">
        <v>0</v>
      </c>
      <c r="BO217" s="794">
        <v>0</v>
      </c>
      <c r="BP217" s="794">
        <v>0</v>
      </c>
      <c r="BQ217" s="794">
        <v>0</v>
      </c>
      <c r="BR217" s="794">
        <v>0</v>
      </c>
      <c r="BS217" s="794">
        <v>0</v>
      </c>
      <c r="BT217" s="794">
        <v>0</v>
      </c>
      <c r="BU217" s="794">
        <v>0</v>
      </c>
      <c r="BV217" s="794">
        <v>0</v>
      </c>
    </row>
    <row r="218" spans="2:74">
      <c r="B218" s="793" t="s">
        <v>3051</v>
      </c>
      <c r="C218" s="793" t="s">
        <v>3052</v>
      </c>
      <c r="D218" s="793"/>
      <c r="E218" s="794"/>
      <c r="F218" s="799"/>
      <c r="G218" s="799"/>
      <c r="H218" s="799"/>
      <c r="I218" s="799"/>
      <c r="J218" s="799"/>
      <c r="K218" s="799"/>
      <c r="L218" s="799">
        <f t="shared" si="8"/>
        <v>1</v>
      </c>
      <c r="M218" s="799"/>
      <c r="N218" s="595"/>
      <c r="O218" s="794">
        <v>0</v>
      </c>
      <c r="P218" s="794">
        <v>0</v>
      </c>
      <c r="Q218" s="794">
        <v>0</v>
      </c>
      <c r="R218" s="794">
        <v>0</v>
      </c>
      <c r="S218" s="794">
        <v>0</v>
      </c>
      <c r="T218" s="794">
        <v>0</v>
      </c>
      <c r="U218" s="794">
        <v>0</v>
      </c>
      <c r="V218" s="794">
        <v>0</v>
      </c>
      <c r="W218" s="794">
        <v>0</v>
      </c>
      <c r="X218" s="794">
        <v>0</v>
      </c>
      <c r="Y218" s="794">
        <v>0</v>
      </c>
      <c r="Z218" s="794">
        <v>0</v>
      </c>
      <c r="AA218" s="794">
        <v>0</v>
      </c>
      <c r="AB218" s="794">
        <v>0</v>
      </c>
      <c r="AC218" s="794">
        <v>0</v>
      </c>
      <c r="AD218" s="794">
        <v>0</v>
      </c>
      <c r="AE218" s="794">
        <v>0</v>
      </c>
      <c r="AF218" s="794">
        <v>0</v>
      </c>
      <c r="AG218" s="794">
        <v>0</v>
      </c>
      <c r="AH218" s="794">
        <v>0</v>
      </c>
      <c r="AI218" s="794">
        <v>0</v>
      </c>
      <c r="AJ218" s="809">
        <v>74000</v>
      </c>
      <c r="AK218" s="794">
        <v>0</v>
      </c>
      <c r="AL218" s="794">
        <v>0</v>
      </c>
      <c r="AM218" s="794">
        <v>0</v>
      </c>
      <c r="AN218" s="794">
        <v>27012.799999999999</v>
      </c>
      <c r="AO218" s="794">
        <v>0</v>
      </c>
      <c r="AP218" s="794">
        <v>0</v>
      </c>
      <c r="AQ218" s="794">
        <v>0</v>
      </c>
      <c r="AR218" s="794">
        <v>0</v>
      </c>
      <c r="AS218" s="794">
        <v>0</v>
      </c>
      <c r="AT218" s="794">
        <v>0</v>
      </c>
      <c r="AU218" s="794">
        <v>0</v>
      </c>
      <c r="AV218" s="794">
        <v>0</v>
      </c>
      <c r="AW218" s="794">
        <v>0</v>
      </c>
      <c r="AX218" s="794">
        <v>0</v>
      </c>
      <c r="AY218" s="794">
        <v>0</v>
      </c>
      <c r="AZ218" s="794">
        <v>0</v>
      </c>
      <c r="BA218" s="794">
        <v>0</v>
      </c>
      <c r="BB218" s="794">
        <v>0</v>
      </c>
      <c r="BC218" s="794">
        <v>0</v>
      </c>
      <c r="BD218" s="794">
        <v>0</v>
      </c>
      <c r="BE218" s="794">
        <v>0</v>
      </c>
      <c r="BF218" s="794">
        <v>0</v>
      </c>
      <c r="BG218" s="794">
        <v>0</v>
      </c>
      <c r="BH218" s="794">
        <v>0</v>
      </c>
      <c r="BI218" s="794">
        <v>0</v>
      </c>
      <c r="BJ218" s="794">
        <v>0</v>
      </c>
      <c r="BK218" s="794">
        <v>0</v>
      </c>
      <c r="BL218" s="794">
        <v>0</v>
      </c>
      <c r="BM218" s="794">
        <v>0</v>
      </c>
      <c r="BN218" s="794">
        <v>0</v>
      </c>
      <c r="BO218" s="794">
        <v>0</v>
      </c>
      <c r="BP218" s="794">
        <v>0</v>
      </c>
      <c r="BQ218" s="794">
        <v>0</v>
      </c>
      <c r="BR218" s="794">
        <v>0</v>
      </c>
      <c r="BS218" s="794">
        <v>0</v>
      </c>
      <c r="BT218" s="794">
        <v>0</v>
      </c>
      <c r="BU218" s="794">
        <v>0</v>
      </c>
      <c r="BV218" s="794">
        <v>0</v>
      </c>
    </row>
    <row r="219" spans="2:74">
      <c r="B219" s="793" t="s">
        <v>3053</v>
      </c>
      <c r="C219" s="793" t="s">
        <v>3026</v>
      </c>
      <c r="D219" s="793"/>
      <c r="E219" s="794"/>
      <c r="F219" s="799"/>
      <c r="G219" s="799"/>
      <c r="H219" s="799"/>
      <c r="I219" s="799"/>
      <c r="J219" s="799"/>
      <c r="K219" s="799"/>
      <c r="L219" s="799">
        <f t="shared" si="8"/>
        <v>1</v>
      </c>
      <c r="M219" s="799"/>
      <c r="N219" s="595"/>
      <c r="O219" s="794">
        <v>0</v>
      </c>
      <c r="P219" s="794">
        <v>0</v>
      </c>
      <c r="Q219" s="794">
        <v>0</v>
      </c>
      <c r="R219" s="794">
        <v>0</v>
      </c>
      <c r="S219" s="794">
        <v>0</v>
      </c>
      <c r="T219" s="794">
        <v>0</v>
      </c>
      <c r="U219" s="794">
        <v>0</v>
      </c>
      <c r="V219" s="794">
        <v>0</v>
      </c>
      <c r="W219" s="794">
        <v>0</v>
      </c>
      <c r="X219" s="794">
        <v>0</v>
      </c>
      <c r="Y219" s="794">
        <v>0</v>
      </c>
      <c r="Z219" s="794">
        <v>0</v>
      </c>
      <c r="AA219" s="794">
        <v>0</v>
      </c>
      <c r="AB219" s="794">
        <v>0</v>
      </c>
      <c r="AC219" s="794">
        <v>0</v>
      </c>
      <c r="AD219" s="794">
        <v>0</v>
      </c>
      <c r="AE219" s="794">
        <v>0</v>
      </c>
      <c r="AF219" s="794">
        <v>0</v>
      </c>
      <c r="AG219" s="794">
        <v>0</v>
      </c>
      <c r="AH219" s="794">
        <v>0</v>
      </c>
      <c r="AI219" s="794">
        <v>0</v>
      </c>
      <c r="AJ219" s="809">
        <v>45046.25</v>
      </c>
      <c r="AK219" s="794">
        <v>42450.2</v>
      </c>
      <c r="AL219" s="794">
        <v>52347</v>
      </c>
      <c r="AM219" s="794">
        <v>38238.050000000003</v>
      </c>
      <c r="AN219" s="794">
        <v>0</v>
      </c>
      <c r="AO219" s="794">
        <v>0</v>
      </c>
      <c r="AP219" s="794">
        <v>0</v>
      </c>
      <c r="AQ219" s="794">
        <v>0</v>
      </c>
      <c r="AR219" s="794">
        <v>0</v>
      </c>
      <c r="AS219" s="794">
        <v>0</v>
      </c>
      <c r="AT219" s="794">
        <v>146018.35</v>
      </c>
      <c r="AU219" s="794">
        <v>0</v>
      </c>
      <c r="AV219" s="794">
        <v>0</v>
      </c>
      <c r="AW219" s="794">
        <v>0</v>
      </c>
      <c r="AX219" s="794">
        <v>0</v>
      </c>
      <c r="AY219" s="794">
        <v>0</v>
      </c>
      <c r="AZ219" s="794">
        <v>13168.8</v>
      </c>
      <c r="BA219" s="794">
        <v>0</v>
      </c>
      <c r="BB219" s="794">
        <v>0</v>
      </c>
      <c r="BC219" s="794">
        <v>0</v>
      </c>
      <c r="BD219" s="794">
        <v>14150.05</v>
      </c>
      <c r="BE219" s="794">
        <v>0</v>
      </c>
      <c r="BF219" s="794">
        <v>0</v>
      </c>
      <c r="BG219" s="794">
        <v>0</v>
      </c>
      <c r="BH219" s="794">
        <v>0</v>
      </c>
      <c r="BI219" s="794">
        <v>0</v>
      </c>
      <c r="BJ219" s="794">
        <v>0</v>
      </c>
      <c r="BK219" s="794">
        <v>0</v>
      </c>
      <c r="BL219" s="794">
        <v>0</v>
      </c>
      <c r="BM219" s="794">
        <v>0</v>
      </c>
      <c r="BN219" s="794">
        <v>0</v>
      </c>
      <c r="BO219" s="794">
        <v>0</v>
      </c>
      <c r="BP219" s="794">
        <v>0</v>
      </c>
      <c r="BQ219" s="794">
        <v>0</v>
      </c>
      <c r="BR219" s="794">
        <v>0</v>
      </c>
      <c r="BS219" s="794">
        <v>0</v>
      </c>
      <c r="BT219" s="794">
        <v>0</v>
      </c>
      <c r="BU219" s="794">
        <v>0</v>
      </c>
      <c r="BV219" s="794">
        <v>0</v>
      </c>
    </row>
    <row r="220" spans="2:74">
      <c r="B220" s="793" t="s">
        <v>3054</v>
      </c>
      <c r="C220" s="793" t="s">
        <v>3055</v>
      </c>
      <c r="D220" s="793"/>
      <c r="E220" s="794"/>
      <c r="F220" s="799"/>
      <c r="G220" s="799"/>
      <c r="H220" s="799"/>
      <c r="I220" s="799"/>
      <c r="J220" s="799"/>
      <c r="K220" s="799"/>
      <c r="L220" s="799">
        <f t="shared" si="8"/>
        <v>1</v>
      </c>
      <c r="M220" s="799"/>
      <c r="N220" s="595"/>
      <c r="O220" s="794">
        <v>0</v>
      </c>
      <c r="P220" s="794">
        <v>0</v>
      </c>
      <c r="Q220" s="794">
        <v>0</v>
      </c>
      <c r="R220" s="794">
        <v>0</v>
      </c>
      <c r="S220" s="794">
        <v>0</v>
      </c>
      <c r="T220" s="794">
        <v>0</v>
      </c>
      <c r="U220" s="794">
        <v>0</v>
      </c>
      <c r="V220" s="794">
        <v>0</v>
      </c>
      <c r="W220" s="794">
        <v>0</v>
      </c>
      <c r="X220" s="794">
        <v>0</v>
      </c>
      <c r="Y220" s="794">
        <v>0</v>
      </c>
      <c r="Z220" s="794">
        <v>0</v>
      </c>
      <c r="AA220" s="794">
        <v>0</v>
      </c>
      <c r="AB220" s="794">
        <v>0</v>
      </c>
      <c r="AC220" s="794">
        <v>0</v>
      </c>
      <c r="AD220" s="794">
        <v>0</v>
      </c>
      <c r="AE220" s="794">
        <v>0</v>
      </c>
      <c r="AF220" s="794">
        <v>0</v>
      </c>
      <c r="AG220" s="794">
        <v>0</v>
      </c>
      <c r="AH220" s="794">
        <v>0</v>
      </c>
      <c r="AI220" s="794">
        <v>0</v>
      </c>
      <c r="AJ220" s="809">
        <v>132349.32</v>
      </c>
      <c r="AK220" s="794">
        <v>173000</v>
      </c>
      <c r="AL220" s="794">
        <v>0</v>
      </c>
      <c r="AM220" s="794">
        <v>0</v>
      </c>
      <c r="AN220" s="794">
        <v>0</v>
      </c>
      <c r="AO220" s="794">
        <v>0</v>
      </c>
      <c r="AP220" s="794">
        <v>0</v>
      </c>
      <c r="AQ220" s="794">
        <v>0</v>
      </c>
      <c r="AR220" s="794">
        <v>0</v>
      </c>
      <c r="AS220" s="794">
        <v>0</v>
      </c>
      <c r="AT220" s="794">
        <v>0</v>
      </c>
      <c r="AU220" s="794">
        <v>0</v>
      </c>
      <c r="AV220" s="794">
        <v>0</v>
      </c>
      <c r="AW220" s="794">
        <v>0</v>
      </c>
      <c r="AX220" s="794">
        <v>0</v>
      </c>
      <c r="AY220" s="794">
        <v>0</v>
      </c>
      <c r="AZ220" s="794">
        <v>0</v>
      </c>
      <c r="BA220" s="794">
        <v>0</v>
      </c>
      <c r="BB220" s="794">
        <v>0</v>
      </c>
      <c r="BC220" s="794">
        <v>0</v>
      </c>
      <c r="BD220" s="794">
        <v>0</v>
      </c>
      <c r="BE220" s="794">
        <v>0</v>
      </c>
      <c r="BF220" s="794">
        <v>0</v>
      </c>
      <c r="BG220" s="794">
        <v>0</v>
      </c>
      <c r="BH220" s="794">
        <v>0</v>
      </c>
      <c r="BI220" s="794">
        <v>0</v>
      </c>
      <c r="BJ220" s="794">
        <v>0</v>
      </c>
      <c r="BK220" s="794">
        <v>0</v>
      </c>
      <c r="BL220" s="794">
        <v>0</v>
      </c>
      <c r="BM220" s="794">
        <v>0</v>
      </c>
      <c r="BN220" s="794">
        <v>0</v>
      </c>
      <c r="BO220" s="794">
        <v>0</v>
      </c>
      <c r="BP220" s="794">
        <v>0</v>
      </c>
      <c r="BQ220" s="794">
        <v>0</v>
      </c>
      <c r="BR220" s="794">
        <v>0</v>
      </c>
      <c r="BS220" s="794">
        <v>0</v>
      </c>
      <c r="BT220" s="794">
        <v>0</v>
      </c>
      <c r="BU220" s="794">
        <v>0</v>
      </c>
      <c r="BV220" s="794">
        <v>0</v>
      </c>
    </row>
    <row r="221" spans="2:74">
      <c r="B221" s="793" t="s">
        <v>3056</v>
      </c>
      <c r="C221" s="793" t="s">
        <v>3057</v>
      </c>
      <c r="D221" s="793"/>
      <c r="E221" s="794"/>
      <c r="F221" s="799"/>
      <c r="G221" s="799"/>
      <c r="H221" s="799"/>
      <c r="I221" s="799"/>
      <c r="J221" s="799"/>
      <c r="K221" s="799"/>
      <c r="L221" s="799">
        <f t="shared" si="8"/>
        <v>331</v>
      </c>
      <c r="M221" s="799"/>
      <c r="N221" s="595"/>
      <c r="O221" s="794">
        <v>0</v>
      </c>
      <c r="P221" s="794">
        <v>0</v>
      </c>
      <c r="Q221" s="794">
        <v>0</v>
      </c>
      <c r="R221" s="794">
        <v>0</v>
      </c>
      <c r="S221" s="794">
        <v>0</v>
      </c>
      <c r="T221" s="794">
        <v>0</v>
      </c>
      <c r="U221" s="794">
        <v>0</v>
      </c>
      <c r="V221" s="794">
        <v>0</v>
      </c>
      <c r="W221" s="794">
        <v>0</v>
      </c>
      <c r="X221" s="794">
        <v>0</v>
      </c>
      <c r="Y221" s="794">
        <v>0</v>
      </c>
      <c r="Z221" s="794">
        <v>0</v>
      </c>
      <c r="AA221" s="794">
        <v>0</v>
      </c>
      <c r="AB221" s="794">
        <v>0</v>
      </c>
      <c r="AC221" s="794">
        <v>0</v>
      </c>
      <c r="AD221" s="794">
        <v>0</v>
      </c>
      <c r="AE221" s="794">
        <v>0</v>
      </c>
      <c r="AF221" s="794">
        <v>0</v>
      </c>
      <c r="AG221" s="794">
        <v>0</v>
      </c>
      <c r="AH221" s="794">
        <v>0</v>
      </c>
      <c r="AI221" s="794">
        <v>0</v>
      </c>
      <c r="AJ221" s="794">
        <v>0</v>
      </c>
      <c r="AK221" s="809">
        <v>65716.600000000006</v>
      </c>
      <c r="AL221" s="794">
        <v>0</v>
      </c>
      <c r="AM221" s="794">
        <v>0</v>
      </c>
      <c r="AN221" s="794">
        <v>0</v>
      </c>
      <c r="AO221" s="794">
        <v>0</v>
      </c>
      <c r="AP221" s="794">
        <v>0</v>
      </c>
      <c r="AQ221" s="794">
        <v>0</v>
      </c>
      <c r="AR221" s="794">
        <v>0</v>
      </c>
      <c r="AS221" s="794">
        <v>0</v>
      </c>
      <c r="AT221" s="794">
        <v>0</v>
      </c>
      <c r="AU221" s="794">
        <v>0</v>
      </c>
      <c r="AV221" s="794">
        <v>0</v>
      </c>
      <c r="AW221" s="794">
        <v>0</v>
      </c>
      <c r="AX221" s="794">
        <v>0</v>
      </c>
      <c r="AY221" s="794">
        <v>0</v>
      </c>
      <c r="AZ221" s="794">
        <v>0</v>
      </c>
      <c r="BA221" s="794">
        <v>0</v>
      </c>
      <c r="BB221" s="794">
        <v>0</v>
      </c>
      <c r="BC221" s="794">
        <v>0</v>
      </c>
      <c r="BD221" s="794">
        <v>0</v>
      </c>
      <c r="BE221" s="794">
        <v>0</v>
      </c>
      <c r="BF221" s="794">
        <v>0</v>
      </c>
      <c r="BG221" s="794">
        <v>0</v>
      </c>
      <c r="BH221" s="794">
        <v>0</v>
      </c>
      <c r="BI221" s="794">
        <v>0</v>
      </c>
      <c r="BJ221" s="794">
        <v>0</v>
      </c>
      <c r="BK221" s="794">
        <v>0</v>
      </c>
      <c r="BL221" s="794">
        <v>0</v>
      </c>
      <c r="BM221" s="794">
        <v>0</v>
      </c>
      <c r="BN221" s="794">
        <v>0</v>
      </c>
      <c r="BO221" s="794">
        <v>0</v>
      </c>
      <c r="BP221" s="794">
        <v>0</v>
      </c>
      <c r="BQ221" s="794">
        <v>0</v>
      </c>
      <c r="BR221" s="794">
        <v>0</v>
      </c>
      <c r="BS221" s="794">
        <v>0</v>
      </c>
      <c r="BT221" s="794">
        <v>0</v>
      </c>
      <c r="BU221" s="794">
        <v>0</v>
      </c>
      <c r="BV221" s="794">
        <v>0</v>
      </c>
    </row>
    <row r="222" spans="2:74">
      <c r="B222" s="793" t="s">
        <v>3058</v>
      </c>
      <c r="C222" s="793" t="s">
        <v>3059</v>
      </c>
      <c r="D222" s="793"/>
      <c r="E222" s="794"/>
      <c r="F222" s="799"/>
      <c r="G222" s="799"/>
      <c r="H222" s="799"/>
      <c r="I222" s="799"/>
      <c r="J222" s="799"/>
      <c r="K222" s="799"/>
      <c r="L222" s="799">
        <f t="shared" si="8"/>
        <v>1</v>
      </c>
      <c r="M222" s="799"/>
      <c r="N222" s="595"/>
      <c r="O222" s="794">
        <v>0</v>
      </c>
      <c r="P222" s="794">
        <v>0</v>
      </c>
      <c r="Q222" s="794">
        <v>0</v>
      </c>
      <c r="R222" s="794">
        <v>0</v>
      </c>
      <c r="S222" s="794">
        <v>0</v>
      </c>
      <c r="T222" s="794">
        <v>0</v>
      </c>
      <c r="U222" s="794">
        <v>0</v>
      </c>
      <c r="V222" s="794">
        <v>0</v>
      </c>
      <c r="W222" s="794">
        <v>0</v>
      </c>
      <c r="X222" s="794">
        <v>0</v>
      </c>
      <c r="Y222" s="794">
        <v>0</v>
      </c>
      <c r="Z222" s="794">
        <v>0</v>
      </c>
      <c r="AA222" s="794">
        <v>0</v>
      </c>
      <c r="AB222" s="794">
        <v>0</v>
      </c>
      <c r="AC222" s="794">
        <v>0</v>
      </c>
      <c r="AD222" s="794">
        <v>0</v>
      </c>
      <c r="AE222" s="794">
        <v>0</v>
      </c>
      <c r="AF222" s="794">
        <v>0</v>
      </c>
      <c r="AG222" s="794">
        <v>0</v>
      </c>
      <c r="AH222" s="794">
        <v>0</v>
      </c>
      <c r="AI222" s="794">
        <v>0</v>
      </c>
      <c r="AJ222" s="809">
        <v>39600</v>
      </c>
      <c r="AK222" s="794">
        <v>0</v>
      </c>
      <c r="AL222" s="794">
        <v>0</v>
      </c>
      <c r="AM222" s="794">
        <v>0</v>
      </c>
      <c r="AN222" s="794">
        <v>0</v>
      </c>
      <c r="AO222" s="794">
        <v>0</v>
      </c>
      <c r="AP222" s="794">
        <v>0</v>
      </c>
      <c r="AQ222" s="794">
        <v>0</v>
      </c>
      <c r="AR222" s="794">
        <v>0</v>
      </c>
      <c r="AS222" s="794">
        <v>0</v>
      </c>
      <c r="AT222" s="794">
        <v>0</v>
      </c>
      <c r="AU222" s="794">
        <v>0</v>
      </c>
      <c r="AV222" s="794">
        <v>0</v>
      </c>
      <c r="AW222" s="794">
        <v>0</v>
      </c>
      <c r="AX222" s="794">
        <v>0</v>
      </c>
      <c r="AY222" s="794">
        <v>0</v>
      </c>
      <c r="AZ222" s="794">
        <v>0</v>
      </c>
      <c r="BA222" s="794">
        <v>0</v>
      </c>
      <c r="BB222" s="794">
        <v>0</v>
      </c>
      <c r="BC222" s="794">
        <v>0</v>
      </c>
      <c r="BD222" s="794">
        <v>0</v>
      </c>
      <c r="BE222" s="794">
        <v>0</v>
      </c>
      <c r="BF222" s="794">
        <v>0</v>
      </c>
      <c r="BG222" s="794">
        <v>0</v>
      </c>
      <c r="BH222" s="794">
        <v>0</v>
      </c>
      <c r="BI222" s="794">
        <v>0</v>
      </c>
      <c r="BJ222" s="794">
        <v>0</v>
      </c>
      <c r="BK222" s="794">
        <v>0</v>
      </c>
      <c r="BL222" s="794">
        <v>0</v>
      </c>
      <c r="BM222" s="794">
        <v>0</v>
      </c>
      <c r="BN222" s="794">
        <v>0</v>
      </c>
      <c r="BO222" s="794">
        <v>0</v>
      </c>
      <c r="BP222" s="794">
        <v>0</v>
      </c>
      <c r="BQ222" s="794">
        <v>0</v>
      </c>
      <c r="BR222" s="794">
        <v>0</v>
      </c>
      <c r="BS222" s="794">
        <v>0</v>
      </c>
      <c r="BT222" s="794">
        <v>0</v>
      </c>
      <c r="BU222" s="794">
        <v>0</v>
      </c>
      <c r="BV222" s="794">
        <v>0</v>
      </c>
    </row>
    <row r="223" spans="2:74">
      <c r="B223" s="793" t="s">
        <v>3060</v>
      </c>
      <c r="C223" s="793" t="s">
        <v>3061</v>
      </c>
      <c r="D223" s="793"/>
      <c r="E223" s="794"/>
      <c r="F223" s="799"/>
      <c r="G223" s="799"/>
      <c r="H223" s="799"/>
      <c r="I223" s="799"/>
      <c r="J223" s="799"/>
      <c r="K223" s="799"/>
      <c r="L223" s="799">
        <f t="shared" si="8"/>
        <v>1</v>
      </c>
      <c r="M223" s="799"/>
      <c r="N223" s="595"/>
      <c r="O223" s="794">
        <v>0</v>
      </c>
      <c r="P223" s="794">
        <v>0</v>
      </c>
      <c r="Q223" s="794">
        <v>0</v>
      </c>
      <c r="R223" s="794">
        <v>0</v>
      </c>
      <c r="S223" s="794">
        <v>0</v>
      </c>
      <c r="T223" s="794">
        <v>0</v>
      </c>
      <c r="U223" s="794">
        <v>0</v>
      </c>
      <c r="V223" s="794">
        <v>0</v>
      </c>
      <c r="W223" s="794">
        <v>0</v>
      </c>
      <c r="X223" s="794">
        <v>0</v>
      </c>
      <c r="Y223" s="794">
        <v>0</v>
      </c>
      <c r="Z223" s="794">
        <v>0</v>
      </c>
      <c r="AA223" s="794">
        <v>0</v>
      </c>
      <c r="AB223" s="794">
        <v>0</v>
      </c>
      <c r="AC223" s="794">
        <v>0</v>
      </c>
      <c r="AD223" s="794">
        <v>0</v>
      </c>
      <c r="AE223" s="794">
        <v>0</v>
      </c>
      <c r="AF223" s="794">
        <v>0</v>
      </c>
      <c r="AG223" s="794">
        <v>0</v>
      </c>
      <c r="AH223" s="794">
        <v>0</v>
      </c>
      <c r="AI223" s="794">
        <v>0</v>
      </c>
      <c r="AJ223" s="809">
        <v>14500</v>
      </c>
      <c r="AK223" s="794">
        <v>0</v>
      </c>
      <c r="AL223" s="794">
        <v>0</v>
      </c>
      <c r="AM223" s="794">
        <v>3758</v>
      </c>
      <c r="AN223" s="794">
        <v>0</v>
      </c>
      <c r="AO223" s="794">
        <v>0</v>
      </c>
      <c r="AP223" s="794">
        <v>0</v>
      </c>
      <c r="AQ223" s="794">
        <v>0</v>
      </c>
      <c r="AR223" s="794">
        <v>0</v>
      </c>
      <c r="AS223" s="794">
        <v>0</v>
      </c>
      <c r="AT223" s="794">
        <v>0</v>
      </c>
      <c r="AU223" s="794">
        <v>0</v>
      </c>
      <c r="AV223" s="794">
        <v>0</v>
      </c>
      <c r="AW223" s="794">
        <v>0</v>
      </c>
      <c r="AX223" s="794">
        <v>0</v>
      </c>
      <c r="AY223" s="794">
        <v>0</v>
      </c>
      <c r="AZ223" s="794">
        <v>0</v>
      </c>
      <c r="BA223" s="794">
        <v>0</v>
      </c>
      <c r="BB223" s="794">
        <v>0</v>
      </c>
      <c r="BC223" s="794">
        <v>0</v>
      </c>
      <c r="BD223" s="794">
        <v>0</v>
      </c>
      <c r="BE223" s="794">
        <v>0</v>
      </c>
      <c r="BF223" s="794">
        <v>0</v>
      </c>
      <c r="BG223" s="794">
        <v>0</v>
      </c>
      <c r="BH223" s="794">
        <v>0</v>
      </c>
      <c r="BI223" s="794">
        <v>0</v>
      </c>
      <c r="BJ223" s="794">
        <v>0</v>
      </c>
      <c r="BK223" s="794">
        <v>0</v>
      </c>
      <c r="BL223" s="794">
        <v>0</v>
      </c>
      <c r="BM223" s="794">
        <v>0</v>
      </c>
      <c r="BN223" s="794">
        <v>0</v>
      </c>
      <c r="BO223" s="794">
        <v>0</v>
      </c>
      <c r="BP223" s="794">
        <v>0</v>
      </c>
      <c r="BQ223" s="794">
        <v>0</v>
      </c>
      <c r="BR223" s="794">
        <v>0</v>
      </c>
      <c r="BS223" s="794">
        <v>0</v>
      </c>
      <c r="BT223" s="794">
        <v>0</v>
      </c>
      <c r="BU223" s="794">
        <v>0</v>
      </c>
      <c r="BV223" s="794">
        <v>0</v>
      </c>
    </row>
    <row r="224" spans="2:74">
      <c r="B224" s="793" t="s">
        <v>3062</v>
      </c>
      <c r="C224" s="793" t="s">
        <v>3063</v>
      </c>
      <c r="D224" s="793"/>
      <c r="E224" s="794"/>
      <c r="F224" s="799"/>
      <c r="G224" s="799"/>
      <c r="H224" s="799"/>
      <c r="I224" s="799"/>
      <c r="J224" s="799"/>
      <c r="K224" s="799"/>
      <c r="L224" s="799">
        <f t="shared" si="8"/>
        <v>1</v>
      </c>
      <c r="M224" s="799"/>
      <c r="N224" s="595"/>
      <c r="O224" s="794">
        <v>0</v>
      </c>
      <c r="P224" s="794">
        <v>0</v>
      </c>
      <c r="Q224" s="794">
        <v>0</v>
      </c>
      <c r="R224" s="794">
        <v>0</v>
      </c>
      <c r="S224" s="794">
        <v>0</v>
      </c>
      <c r="T224" s="794">
        <v>0</v>
      </c>
      <c r="U224" s="794">
        <v>0</v>
      </c>
      <c r="V224" s="794">
        <v>0</v>
      </c>
      <c r="W224" s="794">
        <v>0</v>
      </c>
      <c r="X224" s="794">
        <v>0</v>
      </c>
      <c r="Y224" s="794">
        <v>0</v>
      </c>
      <c r="Z224" s="794">
        <v>0</v>
      </c>
      <c r="AA224" s="794">
        <v>0</v>
      </c>
      <c r="AB224" s="794">
        <v>0</v>
      </c>
      <c r="AC224" s="794">
        <v>0</v>
      </c>
      <c r="AD224" s="794">
        <v>0</v>
      </c>
      <c r="AE224" s="794">
        <v>0</v>
      </c>
      <c r="AF224" s="794">
        <v>0</v>
      </c>
      <c r="AG224" s="794">
        <v>0</v>
      </c>
      <c r="AH224" s="794">
        <v>0</v>
      </c>
      <c r="AI224" s="794">
        <v>0</v>
      </c>
      <c r="AJ224" s="809">
        <v>27500</v>
      </c>
      <c r="AK224" s="794">
        <v>0</v>
      </c>
      <c r="AL224" s="794">
        <v>0</v>
      </c>
      <c r="AM224" s="794">
        <v>0</v>
      </c>
      <c r="AN224" s="794">
        <v>0</v>
      </c>
      <c r="AO224" s="794">
        <v>0</v>
      </c>
      <c r="AP224" s="794">
        <v>0</v>
      </c>
      <c r="AQ224" s="794">
        <v>0</v>
      </c>
      <c r="AR224" s="794">
        <v>0</v>
      </c>
      <c r="AS224" s="794">
        <v>0</v>
      </c>
      <c r="AT224" s="794">
        <v>0</v>
      </c>
      <c r="AU224" s="794">
        <v>0</v>
      </c>
      <c r="AV224" s="794">
        <v>0</v>
      </c>
      <c r="AW224" s="794">
        <v>0</v>
      </c>
      <c r="AX224" s="794">
        <v>0</v>
      </c>
      <c r="AY224" s="794">
        <v>0</v>
      </c>
      <c r="AZ224" s="794">
        <v>0</v>
      </c>
      <c r="BA224" s="794">
        <v>0</v>
      </c>
      <c r="BB224" s="794">
        <v>0</v>
      </c>
      <c r="BC224" s="794">
        <v>0</v>
      </c>
      <c r="BD224" s="794">
        <v>0</v>
      </c>
      <c r="BE224" s="794">
        <v>0</v>
      </c>
      <c r="BF224" s="794">
        <v>0</v>
      </c>
      <c r="BG224" s="794">
        <v>0</v>
      </c>
      <c r="BH224" s="794">
        <v>0</v>
      </c>
      <c r="BI224" s="794">
        <v>0</v>
      </c>
      <c r="BJ224" s="794">
        <v>0</v>
      </c>
      <c r="BK224" s="794">
        <v>0</v>
      </c>
      <c r="BL224" s="794">
        <v>0</v>
      </c>
      <c r="BM224" s="794">
        <v>0</v>
      </c>
      <c r="BN224" s="794">
        <v>0</v>
      </c>
      <c r="BO224" s="794">
        <v>0</v>
      </c>
      <c r="BP224" s="794">
        <v>0</v>
      </c>
      <c r="BQ224" s="794">
        <v>0</v>
      </c>
      <c r="BR224" s="794">
        <v>0</v>
      </c>
      <c r="BS224" s="794">
        <v>0</v>
      </c>
      <c r="BT224" s="794">
        <v>0</v>
      </c>
      <c r="BU224" s="794">
        <v>0</v>
      </c>
      <c r="BV224" s="794">
        <v>0</v>
      </c>
    </row>
    <row r="225" spans="2:74">
      <c r="B225" s="793" t="s">
        <v>3064</v>
      </c>
      <c r="C225" s="793" t="s">
        <v>2970</v>
      </c>
      <c r="D225" s="793"/>
      <c r="E225" s="794"/>
      <c r="F225" s="799"/>
      <c r="G225" s="799"/>
      <c r="H225" s="799"/>
      <c r="I225" s="799"/>
      <c r="J225" s="799"/>
      <c r="K225" s="799"/>
      <c r="L225" s="799">
        <f t="shared" si="8"/>
        <v>1</v>
      </c>
      <c r="M225" s="799"/>
      <c r="N225" s="595"/>
      <c r="O225" s="794">
        <v>0</v>
      </c>
      <c r="P225" s="794">
        <v>0</v>
      </c>
      <c r="Q225" s="794">
        <v>0</v>
      </c>
      <c r="R225" s="794">
        <v>0</v>
      </c>
      <c r="S225" s="794">
        <v>0</v>
      </c>
      <c r="T225" s="794">
        <v>0</v>
      </c>
      <c r="U225" s="794">
        <v>0</v>
      </c>
      <c r="V225" s="794">
        <v>0</v>
      </c>
      <c r="W225" s="794">
        <v>0</v>
      </c>
      <c r="X225" s="794">
        <v>0</v>
      </c>
      <c r="Y225" s="794">
        <v>0</v>
      </c>
      <c r="Z225" s="794">
        <v>0</v>
      </c>
      <c r="AA225" s="794">
        <v>0</v>
      </c>
      <c r="AB225" s="794">
        <v>0</v>
      </c>
      <c r="AC225" s="794">
        <v>0</v>
      </c>
      <c r="AD225" s="794">
        <v>0</v>
      </c>
      <c r="AE225" s="794">
        <v>0</v>
      </c>
      <c r="AF225" s="794">
        <v>0</v>
      </c>
      <c r="AG225" s="794">
        <v>0</v>
      </c>
      <c r="AH225" s="794">
        <v>0</v>
      </c>
      <c r="AI225" s="794">
        <v>0</v>
      </c>
      <c r="AJ225" s="809">
        <v>71557.25</v>
      </c>
      <c r="AK225" s="794">
        <v>0</v>
      </c>
      <c r="AL225" s="794">
        <v>0</v>
      </c>
      <c r="AM225" s="794">
        <v>0</v>
      </c>
      <c r="AN225" s="794">
        <v>0</v>
      </c>
      <c r="AO225" s="794">
        <v>0</v>
      </c>
      <c r="AP225" s="794">
        <v>0</v>
      </c>
      <c r="AQ225" s="794">
        <v>0</v>
      </c>
      <c r="AR225" s="794">
        <v>0</v>
      </c>
      <c r="AS225" s="794">
        <v>0</v>
      </c>
      <c r="AT225" s="794">
        <v>0</v>
      </c>
      <c r="AU225" s="794">
        <v>0</v>
      </c>
      <c r="AV225" s="794">
        <v>0</v>
      </c>
      <c r="AW225" s="794">
        <v>0</v>
      </c>
      <c r="AX225" s="794">
        <v>0</v>
      </c>
      <c r="AY225" s="794">
        <v>0</v>
      </c>
      <c r="AZ225" s="794">
        <v>0</v>
      </c>
      <c r="BA225" s="794">
        <v>0</v>
      </c>
      <c r="BB225" s="794">
        <v>0</v>
      </c>
      <c r="BC225" s="794">
        <v>0</v>
      </c>
      <c r="BD225" s="794">
        <v>0</v>
      </c>
      <c r="BE225" s="794">
        <v>0</v>
      </c>
      <c r="BF225" s="794">
        <v>0</v>
      </c>
      <c r="BG225" s="794">
        <v>0</v>
      </c>
      <c r="BH225" s="794">
        <v>0</v>
      </c>
      <c r="BI225" s="794">
        <v>0</v>
      </c>
      <c r="BJ225" s="794">
        <v>0</v>
      </c>
      <c r="BK225" s="794">
        <v>0</v>
      </c>
      <c r="BL225" s="794">
        <v>0</v>
      </c>
      <c r="BM225" s="794">
        <v>0</v>
      </c>
      <c r="BN225" s="794">
        <v>0</v>
      </c>
      <c r="BO225" s="794">
        <v>0</v>
      </c>
      <c r="BP225" s="794">
        <v>0</v>
      </c>
      <c r="BQ225" s="794">
        <v>0</v>
      </c>
      <c r="BR225" s="794">
        <v>0</v>
      </c>
      <c r="BS225" s="794">
        <v>0</v>
      </c>
      <c r="BT225" s="794">
        <v>0</v>
      </c>
      <c r="BU225" s="794">
        <v>0</v>
      </c>
      <c r="BV225" s="794">
        <v>0</v>
      </c>
    </row>
    <row r="226" spans="2:74">
      <c r="B226" s="793" t="s">
        <v>3065</v>
      </c>
      <c r="C226" s="793" t="s">
        <v>3066</v>
      </c>
      <c r="D226" s="793"/>
      <c r="E226" s="794"/>
      <c r="F226" s="799"/>
      <c r="G226" s="799"/>
      <c r="H226" s="799"/>
      <c r="I226" s="799"/>
      <c r="J226" s="799"/>
      <c r="K226" s="799"/>
      <c r="L226" s="799">
        <f t="shared" si="8"/>
        <v>1</v>
      </c>
      <c r="M226" s="799"/>
      <c r="N226" s="595"/>
      <c r="O226" s="794">
        <v>0</v>
      </c>
      <c r="P226" s="794">
        <v>0</v>
      </c>
      <c r="Q226" s="794">
        <v>0</v>
      </c>
      <c r="R226" s="794">
        <v>0</v>
      </c>
      <c r="S226" s="794">
        <v>0</v>
      </c>
      <c r="T226" s="794">
        <v>0</v>
      </c>
      <c r="U226" s="794">
        <v>0</v>
      </c>
      <c r="V226" s="794">
        <v>0</v>
      </c>
      <c r="W226" s="794">
        <v>0</v>
      </c>
      <c r="X226" s="794">
        <v>0</v>
      </c>
      <c r="Y226" s="794">
        <v>0</v>
      </c>
      <c r="Z226" s="794">
        <v>0</v>
      </c>
      <c r="AA226" s="794">
        <v>0</v>
      </c>
      <c r="AB226" s="794">
        <v>0</v>
      </c>
      <c r="AC226" s="794">
        <v>0</v>
      </c>
      <c r="AD226" s="794">
        <v>0</v>
      </c>
      <c r="AE226" s="794">
        <v>0</v>
      </c>
      <c r="AF226" s="794">
        <v>0</v>
      </c>
      <c r="AG226" s="794">
        <v>0</v>
      </c>
      <c r="AH226" s="794">
        <v>0</v>
      </c>
      <c r="AI226" s="794">
        <v>0</v>
      </c>
      <c r="AJ226" s="809">
        <v>40789</v>
      </c>
      <c r="AK226" s="794">
        <v>0</v>
      </c>
      <c r="AL226" s="794">
        <v>0</v>
      </c>
      <c r="AM226" s="794">
        <v>0</v>
      </c>
      <c r="AN226" s="794">
        <v>0</v>
      </c>
      <c r="AO226" s="794">
        <v>0</v>
      </c>
      <c r="AP226" s="794">
        <v>0</v>
      </c>
      <c r="AQ226" s="794">
        <v>0</v>
      </c>
      <c r="AR226" s="794">
        <v>0</v>
      </c>
      <c r="AS226" s="794">
        <v>0</v>
      </c>
      <c r="AT226" s="794">
        <v>0</v>
      </c>
      <c r="AU226" s="794">
        <v>0</v>
      </c>
      <c r="AV226" s="794">
        <v>0</v>
      </c>
      <c r="AW226" s="794">
        <v>0</v>
      </c>
      <c r="AX226" s="794">
        <v>0</v>
      </c>
      <c r="AY226" s="794">
        <v>0</v>
      </c>
      <c r="AZ226" s="794">
        <v>0</v>
      </c>
      <c r="BA226" s="794">
        <v>0</v>
      </c>
      <c r="BB226" s="794">
        <v>0</v>
      </c>
      <c r="BC226" s="794">
        <v>0</v>
      </c>
      <c r="BD226" s="794">
        <v>0</v>
      </c>
      <c r="BE226" s="794">
        <v>0</v>
      </c>
      <c r="BF226" s="794">
        <v>0</v>
      </c>
      <c r="BG226" s="794">
        <v>0</v>
      </c>
      <c r="BH226" s="794">
        <v>0</v>
      </c>
      <c r="BI226" s="794">
        <v>0</v>
      </c>
      <c r="BJ226" s="794">
        <v>0</v>
      </c>
      <c r="BK226" s="794">
        <v>0</v>
      </c>
      <c r="BL226" s="794">
        <v>0</v>
      </c>
      <c r="BM226" s="794">
        <v>0</v>
      </c>
      <c r="BN226" s="794">
        <v>0</v>
      </c>
      <c r="BO226" s="794">
        <v>0</v>
      </c>
      <c r="BP226" s="794">
        <v>0</v>
      </c>
      <c r="BQ226" s="794">
        <v>0</v>
      </c>
      <c r="BR226" s="794">
        <v>0</v>
      </c>
      <c r="BS226" s="794">
        <v>0</v>
      </c>
      <c r="BT226" s="794">
        <v>0</v>
      </c>
      <c r="BU226" s="794">
        <v>0</v>
      </c>
      <c r="BV226" s="794">
        <v>0</v>
      </c>
    </row>
    <row r="227" spans="2:74">
      <c r="B227" s="793" t="s">
        <v>3067</v>
      </c>
      <c r="C227" s="793" t="s">
        <v>3068</v>
      </c>
      <c r="D227" s="793"/>
      <c r="E227" s="794"/>
      <c r="F227" s="799"/>
      <c r="G227" s="799"/>
      <c r="H227" s="799"/>
      <c r="I227" s="799"/>
      <c r="J227" s="799"/>
      <c r="K227" s="799"/>
      <c r="L227" s="799">
        <f t="shared" si="8"/>
        <v>1</v>
      </c>
      <c r="M227" s="799"/>
      <c r="N227" s="595"/>
      <c r="O227" s="794">
        <v>0</v>
      </c>
      <c r="P227" s="794">
        <v>0</v>
      </c>
      <c r="Q227" s="794">
        <v>0</v>
      </c>
      <c r="R227" s="794">
        <v>0</v>
      </c>
      <c r="S227" s="794">
        <v>0</v>
      </c>
      <c r="T227" s="794">
        <v>0</v>
      </c>
      <c r="U227" s="794">
        <v>0</v>
      </c>
      <c r="V227" s="794">
        <v>0</v>
      </c>
      <c r="W227" s="794">
        <v>0</v>
      </c>
      <c r="X227" s="794">
        <v>0</v>
      </c>
      <c r="Y227" s="794">
        <v>0</v>
      </c>
      <c r="Z227" s="794">
        <v>0</v>
      </c>
      <c r="AA227" s="794">
        <v>0</v>
      </c>
      <c r="AB227" s="794">
        <v>0</v>
      </c>
      <c r="AC227" s="794">
        <v>0</v>
      </c>
      <c r="AD227" s="794">
        <v>0</v>
      </c>
      <c r="AE227" s="794">
        <v>0</v>
      </c>
      <c r="AF227" s="794">
        <v>0</v>
      </c>
      <c r="AG227" s="794">
        <v>0</v>
      </c>
      <c r="AH227" s="794">
        <v>0</v>
      </c>
      <c r="AI227" s="794">
        <v>0</v>
      </c>
      <c r="AJ227" s="809">
        <v>37265</v>
      </c>
      <c r="AK227" s="794">
        <v>0</v>
      </c>
      <c r="AL227" s="794">
        <v>0</v>
      </c>
      <c r="AM227" s="794">
        <v>0</v>
      </c>
      <c r="AN227" s="794">
        <v>0</v>
      </c>
      <c r="AO227" s="794">
        <v>0</v>
      </c>
      <c r="AP227" s="794">
        <v>0</v>
      </c>
      <c r="AQ227" s="794">
        <v>0</v>
      </c>
      <c r="AR227" s="794">
        <v>0</v>
      </c>
      <c r="AS227" s="794">
        <v>0</v>
      </c>
      <c r="AT227" s="794">
        <v>0</v>
      </c>
      <c r="AU227" s="794">
        <v>0</v>
      </c>
      <c r="AV227" s="794">
        <v>0</v>
      </c>
      <c r="AW227" s="794">
        <v>0</v>
      </c>
      <c r="AX227" s="794">
        <v>0</v>
      </c>
      <c r="AY227" s="794">
        <v>0</v>
      </c>
      <c r="AZ227" s="794">
        <v>0</v>
      </c>
      <c r="BA227" s="794">
        <v>0</v>
      </c>
      <c r="BB227" s="794">
        <v>0</v>
      </c>
      <c r="BC227" s="794">
        <v>0</v>
      </c>
      <c r="BD227" s="794">
        <v>0</v>
      </c>
      <c r="BE227" s="794">
        <v>0</v>
      </c>
      <c r="BF227" s="794">
        <v>0</v>
      </c>
      <c r="BG227" s="794">
        <v>0</v>
      </c>
      <c r="BH227" s="794">
        <v>0</v>
      </c>
      <c r="BI227" s="794">
        <v>0</v>
      </c>
      <c r="BJ227" s="794">
        <v>0</v>
      </c>
      <c r="BK227" s="794">
        <v>0</v>
      </c>
      <c r="BL227" s="794">
        <v>0</v>
      </c>
      <c r="BM227" s="794">
        <v>0</v>
      </c>
      <c r="BN227" s="794">
        <v>0</v>
      </c>
      <c r="BO227" s="794">
        <v>0</v>
      </c>
      <c r="BP227" s="794">
        <v>0</v>
      </c>
      <c r="BQ227" s="794">
        <v>0</v>
      </c>
      <c r="BR227" s="794">
        <v>0</v>
      </c>
      <c r="BS227" s="794">
        <v>0</v>
      </c>
      <c r="BT227" s="794">
        <v>0</v>
      </c>
      <c r="BU227" s="794">
        <v>0</v>
      </c>
      <c r="BV227" s="794">
        <v>0</v>
      </c>
    </row>
    <row r="228" spans="2:74">
      <c r="B228" s="793" t="s">
        <v>3069</v>
      </c>
      <c r="C228" s="793" t="s">
        <v>481</v>
      </c>
      <c r="D228" s="793"/>
      <c r="E228" s="794"/>
      <c r="F228" s="799"/>
      <c r="G228" s="799"/>
      <c r="H228" s="799"/>
      <c r="I228" s="799"/>
      <c r="J228" s="799"/>
      <c r="K228" s="799"/>
      <c r="L228" s="799">
        <f t="shared" si="8"/>
        <v>1</v>
      </c>
      <c r="M228" s="799"/>
      <c r="N228" s="595"/>
      <c r="O228" s="794">
        <v>0</v>
      </c>
      <c r="P228" s="794">
        <v>0</v>
      </c>
      <c r="Q228" s="794">
        <v>0</v>
      </c>
      <c r="R228" s="794">
        <v>0</v>
      </c>
      <c r="S228" s="794">
        <v>0</v>
      </c>
      <c r="T228" s="794">
        <v>0</v>
      </c>
      <c r="U228" s="794">
        <v>0</v>
      </c>
      <c r="V228" s="794">
        <v>0</v>
      </c>
      <c r="W228" s="794">
        <v>0</v>
      </c>
      <c r="X228" s="794">
        <v>0</v>
      </c>
      <c r="Y228" s="794">
        <v>0</v>
      </c>
      <c r="Z228" s="794">
        <v>0</v>
      </c>
      <c r="AA228" s="794">
        <v>0</v>
      </c>
      <c r="AB228" s="794">
        <v>0</v>
      </c>
      <c r="AC228" s="794">
        <v>0</v>
      </c>
      <c r="AD228" s="794">
        <v>0</v>
      </c>
      <c r="AE228" s="794">
        <v>0</v>
      </c>
      <c r="AF228" s="794">
        <v>0</v>
      </c>
      <c r="AG228" s="794">
        <v>0</v>
      </c>
      <c r="AH228" s="794">
        <v>0</v>
      </c>
      <c r="AI228" s="794">
        <v>0</v>
      </c>
      <c r="AJ228" s="809">
        <v>10213.76</v>
      </c>
      <c r="AK228" s="794">
        <v>21338.639999999999</v>
      </c>
      <c r="AL228" s="794">
        <v>19736.8</v>
      </c>
      <c r="AM228" s="794">
        <v>23580.25</v>
      </c>
      <c r="AN228" s="794">
        <v>28012.58</v>
      </c>
      <c r="AO228" s="794">
        <v>7080.39</v>
      </c>
      <c r="AP228" s="794">
        <v>22351.97</v>
      </c>
      <c r="AQ228" s="794">
        <v>10372</v>
      </c>
      <c r="AR228" s="794">
        <v>21915.200000000001</v>
      </c>
      <c r="AS228" s="794">
        <v>60133.26</v>
      </c>
      <c r="AT228" s="794">
        <v>55315.94</v>
      </c>
      <c r="AU228" s="794">
        <v>23636.34</v>
      </c>
      <c r="AV228" s="794">
        <v>0</v>
      </c>
      <c r="AW228" s="794">
        <v>0</v>
      </c>
      <c r="AX228" s="794">
        <v>0</v>
      </c>
      <c r="AY228" s="794">
        <v>6977.44</v>
      </c>
      <c r="AZ228" s="794">
        <v>15786</v>
      </c>
      <c r="BA228" s="794">
        <v>7784.8</v>
      </c>
      <c r="BB228" s="794">
        <v>0</v>
      </c>
      <c r="BC228" s="794">
        <v>0</v>
      </c>
      <c r="BD228" s="794">
        <v>0</v>
      </c>
      <c r="BE228" s="794">
        <v>0</v>
      </c>
      <c r="BF228" s="794">
        <v>0</v>
      </c>
      <c r="BG228" s="794">
        <v>0</v>
      </c>
      <c r="BH228" s="794">
        <v>0</v>
      </c>
      <c r="BI228" s="794">
        <v>0</v>
      </c>
      <c r="BJ228" s="794">
        <v>0</v>
      </c>
      <c r="BK228" s="794">
        <v>0</v>
      </c>
      <c r="BL228" s="794">
        <v>0</v>
      </c>
      <c r="BM228" s="794">
        <v>0</v>
      </c>
      <c r="BN228" s="794">
        <v>0</v>
      </c>
      <c r="BO228" s="794">
        <v>0</v>
      </c>
      <c r="BP228" s="794">
        <v>18405.62</v>
      </c>
      <c r="BQ228" s="794">
        <v>0</v>
      </c>
      <c r="BR228" s="794">
        <v>0</v>
      </c>
      <c r="BS228" s="794">
        <v>0</v>
      </c>
      <c r="BT228" s="794">
        <v>0</v>
      </c>
      <c r="BU228" s="794">
        <v>0</v>
      </c>
      <c r="BV228" s="794">
        <v>0</v>
      </c>
    </row>
    <row r="229" spans="2:74">
      <c r="B229" s="793" t="s">
        <v>3070</v>
      </c>
      <c r="C229" s="793" t="s">
        <v>3071</v>
      </c>
      <c r="D229" s="793"/>
      <c r="E229" s="794"/>
      <c r="F229" s="799"/>
      <c r="G229" s="799"/>
      <c r="H229" s="799"/>
      <c r="I229" s="799"/>
      <c r="J229" s="799"/>
      <c r="K229" s="799"/>
      <c r="L229" s="799">
        <f t="shared" si="8"/>
        <v>1</v>
      </c>
      <c r="M229" s="799"/>
      <c r="N229" s="595"/>
      <c r="O229" s="794">
        <v>0</v>
      </c>
      <c r="P229" s="794">
        <v>0</v>
      </c>
      <c r="Q229" s="794">
        <v>0</v>
      </c>
      <c r="R229" s="794">
        <v>0</v>
      </c>
      <c r="S229" s="794">
        <v>0</v>
      </c>
      <c r="T229" s="794">
        <v>0</v>
      </c>
      <c r="U229" s="794">
        <v>0</v>
      </c>
      <c r="V229" s="794">
        <v>0</v>
      </c>
      <c r="W229" s="794">
        <v>0</v>
      </c>
      <c r="X229" s="794">
        <v>0</v>
      </c>
      <c r="Y229" s="794">
        <v>0</v>
      </c>
      <c r="Z229" s="794">
        <v>0</v>
      </c>
      <c r="AA229" s="794">
        <v>0</v>
      </c>
      <c r="AB229" s="794">
        <v>0</v>
      </c>
      <c r="AC229" s="794">
        <v>0</v>
      </c>
      <c r="AD229" s="794">
        <v>0</v>
      </c>
      <c r="AE229" s="794">
        <v>0</v>
      </c>
      <c r="AF229" s="794">
        <v>0</v>
      </c>
      <c r="AG229" s="794">
        <v>0</v>
      </c>
      <c r="AH229" s="794">
        <v>0</v>
      </c>
      <c r="AI229" s="794">
        <v>0</v>
      </c>
      <c r="AJ229" s="809">
        <v>12113.2</v>
      </c>
      <c r="AK229" s="794">
        <v>33666.800000000003</v>
      </c>
      <c r="AL229" s="794">
        <v>29706</v>
      </c>
      <c r="AM229" s="794">
        <v>46784.4</v>
      </c>
      <c r="AN229" s="794">
        <v>67050.320000000007</v>
      </c>
      <c r="AO229" s="794">
        <v>17913.21</v>
      </c>
      <c r="AP229" s="794">
        <v>0</v>
      </c>
      <c r="AQ229" s="794">
        <v>80000</v>
      </c>
      <c r="AR229" s="794">
        <v>70000</v>
      </c>
      <c r="AS229" s="794">
        <v>120000</v>
      </c>
      <c r="AT229" s="794">
        <v>0</v>
      </c>
      <c r="AU229" s="794">
        <v>0</v>
      </c>
      <c r="AV229" s="794">
        <v>0</v>
      </c>
      <c r="AW229" s="794">
        <v>0</v>
      </c>
      <c r="AX229" s="794">
        <v>0</v>
      </c>
      <c r="AY229" s="794">
        <v>0</v>
      </c>
      <c r="AZ229" s="794">
        <v>0</v>
      </c>
      <c r="BA229" s="794">
        <v>0</v>
      </c>
      <c r="BB229" s="794">
        <v>0</v>
      </c>
      <c r="BC229" s="794">
        <v>0</v>
      </c>
      <c r="BD229" s="794">
        <v>0</v>
      </c>
      <c r="BE229" s="794">
        <v>0</v>
      </c>
      <c r="BF229" s="794">
        <v>0</v>
      </c>
      <c r="BG229" s="794">
        <v>0</v>
      </c>
      <c r="BH229" s="794">
        <v>0</v>
      </c>
      <c r="BI229" s="794">
        <v>0</v>
      </c>
      <c r="BJ229" s="794">
        <v>0</v>
      </c>
      <c r="BK229" s="794">
        <v>0</v>
      </c>
      <c r="BL229" s="794">
        <v>0</v>
      </c>
      <c r="BM229" s="794">
        <v>0</v>
      </c>
      <c r="BN229" s="794">
        <v>0</v>
      </c>
      <c r="BO229" s="794">
        <v>0</v>
      </c>
      <c r="BP229" s="794">
        <v>0</v>
      </c>
      <c r="BQ229" s="794">
        <v>0</v>
      </c>
      <c r="BR229" s="794">
        <v>0</v>
      </c>
      <c r="BS229" s="794">
        <v>0</v>
      </c>
      <c r="BT229" s="794">
        <v>0</v>
      </c>
      <c r="BU229" s="794">
        <v>0</v>
      </c>
      <c r="BV229" s="794">
        <v>0</v>
      </c>
    </row>
    <row r="230" spans="2:74">
      <c r="B230" s="793" t="s">
        <v>3072</v>
      </c>
      <c r="C230" s="793" t="s">
        <v>3073</v>
      </c>
      <c r="D230" s="793"/>
      <c r="E230" s="794"/>
      <c r="F230" s="799"/>
      <c r="G230" s="799"/>
      <c r="H230" s="799"/>
      <c r="I230" s="799"/>
      <c r="J230" s="799"/>
      <c r="K230" s="799"/>
      <c r="L230" s="799">
        <f t="shared" si="8"/>
        <v>1</v>
      </c>
      <c r="M230" s="799"/>
      <c r="N230" s="595"/>
      <c r="O230" s="794">
        <v>0</v>
      </c>
      <c r="P230" s="794">
        <v>0</v>
      </c>
      <c r="Q230" s="794">
        <v>0</v>
      </c>
      <c r="R230" s="794">
        <v>0</v>
      </c>
      <c r="S230" s="794">
        <v>0</v>
      </c>
      <c r="T230" s="794">
        <v>0</v>
      </c>
      <c r="U230" s="794">
        <v>0</v>
      </c>
      <c r="V230" s="794">
        <v>0</v>
      </c>
      <c r="W230" s="794">
        <v>0</v>
      </c>
      <c r="X230" s="794">
        <v>0</v>
      </c>
      <c r="Y230" s="794">
        <v>0</v>
      </c>
      <c r="Z230" s="794">
        <v>0</v>
      </c>
      <c r="AA230" s="794">
        <v>0</v>
      </c>
      <c r="AB230" s="794">
        <v>0</v>
      </c>
      <c r="AC230" s="794">
        <v>0</v>
      </c>
      <c r="AD230" s="794">
        <v>0</v>
      </c>
      <c r="AE230" s="794">
        <v>0</v>
      </c>
      <c r="AF230" s="794">
        <v>0</v>
      </c>
      <c r="AG230" s="794">
        <v>0</v>
      </c>
      <c r="AH230" s="794">
        <v>0</v>
      </c>
      <c r="AI230" s="794">
        <v>0</v>
      </c>
      <c r="AJ230" s="809">
        <v>5164.45</v>
      </c>
      <c r="AK230" s="794">
        <v>9870.15</v>
      </c>
      <c r="AL230" s="794">
        <v>23726.33</v>
      </c>
      <c r="AM230" s="794">
        <v>28165.29</v>
      </c>
      <c r="AN230" s="794">
        <v>28165.29</v>
      </c>
      <c r="AO230" s="794">
        <v>5161.3900000000003</v>
      </c>
      <c r="AP230" s="794">
        <v>0</v>
      </c>
      <c r="AQ230" s="794">
        <v>0</v>
      </c>
      <c r="AR230" s="794">
        <v>0</v>
      </c>
      <c r="AS230" s="794">
        <v>0</v>
      </c>
      <c r="AT230" s="794">
        <v>0</v>
      </c>
      <c r="AU230" s="794">
        <v>50000</v>
      </c>
      <c r="AV230" s="794">
        <v>25000</v>
      </c>
      <c r="AW230" s="794">
        <v>37364.81</v>
      </c>
      <c r="AX230" s="794">
        <v>0</v>
      </c>
      <c r="AY230" s="794">
        <v>0</v>
      </c>
      <c r="AZ230" s="794">
        <v>0</v>
      </c>
      <c r="BA230" s="794">
        <v>0</v>
      </c>
      <c r="BB230" s="794">
        <v>29016.3</v>
      </c>
      <c r="BC230" s="794">
        <v>36587.53</v>
      </c>
      <c r="BD230" s="794">
        <v>21859.98</v>
      </c>
      <c r="BE230" s="794">
        <v>40080.19</v>
      </c>
      <c r="BF230" s="794">
        <v>22300.6</v>
      </c>
      <c r="BG230" s="794">
        <v>0</v>
      </c>
      <c r="BH230" s="794">
        <v>0</v>
      </c>
      <c r="BI230" s="794">
        <v>0</v>
      </c>
      <c r="BJ230" s="794">
        <v>0</v>
      </c>
      <c r="BK230" s="794">
        <v>0</v>
      </c>
      <c r="BL230" s="794">
        <v>0</v>
      </c>
      <c r="BM230" s="794">
        <v>0</v>
      </c>
      <c r="BN230" s="794">
        <v>0</v>
      </c>
      <c r="BO230" s="794">
        <v>20320.02</v>
      </c>
      <c r="BP230" s="794">
        <v>40048.589999999997</v>
      </c>
      <c r="BQ230" s="794">
        <v>0</v>
      </c>
      <c r="BR230" s="794">
        <v>68381.8</v>
      </c>
      <c r="BS230" s="794">
        <v>0</v>
      </c>
      <c r="BT230" s="794">
        <v>0</v>
      </c>
      <c r="BU230" s="794">
        <v>0</v>
      </c>
      <c r="BV230" s="794">
        <v>0</v>
      </c>
    </row>
    <row r="231" spans="2:74">
      <c r="B231" s="795" t="s">
        <v>3074</v>
      </c>
      <c r="C231" s="795" t="s">
        <v>3075</v>
      </c>
      <c r="D231" s="795"/>
      <c r="E231" s="796"/>
      <c r="F231" s="799"/>
      <c r="G231" s="799"/>
      <c r="H231" s="799"/>
      <c r="I231" s="799"/>
      <c r="J231" s="799"/>
      <c r="K231" s="799"/>
      <c r="L231" s="799">
        <f t="shared" si="8"/>
        <v>1</v>
      </c>
      <c r="M231" s="799"/>
      <c r="N231" s="595"/>
      <c r="O231" s="794">
        <v>0</v>
      </c>
      <c r="P231" s="794">
        <v>0</v>
      </c>
      <c r="Q231" s="794">
        <v>0</v>
      </c>
      <c r="R231" s="794">
        <v>0</v>
      </c>
      <c r="S231" s="796">
        <v>0</v>
      </c>
      <c r="T231" s="796">
        <v>0</v>
      </c>
      <c r="U231" s="796">
        <v>0</v>
      </c>
      <c r="V231" s="796">
        <v>0</v>
      </c>
      <c r="W231" s="796">
        <v>0</v>
      </c>
      <c r="X231" s="796">
        <v>0</v>
      </c>
      <c r="Y231" s="796">
        <v>0</v>
      </c>
      <c r="Z231" s="796">
        <v>0</v>
      </c>
      <c r="AA231" s="796">
        <v>0</v>
      </c>
      <c r="AB231" s="796">
        <v>0</v>
      </c>
      <c r="AC231" s="796">
        <v>0</v>
      </c>
      <c r="AD231" s="796">
        <v>0</v>
      </c>
      <c r="AE231" s="796">
        <v>0</v>
      </c>
      <c r="AF231" s="796">
        <v>0</v>
      </c>
      <c r="AG231" s="796">
        <v>0</v>
      </c>
      <c r="AH231" s="796">
        <v>0</v>
      </c>
      <c r="AI231" s="796">
        <v>0</v>
      </c>
      <c r="AJ231" s="810">
        <v>10000</v>
      </c>
      <c r="AK231" s="796">
        <v>48804</v>
      </c>
      <c r="AL231" s="796">
        <v>33303.199999999997</v>
      </c>
      <c r="AM231" s="796">
        <v>16324</v>
      </c>
      <c r="AN231" s="796">
        <v>7147</v>
      </c>
      <c r="AO231" s="796">
        <v>0</v>
      </c>
      <c r="AP231" s="796">
        <v>0</v>
      </c>
      <c r="AQ231" s="796">
        <v>0</v>
      </c>
      <c r="AR231" s="796">
        <v>0</v>
      </c>
      <c r="AS231" s="796">
        <v>0</v>
      </c>
      <c r="AT231" s="796">
        <v>0</v>
      </c>
      <c r="AU231" s="796">
        <v>0</v>
      </c>
      <c r="AV231" s="796">
        <v>0</v>
      </c>
      <c r="AW231" s="796">
        <v>0</v>
      </c>
      <c r="AX231" s="796">
        <v>0</v>
      </c>
      <c r="AY231" s="796">
        <v>0</v>
      </c>
      <c r="AZ231" s="796">
        <v>0</v>
      </c>
      <c r="BA231" s="796">
        <v>0</v>
      </c>
      <c r="BB231" s="796">
        <v>0</v>
      </c>
      <c r="BC231" s="796">
        <v>0</v>
      </c>
      <c r="BD231" s="796">
        <v>0</v>
      </c>
      <c r="BE231" s="796">
        <v>0</v>
      </c>
      <c r="BF231" s="796">
        <v>0</v>
      </c>
      <c r="BG231" s="796">
        <v>0</v>
      </c>
      <c r="BH231" s="796">
        <v>0</v>
      </c>
      <c r="BI231" s="796">
        <v>0</v>
      </c>
      <c r="BJ231" s="796">
        <v>0</v>
      </c>
      <c r="BK231" s="796">
        <v>0</v>
      </c>
      <c r="BL231" s="796">
        <v>0</v>
      </c>
      <c r="BM231" s="796">
        <v>0</v>
      </c>
      <c r="BN231" s="796">
        <v>0</v>
      </c>
      <c r="BO231" s="796">
        <v>0</v>
      </c>
      <c r="BP231" s="796">
        <v>0</v>
      </c>
      <c r="BQ231" s="796">
        <v>0</v>
      </c>
      <c r="BR231" s="796">
        <v>0</v>
      </c>
      <c r="BS231" s="796">
        <v>0</v>
      </c>
      <c r="BT231" s="796">
        <v>0</v>
      </c>
      <c r="BU231" s="796">
        <v>0</v>
      </c>
      <c r="BV231" s="796">
        <v>0</v>
      </c>
    </row>
    <row r="232" spans="2:74">
      <c r="B232" s="795" t="s">
        <v>3076</v>
      </c>
      <c r="C232" s="795" t="s">
        <v>2874</v>
      </c>
      <c r="D232" s="795"/>
      <c r="E232" s="796"/>
      <c r="F232" s="799"/>
      <c r="G232" s="799"/>
      <c r="H232" s="799"/>
      <c r="I232" s="799"/>
      <c r="J232" s="799"/>
      <c r="K232" s="799"/>
      <c r="L232" s="799">
        <f t="shared" si="8"/>
        <v>1</v>
      </c>
      <c r="M232" s="799"/>
      <c r="N232" s="595"/>
      <c r="O232" s="794">
        <v>0</v>
      </c>
      <c r="P232" s="794">
        <v>0</v>
      </c>
      <c r="Q232" s="794">
        <v>0</v>
      </c>
      <c r="R232" s="794">
        <v>0</v>
      </c>
      <c r="S232" s="796">
        <v>0</v>
      </c>
      <c r="T232" s="796">
        <v>0</v>
      </c>
      <c r="U232" s="796">
        <v>0</v>
      </c>
      <c r="V232" s="796">
        <v>0</v>
      </c>
      <c r="W232" s="796">
        <v>0</v>
      </c>
      <c r="X232" s="796">
        <v>0</v>
      </c>
      <c r="Y232" s="796">
        <v>0</v>
      </c>
      <c r="Z232" s="796">
        <v>0</v>
      </c>
      <c r="AA232" s="796">
        <v>0</v>
      </c>
      <c r="AB232" s="796">
        <v>0</v>
      </c>
      <c r="AC232" s="796">
        <v>0</v>
      </c>
      <c r="AD232" s="796">
        <v>0</v>
      </c>
      <c r="AE232" s="796">
        <v>0</v>
      </c>
      <c r="AF232" s="796">
        <v>0</v>
      </c>
      <c r="AG232" s="796">
        <v>0</v>
      </c>
      <c r="AH232" s="796">
        <v>0</v>
      </c>
      <c r="AI232" s="796">
        <v>0</v>
      </c>
      <c r="AJ232" s="810">
        <v>60000</v>
      </c>
      <c r="AK232" s="796">
        <v>0</v>
      </c>
      <c r="AL232" s="796">
        <v>0</v>
      </c>
      <c r="AM232" s="796">
        <v>0</v>
      </c>
      <c r="AN232" s="796">
        <v>0</v>
      </c>
      <c r="AO232" s="796">
        <v>0</v>
      </c>
      <c r="AP232" s="796">
        <v>0</v>
      </c>
      <c r="AQ232" s="796">
        <v>0</v>
      </c>
      <c r="AR232" s="796">
        <v>0</v>
      </c>
      <c r="AS232" s="796">
        <v>0</v>
      </c>
      <c r="AT232" s="796">
        <v>0</v>
      </c>
      <c r="AU232" s="796">
        <v>0</v>
      </c>
      <c r="AV232" s="796">
        <v>0</v>
      </c>
      <c r="AW232" s="796">
        <v>0</v>
      </c>
      <c r="AX232" s="796">
        <v>0</v>
      </c>
      <c r="AY232" s="796">
        <v>0</v>
      </c>
      <c r="AZ232" s="796">
        <v>0</v>
      </c>
      <c r="BA232" s="796">
        <v>0</v>
      </c>
      <c r="BB232" s="796">
        <v>0</v>
      </c>
      <c r="BC232" s="796">
        <v>0</v>
      </c>
      <c r="BD232" s="796">
        <v>0</v>
      </c>
      <c r="BE232" s="796">
        <v>0</v>
      </c>
      <c r="BF232" s="796">
        <v>0</v>
      </c>
      <c r="BG232" s="796">
        <v>0</v>
      </c>
      <c r="BH232" s="796">
        <v>0</v>
      </c>
      <c r="BI232" s="796">
        <v>0</v>
      </c>
      <c r="BJ232" s="796">
        <v>0</v>
      </c>
      <c r="BK232" s="796">
        <v>0</v>
      </c>
      <c r="BL232" s="796">
        <v>0</v>
      </c>
      <c r="BM232" s="796">
        <v>0</v>
      </c>
      <c r="BN232" s="796">
        <v>0</v>
      </c>
      <c r="BO232" s="796">
        <v>0</v>
      </c>
      <c r="BP232" s="796">
        <v>0</v>
      </c>
      <c r="BQ232" s="796">
        <v>0</v>
      </c>
      <c r="BR232" s="796">
        <v>0</v>
      </c>
      <c r="BS232" s="796">
        <v>0</v>
      </c>
      <c r="BT232" s="796">
        <v>0</v>
      </c>
      <c r="BU232" s="796">
        <v>0</v>
      </c>
      <c r="BV232" s="796">
        <v>0</v>
      </c>
    </row>
    <row r="233" spans="2:74">
      <c r="B233" s="795" t="s">
        <v>3077</v>
      </c>
      <c r="C233" s="795" t="s">
        <v>3078</v>
      </c>
      <c r="D233" s="795"/>
      <c r="E233" s="796"/>
      <c r="F233" s="799"/>
      <c r="G233" s="799"/>
      <c r="H233" s="799"/>
      <c r="I233" s="799"/>
      <c r="J233" s="799"/>
      <c r="K233" s="799"/>
      <c r="L233" s="799">
        <f t="shared" si="8"/>
        <v>331</v>
      </c>
      <c r="M233" s="799"/>
      <c r="N233" s="595"/>
      <c r="O233" s="794">
        <v>0</v>
      </c>
      <c r="P233" s="794">
        <v>0</v>
      </c>
      <c r="Q233" s="794">
        <v>0</v>
      </c>
      <c r="R233" s="794">
        <v>0</v>
      </c>
      <c r="S233" s="796">
        <v>0</v>
      </c>
      <c r="T233" s="796">
        <v>0</v>
      </c>
      <c r="U233" s="796">
        <v>0</v>
      </c>
      <c r="V233" s="796">
        <v>0</v>
      </c>
      <c r="W233" s="796">
        <v>0</v>
      </c>
      <c r="X233" s="796">
        <v>0</v>
      </c>
      <c r="Y233" s="796">
        <v>0</v>
      </c>
      <c r="Z233" s="796">
        <v>0</v>
      </c>
      <c r="AA233" s="796">
        <v>0</v>
      </c>
      <c r="AB233" s="796">
        <v>0</v>
      </c>
      <c r="AC233" s="796">
        <v>0</v>
      </c>
      <c r="AD233" s="796">
        <v>0</v>
      </c>
      <c r="AE233" s="796">
        <v>0</v>
      </c>
      <c r="AF233" s="796">
        <v>0</v>
      </c>
      <c r="AG233" s="796">
        <v>0</v>
      </c>
      <c r="AH233" s="796">
        <v>0</v>
      </c>
      <c r="AI233" s="796">
        <v>0</v>
      </c>
      <c r="AJ233" s="796">
        <v>0</v>
      </c>
      <c r="AK233" s="810">
        <v>27405.599999999999</v>
      </c>
      <c r="AL233" s="796">
        <v>0</v>
      </c>
      <c r="AM233" s="796">
        <v>0</v>
      </c>
      <c r="AN233" s="796">
        <v>1500</v>
      </c>
      <c r="AO233" s="796">
        <v>0</v>
      </c>
      <c r="AP233" s="796">
        <v>0</v>
      </c>
      <c r="AQ233" s="796">
        <v>0</v>
      </c>
      <c r="AR233" s="796">
        <v>0</v>
      </c>
      <c r="AS233" s="796">
        <v>0</v>
      </c>
      <c r="AT233" s="796">
        <v>0</v>
      </c>
      <c r="AU233" s="796">
        <v>0</v>
      </c>
      <c r="AV233" s="796">
        <v>0</v>
      </c>
      <c r="AW233" s="796">
        <v>0</v>
      </c>
      <c r="AX233" s="796">
        <v>0</v>
      </c>
      <c r="AY233" s="796">
        <v>0</v>
      </c>
      <c r="AZ233" s="796">
        <v>0</v>
      </c>
      <c r="BA233" s="796">
        <v>0</v>
      </c>
      <c r="BB233" s="796">
        <v>0</v>
      </c>
      <c r="BC233" s="796">
        <v>0</v>
      </c>
      <c r="BD233" s="796">
        <v>0</v>
      </c>
      <c r="BE233" s="796">
        <v>0</v>
      </c>
      <c r="BF233" s="796">
        <v>0</v>
      </c>
      <c r="BG233" s="796">
        <v>0</v>
      </c>
      <c r="BH233" s="796">
        <v>0</v>
      </c>
      <c r="BI233" s="796">
        <v>0</v>
      </c>
      <c r="BJ233" s="796">
        <v>0</v>
      </c>
      <c r="BK233" s="796">
        <v>0</v>
      </c>
      <c r="BL233" s="796">
        <v>0</v>
      </c>
      <c r="BM233" s="796">
        <v>0</v>
      </c>
      <c r="BN233" s="796">
        <v>0</v>
      </c>
      <c r="BO233" s="796">
        <v>0</v>
      </c>
      <c r="BP233" s="796">
        <v>0</v>
      </c>
      <c r="BQ233" s="796">
        <v>0</v>
      </c>
      <c r="BR233" s="796">
        <v>0</v>
      </c>
      <c r="BS233" s="796">
        <v>0</v>
      </c>
      <c r="BT233" s="796">
        <v>0</v>
      </c>
      <c r="BU233" s="796">
        <v>0</v>
      </c>
      <c r="BV233" s="796">
        <v>0</v>
      </c>
    </row>
    <row r="234" spans="2:74">
      <c r="B234" s="795" t="s">
        <v>3079</v>
      </c>
      <c r="C234" s="795" t="s">
        <v>3080</v>
      </c>
      <c r="D234" s="795"/>
      <c r="E234" s="796"/>
      <c r="F234" s="799"/>
      <c r="G234" s="799"/>
      <c r="H234" s="799"/>
      <c r="I234" s="799"/>
      <c r="J234" s="799"/>
      <c r="K234" s="799"/>
      <c r="L234" s="799">
        <f t="shared" si="8"/>
        <v>331</v>
      </c>
      <c r="M234" s="799"/>
      <c r="N234" s="595"/>
      <c r="O234" s="794">
        <v>0</v>
      </c>
      <c r="P234" s="794">
        <v>0</v>
      </c>
      <c r="Q234" s="794">
        <v>0</v>
      </c>
      <c r="R234" s="794">
        <v>0</v>
      </c>
      <c r="S234" s="796">
        <v>0</v>
      </c>
      <c r="T234" s="796">
        <v>0</v>
      </c>
      <c r="U234" s="796">
        <v>0</v>
      </c>
      <c r="V234" s="796">
        <v>0</v>
      </c>
      <c r="W234" s="796">
        <v>0</v>
      </c>
      <c r="X234" s="796">
        <v>0</v>
      </c>
      <c r="Y234" s="796">
        <v>0</v>
      </c>
      <c r="Z234" s="796">
        <v>0</v>
      </c>
      <c r="AA234" s="796">
        <v>0</v>
      </c>
      <c r="AB234" s="796">
        <v>0</v>
      </c>
      <c r="AC234" s="796">
        <v>0</v>
      </c>
      <c r="AD234" s="796">
        <v>0</v>
      </c>
      <c r="AE234" s="796">
        <v>0</v>
      </c>
      <c r="AF234" s="796">
        <v>0</v>
      </c>
      <c r="AG234" s="796">
        <v>0</v>
      </c>
      <c r="AH234" s="796">
        <v>0</v>
      </c>
      <c r="AI234" s="796">
        <v>0</v>
      </c>
      <c r="AJ234" s="796">
        <v>0</v>
      </c>
      <c r="AK234" s="810">
        <v>155000</v>
      </c>
      <c r="AL234" s="796">
        <v>0</v>
      </c>
      <c r="AM234" s="796">
        <v>0</v>
      </c>
      <c r="AN234" s="796">
        <v>0</v>
      </c>
      <c r="AO234" s="796">
        <v>0</v>
      </c>
      <c r="AP234" s="796">
        <v>0</v>
      </c>
      <c r="AQ234" s="796">
        <v>0</v>
      </c>
      <c r="AR234" s="796">
        <v>0</v>
      </c>
      <c r="AS234" s="796">
        <v>0</v>
      </c>
      <c r="AT234" s="796">
        <v>0</v>
      </c>
      <c r="AU234" s="796">
        <v>0</v>
      </c>
      <c r="AV234" s="796">
        <v>0</v>
      </c>
      <c r="AW234" s="796">
        <v>0</v>
      </c>
      <c r="AX234" s="796">
        <v>0</v>
      </c>
      <c r="AY234" s="796">
        <v>0</v>
      </c>
      <c r="AZ234" s="796">
        <v>0</v>
      </c>
      <c r="BA234" s="796">
        <v>0</v>
      </c>
      <c r="BB234" s="796">
        <v>0</v>
      </c>
      <c r="BC234" s="796">
        <v>0</v>
      </c>
      <c r="BD234" s="796">
        <v>0</v>
      </c>
      <c r="BE234" s="796">
        <v>0</v>
      </c>
      <c r="BF234" s="796">
        <v>0</v>
      </c>
      <c r="BG234" s="796">
        <v>0</v>
      </c>
      <c r="BH234" s="796">
        <v>0</v>
      </c>
      <c r="BI234" s="796">
        <v>0</v>
      </c>
      <c r="BJ234" s="796">
        <v>0</v>
      </c>
      <c r="BK234" s="796">
        <v>0</v>
      </c>
      <c r="BL234" s="796">
        <v>0</v>
      </c>
      <c r="BM234" s="796">
        <v>0</v>
      </c>
      <c r="BN234" s="796">
        <v>0</v>
      </c>
      <c r="BO234" s="796">
        <v>0</v>
      </c>
      <c r="BP234" s="796">
        <v>0</v>
      </c>
      <c r="BQ234" s="796">
        <v>0</v>
      </c>
      <c r="BR234" s="796">
        <v>0</v>
      </c>
      <c r="BS234" s="796">
        <v>0</v>
      </c>
      <c r="BT234" s="796">
        <v>0</v>
      </c>
      <c r="BU234" s="796">
        <v>0</v>
      </c>
      <c r="BV234" s="796">
        <v>0</v>
      </c>
    </row>
    <row r="235" spans="2:74">
      <c r="B235" s="795" t="s">
        <v>3081</v>
      </c>
      <c r="C235" s="795" t="s">
        <v>3082</v>
      </c>
      <c r="D235" s="795"/>
      <c r="E235" s="796"/>
      <c r="F235" s="799"/>
      <c r="G235" s="799"/>
      <c r="H235" s="799"/>
      <c r="I235" s="799"/>
      <c r="J235" s="799"/>
      <c r="K235" s="799"/>
      <c r="L235" s="799">
        <f t="shared" si="8"/>
        <v>331</v>
      </c>
      <c r="M235" s="799"/>
      <c r="N235" s="595"/>
      <c r="O235" s="794">
        <v>0</v>
      </c>
      <c r="P235" s="794">
        <v>0</v>
      </c>
      <c r="Q235" s="794">
        <v>0</v>
      </c>
      <c r="R235" s="794">
        <v>0</v>
      </c>
      <c r="S235" s="796">
        <v>0</v>
      </c>
      <c r="T235" s="796">
        <v>0</v>
      </c>
      <c r="U235" s="796">
        <v>0</v>
      </c>
      <c r="V235" s="796">
        <v>0</v>
      </c>
      <c r="W235" s="796">
        <v>0</v>
      </c>
      <c r="X235" s="796">
        <v>0</v>
      </c>
      <c r="Y235" s="796">
        <v>0</v>
      </c>
      <c r="Z235" s="796">
        <v>0</v>
      </c>
      <c r="AA235" s="796">
        <v>0</v>
      </c>
      <c r="AB235" s="796">
        <v>0</v>
      </c>
      <c r="AC235" s="796">
        <v>0</v>
      </c>
      <c r="AD235" s="796">
        <v>0</v>
      </c>
      <c r="AE235" s="796">
        <v>0</v>
      </c>
      <c r="AF235" s="796">
        <v>0</v>
      </c>
      <c r="AG235" s="796">
        <v>0</v>
      </c>
      <c r="AH235" s="796">
        <v>0</v>
      </c>
      <c r="AI235" s="796">
        <v>0</v>
      </c>
      <c r="AJ235" s="796">
        <v>0</v>
      </c>
      <c r="AK235" s="810">
        <v>42852.24</v>
      </c>
      <c r="AL235" s="796">
        <v>0</v>
      </c>
      <c r="AM235" s="796">
        <v>0</v>
      </c>
      <c r="AN235" s="796">
        <v>0</v>
      </c>
      <c r="AO235" s="796">
        <v>0</v>
      </c>
      <c r="AP235" s="796">
        <v>0</v>
      </c>
      <c r="AQ235" s="796">
        <v>0</v>
      </c>
      <c r="AR235" s="796">
        <v>0</v>
      </c>
      <c r="AS235" s="796">
        <v>0</v>
      </c>
      <c r="AT235" s="796">
        <v>0</v>
      </c>
      <c r="AU235" s="796">
        <v>0</v>
      </c>
      <c r="AV235" s="796">
        <v>0</v>
      </c>
      <c r="AW235" s="796">
        <v>0</v>
      </c>
      <c r="AX235" s="796">
        <v>0</v>
      </c>
      <c r="AY235" s="796">
        <v>0</v>
      </c>
      <c r="AZ235" s="796">
        <v>0</v>
      </c>
      <c r="BA235" s="796">
        <v>0</v>
      </c>
      <c r="BB235" s="796">
        <v>0</v>
      </c>
      <c r="BC235" s="796">
        <v>0</v>
      </c>
      <c r="BD235" s="796">
        <v>0</v>
      </c>
      <c r="BE235" s="796">
        <v>0</v>
      </c>
      <c r="BF235" s="796">
        <v>0</v>
      </c>
      <c r="BG235" s="796">
        <v>0</v>
      </c>
      <c r="BH235" s="796">
        <v>0</v>
      </c>
      <c r="BI235" s="796">
        <v>0</v>
      </c>
      <c r="BJ235" s="796">
        <v>0</v>
      </c>
      <c r="BK235" s="796">
        <v>0</v>
      </c>
      <c r="BL235" s="796">
        <v>0</v>
      </c>
      <c r="BM235" s="796">
        <v>0</v>
      </c>
      <c r="BN235" s="796">
        <v>0</v>
      </c>
      <c r="BO235" s="796">
        <v>0</v>
      </c>
      <c r="BP235" s="796">
        <v>0</v>
      </c>
      <c r="BQ235" s="796">
        <v>0</v>
      </c>
      <c r="BR235" s="796">
        <v>0</v>
      </c>
      <c r="BS235" s="796">
        <v>0</v>
      </c>
      <c r="BT235" s="796">
        <v>0</v>
      </c>
      <c r="BU235" s="796">
        <v>0</v>
      </c>
      <c r="BV235" s="796">
        <v>0</v>
      </c>
    </row>
    <row r="236" spans="2:74">
      <c r="B236" s="795" t="s">
        <v>3083</v>
      </c>
      <c r="C236" s="795" t="s">
        <v>2849</v>
      </c>
      <c r="D236" s="795"/>
      <c r="E236" s="796"/>
      <c r="F236" s="799"/>
      <c r="G236" s="799"/>
      <c r="H236" s="799"/>
      <c r="I236" s="799"/>
      <c r="J236" s="799"/>
      <c r="K236" s="799"/>
      <c r="L236" s="799">
        <f t="shared" si="8"/>
        <v>331</v>
      </c>
      <c r="M236" s="799"/>
      <c r="N236" s="595"/>
      <c r="O236" s="794">
        <v>0</v>
      </c>
      <c r="P236" s="794">
        <v>0</v>
      </c>
      <c r="Q236" s="794">
        <v>0</v>
      </c>
      <c r="R236" s="794">
        <v>0</v>
      </c>
      <c r="S236" s="796">
        <v>0</v>
      </c>
      <c r="T236" s="796">
        <v>0</v>
      </c>
      <c r="U236" s="796">
        <v>0</v>
      </c>
      <c r="V236" s="796">
        <v>0</v>
      </c>
      <c r="W236" s="796">
        <v>0</v>
      </c>
      <c r="X236" s="796">
        <v>0</v>
      </c>
      <c r="Y236" s="796">
        <v>0</v>
      </c>
      <c r="Z236" s="796">
        <v>0</v>
      </c>
      <c r="AA236" s="796">
        <v>0</v>
      </c>
      <c r="AB236" s="796">
        <v>0</v>
      </c>
      <c r="AC236" s="796">
        <v>0</v>
      </c>
      <c r="AD236" s="796">
        <v>0</v>
      </c>
      <c r="AE236" s="796">
        <v>0</v>
      </c>
      <c r="AF236" s="796">
        <v>0</v>
      </c>
      <c r="AG236" s="796">
        <v>0</v>
      </c>
      <c r="AH236" s="796">
        <v>0</v>
      </c>
      <c r="AI236" s="796">
        <v>0</v>
      </c>
      <c r="AJ236" s="796">
        <v>0</v>
      </c>
      <c r="AK236" s="810">
        <v>61990.83</v>
      </c>
      <c r="AL236" s="796">
        <v>123907.6</v>
      </c>
      <c r="AM236" s="796">
        <v>12222</v>
      </c>
      <c r="AN236" s="796">
        <v>0</v>
      </c>
      <c r="AO236" s="796">
        <v>0</v>
      </c>
      <c r="AP236" s="796">
        <v>0</v>
      </c>
      <c r="AQ236" s="796">
        <v>0</v>
      </c>
      <c r="AR236" s="796">
        <v>0</v>
      </c>
      <c r="AS236" s="796">
        <v>0</v>
      </c>
      <c r="AT236" s="796">
        <v>0</v>
      </c>
      <c r="AU236" s="796">
        <v>0</v>
      </c>
      <c r="AV236" s="796">
        <v>0</v>
      </c>
      <c r="AW236" s="796">
        <v>0</v>
      </c>
      <c r="AX236" s="796">
        <v>0</v>
      </c>
      <c r="AY236" s="796">
        <v>0</v>
      </c>
      <c r="AZ236" s="796">
        <v>0</v>
      </c>
      <c r="BA236" s="796">
        <v>0</v>
      </c>
      <c r="BB236" s="796">
        <v>0</v>
      </c>
      <c r="BC236" s="796">
        <v>0</v>
      </c>
      <c r="BD236" s="796">
        <v>0</v>
      </c>
      <c r="BE236" s="796">
        <v>0</v>
      </c>
      <c r="BF236" s="796">
        <v>0</v>
      </c>
      <c r="BG236" s="796">
        <v>0</v>
      </c>
      <c r="BH236" s="796">
        <v>0</v>
      </c>
      <c r="BI236" s="796">
        <v>0</v>
      </c>
      <c r="BJ236" s="796">
        <v>0</v>
      </c>
      <c r="BK236" s="796">
        <v>0</v>
      </c>
      <c r="BL236" s="796">
        <v>0</v>
      </c>
      <c r="BM236" s="796">
        <v>0</v>
      </c>
      <c r="BN236" s="796">
        <v>0</v>
      </c>
      <c r="BO236" s="796">
        <v>0</v>
      </c>
      <c r="BP236" s="796">
        <v>0</v>
      </c>
      <c r="BQ236" s="796">
        <v>0</v>
      </c>
      <c r="BR236" s="796">
        <v>0</v>
      </c>
      <c r="BS236" s="796">
        <v>0</v>
      </c>
      <c r="BT236" s="796">
        <v>0</v>
      </c>
      <c r="BU236" s="796">
        <v>0</v>
      </c>
      <c r="BV236" s="796">
        <v>0</v>
      </c>
    </row>
    <row r="237" spans="2:74">
      <c r="B237" s="795" t="s">
        <v>3084</v>
      </c>
      <c r="C237" s="795" t="s">
        <v>3085</v>
      </c>
      <c r="D237" s="795"/>
      <c r="E237" s="796"/>
      <c r="F237" s="799"/>
      <c r="G237" s="799"/>
      <c r="H237" s="799"/>
      <c r="I237" s="799"/>
      <c r="J237" s="799"/>
      <c r="K237" s="799"/>
      <c r="L237" s="799">
        <f t="shared" si="8"/>
        <v>331</v>
      </c>
      <c r="M237" s="799"/>
      <c r="N237" s="595"/>
      <c r="O237" s="794">
        <v>0</v>
      </c>
      <c r="P237" s="794">
        <v>0</v>
      </c>
      <c r="Q237" s="794">
        <v>0</v>
      </c>
      <c r="R237" s="794">
        <v>0</v>
      </c>
      <c r="S237" s="796">
        <v>0</v>
      </c>
      <c r="T237" s="796">
        <v>0</v>
      </c>
      <c r="U237" s="796">
        <v>0</v>
      </c>
      <c r="V237" s="796">
        <v>0</v>
      </c>
      <c r="W237" s="796">
        <v>0</v>
      </c>
      <c r="X237" s="796">
        <v>0</v>
      </c>
      <c r="Y237" s="796">
        <v>0</v>
      </c>
      <c r="Z237" s="796">
        <v>0</v>
      </c>
      <c r="AA237" s="796">
        <v>0</v>
      </c>
      <c r="AB237" s="796">
        <v>0</v>
      </c>
      <c r="AC237" s="796">
        <v>0</v>
      </c>
      <c r="AD237" s="796">
        <v>0</v>
      </c>
      <c r="AE237" s="796">
        <v>0</v>
      </c>
      <c r="AF237" s="796">
        <v>0</v>
      </c>
      <c r="AG237" s="796">
        <v>0</v>
      </c>
      <c r="AH237" s="796">
        <v>0</v>
      </c>
      <c r="AI237" s="796">
        <v>0</v>
      </c>
      <c r="AJ237" s="796">
        <v>0</v>
      </c>
      <c r="AK237" s="810">
        <v>55000</v>
      </c>
      <c r="AL237" s="796">
        <v>0</v>
      </c>
      <c r="AM237" s="796">
        <v>0</v>
      </c>
      <c r="AN237" s="796">
        <v>0</v>
      </c>
      <c r="AO237" s="796">
        <v>0</v>
      </c>
      <c r="AP237" s="796">
        <v>0</v>
      </c>
      <c r="AQ237" s="796">
        <v>0</v>
      </c>
      <c r="AR237" s="796">
        <v>0</v>
      </c>
      <c r="AS237" s="796">
        <v>0</v>
      </c>
      <c r="AT237" s="796">
        <v>0</v>
      </c>
      <c r="AU237" s="796">
        <v>0</v>
      </c>
      <c r="AV237" s="796">
        <v>0</v>
      </c>
      <c r="AW237" s="796">
        <v>0</v>
      </c>
      <c r="AX237" s="796">
        <v>0</v>
      </c>
      <c r="AY237" s="796">
        <v>0</v>
      </c>
      <c r="AZ237" s="796">
        <v>0</v>
      </c>
      <c r="BA237" s="796">
        <v>0</v>
      </c>
      <c r="BB237" s="796">
        <v>0</v>
      </c>
      <c r="BC237" s="796">
        <v>0</v>
      </c>
      <c r="BD237" s="796">
        <v>0</v>
      </c>
      <c r="BE237" s="796">
        <v>0</v>
      </c>
      <c r="BF237" s="796">
        <v>0</v>
      </c>
      <c r="BG237" s="796">
        <v>0</v>
      </c>
      <c r="BH237" s="796">
        <v>0</v>
      </c>
      <c r="BI237" s="796">
        <v>0</v>
      </c>
      <c r="BJ237" s="796">
        <v>0</v>
      </c>
      <c r="BK237" s="796">
        <v>0</v>
      </c>
      <c r="BL237" s="796">
        <v>0</v>
      </c>
      <c r="BM237" s="796">
        <v>0</v>
      </c>
      <c r="BN237" s="796">
        <v>0</v>
      </c>
      <c r="BO237" s="796">
        <v>0</v>
      </c>
      <c r="BP237" s="796">
        <v>0</v>
      </c>
      <c r="BQ237" s="796">
        <v>0</v>
      </c>
      <c r="BR237" s="796">
        <v>0</v>
      </c>
      <c r="BS237" s="796">
        <v>0</v>
      </c>
      <c r="BT237" s="796">
        <v>0</v>
      </c>
      <c r="BU237" s="796">
        <v>0</v>
      </c>
      <c r="BV237" s="796">
        <v>0</v>
      </c>
    </row>
    <row r="238" spans="2:74">
      <c r="B238" s="795" t="s">
        <v>3086</v>
      </c>
      <c r="C238" s="795" t="s">
        <v>3087</v>
      </c>
      <c r="D238" s="795"/>
      <c r="E238" s="796"/>
      <c r="F238" s="799"/>
      <c r="G238" s="799"/>
      <c r="H238" s="799"/>
      <c r="I238" s="799"/>
      <c r="J238" s="799"/>
      <c r="K238" s="799"/>
      <c r="L238" s="799">
        <f t="shared" si="8"/>
        <v>331</v>
      </c>
      <c r="M238" s="799"/>
      <c r="N238" s="595"/>
      <c r="O238" s="794">
        <v>0</v>
      </c>
      <c r="P238" s="794">
        <v>0</v>
      </c>
      <c r="Q238" s="794">
        <v>0</v>
      </c>
      <c r="R238" s="794">
        <v>0</v>
      </c>
      <c r="S238" s="796">
        <v>0</v>
      </c>
      <c r="T238" s="796">
        <v>0</v>
      </c>
      <c r="U238" s="796">
        <v>0</v>
      </c>
      <c r="V238" s="796">
        <v>0</v>
      </c>
      <c r="W238" s="796">
        <v>0</v>
      </c>
      <c r="X238" s="796">
        <v>0</v>
      </c>
      <c r="Y238" s="796">
        <v>0</v>
      </c>
      <c r="Z238" s="796">
        <v>0</v>
      </c>
      <c r="AA238" s="796">
        <v>0</v>
      </c>
      <c r="AB238" s="796">
        <v>0</v>
      </c>
      <c r="AC238" s="796">
        <v>0</v>
      </c>
      <c r="AD238" s="796">
        <v>0</v>
      </c>
      <c r="AE238" s="796">
        <v>0</v>
      </c>
      <c r="AF238" s="796">
        <v>0</v>
      </c>
      <c r="AG238" s="796">
        <v>0</v>
      </c>
      <c r="AH238" s="796">
        <v>0</v>
      </c>
      <c r="AI238" s="796">
        <v>0</v>
      </c>
      <c r="AJ238" s="796">
        <v>0</v>
      </c>
      <c r="AK238" s="796">
        <v>0</v>
      </c>
      <c r="AL238" s="810">
        <v>697695</v>
      </c>
      <c r="AM238" s="796">
        <v>579000</v>
      </c>
      <c r="AN238" s="796">
        <v>544900</v>
      </c>
      <c r="AO238" s="796">
        <v>0</v>
      </c>
      <c r="AP238" s="796">
        <v>0</v>
      </c>
      <c r="AQ238" s="796">
        <v>0</v>
      </c>
      <c r="AR238" s="796">
        <v>0</v>
      </c>
      <c r="AS238" s="796">
        <v>0</v>
      </c>
      <c r="AT238" s="796">
        <v>0</v>
      </c>
      <c r="AU238" s="796">
        <v>0</v>
      </c>
      <c r="AV238" s="796">
        <v>0</v>
      </c>
      <c r="AW238" s="796">
        <v>0</v>
      </c>
      <c r="AX238" s="796">
        <v>0</v>
      </c>
      <c r="AY238" s="796">
        <v>0</v>
      </c>
      <c r="AZ238" s="796">
        <v>115000</v>
      </c>
      <c r="BA238" s="796">
        <v>0</v>
      </c>
      <c r="BB238" s="796">
        <v>0</v>
      </c>
      <c r="BC238" s="796">
        <v>0</v>
      </c>
      <c r="BD238" s="796">
        <v>0</v>
      </c>
      <c r="BE238" s="796">
        <v>0</v>
      </c>
      <c r="BF238" s="796">
        <v>0</v>
      </c>
      <c r="BG238" s="796">
        <v>0</v>
      </c>
      <c r="BH238" s="796">
        <v>0</v>
      </c>
      <c r="BI238" s="796">
        <v>0</v>
      </c>
      <c r="BJ238" s="796">
        <v>0</v>
      </c>
      <c r="BK238" s="796">
        <v>0</v>
      </c>
      <c r="BL238" s="796">
        <v>0</v>
      </c>
      <c r="BM238" s="796">
        <v>0</v>
      </c>
      <c r="BN238" s="796">
        <v>0</v>
      </c>
      <c r="BO238" s="796">
        <v>0</v>
      </c>
      <c r="BP238" s="796">
        <v>0</v>
      </c>
      <c r="BQ238" s="796">
        <v>0</v>
      </c>
      <c r="BR238" s="796">
        <v>0</v>
      </c>
      <c r="BS238" s="796">
        <v>0</v>
      </c>
      <c r="BT238" s="796">
        <v>0</v>
      </c>
      <c r="BU238" s="796">
        <v>0</v>
      </c>
      <c r="BV238" s="796">
        <v>0</v>
      </c>
    </row>
    <row r="239" spans="2:74">
      <c r="B239" s="795" t="s">
        <v>835</v>
      </c>
      <c r="C239" s="795" t="s">
        <v>3088</v>
      </c>
      <c r="D239" s="795"/>
      <c r="E239" s="796"/>
      <c r="F239" s="799"/>
      <c r="G239" s="799"/>
      <c r="H239" s="799"/>
      <c r="I239" s="799"/>
      <c r="J239" s="799"/>
      <c r="K239" s="799"/>
      <c r="L239" s="799">
        <f t="shared" si="8"/>
        <v>331</v>
      </c>
      <c r="M239" s="799"/>
      <c r="N239" s="595"/>
      <c r="O239" s="794">
        <v>0</v>
      </c>
      <c r="P239" s="794">
        <v>0</v>
      </c>
      <c r="Q239" s="794">
        <v>0</v>
      </c>
      <c r="R239" s="794">
        <v>0</v>
      </c>
      <c r="S239" s="796">
        <v>0</v>
      </c>
      <c r="T239" s="796">
        <v>0</v>
      </c>
      <c r="U239" s="796">
        <v>0</v>
      </c>
      <c r="V239" s="796">
        <v>0</v>
      </c>
      <c r="W239" s="796">
        <v>0</v>
      </c>
      <c r="X239" s="796">
        <v>0</v>
      </c>
      <c r="Y239" s="796">
        <v>0</v>
      </c>
      <c r="Z239" s="796">
        <v>0</v>
      </c>
      <c r="AA239" s="796">
        <v>0</v>
      </c>
      <c r="AB239" s="796">
        <v>0</v>
      </c>
      <c r="AC239" s="796">
        <v>0</v>
      </c>
      <c r="AD239" s="796">
        <v>0</v>
      </c>
      <c r="AE239" s="796">
        <v>0</v>
      </c>
      <c r="AF239" s="796">
        <v>0</v>
      </c>
      <c r="AG239" s="796">
        <v>0</v>
      </c>
      <c r="AH239" s="796">
        <v>0</v>
      </c>
      <c r="AI239" s="796">
        <v>0</v>
      </c>
      <c r="AJ239" s="796">
        <v>0</v>
      </c>
      <c r="AK239" s="810">
        <v>90000</v>
      </c>
      <c r="AL239" s="796">
        <v>0</v>
      </c>
      <c r="AM239" s="796">
        <v>0</v>
      </c>
      <c r="AN239" s="796">
        <v>0</v>
      </c>
      <c r="AO239" s="796">
        <v>0</v>
      </c>
      <c r="AP239" s="796">
        <v>0</v>
      </c>
      <c r="AQ239" s="796">
        <v>0</v>
      </c>
      <c r="AR239" s="796">
        <v>0</v>
      </c>
      <c r="AS239" s="796">
        <v>0</v>
      </c>
      <c r="AT239" s="796">
        <v>0</v>
      </c>
      <c r="AU239" s="796">
        <v>0</v>
      </c>
      <c r="AV239" s="796">
        <v>0</v>
      </c>
      <c r="AW239" s="796">
        <v>0</v>
      </c>
      <c r="AX239" s="796">
        <v>0</v>
      </c>
      <c r="AY239" s="796">
        <v>0</v>
      </c>
      <c r="AZ239" s="796">
        <v>0</v>
      </c>
      <c r="BA239" s="796">
        <v>0</v>
      </c>
      <c r="BB239" s="796">
        <v>0</v>
      </c>
      <c r="BC239" s="796">
        <v>0</v>
      </c>
      <c r="BD239" s="796">
        <v>0</v>
      </c>
      <c r="BE239" s="796">
        <v>0</v>
      </c>
      <c r="BF239" s="796">
        <v>0</v>
      </c>
      <c r="BG239" s="796">
        <v>0</v>
      </c>
      <c r="BH239" s="796">
        <v>0</v>
      </c>
      <c r="BI239" s="796">
        <v>0</v>
      </c>
      <c r="BJ239" s="796">
        <v>0</v>
      </c>
      <c r="BK239" s="796">
        <v>0</v>
      </c>
      <c r="BL239" s="796">
        <v>0</v>
      </c>
      <c r="BM239" s="796">
        <v>0</v>
      </c>
      <c r="BN239" s="796">
        <v>0</v>
      </c>
      <c r="BO239" s="796">
        <v>0</v>
      </c>
      <c r="BP239" s="796">
        <v>0</v>
      </c>
      <c r="BQ239" s="796">
        <v>0</v>
      </c>
      <c r="BR239" s="796">
        <v>0</v>
      </c>
      <c r="BS239" s="796">
        <v>0</v>
      </c>
      <c r="BT239" s="796">
        <v>0</v>
      </c>
      <c r="BU239" s="796">
        <v>10000</v>
      </c>
      <c r="BV239" s="796">
        <v>0</v>
      </c>
    </row>
    <row r="240" spans="2:74">
      <c r="B240" s="795" t="s">
        <v>3089</v>
      </c>
      <c r="C240" s="795" t="s">
        <v>3090</v>
      </c>
      <c r="D240" s="795"/>
      <c r="E240" s="796"/>
      <c r="F240" s="799"/>
      <c r="G240" s="799"/>
      <c r="H240" s="799"/>
      <c r="I240" s="799"/>
      <c r="J240" s="799"/>
      <c r="K240" s="799"/>
      <c r="L240" s="799">
        <f t="shared" si="8"/>
        <v>331</v>
      </c>
      <c r="M240" s="799"/>
      <c r="N240" s="595"/>
      <c r="O240" s="794">
        <v>0</v>
      </c>
      <c r="P240" s="794">
        <v>0</v>
      </c>
      <c r="Q240" s="794">
        <v>0</v>
      </c>
      <c r="R240" s="794">
        <v>0</v>
      </c>
      <c r="S240" s="796">
        <v>0</v>
      </c>
      <c r="T240" s="796">
        <v>0</v>
      </c>
      <c r="U240" s="796">
        <v>0</v>
      </c>
      <c r="V240" s="796">
        <v>0</v>
      </c>
      <c r="W240" s="796">
        <v>0</v>
      </c>
      <c r="X240" s="796">
        <v>0</v>
      </c>
      <c r="Y240" s="796">
        <v>0</v>
      </c>
      <c r="Z240" s="796">
        <v>0</v>
      </c>
      <c r="AA240" s="796">
        <v>0</v>
      </c>
      <c r="AB240" s="796">
        <v>0</v>
      </c>
      <c r="AC240" s="796">
        <v>0</v>
      </c>
      <c r="AD240" s="796">
        <v>0</v>
      </c>
      <c r="AE240" s="796">
        <v>0</v>
      </c>
      <c r="AF240" s="796">
        <v>0</v>
      </c>
      <c r="AG240" s="796">
        <v>0</v>
      </c>
      <c r="AH240" s="796">
        <v>0</v>
      </c>
      <c r="AI240" s="796">
        <v>0</v>
      </c>
      <c r="AJ240" s="796">
        <v>0</v>
      </c>
      <c r="AK240" s="810">
        <v>40000</v>
      </c>
      <c r="AL240" s="796">
        <v>46168.44</v>
      </c>
      <c r="AM240" s="796">
        <v>154120.54999999999</v>
      </c>
      <c r="AN240" s="796">
        <v>138396.01</v>
      </c>
      <c r="AO240" s="796">
        <v>0</v>
      </c>
      <c r="AP240" s="796">
        <v>0</v>
      </c>
      <c r="AQ240" s="796">
        <v>0</v>
      </c>
      <c r="AR240" s="796">
        <v>0</v>
      </c>
      <c r="AS240" s="796">
        <v>0</v>
      </c>
      <c r="AT240" s="796">
        <v>0</v>
      </c>
      <c r="AU240" s="796">
        <v>0</v>
      </c>
      <c r="AV240" s="796">
        <v>0</v>
      </c>
      <c r="AW240" s="796">
        <v>0</v>
      </c>
      <c r="AX240" s="796">
        <v>0</v>
      </c>
      <c r="AY240" s="796">
        <v>0</v>
      </c>
      <c r="AZ240" s="796">
        <v>0</v>
      </c>
      <c r="BA240" s="796">
        <v>0</v>
      </c>
      <c r="BB240" s="796">
        <v>0</v>
      </c>
      <c r="BC240" s="796">
        <v>0</v>
      </c>
      <c r="BD240" s="796">
        <v>0</v>
      </c>
      <c r="BE240" s="796">
        <v>0</v>
      </c>
      <c r="BF240" s="796">
        <v>0</v>
      </c>
      <c r="BG240" s="796">
        <v>0</v>
      </c>
      <c r="BH240" s="796">
        <v>0</v>
      </c>
      <c r="BI240" s="796">
        <v>0</v>
      </c>
      <c r="BJ240" s="796">
        <v>0</v>
      </c>
      <c r="BK240" s="796">
        <v>0</v>
      </c>
      <c r="BL240" s="796">
        <v>0</v>
      </c>
      <c r="BM240" s="796">
        <v>0</v>
      </c>
      <c r="BN240" s="796">
        <v>0</v>
      </c>
      <c r="BO240" s="796">
        <v>0</v>
      </c>
      <c r="BP240" s="796">
        <v>0</v>
      </c>
      <c r="BQ240" s="796">
        <v>0</v>
      </c>
      <c r="BR240" s="796">
        <v>0</v>
      </c>
      <c r="BS240" s="796">
        <v>0</v>
      </c>
      <c r="BT240" s="796">
        <v>0</v>
      </c>
      <c r="BU240" s="796">
        <v>0</v>
      </c>
      <c r="BV240" s="796">
        <v>0</v>
      </c>
    </row>
    <row r="241" spans="2:74">
      <c r="B241" s="795" t="s">
        <v>3091</v>
      </c>
      <c r="C241" s="795" t="s">
        <v>3092</v>
      </c>
      <c r="D241" s="795"/>
      <c r="E241" s="796"/>
      <c r="F241" s="799"/>
      <c r="G241" s="799"/>
      <c r="H241" s="799"/>
      <c r="I241" s="799"/>
      <c r="J241" s="799"/>
      <c r="K241" s="799"/>
      <c r="L241" s="799">
        <f t="shared" si="8"/>
        <v>331</v>
      </c>
      <c r="M241" s="799"/>
      <c r="N241" s="595"/>
      <c r="O241" s="794">
        <v>0</v>
      </c>
      <c r="P241" s="794">
        <v>0</v>
      </c>
      <c r="Q241" s="794">
        <v>0</v>
      </c>
      <c r="R241" s="794">
        <v>0</v>
      </c>
      <c r="S241" s="796">
        <v>0</v>
      </c>
      <c r="T241" s="796">
        <v>0</v>
      </c>
      <c r="U241" s="796">
        <v>0</v>
      </c>
      <c r="V241" s="796">
        <v>0</v>
      </c>
      <c r="W241" s="796">
        <v>0</v>
      </c>
      <c r="X241" s="796">
        <v>0</v>
      </c>
      <c r="Y241" s="796">
        <v>0</v>
      </c>
      <c r="Z241" s="796">
        <v>0</v>
      </c>
      <c r="AA241" s="796">
        <v>0</v>
      </c>
      <c r="AB241" s="796">
        <v>0</v>
      </c>
      <c r="AC241" s="796">
        <v>0</v>
      </c>
      <c r="AD241" s="796">
        <v>0</v>
      </c>
      <c r="AE241" s="796">
        <v>0</v>
      </c>
      <c r="AF241" s="796">
        <v>0</v>
      </c>
      <c r="AG241" s="796">
        <v>0</v>
      </c>
      <c r="AH241" s="796">
        <v>0</v>
      </c>
      <c r="AI241" s="796">
        <v>0</v>
      </c>
      <c r="AJ241" s="796">
        <v>0</v>
      </c>
      <c r="AK241" s="810">
        <v>30000</v>
      </c>
      <c r="AL241" s="796">
        <v>0</v>
      </c>
      <c r="AM241" s="796">
        <v>0</v>
      </c>
      <c r="AN241" s="796">
        <v>0</v>
      </c>
      <c r="AO241" s="796">
        <v>0</v>
      </c>
      <c r="AP241" s="796">
        <v>0</v>
      </c>
      <c r="AQ241" s="796">
        <v>0</v>
      </c>
      <c r="AR241" s="796">
        <v>0</v>
      </c>
      <c r="AS241" s="796">
        <v>0</v>
      </c>
      <c r="AT241" s="796">
        <v>0</v>
      </c>
      <c r="AU241" s="796">
        <v>0</v>
      </c>
      <c r="AV241" s="796">
        <v>0</v>
      </c>
      <c r="AW241" s="796">
        <v>0</v>
      </c>
      <c r="AX241" s="796">
        <v>0</v>
      </c>
      <c r="AY241" s="796">
        <v>0</v>
      </c>
      <c r="AZ241" s="796">
        <v>0</v>
      </c>
      <c r="BA241" s="796">
        <v>0</v>
      </c>
      <c r="BB241" s="796">
        <v>0</v>
      </c>
      <c r="BC241" s="796">
        <v>0</v>
      </c>
      <c r="BD241" s="796">
        <v>0</v>
      </c>
      <c r="BE241" s="796">
        <v>0</v>
      </c>
      <c r="BF241" s="796">
        <v>0</v>
      </c>
      <c r="BG241" s="796">
        <v>0</v>
      </c>
      <c r="BH241" s="796">
        <v>0</v>
      </c>
      <c r="BI241" s="796">
        <v>0</v>
      </c>
      <c r="BJ241" s="796">
        <v>0</v>
      </c>
      <c r="BK241" s="796">
        <v>0</v>
      </c>
      <c r="BL241" s="796">
        <v>0</v>
      </c>
      <c r="BM241" s="796">
        <v>0</v>
      </c>
      <c r="BN241" s="796">
        <v>0</v>
      </c>
      <c r="BO241" s="796">
        <v>0</v>
      </c>
      <c r="BP241" s="796">
        <v>0</v>
      </c>
      <c r="BQ241" s="796">
        <v>0</v>
      </c>
      <c r="BR241" s="796">
        <v>0</v>
      </c>
      <c r="BS241" s="796">
        <v>0</v>
      </c>
      <c r="BT241" s="796">
        <v>0</v>
      </c>
      <c r="BU241" s="796">
        <v>0</v>
      </c>
      <c r="BV241" s="796">
        <v>0</v>
      </c>
    </row>
    <row r="242" spans="2:74">
      <c r="B242" s="795" t="s">
        <v>840</v>
      </c>
      <c r="C242" s="795" t="s">
        <v>3093</v>
      </c>
      <c r="D242" s="795"/>
      <c r="E242" s="796"/>
      <c r="F242" s="799"/>
      <c r="G242" s="799"/>
      <c r="H242" s="799"/>
      <c r="I242" s="799"/>
      <c r="J242" s="799"/>
      <c r="K242" s="799"/>
      <c r="L242" s="799">
        <f t="shared" si="8"/>
        <v>331</v>
      </c>
      <c r="M242" s="799"/>
      <c r="N242" s="595"/>
      <c r="O242" s="794">
        <v>0</v>
      </c>
      <c r="P242" s="794">
        <v>0</v>
      </c>
      <c r="Q242" s="794">
        <v>0</v>
      </c>
      <c r="R242" s="794">
        <v>0</v>
      </c>
      <c r="S242" s="796">
        <v>0</v>
      </c>
      <c r="T242" s="796">
        <v>0</v>
      </c>
      <c r="U242" s="796">
        <v>0</v>
      </c>
      <c r="V242" s="796">
        <v>0</v>
      </c>
      <c r="W242" s="796">
        <v>0</v>
      </c>
      <c r="X242" s="796">
        <v>0</v>
      </c>
      <c r="Y242" s="796">
        <v>0</v>
      </c>
      <c r="Z242" s="796">
        <v>0</v>
      </c>
      <c r="AA242" s="796">
        <v>0</v>
      </c>
      <c r="AB242" s="796">
        <v>0</v>
      </c>
      <c r="AC242" s="796">
        <v>0</v>
      </c>
      <c r="AD242" s="796">
        <v>0</v>
      </c>
      <c r="AE242" s="796">
        <v>0</v>
      </c>
      <c r="AF242" s="796">
        <v>0</v>
      </c>
      <c r="AG242" s="796">
        <v>0</v>
      </c>
      <c r="AH242" s="796">
        <v>0</v>
      </c>
      <c r="AI242" s="796">
        <v>0</v>
      </c>
      <c r="AJ242" s="796">
        <v>0</v>
      </c>
      <c r="AK242" s="796">
        <v>0</v>
      </c>
      <c r="AL242" s="796">
        <v>0</v>
      </c>
      <c r="AM242" s="796">
        <v>0</v>
      </c>
      <c r="AN242" s="796">
        <v>0</v>
      </c>
      <c r="AO242" s="796">
        <v>0</v>
      </c>
      <c r="AP242" s="796">
        <v>0</v>
      </c>
      <c r="AQ242" s="796">
        <v>0</v>
      </c>
      <c r="AR242" s="796">
        <v>0</v>
      </c>
      <c r="AS242" s="796">
        <v>0</v>
      </c>
      <c r="AT242" s="796">
        <v>0</v>
      </c>
      <c r="AU242" s="810">
        <v>18618.599999999999</v>
      </c>
      <c r="AV242" s="796">
        <v>23618.6</v>
      </c>
      <c r="AW242" s="796">
        <v>0</v>
      </c>
      <c r="AX242" s="796">
        <v>0</v>
      </c>
      <c r="AY242" s="796">
        <v>0</v>
      </c>
      <c r="AZ242" s="796">
        <v>101161.27</v>
      </c>
      <c r="BA242" s="796">
        <v>23297.84</v>
      </c>
      <c r="BB242" s="796">
        <v>26483.5</v>
      </c>
      <c r="BC242" s="796">
        <v>11041.25</v>
      </c>
      <c r="BD242" s="796">
        <v>29971.03</v>
      </c>
      <c r="BE242" s="796">
        <v>53462.9</v>
      </c>
      <c r="BF242" s="796">
        <v>0</v>
      </c>
      <c r="BG242" s="796">
        <v>33258.11</v>
      </c>
      <c r="BH242" s="796">
        <v>0</v>
      </c>
      <c r="BI242" s="796">
        <v>0</v>
      </c>
      <c r="BJ242" s="796">
        <v>0</v>
      </c>
      <c r="BK242" s="796">
        <v>0</v>
      </c>
      <c r="BL242" s="796">
        <v>0</v>
      </c>
      <c r="BM242" s="796">
        <v>0</v>
      </c>
      <c r="BN242" s="796">
        <v>0</v>
      </c>
      <c r="BO242" s="796">
        <v>0</v>
      </c>
      <c r="BP242" s="796">
        <v>0</v>
      </c>
      <c r="BQ242" s="796">
        <v>0</v>
      </c>
      <c r="BR242" s="796">
        <v>0</v>
      </c>
      <c r="BS242" s="796">
        <v>22147.599999999999</v>
      </c>
      <c r="BT242" s="796">
        <v>22562.560000000001</v>
      </c>
      <c r="BU242" s="796">
        <v>0</v>
      </c>
      <c r="BV242" s="796">
        <v>0</v>
      </c>
    </row>
    <row r="243" spans="2:74">
      <c r="B243" s="795" t="s">
        <v>3094</v>
      </c>
      <c r="C243" s="795" t="s">
        <v>3095</v>
      </c>
      <c r="D243" s="795"/>
      <c r="E243" s="796"/>
      <c r="F243" s="799"/>
      <c r="G243" s="799"/>
      <c r="H243" s="799"/>
      <c r="I243" s="799"/>
      <c r="J243" s="799"/>
      <c r="K243" s="799"/>
      <c r="L243" s="799">
        <f t="shared" si="8"/>
        <v>331</v>
      </c>
      <c r="M243" s="799"/>
      <c r="N243" s="595"/>
      <c r="O243" s="794">
        <v>0</v>
      </c>
      <c r="P243" s="794">
        <v>0</v>
      </c>
      <c r="Q243" s="794">
        <v>0</v>
      </c>
      <c r="R243" s="794">
        <v>0</v>
      </c>
      <c r="S243" s="796">
        <v>0</v>
      </c>
      <c r="T243" s="796">
        <v>0</v>
      </c>
      <c r="U243" s="796">
        <v>0</v>
      </c>
      <c r="V243" s="796">
        <v>0</v>
      </c>
      <c r="W243" s="796">
        <v>0</v>
      </c>
      <c r="X243" s="796">
        <v>0</v>
      </c>
      <c r="Y243" s="796">
        <v>0</v>
      </c>
      <c r="Z243" s="796">
        <v>0</v>
      </c>
      <c r="AA243" s="796">
        <v>0</v>
      </c>
      <c r="AB243" s="796">
        <v>0</v>
      </c>
      <c r="AC243" s="796">
        <v>0</v>
      </c>
      <c r="AD243" s="796">
        <v>0</v>
      </c>
      <c r="AE243" s="796">
        <v>0</v>
      </c>
      <c r="AF243" s="796">
        <v>0</v>
      </c>
      <c r="AG243" s="796">
        <v>0</v>
      </c>
      <c r="AH243" s="796">
        <v>0</v>
      </c>
      <c r="AI243" s="796">
        <v>0</v>
      </c>
      <c r="AJ243" s="796">
        <v>0</v>
      </c>
      <c r="AK243" s="796">
        <v>0</v>
      </c>
      <c r="AL243" s="796">
        <v>0</v>
      </c>
      <c r="AM243" s="810">
        <v>60000</v>
      </c>
      <c r="AN243" s="796">
        <v>0</v>
      </c>
      <c r="AO243" s="796">
        <v>0</v>
      </c>
      <c r="AP243" s="796">
        <v>55000</v>
      </c>
      <c r="AQ243" s="796">
        <v>0</v>
      </c>
      <c r="AR243" s="796">
        <v>0</v>
      </c>
      <c r="AS243" s="796">
        <v>0</v>
      </c>
      <c r="AT243" s="796">
        <v>0</v>
      </c>
      <c r="AU243" s="796">
        <v>0</v>
      </c>
      <c r="AV243" s="796">
        <v>0</v>
      </c>
      <c r="AW243" s="796">
        <v>0</v>
      </c>
      <c r="AX243" s="796">
        <v>0</v>
      </c>
      <c r="AY243" s="796">
        <v>0</v>
      </c>
      <c r="AZ243" s="796">
        <v>0</v>
      </c>
      <c r="BA243" s="796">
        <v>0</v>
      </c>
      <c r="BB243" s="796">
        <v>0</v>
      </c>
      <c r="BC243" s="796">
        <v>0</v>
      </c>
      <c r="BD243" s="796">
        <v>0</v>
      </c>
      <c r="BE243" s="796">
        <v>0</v>
      </c>
      <c r="BF243" s="796">
        <v>0</v>
      </c>
      <c r="BG243" s="796">
        <v>0</v>
      </c>
      <c r="BH243" s="796">
        <v>0</v>
      </c>
      <c r="BI243" s="796">
        <v>0</v>
      </c>
      <c r="BJ243" s="796">
        <v>0</v>
      </c>
      <c r="BK243" s="796">
        <v>0</v>
      </c>
      <c r="BL243" s="796">
        <v>0</v>
      </c>
      <c r="BM243" s="796">
        <v>0</v>
      </c>
      <c r="BN243" s="796">
        <v>0</v>
      </c>
      <c r="BO243" s="796">
        <v>0</v>
      </c>
      <c r="BP243" s="796">
        <v>0</v>
      </c>
      <c r="BQ243" s="796">
        <v>0</v>
      </c>
      <c r="BR243" s="796">
        <v>0</v>
      </c>
      <c r="BS243" s="796">
        <v>0</v>
      </c>
      <c r="BT243" s="796">
        <v>0</v>
      </c>
      <c r="BU243" s="796">
        <v>0</v>
      </c>
      <c r="BV243" s="796">
        <v>0</v>
      </c>
    </row>
    <row r="244" spans="2:74">
      <c r="B244" s="795" t="s">
        <v>761</v>
      </c>
      <c r="C244" s="795" t="s">
        <v>481</v>
      </c>
      <c r="D244" s="795"/>
      <c r="E244" s="796"/>
      <c r="F244" s="799"/>
      <c r="G244" s="799"/>
      <c r="H244" s="799"/>
      <c r="I244" s="799"/>
      <c r="J244" s="799"/>
      <c r="K244" s="799"/>
      <c r="L244" s="799">
        <f t="shared" si="8"/>
        <v>331</v>
      </c>
      <c r="M244" s="799"/>
      <c r="N244" s="595"/>
      <c r="O244" s="794">
        <v>0</v>
      </c>
      <c r="P244" s="794">
        <v>0</v>
      </c>
      <c r="Q244" s="794">
        <v>0</v>
      </c>
      <c r="R244" s="794">
        <v>0</v>
      </c>
      <c r="S244" s="796">
        <v>0</v>
      </c>
      <c r="T244" s="796">
        <v>0</v>
      </c>
      <c r="U244" s="796">
        <v>0</v>
      </c>
      <c r="V244" s="796">
        <v>0</v>
      </c>
      <c r="W244" s="796">
        <v>0</v>
      </c>
      <c r="X244" s="796">
        <v>0</v>
      </c>
      <c r="Y244" s="796">
        <v>0</v>
      </c>
      <c r="Z244" s="796">
        <v>0</v>
      </c>
      <c r="AA244" s="796">
        <v>0</v>
      </c>
      <c r="AB244" s="796">
        <v>0</v>
      </c>
      <c r="AC244" s="796">
        <v>0</v>
      </c>
      <c r="AD244" s="796">
        <v>0</v>
      </c>
      <c r="AE244" s="796">
        <v>0</v>
      </c>
      <c r="AF244" s="796">
        <v>0</v>
      </c>
      <c r="AG244" s="796">
        <v>0</v>
      </c>
      <c r="AH244" s="796">
        <v>0</v>
      </c>
      <c r="AI244" s="796">
        <v>0</v>
      </c>
      <c r="AJ244" s="796">
        <v>0</v>
      </c>
      <c r="AK244" s="796">
        <v>0</v>
      </c>
      <c r="AL244" s="810">
        <v>38484.9</v>
      </c>
      <c r="AM244" s="796">
        <v>0</v>
      </c>
      <c r="AN244" s="796">
        <v>0</v>
      </c>
      <c r="AO244" s="796">
        <v>0</v>
      </c>
      <c r="AP244" s="796">
        <v>0</v>
      </c>
      <c r="AQ244" s="796">
        <v>0</v>
      </c>
      <c r="AR244" s="796">
        <v>0</v>
      </c>
      <c r="AS244" s="796">
        <v>0</v>
      </c>
      <c r="AT244" s="796">
        <v>0</v>
      </c>
      <c r="AU244" s="796">
        <v>0</v>
      </c>
      <c r="AV244" s="796">
        <v>0</v>
      </c>
      <c r="AW244" s="796">
        <v>0</v>
      </c>
      <c r="AX244" s="796">
        <v>0</v>
      </c>
      <c r="AY244" s="796">
        <v>0</v>
      </c>
      <c r="AZ244" s="796">
        <v>0</v>
      </c>
      <c r="BA244" s="796">
        <v>0</v>
      </c>
      <c r="BB244" s="796">
        <v>0</v>
      </c>
      <c r="BC244" s="796">
        <v>0</v>
      </c>
      <c r="BD244" s="796">
        <v>0</v>
      </c>
      <c r="BE244" s="796">
        <v>0</v>
      </c>
      <c r="BF244" s="796">
        <v>0</v>
      </c>
      <c r="BG244" s="796">
        <v>0</v>
      </c>
      <c r="BH244" s="796">
        <v>0</v>
      </c>
      <c r="BI244" s="796">
        <v>0</v>
      </c>
      <c r="BJ244" s="796">
        <v>0</v>
      </c>
      <c r="BK244" s="796">
        <v>0</v>
      </c>
      <c r="BL244" s="796">
        <v>0</v>
      </c>
      <c r="BM244" s="796">
        <v>0</v>
      </c>
      <c r="BN244" s="796">
        <v>0</v>
      </c>
      <c r="BO244" s="796">
        <v>0</v>
      </c>
      <c r="BP244" s="796">
        <v>0</v>
      </c>
      <c r="BQ244" s="796">
        <v>0</v>
      </c>
      <c r="BR244" s="796">
        <v>0</v>
      </c>
      <c r="BS244" s="796">
        <v>0</v>
      </c>
      <c r="BT244" s="796">
        <v>0</v>
      </c>
      <c r="BU244" s="796">
        <v>0</v>
      </c>
      <c r="BV244" s="796">
        <v>0</v>
      </c>
    </row>
    <row r="245" spans="2:74">
      <c r="B245" s="795" t="s">
        <v>3096</v>
      </c>
      <c r="C245" s="795" t="s">
        <v>481</v>
      </c>
      <c r="D245" s="795"/>
      <c r="E245" s="796"/>
      <c r="F245" s="799"/>
      <c r="G245" s="799"/>
      <c r="H245" s="799"/>
      <c r="I245" s="799"/>
      <c r="J245" s="799"/>
      <c r="K245" s="799"/>
      <c r="L245" s="799">
        <f t="shared" si="8"/>
        <v>331</v>
      </c>
      <c r="M245" s="799"/>
      <c r="N245" s="595"/>
      <c r="O245" s="794">
        <v>0</v>
      </c>
      <c r="P245" s="794">
        <v>0</v>
      </c>
      <c r="Q245" s="794">
        <v>0</v>
      </c>
      <c r="R245" s="794">
        <v>0</v>
      </c>
      <c r="S245" s="796">
        <v>0</v>
      </c>
      <c r="T245" s="796">
        <v>0</v>
      </c>
      <c r="U245" s="796">
        <v>0</v>
      </c>
      <c r="V245" s="796">
        <v>0</v>
      </c>
      <c r="W245" s="796">
        <v>0</v>
      </c>
      <c r="X245" s="796">
        <v>0</v>
      </c>
      <c r="Y245" s="796">
        <v>0</v>
      </c>
      <c r="Z245" s="796">
        <v>0</v>
      </c>
      <c r="AA245" s="796">
        <v>0</v>
      </c>
      <c r="AB245" s="796">
        <v>0</v>
      </c>
      <c r="AC245" s="796">
        <v>0</v>
      </c>
      <c r="AD245" s="796">
        <v>0</v>
      </c>
      <c r="AE245" s="796">
        <v>0</v>
      </c>
      <c r="AF245" s="796">
        <v>0</v>
      </c>
      <c r="AG245" s="796">
        <v>0</v>
      </c>
      <c r="AH245" s="796">
        <v>0</v>
      </c>
      <c r="AI245" s="796">
        <v>0</v>
      </c>
      <c r="AJ245" s="796">
        <v>0</v>
      </c>
      <c r="AK245" s="796">
        <v>0</v>
      </c>
      <c r="AL245" s="810">
        <v>60000</v>
      </c>
      <c r="AM245" s="796">
        <v>48410</v>
      </c>
      <c r="AN245" s="796">
        <v>0</v>
      </c>
      <c r="AO245" s="796">
        <v>0</v>
      </c>
      <c r="AP245" s="796">
        <v>0</v>
      </c>
      <c r="AQ245" s="796">
        <v>116441.76</v>
      </c>
      <c r="AR245" s="796">
        <v>5000</v>
      </c>
      <c r="AS245" s="796">
        <v>0</v>
      </c>
      <c r="AT245" s="796">
        <v>0</v>
      </c>
      <c r="AU245" s="796">
        <v>0</v>
      </c>
      <c r="AV245" s="796">
        <v>0</v>
      </c>
      <c r="AW245" s="796">
        <v>0</v>
      </c>
      <c r="AX245" s="796">
        <v>0</v>
      </c>
      <c r="AY245" s="796">
        <v>0</v>
      </c>
      <c r="AZ245" s="796">
        <v>0</v>
      </c>
      <c r="BA245" s="796">
        <v>0</v>
      </c>
      <c r="BB245" s="796">
        <v>0</v>
      </c>
      <c r="BC245" s="796">
        <v>0</v>
      </c>
      <c r="BD245" s="796">
        <v>0</v>
      </c>
      <c r="BE245" s="796">
        <v>0</v>
      </c>
      <c r="BF245" s="796">
        <v>0</v>
      </c>
      <c r="BG245" s="796">
        <v>0</v>
      </c>
      <c r="BH245" s="796">
        <v>0</v>
      </c>
      <c r="BI245" s="796">
        <v>0</v>
      </c>
      <c r="BJ245" s="796">
        <v>0</v>
      </c>
      <c r="BK245" s="796">
        <v>0</v>
      </c>
      <c r="BL245" s="796">
        <v>0</v>
      </c>
      <c r="BM245" s="796">
        <v>0</v>
      </c>
      <c r="BN245" s="796">
        <v>0</v>
      </c>
      <c r="BO245" s="796">
        <v>0</v>
      </c>
      <c r="BP245" s="796">
        <v>0</v>
      </c>
      <c r="BQ245" s="796">
        <v>0</v>
      </c>
      <c r="BR245" s="796">
        <v>0</v>
      </c>
      <c r="BS245" s="796">
        <v>0</v>
      </c>
      <c r="BT245" s="796">
        <v>0</v>
      </c>
      <c r="BU245" s="796">
        <v>13815.99</v>
      </c>
      <c r="BV245" s="796">
        <v>0</v>
      </c>
    </row>
    <row r="246" spans="2:74">
      <c r="B246" s="795" t="s">
        <v>3097</v>
      </c>
      <c r="C246" s="795" t="s">
        <v>3098</v>
      </c>
      <c r="D246" s="795"/>
      <c r="E246" s="796"/>
      <c r="F246" s="799"/>
      <c r="G246" s="799"/>
      <c r="H246" s="799"/>
      <c r="I246" s="799"/>
      <c r="J246" s="799"/>
      <c r="K246" s="799"/>
      <c r="L246" s="799">
        <f t="shared" si="8"/>
        <v>331</v>
      </c>
      <c r="M246" s="799"/>
      <c r="N246" s="595"/>
      <c r="O246" s="794">
        <v>0</v>
      </c>
      <c r="P246" s="794">
        <v>0</v>
      </c>
      <c r="Q246" s="794">
        <v>0</v>
      </c>
      <c r="R246" s="794">
        <v>0</v>
      </c>
      <c r="S246" s="796">
        <v>0</v>
      </c>
      <c r="T246" s="796">
        <v>0</v>
      </c>
      <c r="U246" s="796">
        <v>0</v>
      </c>
      <c r="V246" s="796">
        <v>0</v>
      </c>
      <c r="W246" s="796">
        <v>0</v>
      </c>
      <c r="X246" s="796">
        <v>0</v>
      </c>
      <c r="Y246" s="796">
        <v>0</v>
      </c>
      <c r="Z246" s="796">
        <v>0</v>
      </c>
      <c r="AA246" s="796">
        <v>0</v>
      </c>
      <c r="AB246" s="796">
        <v>0</v>
      </c>
      <c r="AC246" s="796">
        <v>0</v>
      </c>
      <c r="AD246" s="796">
        <v>0</v>
      </c>
      <c r="AE246" s="796">
        <v>0</v>
      </c>
      <c r="AF246" s="796">
        <v>0</v>
      </c>
      <c r="AG246" s="796">
        <v>0</v>
      </c>
      <c r="AH246" s="796">
        <v>0</v>
      </c>
      <c r="AI246" s="796">
        <v>0</v>
      </c>
      <c r="AJ246" s="796">
        <v>0</v>
      </c>
      <c r="AK246" s="796">
        <v>0</v>
      </c>
      <c r="AL246" s="810">
        <v>81348</v>
      </c>
      <c r="AM246" s="796">
        <v>31565.96</v>
      </c>
      <c r="AN246" s="796">
        <v>88196.72</v>
      </c>
      <c r="AO246" s="796">
        <v>35199.949999999997</v>
      </c>
      <c r="AP246" s="796">
        <v>0</v>
      </c>
      <c r="AQ246" s="796">
        <v>720</v>
      </c>
      <c r="AR246" s="796">
        <v>0</v>
      </c>
      <c r="AS246" s="796">
        <v>0</v>
      </c>
      <c r="AT246" s="796">
        <v>0</v>
      </c>
      <c r="AU246" s="796">
        <v>0</v>
      </c>
      <c r="AV246" s="796">
        <v>0</v>
      </c>
      <c r="AW246" s="796">
        <v>0</v>
      </c>
      <c r="AX246" s="796">
        <v>0</v>
      </c>
      <c r="AY246" s="796">
        <v>0</v>
      </c>
      <c r="AZ246" s="796">
        <v>0</v>
      </c>
      <c r="BA246" s="796">
        <v>0</v>
      </c>
      <c r="BB246" s="796">
        <v>0</v>
      </c>
      <c r="BC246" s="796">
        <v>0</v>
      </c>
      <c r="BD246" s="796">
        <v>0</v>
      </c>
      <c r="BE246" s="796">
        <v>0</v>
      </c>
      <c r="BF246" s="796">
        <v>0</v>
      </c>
      <c r="BG246" s="796">
        <v>0</v>
      </c>
      <c r="BH246" s="796">
        <v>0</v>
      </c>
      <c r="BI246" s="796">
        <v>0</v>
      </c>
      <c r="BJ246" s="796">
        <v>0</v>
      </c>
      <c r="BK246" s="796">
        <v>0</v>
      </c>
      <c r="BL246" s="796">
        <v>0</v>
      </c>
      <c r="BM246" s="796">
        <v>0</v>
      </c>
      <c r="BN246" s="796">
        <v>0</v>
      </c>
      <c r="BO246" s="796">
        <v>0</v>
      </c>
      <c r="BP246" s="796">
        <v>0</v>
      </c>
      <c r="BQ246" s="796">
        <v>0</v>
      </c>
      <c r="BR246" s="796">
        <v>0</v>
      </c>
      <c r="BS246" s="796">
        <v>0</v>
      </c>
      <c r="BT246" s="796">
        <v>0</v>
      </c>
      <c r="BU246" s="796">
        <v>0</v>
      </c>
      <c r="BV246" s="796">
        <v>0</v>
      </c>
    </row>
    <row r="247" spans="2:74">
      <c r="B247" s="795" t="s">
        <v>3099</v>
      </c>
      <c r="C247" s="795" t="s">
        <v>2872</v>
      </c>
      <c r="D247" s="795"/>
      <c r="E247" s="796"/>
      <c r="F247" s="799"/>
      <c r="G247" s="799"/>
      <c r="H247" s="799"/>
      <c r="I247" s="799"/>
      <c r="J247" s="799"/>
      <c r="K247" s="799"/>
      <c r="L247" s="799">
        <f t="shared" si="8"/>
        <v>331</v>
      </c>
      <c r="M247" s="799"/>
      <c r="N247" s="595"/>
      <c r="O247" s="794">
        <v>0</v>
      </c>
      <c r="P247" s="794">
        <v>0</v>
      </c>
      <c r="Q247" s="794">
        <v>0</v>
      </c>
      <c r="R247" s="794">
        <v>0</v>
      </c>
      <c r="S247" s="796">
        <v>0</v>
      </c>
      <c r="T247" s="796">
        <v>0</v>
      </c>
      <c r="U247" s="796">
        <v>0</v>
      </c>
      <c r="V247" s="796">
        <v>0</v>
      </c>
      <c r="W247" s="796">
        <v>0</v>
      </c>
      <c r="X247" s="796">
        <v>0</v>
      </c>
      <c r="Y247" s="796">
        <v>0</v>
      </c>
      <c r="Z247" s="796">
        <v>0</v>
      </c>
      <c r="AA247" s="796">
        <v>0</v>
      </c>
      <c r="AB247" s="796">
        <v>0</v>
      </c>
      <c r="AC247" s="796">
        <v>0</v>
      </c>
      <c r="AD247" s="796">
        <v>0</v>
      </c>
      <c r="AE247" s="796">
        <v>0</v>
      </c>
      <c r="AF247" s="796">
        <v>0</v>
      </c>
      <c r="AG247" s="796">
        <v>0</v>
      </c>
      <c r="AH247" s="796">
        <v>0</v>
      </c>
      <c r="AI247" s="796">
        <v>0</v>
      </c>
      <c r="AJ247" s="796">
        <v>0</v>
      </c>
      <c r="AK247" s="796">
        <v>0</v>
      </c>
      <c r="AL247" s="796">
        <v>0</v>
      </c>
      <c r="AM247" s="810">
        <v>98719.25</v>
      </c>
      <c r="AN247" s="796">
        <v>66807.5</v>
      </c>
      <c r="AO247" s="796">
        <v>32000</v>
      </c>
      <c r="AP247" s="796">
        <v>0</v>
      </c>
      <c r="AQ247" s="796">
        <v>0</v>
      </c>
      <c r="AR247" s="796">
        <v>0</v>
      </c>
      <c r="AS247" s="796">
        <v>0</v>
      </c>
      <c r="AT247" s="796">
        <v>0</v>
      </c>
      <c r="AU247" s="796">
        <v>0</v>
      </c>
      <c r="AV247" s="796">
        <v>0</v>
      </c>
      <c r="AW247" s="796">
        <v>0</v>
      </c>
      <c r="AX247" s="796">
        <v>0</v>
      </c>
      <c r="AY247" s="796">
        <v>0</v>
      </c>
      <c r="AZ247" s="796">
        <v>0</v>
      </c>
      <c r="BA247" s="796">
        <v>0</v>
      </c>
      <c r="BB247" s="796">
        <v>0</v>
      </c>
      <c r="BC247" s="796">
        <v>0</v>
      </c>
      <c r="BD247" s="796">
        <v>0</v>
      </c>
      <c r="BE247" s="796">
        <v>0</v>
      </c>
      <c r="BF247" s="796">
        <v>0</v>
      </c>
      <c r="BG247" s="796">
        <v>0</v>
      </c>
      <c r="BH247" s="796">
        <v>0</v>
      </c>
      <c r="BI247" s="796">
        <v>0</v>
      </c>
      <c r="BJ247" s="796">
        <v>0</v>
      </c>
      <c r="BK247" s="796">
        <v>0</v>
      </c>
      <c r="BL247" s="796">
        <v>0</v>
      </c>
      <c r="BM247" s="796">
        <v>0</v>
      </c>
      <c r="BN247" s="796">
        <v>0</v>
      </c>
      <c r="BO247" s="796">
        <v>0</v>
      </c>
      <c r="BP247" s="796">
        <v>0</v>
      </c>
      <c r="BQ247" s="796">
        <v>0</v>
      </c>
      <c r="BR247" s="796">
        <v>0</v>
      </c>
      <c r="BS247" s="796">
        <v>0</v>
      </c>
      <c r="BT247" s="796">
        <v>0</v>
      </c>
      <c r="BU247" s="796">
        <v>0</v>
      </c>
      <c r="BV247" s="796">
        <v>0</v>
      </c>
    </row>
    <row r="248" spans="2:74">
      <c r="B248" s="795" t="s">
        <v>3100</v>
      </c>
      <c r="C248" s="795" t="s">
        <v>3101</v>
      </c>
      <c r="D248" s="795"/>
      <c r="E248" s="796"/>
      <c r="F248" s="799"/>
      <c r="G248" s="799"/>
      <c r="H248" s="799"/>
      <c r="I248" s="799"/>
      <c r="J248" s="799"/>
      <c r="K248" s="799"/>
      <c r="L248" s="799">
        <f t="shared" si="8"/>
        <v>331</v>
      </c>
      <c r="M248" s="799"/>
      <c r="N248" s="595"/>
      <c r="O248" s="794">
        <v>0</v>
      </c>
      <c r="P248" s="794">
        <v>0</v>
      </c>
      <c r="Q248" s="794">
        <v>0</v>
      </c>
      <c r="R248" s="794">
        <v>0</v>
      </c>
      <c r="S248" s="796">
        <v>0</v>
      </c>
      <c r="T248" s="796">
        <v>0</v>
      </c>
      <c r="U248" s="796">
        <v>0</v>
      </c>
      <c r="V248" s="796">
        <v>0</v>
      </c>
      <c r="W248" s="796">
        <v>0</v>
      </c>
      <c r="X248" s="796">
        <v>0</v>
      </c>
      <c r="Y248" s="796">
        <v>0</v>
      </c>
      <c r="Z248" s="796">
        <v>0</v>
      </c>
      <c r="AA248" s="796">
        <v>0</v>
      </c>
      <c r="AB248" s="796">
        <v>0</v>
      </c>
      <c r="AC248" s="796">
        <v>0</v>
      </c>
      <c r="AD248" s="796">
        <v>0</v>
      </c>
      <c r="AE248" s="796">
        <v>0</v>
      </c>
      <c r="AF248" s="796">
        <v>0</v>
      </c>
      <c r="AG248" s="796">
        <v>0</v>
      </c>
      <c r="AH248" s="796">
        <v>0</v>
      </c>
      <c r="AI248" s="796">
        <v>0</v>
      </c>
      <c r="AJ248" s="796">
        <v>0</v>
      </c>
      <c r="AK248" s="796">
        <v>0</v>
      </c>
      <c r="AL248" s="796">
        <v>0</v>
      </c>
      <c r="AM248" s="810">
        <v>37220.83</v>
      </c>
      <c r="AN248" s="796">
        <v>152482.59</v>
      </c>
      <c r="AO248" s="796">
        <v>84411.44</v>
      </c>
      <c r="AP248" s="796">
        <v>85692.52</v>
      </c>
      <c r="AQ248" s="796">
        <v>0</v>
      </c>
      <c r="AR248" s="796">
        <v>0</v>
      </c>
      <c r="AS248" s="796">
        <v>0</v>
      </c>
      <c r="AT248" s="796">
        <v>0</v>
      </c>
      <c r="AU248" s="796">
        <v>0</v>
      </c>
      <c r="AV248" s="796">
        <v>0</v>
      </c>
      <c r="AW248" s="796">
        <v>0</v>
      </c>
      <c r="AX248" s="796">
        <v>0</v>
      </c>
      <c r="AY248" s="796">
        <v>0</v>
      </c>
      <c r="AZ248" s="796">
        <v>0</v>
      </c>
      <c r="BA248" s="796">
        <v>0</v>
      </c>
      <c r="BB248" s="796">
        <v>0</v>
      </c>
      <c r="BC248" s="796">
        <v>0</v>
      </c>
      <c r="BD248" s="796">
        <v>0</v>
      </c>
      <c r="BE248" s="796">
        <v>8901.7999999999993</v>
      </c>
      <c r="BF248" s="796">
        <v>0</v>
      </c>
      <c r="BG248" s="796">
        <v>0</v>
      </c>
      <c r="BH248" s="796">
        <v>0</v>
      </c>
      <c r="BI248" s="796">
        <v>0</v>
      </c>
      <c r="BJ248" s="796">
        <v>0</v>
      </c>
      <c r="BK248" s="796">
        <v>0</v>
      </c>
      <c r="BL248" s="796">
        <v>0</v>
      </c>
      <c r="BM248" s="796">
        <v>0</v>
      </c>
      <c r="BN248" s="796">
        <v>0</v>
      </c>
      <c r="BO248" s="796">
        <v>0</v>
      </c>
      <c r="BP248" s="796">
        <v>0</v>
      </c>
      <c r="BQ248" s="796">
        <v>0</v>
      </c>
      <c r="BR248" s="796">
        <v>0</v>
      </c>
      <c r="BS248" s="796">
        <v>0</v>
      </c>
      <c r="BT248" s="796">
        <v>0</v>
      </c>
      <c r="BU248" s="796">
        <v>0</v>
      </c>
      <c r="BV248" s="796">
        <v>0</v>
      </c>
    </row>
    <row r="249" spans="2:74">
      <c r="B249" s="795" t="s">
        <v>3102</v>
      </c>
      <c r="C249" s="795" t="s">
        <v>3061</v>
      </c>
      <c r="D249" s="795"/>
      <c r="E249" s="796"/>
      <c r="F249" s="799"/>
      <c r="G249" s="799"/>
      <c r="H249" s="799"/>
      <c r="I249" s="799"/>
      <c r="J249" s="799"/>
      <c r="K249" s="799"/>
      <c r="L249" s="799">
        <f t="shared" si="8"/>
        <v>331</v>
      </c>
      <c r="M249" s="799"/>
      <c r="N249" s="595"/>
      <c r="O249" s="794">
        <v>0</v>
      </c>
      <c r="P249" s="794">
        <v>0</v>
      </c>
      <c r="Q249" s="794">
        <v>0</v>
      </c>
      <c r="R249" s="794">
        <v>0</v>
      </c>
      <c r="S249" s="796">
        <v>0</v>
      </c>
      <c r="T249" s="796">
        <v>0</v>
      </c>
      <c r="U249" s="796">
        <v>0</v>
      </c>
      <c r="V249" s="796">
        <v>0</v>
      </c>
      <c r="W249" s="796">
        <v>0</v>
      </c>
      <c r="X249" s="796">
        <v>0</v>
      </c>
      <c r="Y249" s="796">
        <v>0</v>
      </c>
      <c r="Z249" s="796">
        <v>0</v>
      </c>
      <c r="AA249" s="796">
        <v>0</v>
      </c>
      <c r="AB249" s="796">
        <v>0</v>
      </c>
      <c r="AC249" s="796">
        <v>0</v>
      </c>
      <c r="AD249" s="796">
        <v>0</v>
      </c>
      <c r="AE249" s="796">
        <v>0</v>
      </c>
      <c r="AF249" s="796">
        <v>0</v>
      </c>
      <c r="AG249" s="796">
        <v>0</v>
      </c>
      <c r="AH249" s="796">
        <v>0</v>
      </c>
      <c r="AI249" s="796">
        <v>0</v>
      </c>
      <c r="AJ249" s="796">
        <v>0</v>
      </c>
      <c r="AK249" s="796">
        <v>0</v>
      </c>
      <c r="AL249" s="796">
        <v>0</v>
      </c>
      <c r="AM249" s="796">
        <v>0</v>
      </c>
      <c r="AN249" s="796">
        <v>0</v>
      </c>
      <c r="AO249" s="796">
        <v>0</v>
      </c>
      <c r="AP249" s="796">
        <v>0</v>
      </c>
      <c r="AQ249" s="796">
        <v>0</v>
      </c>
      <c r="AR249" s="796">
        <v>0</v>
      </c>
      <c r="AS249" s="796">
        <v>0</v>
      </c>
      <c r="AT249" s="796">
        <v>0</v>
      </c>
      <c r="AU249" s="796">
        <v>0</v>
      </c>
      <c r="AV249" s="796">
        <v>0</v>
      </c>
      <c r="AW249" s="796">
        <v>0</v>
      </c>
      <c r="AX249" s="796">
        <v>0</v>
      </c>
      <c r="AY249" s="796">
        <v>0</v>
      </c>
      <c r="AZ249" s="796">
        <v>0</v>
      </c>
      <c r="BA249" s="796">
        <v>0</v>
      </c>
      <c r="BB249" s="796">
        <v>0</v>
      </c>
      <c r="BC249" s="796">
        <v>0</v>
      </c>
      <c r="BD249" s="796">
        <v>0</v>
      </c>
      <c r="BE249" s="796">
        <v>0</v>
      </c>
      <c r="BF249" s="796">
        <v>0</v>
      </c>
      <c r="BG249" s="796">
        <v>0</v>
      </c>
      <c r="BH249" s="796">
        <v>0</v>
      </c>
      <c r="BI249" s="796">
        <v>0</v>
      </c>
      <c r="BJ249" s="796">
        <v>0</v>
      </c>
      <c r="BK249" s="796">
        <v>0</v>
      </c>
      <c r="BL249" s="796">
        <v>0</v>
      </c>
      <c r="BM249" s="796">
        <v>0</v>
      </c>
      <c r="BN249" s="796">
        <v>0</v>
      </c>
      <c r="BO249" s="796">
        <v>0</v>
      </c>
      <c r="BP249" s="796">
        <v>0</v>
      </c>
      <c r="BQ249" s="796">
        <v>0</v>
      </c>
      <c r="BR249" s="796">
        <v>0</v>
      </c>
      <c r="BS249" s="796">
        <v>0</v>
      </c>
      <c r="BT249" s="796">
        <v>0</v>
      </c>
      <c r="BU249" s="796">
        <v>0</v>
      </c>
      <c r="BV249" s="796">
        <v>0</v>
      </c>
    </row>
    <row r="250" spans="2:74">
      <c r="B250" s="795" t="s">
        <v>3103</v>
      </c>
      <c r="C250" s="795" t="s">
        <v>3104</v>
      </c>
      <c r="D250" s="795"/>
      <c r="E250" s="796"/>
      <c r="F250" s="799"/>
      <c r="G250" s="799"/>
      <c r="H250" s="799"/>
      <c r="I250" s="799"/>
      <c r="J250" s="799"/>
      <c r="K250" s="799"/>
      <c r="L250" s="799">
        <f t="shared" si="8"/>
        <v>331</v>
      </c>
      <c r="M250" s="799"/>
      <c r="N250" s="595"/>
      <c r="O250" s="794">
        <v>0</v>
      </c>
      <c r="P250" s="794">
        <v>0</v>
      </c>
      <c r="Q250" s="794">
        <v>0</v>
      </c>
      <c r="R250" s="794">
        <v>0</v>
      </c>
      <c r="S250" s="796">
        <v>0</v>
      </c>
      <c r="T250" s="796">
        <v>0</v>
      </c>
      <c r="U250" s="796">
        <v>0</v>
      </c>
      <c r="V250" s="796">
        <v>0</v>
      </c>
      <c r="W250" s="796">
        <v>0</v>
      </c>
      <c r="X250" s="796">
        <v>0</v>
      </c>
      <c r="Y250" s="796">
        <v>0</v>
      </c>
      <c r="Z250" s="796">
        <v>0</v>
      </c>
      <c r="AA250" s="796">
        <v>0</v>
      </c>
      <c r="AB250" s="796">
        <v>0</v>
      </c>
      <c r="AC250" s="796">
        <v>0</v>
      </c>
      <c r="AD250" s="796">
        <v>0</v>
      </c>
      <c r="AE250" s="796">
        <v>0</v>
      </c>
      <c r="AF250" s="796">
        <v>0</v>
      </c>
      <c r="AG250" s="796">
        <v>0</v>
      </c>
      <c r="AH250" s="796">
        <v>0</v>
      </c>
      <c r="AI250" s="796">
        <v>0</v>
      </c>
      <c r="AJ250" s="796">
        <v>0</v>
      </c>
      <c r="AK250" s="796">
        <v>0</v>
      </c>
      <c r="AL250" s="796">
        <v>0</v>
      </c>
      <c r="AM250" s="810">
        <v>52158.1</v>
      </c>
      <c r="AN250" s="796">
        <v>189623.63</v>
      </c>
      <c r="AO250" s="796">
        <v>40227.93</v>
      </c>
      <c r="AP250" s="796">
        <v>0</v>
      </c>
      <c r="AQ250" s="796">
        <v>46884</v>
      </c>
      <c r="AR250" s="796">
        <v>34437</v>
      </c>
      <c r="AS250" s="796">
        <v>0</v>
      </c>
      <c r="AT250" s="796">
        <v>0</v>
      </c>
      <c r="AU250" s="796">
        <v>0</v>
      </c>
      <c r="AV250" s="796">
        <v>0</v>
      </c>
      <c r="AW250" s="796">
        <v>0</v>
      </c>
      <c r="AX250" s="796">
        <v>0</v>
      </c>
      <c r="AY250" s="796">
        <v>0</v>
      </c>
      <c r="AZ250" s="796">
        <v>0</v>
      </c>
      <c r="BA250" s="796">
        <v>0</v>
      </c>
      <c r="BB250" s="796">
        <v>0</v>
      </c>
      <c r="BC250" s="796">
        <v>0</v>
      </c>
      <c r="BD250" s="796">
        <v>0</v>
      </c>
      <c r="BE250" s="796">
        <v>0</v>
      </c>
      <c r="BF250" s="796">
        <v>0</v>
      </c>
      <c r="BG250" s="796">
        <v>0</v>
      </c>
      <c r="BH250" s="796">
        <v>0</v>
      </c>
      <c r="BI250" s="796">
        <v>0</v>
      </c>
      <c r="BJ250" s="796">
        <v>0</v>
      </c>
      <c r="BK250" s="796">
        <v>0</v>
      </c>
      <c r="BL250" s="796">
        <v>0</v>
      </c>
      <c r="BM250" s="796">
        <v>0</v>
      </c>
      <c r="BN250" s="796">
        <v>0</v>
      </c>
      <c r="BO250" s="796">
        <v>0</v>
      </c>
      <c r="BP250" s="796">
        <v>0</v>
      </c>
      <c r="BQ250" s="796">
        <v>0</v>
      </c>
      <c r="BR250" s="796">
        <v>0</v>
      </c>
      <c r="BS250" s="796">
        <v>0</v>
      </c>
      <c r="BT250" s="796">
        <v>0</v>
      </c>
      <c r="BU250" s="796">
        <v>0</v>
      </c>
      <c r="BV250" s="796">
        <v>0</v>
      </c>
    </row>
    <row r="251" spans="2:74">
      <c r="B251" s="795" t="s">
        <v>3105</v>
      </c>
      <c r="C251" s="795" t="s">
        <v>3106</v>
      </c>
      <c r="D251" s="795"/>
      <c r="E251" s="796"/>
      <c r="F251" s="799"/>
      <c r="G251" s="799"/>
      <c r="H251" s="799"/>
      <c r="I251" s="799"/>
      <c r="J251" s="799"/>
      <c r="K251" s="799"/>
      <c r="L251" s="799">
        <f t="shared" si="8"/>
        <v>331</v>
      </c>
      <c r="M251" s="799"/>
      <c r="N251" s="595"/>
      <c r="O251" s="794">
        <v>0</v>
      </c>
      <c r="P251" s="794">
        <v>0</v>
      </c>
      <c r="Q251" s="794">
        <v>0</v>
      </c>
      <c r="R251" s="794">
        <v>0</v>
      </c>
      <c r="S251" s="796">
        <v>0</v>
      </c>
      <c r="T251" s="796">
        <v>0</v>
      </c>
      <c r="U251" s="796">
        <v>0</v>
      </c>
      <c r="V251" s="796">
        <v>0</v>
      </c>
      <c r="W251" s="796">
        <v>0</v>
      </c>
      <c r="X251" s="796">
        <v>0</v>
      </c>
      <c r="Y251" s="796">
        <v>0</v>
      </c>
      <c r="Z251" s="796">
        <v>0</v>
      </c>
      <c r="AA251" s="796">
        <v>0</v>
      </c>
      <c r="AB251" s="796">
        <v>0</v>
      </c>
      <c r="AC251" s="796">
        <v>0</v>
      </c>
      <c r="AD251" s="796">
        <v>0</v>
      </c>
      <c r="AE251" s="796">
        <v>0</v>
      </c>
      <c r="AF251" s="796">
        <v>0</v>
      </c>
      <c r="AG251" s="796">
        <v>0</v>
      </c>
      <c r="AH251" s="796">
        <v>0</v>
      </c>
      <c r="AI251" s="796">
        <v>0</v>
      </c>
      <c r="AJ251" s="796">
        <v>0</v>
      </c>
      <c r="AK251" s="796">
        <v>0</v>
      </c>
      <c r="AL251" s="796">
        <v>0</v>
      </c>
      <c r="AM251" s="796">
        <v>0</v>
      </c>
      <c r="AN251" s="810">
        <v>44470.61</v>
      </c>
      <c r="AO251" s="796">
        <v>0</v>
      </c>
      <c r="AP251" s="796">
        <v>0</v>
      </c>
      <c r="AQ251" s="796">
        <v>0</v>
      </c>
      <c r="AR251" s="796">
        <v>0</v>
      </c>
      <c r="AS251" s="796">
        <v>0</v>
      </c>
      <c r="AT251" s="796">
        <v>0</v>
      </c>
      <c r="AU251" s="796">
        <v>0</v>
      </c>
      <c r="AV251" s="796">
        <v>0</v>
      </c>
      <c r="AW251" s="796">
        <v>0</v>
      </c>
      <c r="AX251" s="796">
        <v>0</v>
      </c>
      <c r="AY251" s="796">
        <v>0</v>
      </c>
      <c r="AZ251" s="796">
        <v>0</v>
      </c>
      <c r="BA251" s="796">
        <v>0</v>
      </c>
      <c r="BB251" s="796">
        <v>0</v>
      </c>
      <c r="BC251" s="796">
        <v>0</v>
      </c>
      <c r="BD251" s="796">
        <v>0</v>
      </c>
      <c r="BE251" s="796">
        <v>0</v>
      </c>
      <c r="BF251" s="796">
        <v>0</v>
      </c>
      <c r="BG251" s="796">
        <v>0</v>
      </c>
      <c r="BH251" s="796">
        <v>0</v>
      </c>
      <c r="BI251" s="796">
        <v>0</v>
      </c>
      <c r="BJ251" s="796">
        <v>0</v>
      </c>
      <c r="BK251" s="796">
        <v>0</v>
      </c>
      <c r="BL251" s="796">
        <v>0</v>
      </c>
      <c r="BM251" s="796">
        <v>0</v>
      </c>
      <c r="BN251" s="796">
        <v>0</v>
      </c>
      <c r="BO251" s="796">
        <v>0</v>
      </c>
      <c r="BP251" s="796">
        <v>0</v>
      </c>
      <c r="BQ251" s="796">
        <v>0</v>
      </c>
      <c r="BR251" s="796">
        <v>0</v>
      </c>
      <c r="BS251" s="796">
        <v>0</v>
      </c>
      <c r="BT251" s="796">
        <v>0</v>
      </c>
      <c r="BU251" s="796">
        <v>0</v>
      </c>
      <c r="BV251" s="796">
        <v>0</v>
      </c>
    </row>
    <row r="252" spans="2:74">
      <c r="B252" s="795" t="s">
        <v>3107</v>
      </c>
      <c r="C252" s="795" t="s">
        <v>2989</v>
      </c>
      <c r="D252" s="795"/>
      <c r="E252" s="796"/>
      <c r="F252" s="799"/>
      <c r="G252" s="799"/>
      <c r="H252" s="799"/>
      <c r="I252" s="799"/>
      <c r="J252" s="799"/>
      <c r="K252" s="799"/>
      <c r="L252" s="799">
        <f t="shared" si="8"/>
        <v>331</v>
      </c>
      <c r="M252" s="799"/>
      <c r="N252" s="595"/>
      <c r="O252" s="794">
        <v>0</v>
      </c>
      <c r="P252" s="794">
        <v>0</v>
      </c>
      <c r="Q252" s="794">
        <v>0</v>
      </c>
      <c r="R252" s="794">
        <v>0</v>
      </c>
      <c r="S252" s="796">
        <v>0</v>
      </c>
      <c r="T252" s="796">
        <v>0</v>
      </c>
      <c r="U252" s="796">
        <v>0</v>
      </c>
      <c r="V252" s="796">
        <v>0</v>
      </c>
      <c r="W252" s="796">
        <v>0</v>
      </c>
      <c r="X252" s="796">
        <v>0</v>
      </c>
      <c r="Y252" s="796">
        <v>0</v>
      </c>
      <c r="Z252" s="796">
        <v>0</v>
      </c>
      <c r="AA252" s="796">
        <v>0</v>
      </c>
      <c r="AB252" s="796">
        <v>0</v>
      </c>
      <c r="AC252" s="796">
        <v>0</v>
      </c>
      <c r="AD252" s="796">
        <v>0</v>
      </c>
      <c r="AE252" s="796">
        <v>0</v>
      </c>
      <c r="AF252" s="796">
        <v>0</v>
      </c>
      <c r="AG252" s="796">
        <v>0</v>
      </c>
      <c r="AH252" s="796">
        <v>0</v>
      </c>
      <c r="AI252" s="796">
        <v>0</v>
      </c>
      <c r="AJ252" s="796">
        <v>0</v>
      </c>
      <c r="AK252" s="796">
        <v>0</v>
      </c>
      <c r="AL252" s="796">
        <v>0</v>
      </c>
      <c r="AM252" s="810">
        <v>25934.89</v>
      </c>
      <c r="AN252" s="796">
        <v>0</v>
      </c>
      <c r="AO252" s="796">
        <v>0</v>
      </c>
      <c r="AP252" s="796">
        <v>0</v>
      </c>
      <c r="AQ252" s="796">
        <v>0</v>
      </c>
      <c r="AR252" s="796">
        <v>0</v>
      </c>
      <c r="AS252" s="796">
        <v>0</v>
      </c>
      <c r="AT252" s="796">
        <v>0</v>
      </c>
      <c r="AU252" s="796">
        <v>0</v>
      </c>
      <c r="AV252" s="796">
        <v>0</v>
      </c>
      <c r="AW252" s="796">
        <v>0</v>
      </c>
      <c r="AX252" s="796">
        <v>0</v>
      </c>
      <c r="AY252" s="796">
        <v>0</v>
      </c>
      <c r="AZ252" s="796">
        <v>0</v>
      </c>
      <c r="BA252" s="796">
        <v>0</v>
      </c>
      <c r="BB252" s="796">
        <v>0</v>
      </c>
      <c r="BC252" s="796">
        <v>0</v>
      </c>
      <c r="BD252" s="796">
        <v>0</v>
      </c>
      <c r="BE252" s="796">
        <v>0</v>
      </c>
      <c r="BF252" s="796">
        <v>0</v>
      </c>
      <c r="BG252" s="796">
        <v>0</v>
      </c>
      <c r="BH252" s="796">
        <v>0</v>
      </c>
      <c r="BI252" s="796">
        <v>0</v>
      </c>
      <c r="BJ252" s="796">
        <v>0</v>
      </c>
      <c r="BK252" s="796">
        <v>0</v>
      </c>
      <c r="BL252" s="796">
        <v>0</v>
      </c>
      <c r="BM252" s="796">
        <v>0</v>
      </c>
      <c r="BN252" s="796">
        <v>0</v>
      </c>
      <c r="BO252" s="796">
        <v>0</v>
      </c>
      <c r="BP252" s="796">
        <v>0</v>
      </c>
      <c r="BQ252" s="796">
        <v>0</v>
      </c>
      <c r="BR252" s="796">
        <v>0</v>
      </c>
      <c r="BS252" s="796">
        <v>0</v>
      </c>
      <c r="BT252" s="796">
        <v>0</v>
      </c>
      <c r="BU252" s="796">
        <v>0</v>
      </c>
      <c r="BV252" s="796">
        <v>0</v>
      </c>
    </row>
    <row r="253" spans="2:74">
      <c r="B253" s="795" t="s">
        <v>492</v>
      </c>
      <c r="C253" s="795" t="s">
        <v>491</v>
      </c>
      <c r="D253" s="795"/>
      <c r="E253" s="796"/>
      <c r="F253" s="799"/>
      <c r="G253" s="799"/>
      <c r="H253" s="799"/>
      <c r="I253" s="799"/>
      <c r="J253" s="799"/>
      <c r="K253" s="799"/>
      <c r="L253" s="799">
        <f t="shared" si="8"/>
        <v>331</v>
      </c>
      <c r="M253" s="799"/>
      <c r="N253" s="595"/>
      <c r="O253" s="794">
        <v>0</v>
      </c>
      <c r="P253" s="794">
        <v>0</v>
      </c>
      <c r="Q253" s="794">
        <v>0</v>
      </c>
      <c r="R253" s="794">
        <v>0</v>
      </c>
      <c r="S253" s="796">
        <v>0</v>
      </c>
      <c r="T253" s="796">
        <v>0</v>
      </c>
      <c r="U253" s="796">
        <v>0</v>
      </c>
      <c r="V253" s="796">
        <v>0</v>
      </c>
      <c r="W253" s="796">
        <v>0</v>
      </c>
      <c r="X253" s="796">
        <v>0</v>
      </c>
      <c r="Y253" s="796">
        <v>0</v>
      </c>
      <c r="Z253" s="796">
        <v>0</v>
      </c>
      <c r="AA253" s="796">
        <v>0</v>
      </c>
      <c r="AB253" s="796">
        <v>0</v>
      </c>
      <c r="AC253" s="796">
        <v>0</v>
      </c>
      <c r="AD253" s="796">
        <v>0</v>
      </c>
      <c r="AE253" s="796">
        <v>0</v>
      </c>
      <c r="AF253" s="796">
        <v>0</v>
      </c>
      <c r="AG253" s="796">
        <v>0</v>
      </c>
      <c r="AH253" s="796">
        <v>0</v>
      </c>
      <c r="AI253" s="796">
        <v>0</v>
      </c>
      <c r="AJ253" s="796">
        <v>0</v>
      </c>
      <c r="AK253" s="796">
        <v>0</v>
      </c>
      <c r="AL253" s="796">
        <v>0</v>
      </c>
      <c r="AM253" s="796">
        <v>0</v>
      </c>
      <c r="AN253" s="810">
        <v>85299.6</v>
      </c>
      <c r="AO253" s="796">
        <v>37296.07</v>
      </c>
      <c r="AP253" s="796">
        <v>0</v>
      </c>
      <c r="AQ253" s="796">
        <v>32292.66</v>
      </c>
      <c r="AR253" s="796">
        <v>34488.54</v>
      </c>
      <c r="AS253" s="796">
        <v>108729.04</v>
      </c>
      <c r="AT253" s="796">
        <v>72774.97</v>
      </c>
      <c r="AU253" s="796">
        <v>137026.88</v>
      </c>
      <c r="AV253" s="796">
        <v>103256.97</v>
      </c>
      <c r="AW253" s="796">
        <v>12500</v>
      </c>
      <c r="AX253" s="796">
        <v>130035.33</v>
      </c>
      <c r="AY253" s="796">
        <v>64189.21</v>
      </c>
      <c r="AZ253" s="796">
        <v>22450.78</v>
      </c>
      <c r="BA253" s="796">
        <v>24946.799999999999</v>
      </c>
      <c r="BB253" s="796">
        <v>0</v>
      </c>
      <c r="BC253" s="796">
        <v>0</v>
      </c>
      <c r="BD253" s="796">
        <v>0</v>
      </c>
      <c r="BE253" s="796">
        <v>0</v>
      </c>
      <c r="BF253" s="796">
        <v>8782.9</v>
      </c>
      <c r="BG253" s="796">
        <v>25080.28</v>
      </c>
      <c r="BH253" s="796">
        <v>7500.94</v>
      </c>
      <c r="BI253" s="796">
        <v>31935.72</v>
      </c>
      <c r="BJ253" s="796">
        <v>0</v>
      </c>
      <c r="BK253" s="796">
        <v>0</v>
      </c>
      <c r="BL253" s="796">
        <v>0</v>
      </c>
      <c r="BM253" s="796">
        <v>0</v>
      </c>
      <c r="BN253" s="796">
        <v>0</v>
      </c>
      <c r="BO253" s="796">
        <v>0</v>
      </c>
      <c r="BP253" s="796">
        <v>114470</v>
      </c>
      <c r="BQ253" s="796">
        <v>0</v>
      </c>
      <c r="BR253" s="796">
        <v>0</v>
      </c>
      <c r="BS253" s="796">
        <v>0</v>
      </c>
      <c r="BT253" s="796">
        <v>0</v>
      </c>
      <c r="BU253" s="796">
        <v>0</v>
      </c>
      <c r="BV253" s="796">
        <v>0</v>
      </c>
    </row>
    <row r="254" spans="2:74">
      <c r="B254" s="795" t="s">
        <v>811</v>
      </c>
      <c r="C254" s="795" t="s">
        <v>2916</v>
      </c>
      <c r="D254" s="795"/>
      <c r="E254" s="796"/>
      <c r="F254" s="799"/>
      <c r="G254" s="799"/>
      <c r="H254" s="799"/>
      <c r="I254" s="799"/>
      <c r="J254" s="799"/>
      <c r="K254" s="799"/>
      <c r="L254" s="799">
        <f t="shared" si="8"/>
        <v>331</v>
      </c>
      <c r="M254" s="799"/>
      <c r="N254" s="595"/>
      <c r="O254" s="794">
        <v>0</v>
      </c>
      <c r="P254" s="794">
        <v>0</v>
      </c>
      <c r="Q254" s="794">
        <v>0</v>
      </c>
      <c r="R254" s="794">
        <v>0</v>
      </c>
      <c r="S254" s="796">
        <v>0</v>
      </c>
      <c r="T254" s="796">
        <v>0</v>
      </c>
      <c r="U254" s="796">
        <v>0</v>
      </c>
      <c r="V254" s="796">
        <v>0</v>
      </c>
      <c r="W254" s="796">
        <v>0</v>
      </c>
      <c r="X254" s="796">
        <v>0</v>
      </c>
      <c r="Y254" s="796">
        <v>0</v>
      </c>
      <c r="Z254" s="796">
        <v>0</v>
      </c>
      <c r="AA254" s="796">
        <v>0</v>
      </c>
      <c r="AB254" s="796">
        <v>0</v>
      </c>
      <c r="AC254" s="796">
        <v>0</v>
      </c>
      <c r="AD254" s="796">
        <v>0</v>
      </c>
      <c r="AE254" s="796">
        <v>0</v>
      </c>
      <c r="AF254" s="796">
        <v>0</v>
      </c>
      <c r="AG254" s="796">
        <v>0</v>
      </c>
      <c r="AH254" s="796">
        <v>0</v>
      </c>
      <c r="AI254" s="796">
        <v>0</v>
      </c>
      <c r="AJ254" s="796">
        <v>0</v>
      </c>
      <c r="AK254" s="796">
        <v>0</v>
      </c>
      <c r="AL254" s="796">
        <v>0</v>
      </c>
      <c r="AM254" s="796">
        <v>0</v>
      </c>
      <c r="AN254" s="810">
        <v>70000</v>
      </c>
      <c r="AO254" s="796">
        <v>54000</v>
      </c>
      <c r="AP254" s="796">
        <v>0</v>
      </c>
      <c r="AQ254" s="796">
        <v>0</v>
      </c>
      <c r="AR254" s="796">
        <v>0</v>
      </c>
      <c r="AS254" s="796">
        <v>0</v>
      </c>
      <c r="AT254" s="796">
        <v>0</v>
      </c>
      <c r="AU254" s="796">
        <v>0</v>
      </c>
      <c r="AV254" s="796">
        <v>0</v>
      </c>
      <c r="AW254" s="796">
        <v>0</v>
      </c>
      <c r="AX254" s="796">
        <v>0</v>
      </c>
      <c r="AY254" s="796">
        <v>0</v>
      </c>
      <c r="AZ254" s="796">
        <v>0</v>
      </c>
      <c r="BA254" s="796">
        <v>0</v>
      </c>
      <c r="BB254" s="796">
        <v>0</v>
      </c>
      <c r="BC254" s="796">
        <v>0</v>
      </c>
      <c r="BD254" s="796">
        <v>0</v>
      </c>
      <c r="BE254" s="796">
        <v>0</v>
      </c>
      <c r="BF254" s="796">
        <v>0</v>
      </c>
      <c r="BG254" s="796">
        <v>0</v>
      </c>
      <c r="BH254" s="796">
        <v>0</v>
      </c>
      <c r="BI254" s="796">
        <v>0</v>
      </c>
      <c r="BJ254" s="796">
        <v>0</v>
      </c>
      <c r="BK254" s="796">
        <v>0</v>
      </c>
      <c r="BL254" s="796">
        <v>0</v>
      </c>
      <c r="BM254" s="796">
        <v>0</v>
      </c>
      <c r="BN254" s="796">
        <v>0</v>
      </c>
      <c r="BO254" s="796">
        <v>0</v>
      </c>
      <c r="BP254" s="796">
        <v>0</v>
      </c>
      <c r="BQ254" s="796">
        <v>0</v>
      </c>
      <c r="BR254" s="796">
        <v>0</v>
      </c>
      <c r="BS254" s="796">
        <v>14036</v>
      </c>
      <c r="BT254" s="796">
        <v>47256.82</v>
      </c>
      <c r="BU254" s="796">
        <v>87421.51</v>
      </c>
      <c r="BV254" s="796">
        <v>91283.46</v>
      </c>
    </row>
    <row r="255" spans="2:74">
      <c r="B255" s="795" t="s">
        <v>3109</v>
      </c>
      <c r="C255" s="795" t="s">
        <v>2872</v>
      </c>
      <c r="D255" s="795"/>
      <c r="E255" s="796"/>
      <c r="F255" s="799"/>
      <c r="G255" s="799"/>
      <c r="H255" s="799"/>
      <c r="I255" s="799"/>
      <c r="J255" s="799"/>
      <c r="K255" s="799"/>
      <c r="L255" s="799">
        <f t="shared" si="8"/>
        <v>331</v>
      </c>
      <c r="M255" s="799"/>
      <c r="N255" s="595"/>
      <c r="O255" s="794">
        <v>0</v>
      </c>
      <c r="P255" s="794">
        <v>0</v>
      </c>
      <c r="Q255" s="794">
        <v>0</v>
      </c>
      <c r="R255" s="794">
        <v>0</v>
      </c>
      <c r="S255" s="796">
        <v>0</v>
      </c>
      <c r="T255" s="796">
        <v>0</v>
      </c>
      <c r="U255" s="796">
        <v>0</v>
      </c>
      <c r="V255" s="796">
        <v>0</v>
      </c>
      <c r="W255" s="796">
        <v>0</v>
      </c>
      <c r="X255" s="796">
        <v>0</v>
      </c>
      <c r="Y255" s="796">
        <v>0</v>
      </c>
      <c r="Z255" s="796">
        <v>0</v>
      </c>
      <c r="AA255" s="796">
        <v>0</v>
      </c>
      <c r="AB255" s="796">
        <v>0</v>
      </c>
      <c r="AC255" s="796">
        <v>0</v>
      </c>
      <c r="AD255" s="796">
        <v>0</v>
      </c>
      <c r="AE255" s="796">
        <v>0</v>
      </c>
      <c r="AF255" s="796">
        <v>0</v>
      </c>
      <c r="AG255" s="796">
        <v>0</v>
      </c>
      <c r="AH255" s="796">
        <v>0</v>
      </c>
      <c r="AI255" s="796">
        <v>0</v>
      </c>
      <c r="AJ255" s="796">
        <v>0</v>
      </c>
      <c r="AK255" s="796">
        <v>0</v>
      </c>
      <c r="AL255" s="796">
        <v>0</v>
      </c>
      <c r="AM255" s="796">
        <v>0</v>
      </c>
      <c r="AN255" s="796">
        <v>0</v>
      </c>
      <c r="AO255" s="810">
        <v>121129.66</v>
      </c>
      <c r="AP255" s="796">
        <v>0</v>
      </c>
      <c r="AQ255" s="796">
        <v>156880.29999999999</v>
      </c>
      <c r="AR255" s="796">
        <v>159579.39000000001</v>
      </c>
      <c r="AS255" s="796">
        <v>83652.3</v>
      </c>
      <c r="AT255" s="796">
        <v>55814.75</v>
      </c>
      <c r="AU255" s="796">
        <v>0</v>
      </c>
      <c r="AV255" s="796">
        <v>0</v>
      </c>
      <c r="AW255" s="796">
        <v>0</v>
      </c>
      <c r="AX255" s="796">
        <v>0</v>
      </c>
      <c r="AY255" s="796">
        <v>0</v>
      </c>
      <c r="AZ255" s="796">
        <v>0</v>
      </c>
      <c r="BA255" s="796">
        <v>0</v>
      </c>
      <c r="BB255" s="796">
        <v>0</v>
      </c>
      <c r="BC255" s="796">
        <v>0</v>
      </c>
      <c r="BD255" s="796">
        <v>0</v>
      </c>
      <c r="BE255" s="796">
        <v>0</v>
      </c>
      <c r="BF255" s="796">
        <v>0</v>
      </c>
      <c r="BG255" s="796">
        <v>0</v>
      </c>
      <c r="BH255" s="796">
        <v>0</v>
      </c>
      <c r="BI255" s="796">
        <v>0</v>
      </c>
      <c r="BJ255" s="796">
        <v>0</v>
      </c>
      <c r="BK255" s="796">
        <v>0</v>
      </c>
      <c r="BL255" s="796">
        <v>0</v>
      </c>
      <c r="BM255" s="796">
        <v>0</v>
      </c>
      <c r="BN255" s="796">
        <v>0</v>
      </c>
      <c r="BO255" s="796">
        <v>0</v>
      </c>
      <c r="BP255" s="796">
        <v>0</v>
      </c>
      <c r="BQ255" s="796">
        <v>0</v>
      </c>
      <c r="BR255" s="796">
        <v>0</v>
      </c>
      <c r="BS255" s="796">
        <v>0</v>
      </c>
      <c r="BT255" s="796">
        <v>0</v>
      </c>
      <c r="BU255" s="796">
        <v>0</v>
      </c>
      <c r="BV255" s="796">
        <v>0</v>
      </c>
    </row>
    <row r="256" spans="2:74">
      <c r="B256" s="795" t="s">
        <v>3110</v>
      </c>
      <c r="C256" s="795" t="s">
        <v>481</v>
      </c>
      <c r="D256" s="795"/>
      <c r="E256" s="796"/>
      <c r="F256" s="799"/>
      <c r="G256" s="799"/>
      <c r="H256" s="799"/>
      <c r="I256" s="799"/>
      <c r="J256" s="799"/>
      <c r="K256" s="799"/>
      <c r="L256" s="799">
        <f t="shared" si="8"/>
        <v>331</v>
      </c>
      <c r="M256" s="799"/>
      <c r="N256" s="595"/>
      <c r="O256" s="794">
        <v>0</v>
      </c>
      <c r="P256" s="794">
        <v>0</v>
      </c>
      <c r="Q256" s="794">
        <v>0</v>
      </c>
      <c r="R256" s="794">
        <v>0</v>
      </c>
      <c r="S256" s="796">
        <v>0</v>
      </c>
      <c r="T256" s="796">
        <v>0</v>
      </c>
      <c r="U256" s="796">
        <v>0</v>
      </c>
      <c r="V256" s="796">
        <v>0</v>
      </c>
      <c r="W256" s="796">
        <v>0</v>
      </c>
      <c r="X256" s="796">
        <v>0</v>
      </c>
      <c r="Y256" s="796">
        <v>0</v>
      </c>
      <c r="Z256" s="796">
        <v>0</v>
      </c>
      <c r="AA256" s="796">
        <v>0</v>
      </c>
      <c r="AB256" s="796">
        <v>0</v>
      </c>
      <c r="AC256" s="796">
        <v>0</v>
      </c>
      <c r="AD256" s="796">
        <v>0</v>
      </c>
      <c r="AE256" s="796">
        <v>0</v>
      </c>
      <c r="AF256" s="796">
        <v>0</v>
      </c>
      <c r="AG256" s="796">
        <v>0</v>
      </c>
      <c r="AH256" s="796">
        <v>0</v>
      </c>
      <c r="AI256" s="796">
        <v>0</v>
      </c>
      <c r="AJ256" s="796">
        <v>0</v>
      </c>
      <c r="AK256" s="796">
        <v>0</v>
      </c>
      <c r="AL256" s="796">
        <v>0</v>
      </c>
      <c r="AM256" s="796">
        <v>0</v>
      </c>
      <c r="AN256" s="810">
        <v>10691.25</v>
      </c>
      <c r="AO256" s="796">
        <v>47570</v>
      </c>
      <c r="AP256" s="796">
        <v>20450</v>
      </c>
      <c r="AQ256" s="796">
        <v>52915.05</v>
      </c>
      <c r="AR256" s="796">
        <v>99084.49</v>
      </c>
      <c r="AS256" s="796">
        <v>92514.64</v>
      </c>
      <c r="AT256" s="796">
        <v>21062.29</v>
      </c>
      <c r="AU256" s="796">
        <v>30624.78</v>
      </c>
      <c r="AV256" s="796">
        <v>0</v>
      </c>
      <c r="AW256" s="796">
        <v>69562</v>
      </c>
      <c r="AX256" s="796">
        <v>44625.85</v>
      </c>
      <c r="AY256" s="796">
        <v>63488.29</v>
      </c>
      <c r="AZ256" s="796">
        <v>63256.68</v>
      </c>
      <c r="BA256" s="796">
        <v>90082.23</v>
      </c>
      <c r="BB256" s="796">
        <v>31956.55</v>
      </c>
      <c r="BC256" s="796">
        <v>30230.66</v>
      </c>
      <c r="BD256" s="796">
        <v>58054</v>
      </c>
      <c r="BE256" s="796">
        <v>49033.25</v>
      </c>
      <c r="BF256" s="796">
        <v>66602.320000000007</v>
      </c>
      <c r="BG256" s="796">
        <v>51949.63</v>
      </c>
      <c r="BH256" s="796">
        <v>92309.88</v>
      </c>
      <c r="BI256" s="796">
        <v>26520.11</v>
      </c>
      <c r="BJ256" s="796">
        <v>56993.05</v>
      </c>
      <c r="BK256" s="796">
        <v>33213.75</v>
      </c>
      <c r="BL256" s="796">
        <v>11504.18</v>
      </c>
      <c r="BM256" s="796">
        <v>15643.8</v>
      </c>
      <c r="BN256" s="796">
        <v>0</v>
      </c>
      <c r="BO256" s="796">
        <v>0</v>
      </c>
      <c r="BP256" s="796">
        <v>0</v>
      </c>
      <c r="BQ256" s="796">
        <v>0</v>
      </c>
      <c r="BR256" s="796">
        <v>0</v>
      </c>
      <c r="BS256" s="796">
        <v>0</v>
      </c>
      <c r="BT256" s="796">
        <v>27877.78</v>
      </c>
      <c r="BU256" s="796">
        <v>0</v>
      </c>
      <c r="BV256" s="796">
        <v>0</v>
      </c>
    </row>
    <row r="257" spans="2:74">
      <c r="B257" s="795" t="s">
        <v>3111</v>
      </c>
      <c r="C257" s="795" t="s">
        <v>3112</v>
      </c>
      <c r="D257" s="795"/>
      <c r="E257" s="796"/>
      <c r="F257" s="799"/>
      <c r="G257" s="799"/>
      <c r="H257" s="799"/>
      <c r="I257" s="799"/>
      <c r="J257" s="799"/>
      <c r="K257" s="799"/>
      <c r="L257" s="799">
        <f t="shared" si="8"/>
        <v>331</v>
      </c>
      <c r="M257" s="799"/>
      <c r="N257" s="595"/>
      <c r="O257" s="794">
        <v>0</v>
      </c>
      <c r="P257" s="794">
        <v>0</v>
      </c>
      <c r="Q257" s="794">
        <v>0</v>
      </c>
      <c r="R257" s="794">
        <v>0</v>
      </c>
      <c r="S257" s="796">
        <v>0</v>
      </c>
      <c r="T257" s="796">
        <v>0</v>
      </c>
      <c r="U257" s="796">
        <v>0</v>
      </c>
      <c r="V257" s="796">
        <v>0</v>
      </c>
      <c r="W257" s="796">
        <v>0</v>
      </c>
      <c r="X257" s="796">
        <v>0</v>
      </c>
      <c r="Y257" s="796">
        <v>0</v>
      </c>
      <c r="Z257" s="796">
        <v>0</v>
      </c>
      <c r="AA257" s="796">
        <v>0</v>
      </c>
      <c r="AB257" s="796">
        <v>0</v>
      </c>
      <c r="AC257" s="796">
        <v>0</v>
      </c>
      <c r="AD257" s="796">
        <v>0</v>
      </c>
      <c r="AE257" s="796">
        <v>0</v>
      </c>
      <c r="AF257" s="796">
        <v>0</v>
      </c>
      <c r="AG257" s="796">
        <v>0</v>
      </c>
      <c r="AH257" s="796">
        <v>0</v>
      </c>
      <c r="AI257" s="796">
        <v>0</v>
      </c>
      <c r="AJ257" s="796">
        <v>0</v>
      </c>
      <c r="AK257" s="796">
        <v>0</v>
      </c>
      <c r="AL257" s="796">
        <v>0</v>
      </c>
      <c r="AM257" s="796">
        <v>0</v>
      </c>
      <c r="AN257" s="810">
        <v>135123.12</v>
      </c>
      <c r="AO257" s="796">
        <v>0</v>
      </c>
      <c r="AP257" s="796">
        <v>0</v>
      </c>
      <c r="AQ257" s="796">
        <v>0</v>
      </c>
      <c r="AR257" s="796">
        <v>0</v>
      </c>
      <c r="AS257" s="796">
        <v>0</v>
      </c>
      <c r="AT257" s="796">
        <v>0</v>
      </c>
      <c r="AU257" s="796">
        <v>0</v>
      </c>
      <c r="AV257" s="796">
        <v>0</v>
      </c>
      <c r="AW257" s="796">
        <v>0</v>
      </c>
      <c r="AX257" s="796">
        <v>0</v>
      </c>
      <c r="AY257" s="796">
        <v>0</v>
      </c>
      <c r="AZ257" s="796">
        <v>54548</v>
      </c>
      <c r="BA257" s="796">
        <v>0</v>
      </c>
      <c r="BB257" s="796">
        <v>0</v>
      </c>
      <c r="BC257" s="796">
        <v>0</v>
      </c>
      <c r="BD257" s="796">
        <v>0</v>
      </c>
      <c r="BE257" s="796">
        <v>0</v>
      </c>
      <c r="BF257" s="796">
        <v>0</v>
      </c>
      <c r="BG257" s="796">
        <v>0</v>
      </c>
      <c r="BH257" s="796">
        <v>0</v>
      </c>
      <c r="BI257" s="796">
        <v>0</v>
      </c>
      <c r="BJ257" s="796">
        <v>0</v>
      </c>
      <c r="BK257" s="796">
        <v>0</v>
      </c>
      <c r="BL257" s="796">
        <v>0</v>
      </c>
      <c r="BM257" s="796">
        <v>0</v>
      </c>
      <c r="BN257" s="796">
        <v>0</v>
      </c>
      <c r="BO257" s="796">
        <v>0</v>
      </c>
      <c r="BP257" s="796">
        <v>0</v>
      </c>
      <c r="BQ257" s="796">
        <v>0</v>
      </c>
      <c r="BR257" s="796">
        <v>0</v>
      </c>
      <c r="BS257" s="796">
        <v>0</v>
      </c>
      <c r="BT257" s="796">
        <v>0</v>
      </c>
      <c r="BU257" s="796">
        <v>0</v>
      </c>
      <c r="BV257" s="796">
        <v>0</v>
      </c>
    </row>
    <row r="258" spans="2:74">
      <c r="B258" s="795" t="s">
        <v>3113</v>
      </c>
      <c r="C258" s="795" t="s">
        <v>3114</v>
      </c>
      <c r="D258" s="795"/>
      <c r="E258" s="796"/>
      <c r="F258" s="799"/>
      <c r="G258" s="799"/>
      <c r="H258" s="799"/>
      <c r="I258" s="799"/>
      <c r="J258" s="799"/>
      <c r="K258" s="799"/>
      <c r="L258" s="799">
        <f t="shared" si="8"/>
        <v>331</v>
      </c>
      <c r="M258" s="799"/>
      <c r="N258" s="595"/>
      <c r="O258" s="794">
        <v>0</v>
      </c>
      <c r="P258" s="794">
        <v>0</v>
      </c>
      <c r="Q258" s="794">
        <v>0</v>
      </c>
      <c r="R258" s="794">
        <v>0</v>
      </c>
      <c r="S258" s="796">
        <v>0</v>
      </c>
      <c r="T258" s="796">
        <v>0</v>
      </c>
      <c r="U258" s="796">
        <v>0</v>
      </c>
      <c r="V258" s="796">
        <v>0</v>
      </c>
      <c r="W258" s="796">
        <v>0</v>
      </c>
      <c r="X258" s="796">
        <v>0</v>
      </c>
      <c r="Y258" s="796">
        <v>0</v>
      </c>
      <c r="Z258" s="796">
        <v>0</v>
      </c>
      <c r="AA258" s="796">
        <v>0</v>
      </c>
      <c r="AB258" s="796">
        <v>0</v>
      </c>
      <c r="AC258" s="796">
        <v>0</v>
      </c>
      <c r="AD258" s="796">
        <v>0</v>
      </c>
      <c r="AE258" s="796">
        <v>0</v>
      </c>
      <c r="AF258" s="796">
        <v>0</v>
      </c>
      <c r="AG258" s="796">
        <v>0</v>
      </c>
      <c r="AH258" s="796">
        <v>0</v>
      </c>
      <c r="AI258" s="796">
        <v>0</v>
      </c>
      <c r="AJ258" s="796">
        <v>0</v>
      </c>
      <c r="AK258" s="796">
        <v>0</v>
      </c>
      <c r="AL258" s="796">
        <v>0</v>
      </c>
      <c r="AM258" s="796">
        <v>0</v>
      </c>
      <c r="AN258" s="810">
        <v>65716.17</v>
      </c>
      <c r="AO258" s="796">
        <v>0</v>
      </c>
      <c r="AP258" s="796">
        <v>0</v>
      </c>
      <c r="AQ258" s="796">
        <v>0</v>
      </c>
      <c r="AR258" s="796">
        <v>0</v>
      </c>
      <c r="AS258" s="796">
        <v>0</v>
      </c>
      <c r="AT258" s="796">
        <v>0</v>
      </c>
      <c r="AU258" s="796">
        <v>0</v>
      </c>
      <c r="AV258" s="796">
        <v>0</v>
      </c>
      <c r="AW258" s="796">
        <v>0</v>
      </c>
      <c r="AX258" s="796">
        <v>0</v>
      </c>
      <c r="AY258" s="796">
        <v>0</v>
      </c>
      <c r="AZ258" s="796">
        <v>0</v>
      </c>
      <c r="BA258" s="796">
        <v>0</v>
      </c>
      <c r="BB258" s="796">
        <v>0</v>
      </c>
      <c r="BC258" s="796">
        <v>0</v>
      </c>
      <c r="BD258" s="796">
        <v>0</v>
      </c>
      <c r="BE258" s="796">
        <v>0</v>
      </c>
      <c r="BF258" s="796">
        <v>0</v>
      </c>
      <c r="BG258" s="796">
        <v>0</v>
      </c>
      <c r="BH258" s="796">
        <v>0</v>
      </c>
      <c r="BI258" s="796">
        <v>0</v>
      </c>
      <c r="BJ258" s="796">
        <v>0</v>
      </c>
      <c r="BK258" s="796">
        <v>0</v>
      </c>
      <c r="BL258" s="796">
        <v>0</v>
      </c>
      <c r="BM258" s="796">
        <v>0</v>
      </c>
      <c r="BN258" s="796">
        <v>0</v>
      </c>
      <c r="BO258" s="796">
        <v>0</v>
      </c>
      <c r="BP258" s="796">
        <v>0</v>
      </c>
      <c r="BQ258" s="796">
        <v>0</v>
      </c>
      <c r="BR258" s="796">
        <v>0</v>
      </c>
      <c r="BS258" s="796">
        <v>0</v>
      </c>
      <c r="BT258" s="796">
        <v>0</v>
      </c>
      <c r="BU258" s="796">
        <v>0</v>
      </c>
      <c r="BV258" s="796">
        <v>0</v>
      </c>
    </row>
    <row r="259" spans="2:74">
      <c r="B259" s="795" t="s">
        <v>3115</v>
      </c>
      <c r="C259" s="795" t="s">
        <v>2900</v>
      </c>
      <c r="D259" s="795"/>
      <c r="E259" s="796"/>
      <c r="F259" s="799"/>
      <c r="G259" s="799"/>
      <c r="H259" s="799"/>
      <c r="I259" s="799"/>
      <c r="J259" s="799"/>
      <c r="K259" s="799"/>
      <c r="L259" s="799">
        <f t="shared" si="8"/>
        <v>331</v>
      </c>
      <c r="M259" s="799"/>
      <c r="N259" s="595"/>
      <c r="O259" s="794">
        <v>0</v>
      </c>
      <c r="P259" s="794">
        <v>0</v>
      </c>
      <c r="Q259" s="794">
        <v>0</v>
      </c>
      <c r="R259" s="794">
        <v>0</v>
      </c>
      <c r="S259" s="796">
        <v>0</v>
      </c>
      <c r="T259" s="796">
        <v>0</v>
      </c>
      <c r="U259" s="796">
        <v>0</v>
      </c>
      <c r="V259" s="796">
        <v>0</v>
      </c>
      <c r="W259" s="796">
        <v>0</v>
      </c>
      <c r="X259" s="796">
        <v>0</v>
      </c>
      <c r="Y259" s="796">
        <v>0</v>
      </c>
      <c r="Z259" s="796">
        <v>0</v>
      </c>
      <c r="AA259" s="796">
        <v>0</v>
      </c>
      <c r="AB259" s="796">
        <v>0</v>
      </c>
      <c r="AC259" s="796">
        <v>0</v>
      </c>
      <c r="AD259" s="796">
        <v>0</v>
      </c>
      <c r="AE259" s="796">
        <v>0</v>
      </c>
      <c r="AF259" s="796">
        <v>0</v>
      </c>
      <c r="AG259" s="796">
        <v>0</v>
      </c>
      <c r="AH259" s="796">
        <v>0</v>
      </c>
      <c r="AI259" s="796">
        <v>0</v>
      </c>
      <c r="AJ259" s="796">
        <v>0</v>
      </c>
      <c r="AK259" s="796">
        <v>0</v>
      </c>
      <c r="AL259" s="796">
        <v>0</v>
      </c>
      <c r="AM259" s="796">
        <v>0</v>
      </c>
      <c r="AN259" s="810">
        <v>46679.199999999997</v>
      </c>
      <c r="AO259" s="796">
        <v>0</v>
      </c>
      <c r="AP259" s="796">
        <v>0</v>
      </c>
      <c r="AQ259" s="796">
        <v>7500</v>
      </c>
      <c r="AR259" s="796">
        <v>0</v>
      </c>
      <c r="AS259" s="796">
        <v>0</v>
      </c>
      <c r="AT259" s="796">
        <v>0</v>
      </c>
      <c r="AU259" s="796">
        <v>0</v>
      </c>
      <c r="AV259" s="796">
        <v>0</v>
      </c>
      <c r="AW259" s="796">
        <v>0</v>
      </c>
      <c r="AX259" s="796">
        <v>0</v>
      </c>
      <c r="AY259" s="796">
        <v>0</v>
      </c>
      <c r="AZ259" s="796">
        <v>0</v>
      </c>
      <c r="BA259" s="796">
        <v>0</v>
      </c>
      <c r="BB259" s="796">
        <v>0</v>
      </c>
      <c r="BC259" s="796">
        <v>0</v>
      </c>
      <c r="BD259" s="796">
        <v>0</v>
      </c>
      <c r="BE259" s="796">
        <v>0</v>
      </c>
      <c r="BF259" s="796">
        <v>0</v>
      </c>
      <c r="BG259" s="796">
        <v>0</v>
      </c>
      <c r="BH259" s="796">
        <v>0</v>
      </c>
      <c r="BI259" s="796">
        <v>0</v>
      </c>
      <c r="BJ259" s="796">
        <v>0</v>
      </c>
      <c r="BK259" s="796">
        <v>0</v>
      </c>
      <c r="BL259" s="796">
        <v>0</v>
      </c>
      <c r="BM259" s="796">
        <v>0</v>
      </c>
      <c r="BN259" s="796">
        <v>0</v>
      </c>
      <c r="BO259" s="796">
        <v>0</v>
      </c>
      <c r="BP259" s="796">
        <v>0</v>
      </c>
      <c r="BQ259" s="796">
        <v>0</v>
      </c>
      <c r="BR259" s="796">
        <v>0</v>
      </c>
      <c r="BS259" s="796">
        <v>0</v>
      </c>
      <c r="BT259" s="796">
        <v>0</v>
      </c>
      <c r="BU259" s="796">
        <v>0</v>
      </c>
      <c r="BV259" s="796">
        <v>0</v>
      </c>
    </row>
    <row r="260" spans="2:74">
      <c r="B260" s="795" t="s">
        <v>3116</v>
      </c>
      <c r="C260" s="795" t="s">
        <v>3117</v>
      </c>
      <c r="D260" s="795"/>
      <c r="E260" s="796"/>
      <c r="F260" s="799"/>
      <c r="G260" s="799"/>
      <c r="H260" s="799"/>
      <c r="I260" s="799"/>
      <c r="J260" s="799"/>
      <c r="K260" s="799"/>
      <c r="L260" s="799">
        <f t="shared" si="8"/>
        <v>331</v>
      </c>
      <c r="M260" s="799"/>
      <c r="N260" s="595"/>
      <c r="O260" s="794">
        <v>0</v>
      </c>
      <c r="P260" s="794">
        <v>0</v>
      </c>
      <c r="Q260" s="794">
        <v>0</v>
      </c>
      <c r="R260" s="794">
        <v>0</v>
      </c>
      <c r="S260" s="796">
        <v>0</v>
      </c>
      <c r="T260" s="796">
        <v>0</v>
      </c>
      <c r="U260" s="796">
        <v>0</v>
      </c>
      <c r="V260" s="796">
        <v>0</v>
      </c>
      <c r="W260" s="796">
        <v>0</v>
      </c>
      <c r="X260" s="796">
        <v>0</v>
      </c>
      <c r="Y260" s="796">
        <v>0</v>
      </c>
      <c r="Z260" s="796">
        <v>0</v>
      </c>
      <c r="AA260" s="796">
        <v>0</v>
      </c>
      <c r="AB260" s="796">
        <v>0</v>
      </c>
      <c r="AC260" s="796">
        <v>0</v>
      </c>
      <c r="AD260" s="796">
        <v>0</v>
      </c>
      <c r="AE260" s="796">
        <v>0</v>
      </c>
      <c r="AF260" s="796">
        <v>0</v>
      </c>
      <c r="AG260" s="796">
        <v>0</v>
      </c>
      <c r="AH260" s="796">
        <v>0</v>
      </c>
      <c r="AI260" s="796">
        <v>0</v>
      </c>
      <c r="AJ260" s="796">
        <v>0</v>
      </c>
      <c r="AK260" s="796">
        <v>0</v>
      </c>
      <c r="AL260" s="796">
        <v>0</v>
      </c>
      <c r="AM260" s="796">
        <v>0</v>
      </c>
      <c r="AN260" s="796">
        <v>0</v>
      </c>
      <c r="AO260" s="796">
        <v>0</v>
      </c>
      <c r="AP260" s="796">
        <v>0</v>
      </c>
      <c r="AQ260" s="796">
        <v>0</v>
      </c>
      <c r="AR260" s="796">
        <v>0</v>
      </c>
      <c r="AS260" s="796">
        <v>0</v>
      </c>
      <c r="AT260" s="796">
        <v>0</v>
      </c>
      <c r="AU260" s="796">
        <v>0</v>
      </c>
      <c r="AV260" s="796">
        <v>0</v>
      </c>
      <c r="AW260" s="796">
        <v>0</v>
      </c>
      <c r="AX260" s="796">
        <v>0</v>
      </c>
      <c r="AY260" s="796">
        <v>0</v>
      </c>
      <c r="AZ260" s="796">
        <v>0</v>
      </c>
      <c r="BA260" s="796">
        <v>0</v>
      </c>
      <c r="BB260" s="796">
        <v>0</v>
      </c>
      <c r="BC260" s="796">
        <v>0</v>
      </c>
      <c r="BD260" s="796">
        <v>0</v>
      </c>
      <c r="BE260" s="796">
        <v>0</v>
      </c>
      <c r="BF260" s="796">
        <v>0</v>
      </c>
      <c r="BG260" s="796">
        <v>0</v>
      </c>
      <c r="BH260" s="796">
        <v>0</v>
      </c>
      <c r="BI260" s="796">
        <v>0</v>
      </c>
      <c r="BJ260" s="796">
        <v>0</v>
      </c>
      <c r="BK260" s="796">
        <v>0</v>
      </c>
      <c r="BL260" s="796">
        <v>0</v>
      </c>
      <c r="BM260" s="796">
        <v>0</v>
      </c>
      <c r="BN260" s="796">
        <v>0</v>
      </c>
      <c r="BO260" s="796">
        <v>0</v>
      </c>
      <c r="BP260" s="796">
        <v>0</v>
      </c>
      <c r="BQ260" s="796">
        <v>0</v>
      </c>
      <c r="BR260" s="796">
        <v>0</v>
      </c>
      <c r="BS260" s="796">
        <v>0</v>
      </c>
      <c r="BT260" s="796">
        <v>0</v>
      </c>
      <c r="BU260" s="796">
        <v>0</v>
      </c>
      <c r="BV260" s="796">
        <v>0</v>
      </c>
    </row>
    <row r="261" spans="2:74">
      <c r="B261" s="795" t="s">
        <v>3118</v>
      </c>
      <c r="C261" s="795" t="s">
        <v>3119</v>
      </c>
      <c r="D261" s="795"/>
      <c r="E261" s="796"/>
      <c r="F261" s="799"/>
      <c r="G261" s="799"/>
      <c r="H261" s="799"/>
      <c r="I261" s="799"/>
      <c r="J261" s="799"/>
      <c r="K261" s="799"/>
      <c r="L261" s="799">
        <f t="shared" ref="L261:L324" si="9">+COUNTIF($AJ$5:$AJ$371,AJ261)</f>
        <v>331</v>
      </c>
      <c r="M261" s="799"/>
      <c r="N261" s="595"/>
      <c r="O261" s="794">
        <v>0</v>
      </c>
      <c r="P261" s="794">
        <v>0</v>
      </c>
      <c r="Q261" s="794">
        <v>0</v>
      </c>
      <c r="R261" s="794">
        <v>0</v>
      </c>
      <c r="S261" s="796">
        <v>0</v>
      </c>
      <c r="T261" s="796">
        <v>0</v>
      </c>
      <c r="U261" s="796">
        <v>0</v>
      </c>
      <c r="V261" s="796">
        <v>0</v>
      </c>
      <c r="W261" s="796">
        <v>0</v>
      </c>
      <c r="X261" s="796">
        <v>0</v>
      </c>
      <c r="Y261" s="796">
        <v>0</v>
      </c>
      <c r="Z261" s="796">
        <v>0</v>
      </c>
      <c r="AA261" s="796">
        <v>0</v>
      </c>
      <c r="AB261" s="796">
        <v>0</v>
      </c>
      <c r="AC261" s="796">
        <v>0</v>
      </c>
      <c r="AD261" s="796">
        <v>0</v>
      </c>
      <c r="AE261" s="796">
        <v>0</v>
      </c>
      <c r="AF261" s="796">
        <v>0</v>
      </c>
      <c r="AG261" s="796">
        <v>0</v>
      </c>
      <c r="AH261" s="796">
        <v>0</v>
      </c>
      <c r="AI261" s="796">
        <v>0</v>
      </c>
      <c r="AJ261" s="796">
        <v>0</v>
      </c>
      <c r="AK261" s="796">
        <v>0</v>
      </c>
      <c r="AL261" s="796">
        <v>0</v>
      </c>
      <c r="AM261" s="796">
        <v>0</v>
      </c>
      <c r="AN261" s="810">
        <v>8943.61</v>
      </c>
      <c r="AO261" s="796">
        <v>0</v>
      </c>
      <c r="AP261" s="796">
        <v>0</v>
      </c>
      <c r="AQ261" s="796">
        <v>0</v>
      </c>
      <c r="AR261" s="796">
        <v>0</v>
      </c>
      <c r="AS261" s="796">
        <v>0</v>
      </c>
      <c r="AT261" s="796">
        <v>0</v>
      </c>
      <c r="AU261" s="796">
        <v>0</v>
      </c>
      <c r="AV261" s="796">
        <v>0</v>
      </c>
      <c r="AW261" s="796">
        <v>0</v>
      </c>
      <c r="AX261" s="796">
        <v>0</v>
      </c>
      <c r="AY261" s="796">
        <v>0</v>
      </c>
      <c r="AZ261" s="796">
        <v>0</v>
      </c>
      <c r="BA261" s="796">
        <v>0</v>
      </c>
      <c r="BB261" s="796">
        <v>0</v>
      </c>
      <c r="BC261" s="796">
        <v>0</v>
      </c>
      <c r="BD261" s="796">
        <v>0</v>
      </c>
      <c r="BE261" s="796">
        <v>0</v>
      </c>
      <c r="BF261" s="796">
        <v>0</v>
      </c>
      <c r="BG261" s="796">
        <v>0</v>
      </c>
      <c r="BH261" s="796">
        <v>0</v>
      </c>
      <c r="BI261" s="796">
        <v>0</v>
      </c>
      <c r="BJ261" s="796">
        <v>0</v>
      </c>
      <c r="BK261" s="796">
        <v>0</v>
      </c>
      <c r="BL261" s="796">
        <v>0</v>
      </c>
      <c r="BM261" s="796">
        <v>0</v>
      </c>
      <c r="BN261" s="796">
        <v>0</v>
      </c>
      <c r="BO261" s="796">
        <v>0</v>
      </c>
      <c r="BP261" s="796">
        <v>0</v>
      </c>
      <c r="BQ261" s="796">
        <v>0</v>
      </c>
      <c r="BR261" s="796">
        <v>0</v>
      </c>
      <c r="BS261" s="796">
        <v>0</v>
      </c>
      <c r="BT261" s="796">
        <v>0</v>
      </c>
      <c r="BU261" s="796">
        <v>0</v>
      </c>
      <c r="BV261" s="796">
        <v>0</v>
      </c>
    </row>
    <row r="262" spans="2:74">
      <c r="B262" s="795" t="s">
        <v>3120</v>
      </c>
      <c r="C262" s="795" t="s">
        <v>3121</v>
      </c>
      <c r="D262" s="795"/>
      <c r="E262" s="796"/>
      <c r="F262" s="799"/>
      <c r="G262" s="799"/>
      <c r="H262" s="799"/>
      <c r="I262" s="799"/>
      <c r="J262" s="799"/>
      <c r="K262" s="799"/>
      <c r="L262" s="799">
        <f t="shared" si="9"/>
        <v>331</v>
      </c>
      <c r="M262" s="799"/>
      <c r="N262" s="595"/>
      <c r="O262" s="794">
        <v>0</v>
      </c>
      <c r="P262" s="794">
        <v>0</v>
      </c>
      <c r="Q262" s="794">
        <v>0</v>
      </c>
      <c r="R262" s="794">
        <v>0</v>
      </c>
      <c r="S262" s="796">
        <v>0</v>
      </c>
      <c r="T262" s="796">
        <v>0</v>
      </c>
      <c r="U262" s="796">
        <v>0</v>
      </c>
      <c r="V262" s="796">
        <v>0</v>
      </c>
      <c r="W262" s="796">
        <v>0</v>
      </c>
      <c r="X262" s="796">
        <v>0</v>
      </c>
      <c r="Y262" s="796">
        <v>0</v>
      </c>
      <c r="Z262" s="796">
        <v>0</v>
      </c>
      <c r="AA262" s="796">
        <v>0</v>
      </c>
      <c r="AB262" s="796">
        <v>0</v>
      </c>
      <c r="AC262" s="796">
        <v>0</v>
      </c>
      <c r="AD262" s="796">
        <v>0</v>
      </c>
      <c r="AE262" s="796">
        <v>0</v>
      </c>
      <c r="AF262" s="796">
        <v>0</v>
      </c>
      <c r="AG262" s="796">
        <v>0</v>
      </c>
      <c r="AH262" s="796">
        <v>0</v>
      </c>
      <c r="AI262" s="796">
        <v>0</v>
      </c>
      <c r="AJ262" s="796">
        <v>0</v>
      </c>
      <c r="AK262" s="796">
        <v>0</v>
      </c>
      <c r="AL262" s="796">
        <v>0</v>
      </c>
      <c r="AM262" s="796">
        <v>0</v>
      </c>
      <c r="AN262" s="810">
        <v>13001.85</v>
      </c>
      <c r="AO262" s="796">
        <v>0</v>
      </c>
      <c r="AP262" s="796">
        <v>0</v>
      </c>
      <c r="AQ262" s="796">
        <v>0</v>
      </c>
      <c r="AR262" s="796">
        <v>0</v>
      </c>
      <c r="AS262" s="796">
        <v>0</v>
      </c>
      <c r="AT262" s="796">
        <v>0</v>
      </c>
      <c r="AU262" s="796">
        <v>0</v>
      </c>
      <c r="AV262" s="796">
        <v>0</v>
      </c>
      <c r="AW262" s="796">
        <v>0</v>
      </c>
      <c r="AX262" s="796">
        <v>0</v>
      </c>
      <c r="AY262" s="796">
        <v>0</v>
      </c>
      <c r="AZ262" s="796">
        <v>0</v>
      </c>
      <c r="BA262" s="796">
        <v>0</v>
      </c>
      <c r="BB262" s="796">
        <v>0</v>
      </c>
      <c r="BC262" s="796">
        <v>0</v>
      </c>
      <c r="BD262" s="796">
        <v>0</v>
      </c>
      <c r="BE262" s="796">
        <v>0</v>
      </c>
      <c r="BF262" s="796">
        <v>0</v>
      </c>
      <c r="BG262" s="796">
        <v>0</v>
      </c>
      <c r="BH262" s="796">
        <v>0</v>
      </c>
      <c r="BI262" s="796">
        <v>0</v>
      </c>
      <c r="BJ262" s="796">
        <v>0</v>
      </c>
      <c r="BK262" s="796">
        <v>0</v>
      </c>
      <c r="BL262" s="796">
        <v>0</v>
      </c>
      <c r="BM262" s="796">
        <v>0</v>
      </c>
      <c r="BN262" s="796">
        <v>0</v>
      </c>
      <c r="BO262" s="796">
        <v>0</v>
      </c>
      <c r="BP262" s="796">
        <v>0</v>
      </c>
      <c r="BQ262" s="796">
        <v>0</v>
      </c>
      <c r="BR262" s="796">
        <v>0</v>
      </c>
      <c r="BS262" s="796">
        <v>0</v>
      </c>
      <c r="BT262" s="796">
        <v>0</v>
      </c>
      <c r="BU262" s="796">
        <v>0</v>
      </c>
      <c r="BV262" s="796">
        <v>0</v>
      </c>
    </row>
    <row r="263" spans="2:74">
      <c r="B263" s="795" t="s">
        <v>3122</v>
      </c>
      <c r="C263" s="795" t="s">
        <v>3123</v>
      </c>
      <c r="D263" s="795"/>
      <c r="E263" s="796"/>
      <c r="F263" s="799"/>
      <c r="G263" s="799"/>
      <c r="H263" s="799"/>
      <c r="I263" s="799"/>
      <c r="J263" s="799"/>
      <c r="K263" s="799"/>
      <c r="L263" s="799">
        <f t="shared" si="9"/>
        <v>331</v>
      </c>
      <c r="M263" s="799"/>
      <c r="N263" s="595"/>
      <c r="O263" s="794">
        <v>0</v>
      </c>
      <c r="P263" s="794">
        <v>0</v>
      </c>
      <c r="Q263" s="794">
        <v>0</v>
      </c>
      <c r="R263" s="794">
        <v>0</v>
      </c>
      <c r="S263" s="796">
        <v>0</v>
      </c>
      <c r="T263" s="796">
        <v>0</v>
      </c>
      <c r="U263" s="796">
        <v>0</v>
      </c>
      <c r="V263" s="796">
        <v>0</v>
      </c>
      <c r="W263" s="796">
        <v>0</v>
      </c>
      <c r="X263" s="796">
        <v>0</v>
      </c>
      <c r="Y263" s="796">
        <v>0</v>
      </c>
      <c r="Z263" s="796">
        <v>0</v>
      </c>
      <c r="AA263" s="796">
        <v>0</v>
      </c>
      <c r="AB263" s="796">
        <v>0</v>
      </c>
      <c r="AC263" s="796">
        <v>0</v>
      </c>
      <c r="AD263" s="796">
        <v>0</v>
      </c>
      <c r="AE263" s="796">
        <v>0</v>
      </c>
      <c r="AF263" s="796">
        <v>0</v>
      </c>
      <c r="AG263" s="796">
        <v>0</v>
      </c>
      <c r="AH263" s="796">
        <v>0</v>
      </c>
      <c r="AI263" s="796">
        <v>0</v>
      </c>
      <c r="AJ263" s="796">
        <v>0</v>
      </c>
      <c r="AK263" s="796">
        <v>0</v>
      </c>
      <c r="AL263" s="796">
        <v>0</v>
      </c>
      <c r="AM263" s="796">
        <v>0</v>
      </c>
      <c r="AN263" s="796">
        <v>0</v>
      </c>
      <c r="AO263" s="810">
        <v>14159.67</v>
      </c>
      <c r="AP263" s="796">
        <v>0</v>
      </c>
      <c r="AQ263" s="796">
        <v>0</v>
      </c>
      <c r="AR263" s="796">
        <v>0</v>
      </c>
      <c r="AS263" s="796">
        <v>0</v>
      </c>
      <c r="AT263" s="796">
        <v>0</v>
      </c>
      <c r="AU263" s="796">
        <v>0</v>
      </c>
      <c r="AV263" s="796">
        <v>0</v>
      </c>
      <c r="AW263" s="796">
        <v>0</v>
      </c>
      <c r="AX263" s="796">
        <v>0</v>
      </c>
      <c r="AY263" s="796">
        <v>0</v>
      </c>
      <c r="AZ263" s="796">
        <v>0</v>
      </c>
      <c r="BA263" s="796">
        <v>0</v>
      </c>
      <c r="BB263" s="796">
        <v>0</v>
      </c>
      <c r="BC263" s="796">
        <v>0</v>
      </c>
      <c r="BD263" s="796">
        <v>0</v>
      </c>
      <c r="BE263" s="796">
        <v>0</v>
      </c>
      <c r="BF263" s="796">
        <v>0</v>
      </c>
      <c r="BG263" s="796">
        <v>0</v>
      </c>
      <c r="BH263" s="796">
        <v>0</v>
      </c>
      <c r="BI263" s="796">
        <v>0</v>
      </c>
      <c r="BJ263" s="796">
        <v>0</v>
      </c>
      <c r="BK263" s="796">
        <v>0</v>
      </c>
      <c r="BL263" s="796">
        <v>0</v>
      </c>
      <c r="BM263" s="796">
        <v>0</v>
      </c>
      <c r="BN263" s="796">
        <v>0</v>
      </c>
      <c r="BO263" s="796">
        <v>0</v>
      </c>
      <c r="BP263" s="796">
        <v>0</v>
      </c>
      <c r="BQ263" s="796">
        <v>0</v>
      </c>
      <c r="BR263" s="796">
        <v>0</v>
      </c>
      <c r="BS263" s="796">
        <v>0</v>
      </c>
      <c r="BT263" s="796">
        <v>0</v>
      </c>
      <c r="BU263" s="796">
        <v>0</v>
      </c>
      <c r="BV263" s="796">
        <v>0</v>
      </c>
    </row>
    <row r="264" spans="2:74">
      <c r="B264" s="795" t="s">
        <v>3124</v>
      </c>
      <c r="C264" s="795" t="s">
        <v>495</v>
      </c>
      <c r="D264" s="795"/>
      <c r="E264" s="796"/>
      <c r="F264" s="799"/>
      <c r="G264" s="799"/>
      <c r="H264" s="799"/>
      <c r="I264" s="799"/>
      <c r="J264" s="799"/>
      <c r="K264" s="799"/>
      <c r="L264" s="799">
        <f t="shared" si="9"/>
        <v>331</v>
      </c>
      <c r="M264" s="799"/>
      <c r="N264" s="595"/>
      <c r="O264" s="794">
        <v>0</v>
      </c>
      <c r="P264" s="794">
        <v>0</v>
      </c>
      <c r="Q264" s="794">
        <v>0</v>
      </c>
      <c r="R264" s="794">
        <v>0</v>
      </c>
      <c r="S264" s="796">
        <v>0</v>
      </c>
      <c r="T264" s="796">
        <v>0</v>
      </c>
      <c r="U264" s="796">
        <v>0</v>
      </c>
      <c r="V264" s="796">
        <v>0</v>
      </c>
      <c r="W264" s="796">
        <v>0</v>
      </c>
      <c r="X264" s="796">
        <v>0</v>
      </c>
      <c r="Y264" s="796">
        <v>0</v>
      </c>
      <c r="Z264" s="796">
        <v>0</v>
      </c>
      <c r="AA264" s="796">
        <v>0</v>
      </c>
      <c r="AB264" s="796">
        <v>0</v>
      </c>
      <c r="AC264" s="796">
        <v>0</v>
      </c>
      <c r="AD264" s="796">
        <v>0</v>
      </c>
      <c r="AE264" s="796">
        <v>0</v>
      </c>
      <c r="AF264" s="796">
        <v>0</v>
      </c>
      <c r="AG264" s="796">
        <v>0</v>
      </c>
      <c r="AH264" s="796">
        <v>0</v>
      </c>
      <c r="AI264" s="796">
        <v>0</v>
      </c>
      <c r="AJ264" s="796">
        <v>0</v>
      </c>
      <c r="AK264" s="796">
        <v>0</v>
      </c>
      <c r="AL264" s="796">
        <v>0</v>
      </c>
      <c r="AM264" s="796">
        <v>0</v>
      </c>
      <c r="AN264" s="796">
        <v>0</v>
      </c>
      <c r="AO264" s="810">
        <v>10638</v>
      </c>
      <c r="AP264" s="796">
        <v>0</v>
      </c>
      <c r="AQ264" s="796">
        <v>10125</v>
      </c>
      <c r="AR264" s="796">
        <v>10125</v>
      </c>
      <c r="AS264" s="796">
        <v>0</v>
      </c>
      <c r="AT264" s="796">
        <v>0</v>
      </c>
      <c r="AU264" s="796">
        <v>8910</v>
      </c>
      <c r="AV264" s="796">
        <v>58549</v>
      </c>
      <c r="AW264" s="796">
        <v>0</v>
      </c>
      <c r="AX264" s="796">
        <v>0</v>
      </c>
      <c r="AY264" s="796">
        <v>0</v>
      </c>
      <c r="AZ264" s="796">
        <v>0</v>
      </c>
      <c r="BA264" s="796">
        <v>0</v>
      </c>
      <c r="BB264" s="796">
        <v>0</v>
      </c>
      <c r="BC264" s="796">
        <v>0</v>
      </c>
      <c r="BD264" s="796">
        <v>0</v>
      </c>
      <c r="BE264" s="796">
        <v>0</v>
      </c>
      <c r="BF264" s="796">
        <v>0</v>
      </c>
      <c r="BG264" s="796">
        <v>0</v>
      </c>
      <c r="BH264" s="796">
        <v>0</v>
      </c>
      <c r="BI264" s="796">
        <v>0</v>
      </c>
      <c r="BJ264" s="796">
        <v>0</v>
      </c>
      <c r="BK264" s="796">
        <v>0</v>
      </c>
      <c r="BL264" s="796">
        <v>0</v>
      </c>
      <c r="BM264" s="796">
        <v>0</v>
      </c>
      <c r="BN264" s="796">
        <v>0</v>
      </c>
      <c r="BO264" s="796">
        <v>0</v>
      </c>
      <c r="BP264" s="796">
        <v>0</v>
      </c>
      <c r="BQ264" s="796">
        <v>0</v>
      </c>
      <c r="BR264" s="796">
        <v>0</v>
      </c>
      <c r="BS264" s="796">
        <v>0</v>
      </c>
      <c r="BT264" s="796">
        <v>0</v>
      </c>
      <c r="BU264" s="796">
        <v>0</v>
      </c>
      <c r="BV264" s="796">
        <v>0</v>
      </c>
    </row>
    <row r="265" spans="2:74">
      <c r="B265" s="795" t="s">
        <v>3125</v>
      </c>
      <c r="C265" s="795" t="s">
        <v>486</v>
      </c>
      <c r="D265" s="795"/>
      <c r="E265" s="796"/>
      <c r="F265" s="799"/>
      <c r="G265" s="799"/>
      <c r="H265" s="799"/>
      <c r="I265" s="799"/>
      <c r="J265" s="799"/>
      <c r="K265" s="799"/>
      <c r="L265" s="799">
        <f t="shared" si="9"/>
        <v>331</v>
      </c>
      <c r="M265" s="799"/>
      <c r="N265" s="595"/>
      <c r="O265" s="794">
        <v>0</v>
      </c>
      <c r="P265" s="794">
        <v>0</v>
      </c>
      <c r="Q265" s="794">
        <v>0</v>
      </c>
      <c r="R265" s="794">
        <v>0</v>
      </c>
      <c r="S265" s="796">
        <v>0</v>
      </c>
      <c r="T265" s="796">
        <v>0</v>
      </c>
      <c r="U265" s="796">
        <v>0</v>
      </c>
      <c r="V265" s="796">
        <v>0</v>
      </c>
      <c r="W265" s="796">
        <v>0</v>
      </c>
      <c r="X265" s="796">
        <v>0</v>
      </c>
      <c r="Y265" s="796">
        <v>0</v>
      </c>
      <c r="Z265" s="796">
        <v>0</v>
      </c>
      <c r="AA265" s="796">
        <v>0</v>
      </c>
      <c r="AB265" s="796">
        <v>0</v>
      </c>
      <c r="AC265" s="796">
        <v>0</v>
      </c>
      <c r="AD265" s="796">
        <v>0</v>
      </c>
      <c r="AE265" s="796">
        <v>0</v>
      </c>
      <c r="AF265" s="796">
        <v>0</v>
      </c>
      <c r="AG265" s="796">
        <v>0</v>
      </c>
      <c r="AH265" s="796">
        <v>0</v>
      </c>
      <c r="AI265" s="796">
        <v>0</v>
      </c>
      <c r="AJ265" s="796">
        <v>0</v>
      </c>
      <c r="AK265" s="796">
        <v>0</v>
      </c>
      <c r="AL265" s="796">
        <v>0</v>
      </c>
      <c r="AM265" s="796">
        <v>0</v>
      </c>
      <c r="AN265" s="796">
        <v>0</v>
      </c>
      <c r="AO265" s="810">
        <v>32414.43</v>
      </c>
      <c r="AP265" s="796">
        <v>0</v>
      </c>
      <c r="AQ265" s="796">
        <v>2800</v>
      </c>
      <c r="AR265" s="796">
        <v>0</v>
      </c>
      <c r="AS265" s="796">
        <v>0</v>
      </c>
      <c r="AT265" s="796">
        <v>0</v>
      </c>
      <c r="AU265" s="796">
        <v>0</v>
      </c>
      <c r="AV265" s="796">
        <v>0</v>
      </c>
      <c r="AW265" s="796">
        <v>0</v>
      </c>
      <c r="AX265" s="796">
        <v>0</v>
      </c>
      <c r="AY265" s="796">
        <v>0</v>
      </c>
      <c r="AZ265" s="796">
        <v>0</v>
      </c>
      <c r="BA265" s="796">
        <v>0</v>
      </c>
      <c r="BB265" s="796">
        <v>0</v>
      </c>
      <c r="BC265" s="796">
        <v>0</v>
      </c>
      <c r="BD265" s="796">
        <v>0</v>
      </c>
      <c r="BE265" s="796">
        <v>0</v>
      </c>
      <c r="BF265" s="796">
        <v>0</v>
      </c>
      <c r="BG265" s="796">
        <v>0</v>
      </c>
      <c r="BH265" s="796">
        <v>0</v>
      </c>
      <c r="BI265" s="796">
        <v>0</v>
      </c>
      <c r="BJ265" s="796">
        <v>0</v>
      </c>
      <c r="BK265" s="796">
        <v>0</v>
      </c>
      <c r="BL265" s="796">
        <v>0</v>
      </c>
      <c r="BM265" s="796">
        <v>0</v>
      </c>
      <c r="BN265" s="796">
        <v>0</v>
      </c>
      <c r="BO265" s="796">
        <v>0</v>
      </c>
      <c r="BP265" s="796">
        <v>0</v>
      </c>
      <c r="BQ265" s="796">
        <v>0</v>
      </c>
      <c r="BR265" s="796">
        <v>0</v>
      </c>
      <c r="BS265" s="796">
        <v>0</v>
      </c>
      <c r="BT265" s="796">
        <v>0</v>
      </c>
      <c r="BU265" s="796">
        <v>0</v>
      </c>
      <c r="BV265" s="796">
        <v>0</v>
      </c>
    </row>
    <row r="266" spans="2:74">
      <c r="B266" s="795" t="s">
        <v>3126</v>
      </c>
      <c r="C266" s="795" t="s">
        <v>3127</v>
      </c>
      <c r="D266" s="795"/>
      <c r="E266" s="796"/>
      <c r="F266" s="799"/>
      <c r="G266" s="799"/>
      <c r="H266" s="799"/>
      <c r="I266" s="799"/>
      <c r="J266" s="799"/>
      <c r="K266" s="799"/>
      <c r="L266" s="799">
        <f t="shared" si="9"/>
        <v>331</v>
      </c>
      <c r="M266" s="799"/>
      <c r="N266" s="595"/>
      <c r="O266" s="794">
        <v>0</v>
      </c>
      <c r="P266" s="794">
        <v>0</v>
      </c>
      <c r="Q266" s="794">
        <v>0</v>
      </c>
      <c r="R266" s="794">
        <v>0</v>
      </c>
      <c r="S266" s="796">
        <v>0</v>
      </c>
      <c r="T266" s="796">
        <v>0</v>
      </c>
      <c r="U266" s="796">
        <v>0</v>
      </c>
      <c r="V266" s="796">
        <v>0</v>
      </c>
      <c r="W266" s="796">
        <v>0</v>
      </c>
      <c r="X266" s="796">
        <v>0</v>
      </c>
      <c r="Y266" s="796">
        <v>0</v>
      </c>
      <c r="Z266" s="796">
        <v>0</v>
      </c>
      <c r="AA266" s="796">
        <v>0</v>
      </c>
      <c r="AB266" s="796">
        <v>0</v>
      </c>
      <c r="AC266" s="796">
        <v>0</v>
      </c>
      <c r="AD266" s="796">
        <v>0</v>
      </c>
      <c r="AE266" s="796">
        <v>0</v>
      </c>
      <c r="AF266" s="796">
        <v>0</v>
      </c>
      <c r="AG266" s="796">
        <v>0</v>
      </c>
      <c r="AH266" s="796">
        <v>0</v>
      </c>
      <c r="AI266" s="796">
        <v>0</v>
      </c>
      <c r="AJ266" s="796">
        <v>0</v>
      </c>
      <c r="AK266" s="796">
        <v>0</v>
      </c>
      <c r="AL266" s="796">
        <v>0</v>
      </c>
      <c r="AM266" s="796">
        <v>0</v>
      </c>
      <c r="AN266" s="796">
        <v>0</v>
      </c>
      <c r="AO266" s="810">
        <v>8000</v>
      </c>
      <c r="AP266" s="796">
        <v>0</v>
      </c>
      <c r="AQ266" s="796">
        <v>0</v>
      </c>
      <c r="AR266" s="796">
        <v>0</v>
      </c>
      <c r="AS266" s="796">
        <v>0</v>
      </c>
      <c r="AT266" s="796">
        <v>0</v>
      </c>
      <c r="AU266" s="796">
        <v>0</v>
      </c>
      <c r="AV266" s="796">
        <v>0</v>
      </c>
      <c r="AW266" s="796">
        <v>0</v>
      </c>
      <c r="AX266" s="796">
        <v>0</v>
      </c>
      <c r="AY266" s="796">
        <v>0</v>
      </c>
      <c r="AZ266" s="796">
        <v>0</v>
      </c>
      <c r="BA266" s="796">
        <v>0</v>
      </c>
      <c r="BB266" s="796">
        <v>0</v>
      </c>
      <c r="BC266" s="796">
        <v>0</v>
      </c>
      <c r="BD266" s="796">
        <v>0</v>
      </c>
      <c r="BE266" s="796">
        <v>0</v>
      </c>
      <c r="BF266" s="796">
        <v>0</v>
      </c>
      <c r="BG266" s="796">
        <v>0</v>
      </c>
      <c r="BH266" s="796">
        <v>0</v>
      </c>
      <c r="BI266" s="796">
        <v>0</v>
      </c>
      <c r="BJ266" s="796">
        <v>0</v>
      </c>
      <c r="BK266" s="796">
        <v>0</v>
      </c>
      <c r="BL266" s="796">
        <v>0</v>
      </c>
      <c r="BM266" s="796">
        <v>0</v>
      </c>
      <c r="BN266" s="796">
        <v>0</v>
      </c>
      <c r="BO266" s="796">
        <v>0</v>
      </c>
      <c r="BP266" s="796">
        <v>0</v>
      </c>
      <c r="BQ266" s="796">
        <v>0</v>
      </c>
      <c r="BR266" s="796">
        <v>0</v>
      </c>
      <c r="BS266" s="796">
        <v>0</v>
      </c>
      <c r="BT266" s="796">
        <v>0</v>
      </c>
      <c r="BU266" s="796">
        <v>0</v>
      </c>
      <c r="BV266" s="796">
        <v>0</v>
      </c>
    </row>
    <row r="267" spans="2:74">
      <c r="B267" s="795" t="s">
        <v>3128</v>
      </c>
      <c r="C267" s="795"/>
      <c r="D267" s="795"/>
      <c r="E267" s="796"/>
      <c r="F267" s="799"/>
      <c r="G267" s="799"/>
      <c r="H267" s="799"/>
      <c r="I267" s="799"/>
      <c r="J267" s="799"/>
      <c r="K267" s="799"/>
      <c r="L267" s="799">
        <f t="shared" si="9"/>
        <v>331</v>
      </c>
      <c r="M267" s="799"/>
      <c r="N267" s="595"/>
      <c r="O267" s="794">
        <v>0</v>
      </c>
      <c r="P267" s="794">
        <v>0</v>
      </c>
      <c r="Q267" s="794">
        <v>0</v>
      </c>
      <c r="R267" s="794">
        <v>0</v>
      </c>
      <c r="S267" s="796">
        <v>0</v>
      </c>
      <c r="T267" s="796">
        <v>0</v>
      </c>
      <c r="U267" s="796">
        <v>0</v>
      </c>
      <c r="V267" s="796">
        <v>0</v>
      </c>
      <c r="W267" s="796">
        <v>0</v>
      </c>
      <c r="X267" s="796">
        <v>0</v>
      </c>
      <c r="Y267" s="796">
        <v>0</v>
      </c>
      <c r="Z267" s="796">
        <v>0</v>
      </c>
      <c r="AA267" s="796">
        <v>0</v>
      </c>
      <c r="AB267" s="796">
        <v>0</v>
      </c>
      <c r="AC267" s="796">
        <v>0</v>
      </c>
      <c r="AD267" s="796">
        <v>0</v>
      </c>
      <c r="AE267" s="796">
        <v>0</v>
      </c>
      <c r="AF267" s="796">
        <v>0</v>
      </c>
      <c r="AG267" s="796">
        <v>0</v>
      </c>
      <c r="AH267" s="796">
        <v>0</v>
      </c>
      <c r="AI267" s="796">
        <v>0</v>
      </c>
      <c r="AJ267" s="796">
        <v>0</v>
      </c>
      <c r="AK267" s="796">
        <v>0</v>
      </c>
      <c r="AL267" s="796">
        <v>0</v>
      </c>
      <c r="AM267" s="796">
        <v>0</v>
      </c>
      <c r="AN267" s="796">
        <v>0</v>
      </c>
      <c r="AO267" s="810">
        <v>11000</v>
      </c>
      <c r="AP267" s="796">
        <v>0</v>
      </c>
      <c r="AQ267" s="796">
        <v>0</v>
      </c>
      <c r="AR267" s="796">
        <v>0</v>
      </c>
      <c r="AS267" s="796">
        <v>0</v>
      </c>
      <c r="AT267" s="796">
        <v>0</v>
      </c>
      <c r="AU267" s="796">
        <v>0</v>
      </c>
      <c r="AV267" s="796">
        <v>0</v>
      </c>
      <c r="AW267" s="796">
        <v>0</v>
      </c>
      <c r="AX267" s="796">
        <v>0</v>
      </c>
      <c r="AY267" s="796">
        <v>0</v>
      </c>
      <c r="AZ267" s="796">
        <v>0</v>
      </c>
      <c r="BA267" s="796">
        <v>0</v>
      </c>
      <c r="BB267" s="796">
        <v>0</v>
      </c>
      <c r="BC267" s="796">
        <v>0</v>
      </c>
      <c r="BD267" s="796">
        <v>0</v>
      </c>
      <c r="BE267" s="796">
        <v>0</v>
      </c>
      <c r="BF267" s="796">
        <v>0</v>
      </c>
      <c r="BG267" s="796">
        <v>0</v>
      </c>
      <c r="BH267" s="796">
        <v>0</v>
      </c>
      <c r="BI267" s="796">
        <v>0</v>
      </c>
      <c r="BJ267" s="796">
        <v>0</v>
      </c>
      <c r="BK267" s="796">
        <v>0</v>
      </c>
      <c r="BL267" s="796">
        <v>0</v>
      </c>
      <c r="BM267" s="796">
        <v>0</v>
      </c>
      <c r="BN267" s="796">
        <v>0</v>
      </c>
      <c r="BO267" s="796">
        <v>0</v>
      </c>
      <c r="BP267" s="796">
        <v>0</v>
      </c>
      <c r="BQ267" s="796">
        <v>0</v>
      </c>
      <c r="BR267" s="796">
        <v>0</v>
      </c>
      <c r="BS267" s="796">
        <v>0</v>
      </c>
      <c r="BT267" s="796">
        <v>0</v>
      </c>
      <c r="BU267" s="796">
        <v>0</v>
      </c>
      <c r="BV267" s="796">
        <v>0</v>
      </c>
    </row>
    <row r="268" spans="2:74">
      <c r="B268" s="795" t="s">
        <v>3129</v>
      </c>
      <c r="C268" s="795"/>
      <c r="D268" s="795"/>
      <c r="E268" s="796"/>
      <c r="F268" s="799"/>
      <c r="G268" s="799"/>
      <c r="H268" s="799"/>
      <c r="I268" s="799"/>
      <c r="J268" s="799"/>
      <c r="K268" s="799"/>
      <c r="L268" s="799">
        <f t="shared" si="9"/>
        <v>331</v>
      </c>
      <c r="M268" s="799"/>
      <c r="N268" s="595"/>
      <c r="O268" s="794">
        <v>0</v>
      </c>
      <c r="P268" s="794">
        <v>0</v>
      </c>
      <c r="Q268" s="794">
        <v>0</v>
      </c>
      <c r="R268" s="794">
        <v>0</v>
      </c>
      <c r="S268" s="796">
        <v>0</v>
      </c>
      <c r="T268" s="796">
        <v>0</v>
      </c>
      <c r="U268" s="796">
        <v>0</v>
      </c>
      <c r="V268" s="796">
        <v>0</v>
      </c>
      <c r="W268" s="796">
        <v>0</v>
      </c>
      <c r="X268" s="796">
        <v>0</v>
      </c>
      <c r="Y268" s="796">
        <v>0</v>
      </c>
      <c r="Z268" s="796">
        <v>0</v>
      </c>
      <c r="AA268" s="796">
        <v>0</v>
      </c>
      <c r="AB268" s="796">
        <v>0</v>
      </c>
      <c r="AC268" s="796">
        <v>0</v>
      </c>
      <c r="AD268" s="796">
        <v>0</v>
      </c>
      <c r="AE268" s="796">
        <v>0</v>
      </c>
      <c r="AF268" s="796">
        <v>0</v>
      </c>
      <c r="AG268" s="796">
        <v>0</v>
      </c>
      <c r="AH268" s="796">
        <v>0</v>
      </c>
      <c r="AI268" s="796">
        <v>0</v>
      </c>
      <c r="AJ268" s="796">
        <v>0</v>
      </c>
      <c r="AK268" s="796">
        <v>0</v>
      </c>
      <c r="AL268" s="796">
        <v>0</v>
      </c>
      <c r="AM268" s="796">
        <v>0</v>
      </c>
      <c r="AN268" s="796">
        <v>0</v>
      </c>
      <c r="AO268" s="810">
        <v>1500</v>
      </c>
      <c r="AP268" s="796">
        <v>0</v>
      </c>
      <c r="AQ268" s="796">
        <v>0</v>
      </c>
      <c r="AR268" s="796">
        <v>0</v>
      </c>
      <c r="AS268" s="796">
        <v>0</v>
      </c>
      <c r="AT268" s="796">
        <v>0</v>
      </c>
      <c r="AU268" s="796">
        <v>0</v>
      </c>
      <c r="AV268" s="796">
        <v>0</v>
      </c>
      <c r="AW268" s="796">
        <v>0</v>
      </c>
      <c r="AX268" s="796">
        <v>0</v>
      </c>
      <c r="AY268" s="796">
        <v>0</v>
      </c>
      <c r="AZ268" s="796">
        <v>0</v>
      </c>
      <c r="BA268" s="796">
        <v>0</v>
      </c>
      <c r="BB268" s="796">
        <v>0</v>
      </c>
      <c r="BC268" s="796">
        <v>0</v>
      </c>
      <c r="BD268" s="796">
        <v>0</v>
      </c>
      <c r="BE268" s="796">
        <v>0</v>
      </c>
      <c r="BF268" s="796">
        <v>0</v>
      </c>
      <c r="BG268" s="796">
        <v>0</v>
      </c>
      <c r="BH268" s="796">
        <v>0</v>
      </c>
      <c r="BI268" s="796">
        <v>0</v>
      </c>
      <c r="BJ268" s="796">
        <v>0</v>
      </c>
      <c r="BK268" s="796">
        <v>0</v>
      </c>
      <c r="BL268" s="796">
        <v>0</v>
      </c>
      <c r="BM268" s="796">
        <v>0</v>
      </c>
      <c r="BN268" s="796">
        <v>0</v>
      </c>
      <c r="BO268" s="796">
        <v>0</v>
      </c>
      <c r="BP268" s="796">
        <v>0</v>
      </c>
      <c r="BQ268" s="796">
        <v>0</v>
      </c>
      <c r="BR268" s="796">
        <v>0</v>
      </c>
      <c r="BS268" s="796">
        <v>0</v>
      </c>
      <c r="BT268" s="796">
        <v>0</v>
      </c>
      <c r="BU268" s="796">
        <v>0</v>
      </c>
      <c r="BV268" s="796">
        <v>0</v>
      </c>
    </row>
    <row r="269" spans="2:74">
      <c r="B269" s="795" t="s">
        <v>3130</v>
      </c>
      <c r="C269" s="795" t="s">
        <v>3131</v>
      </c>
      <c r="D269" s="795"/>
      <c r="E269" s="796"/>
      <c r="F269" s="799"/>
      <c r="G269" s="799"/>
      <c r="H269" s="799"/>
      <c r="I269" s="799"/>
      <c r="J269" s="799"/>
      <c r="K269" s="799"/>
      <c r="L269" s="799">
        <f t="shared" si="9"/>
        <v>331</v>
      </c>
      <c r="M269" s="799"/>
      <c r="N269" s="595"/>
      <c r="O269" s="794">
        <v>0</v>
      </c>
      <c r="P269" s="794">
        <v>0</v>
      </c>
      <c r="Q269" s="794">
        <v>0</v>
      </c>
      <c r="R269" s="794">
        <v>0</v>
      </c>
      <c r="S269" s="796">
        <v>0</v>
      </c>
      <c r="T269" s="796">
        <v>0</v>
      </c>
      <c r="U269" s="796">
        <v>0</v>
      </c>
      <c r="V269" s="796">
        <v>0</v>
      </c>
      <c r="W269" s="796">
        <v>0</v>
      </c>
      <c r="X269" s="796">
        <v>0</v>
      </c>
      <c r="Y269" s="796">
        <v>0</v>
      </c>
      <c r="Z269" s="796">
        <v>0</v>
      </c>
      <c r="AA269" s="796">
        <v>0</v>
      </c>
      <c r="AB269" s="796">
        <v>0</v>
      </c>
      <c r="AC269" s="796">
        <v>0</v>
      </c>
      <c r="AD269" s="796">
        <v>0</v>
      </c>
      <c r="AE269" s="796">
        <v>0</v>
      </c>
      <c r="AF269" s="796">
        <v>0</v>
      </c>
      <c r="AG269" s="796">
        <v>0</v>
      </c>
      <c r="AH269" s="796">
        <v>0</v>
      </c>
      <c r="AI269" s="796">
        <v>0</v>
      </c>
      <c r="AJ269" s="796">
        <v>0</v>
      </c>
      <c r="AK269" s="796">
        <v>0</v>
      </c>
      <c r="AL269" s="796">
        <v>0</v>
      </c>
      <c r="AM269" s="796">
        <v>0</v>
      </c>
      <c r="AN269" s="796">
        <v>0</v>
      </c>
      <c r="AO269" s="796">
        <v>0</v>
      </c>
      <c r="AP269" s="810">
        <v>40171.199999999997</v>
      </c>
      <c r="AQ269" s="796">
        <v>0</v>
      </c>
      <c r="AR269" s="796">
        <v>0</v>
      </c>
      <c r="AS269" s="796">
        <v>40171.199999999997</v>
      </c>
      <c r="AT269" s="796">
        <v>75772.100000000006</v>
      </c>
      <c r="AU269" s="796">
        <v>0</v>
      </c>
      <c r="AV269" s="796">
        <v>0</v>
      </c>
      <c r="AW269" s="796">
        <v>0</v>
      </c>
      <c r="AX269" s="796">
        <v>0</v>
      </c>
      <c r="AY269" s="796">
        <v>0</v>
      </c>
      <c r="AZ269" s="796">
        <v>0</v>
      </c>
      <c r="BA269" s="796">
        <v>0</v>
      </c>
      <c r="BB269" s="796">
        <v>0</v>
      </c>
      <c r="BC269" s="796">
        <v>0</v>
      </c>
      <c r="BD269" s="796">
        <v>35251.49</v>
      </c>
      <c r="BE269" s="796">
        <v>79545.100000000006</v>
      </c>
      <c r="BF269" s="796">
        <v>0</v>
      </c>
      <c r="BG269" s="796">
        <v>0</v>
      </c>
      <c r="BH269" s="796">
        <v>0</v>
      </c>
      <c r="BI269" s="796">
        <v>0</v>
      </c>
      <c r="BJ269" s="796">
        <v>0</v>
      </c>
      <c r="BK269" s="796">
        <v>0</v>
      </c>
      <c r="BL269" s="796">
        <v>145988.17000000001</v>
      </c>
      <c r="BM269" s="796">
        <v>0</v>
      </c>
      <c r="BN269" s="796">
        <v>0</v>
      </c>
      <c r="BO269" s="796">
        <v>0</v>
      </c>
      <c r="BP269" s="796">
        <v>0</v>
      </c>
      <c r="BQ269" s="796">
        <v>169413.84</v>
      </c>
      <c r="BR269" s="796">
        <v>0</v>
      </c>
      <c r="BS269" s="796">
        <v>0</v>
      </c>
      <c r="BT269" s="796">
        <v>0</v>
      </c>
      <c r="BU269" s="796">
        <v>0</v>
      </c>
      <c r="BV269" s="796">
        <v>0</v>
      </c>
    </row>
    <row r="270" spans="2:74">
      <c r="B270" s="795" t="s">
        <v>3132</v>
      </c>
      <c r="C270" s="795" t="s">
        <v>3133</v>
      </c>
      <c r="D270" s="795"/>
      <c r="E270" s="796"/>
      <c r="F270" s="799"/>
      <c r="G270" s="799"/>
      <c r="H270" s="799"/>
      <c r="I270" s="799"/>
      <c r="J270" s="799"/>
      <c r="K270" s="799"/>
      <c r="L270" s="799">
        <f t="shared" si="9"/>
        <v>331</v>
      </c>
      <c r="M270" s="799"/>
      <c r="N270" s="595"/>
      <c r="O270" s="794">
        <v>0</v>
      </c>
      <c r="P270" s="794">
        <v>0</v>
      </c>
      <c r="Q270" s="794">
        <v>0</v>
      </c>
      <c r="R270" s="794">
        <v>0</v>
      </c>
      <c r="S270" s="796">
        <v>0</v>
      </c>
      <c r="T270" s="796">
        <v>0</v>
      </c>
      <c r="U270" s="796">
        <v>0</v>
      </c>
      <c r="V270" s="796">
        <v>0</v>
      </c>
      <c r="W270" s="796">
        <v>0</v>
      </c>
      <c r="X270" s="796">
        <v>0</v>
      </c>
      <c r="Y270" s="796">
        <v>0</v>
      </c>
      <c r="Z270" s="796">
        <v>0</v>
      </c>
      <c r="AA270" s="796">
        <v>0</v>
      </c>
      <c r="AB270" s="796">
        <v>0</v>
      </c>
      <c r="AC270" s="796">
        <v>0</v>
      </c>
      <c r="AD270" s="796">
        <v>0</v>
      </c>
      <c r="AE270" s="796">
        <v>0</v>
      </c>
      <c r="AF270" s="796">
        <v>0</v>
      </c>
      <c r="AG270" s="796">
        <v>0</v>
      </c>
      <c r="AH270" s="796">
        <v>0</v>
      </c>
      <c r="AI270" s="796">
        <v>0</v>
      </c>
      <c r="AJ270" s="796">
        <v>0</v>
      </c>
      <c r="AK270" s="796">
        <v>0</v>
      </c>
      <c r="AL270" s="796">
        <v>0</v>
      </c>
      <c r="AM270" s="796">
        <v>0</v>
      </c>
      <c r="AN270" s="796">
        <v>0</v>
      </c>
      <c r="AO270" s="796">
        <v>0</v>
      </c>
      <c r="AP270" s="810">
        <v>24000</v>
      </c>
      <c r="AQ270" s="796">
        <v>64190.22</v>
      </c>
      <c r="AR270" s="796">
        <v>0</v>
      </c>
      <c r="AS270" s="796">
        <v>0</v>
      </c>
      <c r="AT270" s="796">
        <v>0</v>
      </c>
      <c r="AU270" s="796">
        <v>0</v>
      </c>
      <c r="AV270" s="796">
        <v>0</v>
      </c>
      <c r="AW270" s="796">
        <v>0</v>
      </c>
      <c r="AX270" s="796">
        <v>0</v>
      </c>
      <c r="AY270" s="796">
        <v>0</v>
      </c>
      <c r="AZ270" s="796">
        <v>0</v>
      </c>
      <c r="BA270" s="796">
        <v>0</v>
      </c>
      <c r="BB270" s="796">
        <v>0</v>
      </c>
      <c r="BC270" s="796">
        <v>0</v>
      </c>
      <c r="BD270" s="796">
        <v>0</v>
      </c>
      <c r="BE270" s="796">
        <v>0</v>
      </c>
      <c r="BF270" s="796">
        <v>0</v>
      </c>
      <c r="BG270" s="796">
        <v>0</v>
      </c>
      <c r="BH270" s="796">
        <v>0</v>
      </c>
      <c r="BI270" s="796">
        <v>0</v>
      </c>
      <c r="BJ270" s="796">
        <v>0</v>
      </c>
      <c r="BK270" s="796">
        <v>0</v>
      </c>
      <c r="BL270" s="796">
        <v>0</v>
      </c>
      <c r="BM270" s="796">
        <v>0</v>
      </c>
      <c r="BN270" s="796">
        <v>0</v>
      </c>
      <c r="BO270" s="796">
        <v>0</v>
      </c>
      <c r="BP270" s="796">
        <v>0</v>
      </c>
      <c r="BQ270" s="796">
        <v>0</v>
      </c>
      <c r="BR270" s="796">
        <v>0</v>
      </c>
      <c r="BS270" s="796">
        <v>0</v>
      </c>
      <c r="BT270" s="796">
        <v>0</v>
      </c>
      <c r="BU270" s="796">
        <v>0</v>
      </c>
      <c r="BV270" s="796">
        <v>0</v>
      </c>
    </row>
    <row r="271" spans="2:74">
      <c r="B271" s="795" t="s">
        <v>852</v>
      </c>
      <c r="C271" s="795" t="s">
        <v>534</v>
      </c>
      <c r="D271" s="795"/>
      <c r="E271" s="796"/>
      <c r="F271" s="799"/>
      <c r="G271" s="799"/>
      <c r="H271" s="799"/>
      <c r="I271" s="799"/>
      <c r="J271" s="799"/>
      <c r="K271" s="799"/>
      <c r="L271" s="799">
        <f t="shared" si="9"/>
        <v>331</v>
      </c>
      <c r="M271" s="799"/>
      <c r="N271" s="595"/>
      <c r="O271" s="794">
        <v>0</v>
      </c>
      <c r="P271" s="794">
        <v>0</v>
      </c>
      <c r="Q271" s="794">
        <v>0</v>
      </c>
      <c r="R271" s="794">
        <v>0</v>
      </c>
      <c r="S271" s="796">
        <v>0</v>
      </c>
      <c r="T271" s="796">
        <v>0</v>
      </c>
      <c r="U271" s="796">
        <v>0</v>
      </c>
      <c r="V271" s="796">
        <v>0</v>
      </c>
      <c r="W271" s="796">
        <v>0</v>
      </c>
      <c r="X271" s="796">
        <v>0</v>
      </c>
      <c r="Y271" s="796">
        <v>0</v>
      </c>
      <c r="Z271" s="796">
        <v>0</v>
      </c>
      <c r="AA271" s="796">
        <v>0</v>
      </c>
      <c r="AB271" s="796">
        <v>0</v>
      </c>
      <c r="AC271" s="796">
        <v>0</v>
      </c>
      <c r="AD271" s="796">
        <v>0</v>
      </c>
      <c r="AE271" s="796">
        <v>0</v>
      </c>
      <c r="AF271" s="796">
        <v>0</v>
      </c>
      <c r="AG271" s="796">
        <v>0</v>
      </c>
      <c r="AH271" s="796">
        <v>0</v>
      </c>
      <c r="AI271" s="796">
        <v>0</v>
      </c>
      <c r="AJ271" s="796">
        <v>0</v>
      </c>
      <c r="AK271" s="796">
        <v>0</v>
      </c>
      <c r="AL271" s="796">
        <v>0</v>
      </c>
      <c r="AM271" s="796">
        <v>0</v>
      </c>
      <c r="AN271" s="796">
        <v>0</v>
      </c>
      <c r="AO271" s="796">
        <v>0</v>
      </c>
      <c r="AP271" s="796">
        <v>0</v>
      </c>
      <c r="AQ271" s="796">
        <v>0</v>
      </c>
      <c r="AR271" s="810">
        <v>159362.82</v>
      </c>
      <c r="AS271" s="796">
        <v>7147.02</v>
      </c>
      <c r="AT271" s="796">
        <v>0</v>
      </c>
      <c r="AU271" s="796">
        <v>0</v>
      </c>
      <c r="AV271" s="796">
        <v>0</v>
      </c>
      <c r="AW271" s="796">
        <v>0</v>
      </c>
      <c r="AX271" s="796">
        <v>0</v>
      </c>
      <c r="AY271" s="796">
        <v>0</v>
      </c>
      <c r="AZ271" s="796">
        <v>0</v>
      </c>
      <c r="BA271" s="796">
        <v>0</v>
      </c>
      <c r="BB271" s="796">
        <v>0</v>
      </c>
      <c r="BC271" s="796">
        <v>26933.4</v>
      </c>
      <c r="BD271" s="796">
        <v>21555.8</v>
      </c>
      <c r="BE271" s="796">
        <v>34334.43</v>
      </c>
      <c r="BF271" s="796">
        <v>28758.89</v>
      </c>
      <c r="BG271" s="796">
        <v>90318.92</v>
      </c>
      <c r="BH271" s="796">
        <v>102339.75</v>
      </c>
      <c r="BI271" s="796">
        <v>87729.74</v>
      </c>
      <c r="BJ271" s="796">
        <v>86747.11</v>
      </c>
      <c r="BK271" s="796">
        <v>63486.66</v>
      </c>
      <c r="BL271" s="796">
        <v>54511.25</v>
      </c>
      <c r="BM271" s="796">
        <v>101714</v>
      </c>
      <c r="BN271" s="796">
        <v>68848.350000000006</v>
      </c>
      <c r="BO271" s="796">
        <v>124545.69</v>
      </c>
      <c r="BP271" s="796">
        <v>9736.76</v>
      </c>
      <c r="BQ271" s="796">
        <v>47708.18</v>
      </c>
      <c r="BR271" s="796">
        <v>22485.599999999999</v>
      </c>
      <c r="BS271" s="796">
        <v>45614.42</v>
      </c>
      <c r="BT271" s="796">
        <v>31040.23</v>
      </c>
      <c r="BU271" s="796">
        <v>0</v>
      </c>
      <c r="BV271" s="796">
        <v>0</v>
      </c>
    </row>
    <row r="272" spans="2:74">
      <c r="B272" s="795" t="s">
        <v>3134</v>
      </c>
      <c r="C272" s="795" t="s">
        <v>3135</v>
      </c>
      <c r="D272" s="795"/>
      <c r="E272" s="796"/>
      <c r="F272" s="799"/>
      <c r="G272" s="799"/>
      <c r="H272" s="799"/>
      <c r="I272" s="799"/>
      <c r="J272" s="799"/>
      <c r="K272" s="799"/>
      <c r="L272" s="799">
        <f t="shared" si="9"/>
        <v>331</v>
      </c>
      <c r="M272" s="799"/>
      <c r="N272" s="595"/>
      <c r="O272" s="794">
        <v>0</v>
      </c>
      <c r="P272" s="794">
        <v>0</v>
      </c>
      <c r="Q272" s="794">
        <v>0</v>
      </c>
      <c r="R272" s="794">
        <v>0</v>
      </c>
      <c r="S272" s="796">
        <v>0</v>
      </c>
      <c r="T272" s="796">
        <v>0</v>
      </c>
      <c r="U272" s="796">
        <v>0</v>
      </c>
      <c r="V272" s="796">
        <v>0</v>
      </c>
      <c r="W272" s="796">
        <v>0</v>
      </c>
      <c r="X272" s="796">
        <v>0</v>
      </c>
      <c r="Y272" s="796">
        <v>0</v>
      </c>
      <c r="Z272" s="796">
        <v>0</v>
      </c>
      <c r="AA272" s="796">
        <v>0</v>
      </c>
      <c r="AB272" s="796">
        <v>0</v>
      </c>
      <c r="AC272" s="796">
        <v>0</v>
      </c>
      <c r="AD272" s="796">
        <v>0</v>
      </c>
      <c r="AE272" s="796">
        <v>0</v>
      </c>
      <c r="AF272" s="796">
        <v>0</v>
      </c>
      <c r="AG272" s="796">
        <v>0</v>
      </c>
      <c r="AH272" s="796">
        <v>0</v>
      </c>
      <c r="AI272" s="796">
        <v>0</v>
      </c>
      <c r="AJ272" s="796">
        <v>0</v>
      </c>
      <c r="AK272" s="796">
        <v>0</v>
      </c>
      <c r="AL272" s="796">
        <v>0</v>
      </c>
      <c r="AM272" s="796">
        <v>0</v>
      </c>
      <c r="AN272" s="796">
        <v>0</v>
      </c>
      <c r="AO272" s="796">
        <v>0</v>
      </c>
      <c r="AP272" s="810">
        <v>54000</v>
      </c>
      <c r="AQ272" s="796">
        <v>6400</v>
      </c>
      <c r="AR272" s="796">
        <v>0</v>
      </c>
      <c r="AS272" s="796">
        <v>0</v>
      </c>
      <c r="AT272" s="796">
        <v>0</v>
      </c>
      <c r="AU272" s="796">
        <v>0</v>
      </c>
      <c r="AV272" s="796">
        <v>0</v>
      </c>
      <c r="AW272" s="796">
        <v>0</v>
      </c>
      <c r="AX272" s="796">
        <v>0</v>
      </c>
      <c r="AY272" s="796">
        <v>0</v>
      </c>
      <c r="AZ272" s="796">
        <v>0</v>
      </c>
      <c r="BA272" s="796">
        <v>0</v>
      </c>
      <c r="BB272" s="796">
        <v>0</v>
      </c>
      <c r="BC272" s="796">
        <v>0</v>
      </c>
      <c r="BD272" s="796">
        <v>0</v>
      </c>
      <c r="BE272" s="796">
        <v>0</v>
      </c>
      <c r="BF272" s="796">
        <v>0</v>
      </c>
      <c r="BG272" s="796">
        <v>0</v>
      </c>
      <c r="BH272" s="796">
        <v>0</v>
      </c>
      <c r="BI272" s="796">
        <v>0</v>
      </c>
      <c r="BJ272" s="796">
        <v>0</v>
      </c>
      <c r="BK272" s="796">
        <v>0</v>
      </c>
      <c r="BL272" s="796">
        <v>0</v>
      </c>
      <c r="BM272" s="796">
        <v>0</v>
      </c>
      <c r="BN272" s="796">
        <v>0</v>
      </c>
      <c r="BO272" s="796">
        <v>0</v>
      </c>
      <c r="BP272" s="796">
        <v>0</v>
      </c>
      <c r="BQ272" s="796">
        <v>0</v>
      </c>
      <c r="BR272" s="796">
        <v>0</v>
      </c>
      <c r="BS272" s="796">
        <v>0</v>
      </c>
      <c r="BT272" s="796">
        <v>0</v>
      </c>
      <c r="BU272" s="796">
        <v>0</v>
      </c>
      <c r="BV272" s="796">
        <v>0</v>
      </c>
    </row>
    <row r="273" spans="2:74">
      <c r="B273" s="795" t="s">
        <v>498</v>
      </c>
      <c r="C273" s="795" t="s">
        <v>497</v>
      </c>
      <c r="D273" s="795"/>
      <c r="E273" s="796"/>
      <c r="F273" s="799"/>
      <c r="G273" s="799"/>
      <c r="H273" s="799"/>
      <c r="I273" s="799"/>
      <c r="J273" s="799"/>
      <c r="K273" s="799"/>
      <c r="L273" s="799">
        <f t="shared" si="9"/>
        <v>331</v>
      </c>
      <c r="M273" s="799"/>
      <c r="N273" s="595"/>
      <c r="O273" s="794">
        <v>0</v>
      </c>
      <c r="P273" s="794">
        <v>0</v>
      </c>
      <c r="Q273" s="794">
        <v>0</v>
      </c>
      <c r="R273" s="794">
        <v>0</v>
      </c>
      <c r="S273" s="796">
        <v>0</v>
      </c>
      <c r="T273" s="796">
        <v>0</v>
      </c>
      <c r="U273" s="796">
        <v>0</v>
      </c>
      <c r="V273" s="796">
        <v>0</v>
      </c>
      <c r="W273" s="796">
        <v>0</v>
      </c>
      <c r="X273" s="796">
        <v>0</v>
      </c>
      <c r="Y273" s="796">
        <v>0</v>
      </c>
      <c r="Z273" s="796">
        <v>0</v>
      </c>
      <c r="AA273" s="796">
        <v>0</v>
      </c>
      <c r="AB273" s="796">
        <v>0</v>
      </c>
      <c r="AC273" s="796">
        <v>0</v>
      </c>
      <c r="AD273" s="796">
        <v>0</v>
      </c>
      <c r="AE273" s="796">
        <v>0</v>
      </c>
      <c r="AF273" s="796">
        <v>0</v>
      </c>
      <c r="AG273" s="796">
        <v>0</v>
      </c>
      <c r="AH273" s="796">
        <v>0</v>
      </c>
      <c r="AI273" s="796">
        <v>0</v>
      </c>
      <c r="AJ273" s="796">
        <v>0</v>
      </c>
      <c r="AK273" s="796">
        <v>0</v>
      </c>
      <c r="AL273" s="796">
        <v>0</v>
      </c>
      <c r="AM273" s="796">
        <v>0</v>
      </c>
      <c r="AN273" s="796">
        <v>0</v>
      </c>
      <c r="AO273" s="796">
        <v>0</v>
      </c>
      <c r="AP273" s="796">
        <v>0</v>
      </c>
      <c r="AQ273" s="796">
        <v>0</v>
      </c>
      <c r="AR273" s="810">
        <v>90883.16</v>
      </c>
      <c r="AS273" s="796">
        <v>101585.54</v>
      </c>
      <c r="AT273" s="796">
        <v>42948.17</v>
      </c>
      <c r="AU273" s="796">
        <v>52384.66</v>
      </c>
      <c r="AV273" s="796">
        <v>21682.400000000001</v>
      </c>
      <c r="AW273" s="796">
        <v>98481.41</v>
      </c>
      <c r="AX273" s="796">
        <v>22194.26</v>
      </c>
      <c r="AY273" s="796">
        <v>14766.57</v>
      </c>
      <c r="AZ273" s="796">
        <v>37026.33</v>
      </c>
      <c r="BA273" s="796">
        <v>107612.72</v>
      </c>
      <c r="BB273" s="796">
        <v>98921.38</v>
      </c>
      <c r="BC273" s="796">
        <v>3163.6</v>
      </c>
      <c r="BD273" s="796">
        <v>0</v>
      </c>
      <c r="BE273" s="796">
        <v>0</v>
      </c>
      <c r="BF273" s="796">
        <v>0</v>
      </c>
      <c r="BG273" s="796">
        <v>129347.36</v>
      </c>
      <c r="BH273" s="796">
        <v>27686.13</v>
      </c>
      <c r="BI273" s="796">
        <v>79783.72</v>
      </c>
      <c r="BJ273" s="796">
        <v>51019.74</v>
      </c>
      <c r="BK273" s="796">
        <v>83506.75</v>
      </c>
      <c r="BL273" s="796">
        <v>132548.79</v>
      </c>
      <c r="BM273" s="796">
        <v>130322.25</v>
      </c>
      <c r="BN273" s="796">
        <v>106588.18</v>
      </c>
      <c r="BO273" s="796">
        <v>0</v>
      </c>
      <c r="BP273" s="796">
        <v>291668.33</v>
      </c>
      <c r="BQ273" s="796">
        <v>0</v>
      </c>
      <c r="BR273" s="796">
        <v>0</v>
      </c>
      <c r="BS273" s="796">
        <v>0</v>
      </c>
      <c r="BT273" s="796">
        <v>600.11</v>
      </c>
      <c r="BU273" s="796">
        <v>0</v>
      </c>
      <c r="BV273" s="796">
        <v>18638.25</v>
      </c>
    </row>
    <row r="274" spans="2:74">
      <c r="B274" s="795" t="s">
        <v>3136</v>
      </c>
      <c r="C274" s="795" t="s">
        <v>3137</v>
      </c>
      <c r="D274" s="795"/>
      <c r="E274" s="796"/>
      <c r="F274" s="799"/>
      <c r="G274" s="799"/>
      <c r="H274" s="799"/>
      <c r="I274" s="799"/>
      <c r="J274" s="799"/>
      <c r="K274" s="799"/>
      <c r="L274" s="799">
        <f t="shared" si="9"/>
        <v>331</v>
      </c>
      <c r="M274" s="799"/>
      <c r="N274" s="595"/>
      <c r="O274" s="794">
        <v>0</v>
      </c>
      <c r="P274" s="794">
        <v>0</v>
      </c>
      <c r="Q274" s="794">
        <v>0</v>
      </c>
      <c r="R274" s="794">
        <v>0</v>
      </c>
      <c r="S274" s="796">
        <v>0</v>
      </c>
      <c r="T274" s="796">
        <v>0</v>
      </c>
      <c r="U274" s="796">
        <v>0</v>
      </c>
      <c r="V274" s="796">
        <v>0</v>
      </c>
      <c r="W274" s="796">
        <v>0</v>
      </c>
      <c r="X274" s="796">
        <v>0</v>
      </c>
      <c r="Y274" s="796">
        <v>0</v>
      </c>
      <c r="Z274" s="796">
        <v>0</v>
      </c>
      <c r="AA274" s="796">
        <v>0</v>
      </c>
      <c r="AB274" s="796">
        <v>0</v>
      </c>
      <c r="AC274" s="796">
        <v>0</v>
      </c>
      <c r="AD274" s="796">
        <v>0</v>
      </c>
      <c r="AE274" s="796">
        <v>0</v>
      </c>
      <c r="AF274" s="796">
        <v>0</v>
      </c>
      <c r="AG274" s="796">
        <v>0</v>
      </c>
      <c r="AH274" s="796">
        <v>0</v>
      </c>
      <c r="AI274" s="796">
        <v>0</v>
      </c>
      <c r="AJ274" s="796">
        <v>0</v>
      </c>
      <c r="AK274" s="796">
        <v>0</v>
      </c>
      <c r="AL274" s="796">
        <v>0</v>
      </c>
      <c r="AM274" s="796">
        <v>0</v>
      </c>
      <c r="AN274" s="796">
        <v>0</v>
      </c>
      <c r="AO274" s="796">
        <v>0</v>
      </c>
      <c r="AP274" s="796">
        <v>0</v>
      </c>
      <c r="AQ274" s="810">
        <v>48624.46</v>
      </c>
      <c r="AR274" s="796">
        <v>52352.95</v>
      </c>
      <c r="AS274" s="796">
        <v>98827.99</v>
      </c>
      <c r="AT274" s="796">
        <v>28694.59</v>
      </c>
      <c r="AU274" s="796">
        <v>31678.23</v>
      </c>
      <c r="AV274" s="796">
        <v>0</v>
      </c>
      <c r="AW274" s="796">
        <v>0</v>
      </c>
      <c r="AX274" s="796">
        <v>0</v>
      </c>
      <c r="AY274" s="796">
        <v>0</v>
      </c>
      <c r="AZ274" s="796">
        <v>0</v>
      </c>
      <c r="BA274" s="796">
        <v>0</v>
      </c>
      <c r="BB274" s="796">
        <v>0</v>
      </c>
      <c r="BC274" s="796">
        <v>0</v>
      </c>
      <c r="BD274" s="796">
        <v>0</v>
      </c>
      <c r="BE274" s="796">
        <v>0</v>
      </c>
      <c r="BF274" s="796">
        <v>0</v>
      </c>
      <c r="BG274" s="796">
        <v>0</v>
      </c>
      <c r="BH274" s="796">
        <v>0</v>
      </c>
      <c r="BI274" s="796">
        <v>0</v>
      </c>
      <c r="BJ274" s="796">
        <v>0</v>
      </c>
      <c r="BK274" s="796">
        <v>0</v>
      </c>
      <c r="BL274" s="796">
        <v>0</v>
      </c>
      <c r="BM274" s="796">
        <v>0</v>
      </c>
      <c r="BN274" s="796">
        <v>0</v>
      </c>
      <c r="BO274" s="796">
        <v>0</v>
      </c>
      <c r="BP274" s="796">
        <v>0</v>
      </c>
      <c r="BQ274" s="796">
        <v>0</v>
      </c>
      <c r="BR274" s="796">
        <v>0</v>
      </c>
      <c r="BS274" s="796">
        <v>0</v>
      </c>
      <c r="BT274" s="796">
        <v>0</v>
      </c>
      <c r="BU274" s="796">
        <v>0</v>
      </c>
      <c r="BV274" s="796">
        <v>0</v>
      </c>
    </row>
    <row r="275" spans="2:74">
      <c r="B275" s="795" t="s">
        <v>3138</v>
      </c>
      <c r="C275" s="795" t="s">
        <v>3101</v>
      </c>
      <c r="D275" s="795"/>
      <c r="E275" s="796"/>
      <c r="F275" s="799"/>
      <c r="G275" s="799"/>
      <c r="H275" s="799"/>
      <c r="I275" s="799"/>
      <c r="J275" s="799"/>
      <c r="K275" s="799"/>
      <c r="L275" s="799">
        <f t="shared" si="9"/>
        <v>331</v>
      </c>
      <c r="M275" s="799"/>
      <c r="N275" s="595"/>
      <c r="O275" s="794">
        <v>0</v>
      </c>
      <c r="P275" s="794">
        <v>0</v>
      </c>
      <c r="Q275" s="794">
        <v>0</v>
      </c>
      <c r="R275" s="794">
        <v>0</v>
      </c>
      <c r="S275" s="796">
        <v>0</v>
      </c>
      <c r="T275" s="796">
        <v>0</v>
      </c>
      <c r="U275" s="796">
        <v>0</v>
      </c>
      <c r="V275" s="796">
        <v>0</v>
      </c>
      <c r="W275" s="796">
        <v>0</v>
      </c>
      <c r="X275" s="796">
        <v>0</v>
      </c>
      <c r="Y275" s="796">
        <v>0</v>
      </c>
      <c r="Z275" s="796">
        <v>0</v>
      </c>
      <c r="AA275" s="796">
        <v>0</v>
      </c>
      <c r="AB275" s="796">
        <v>0</v>
      </c>
      <c r="AC275" s="796">
        <v>0</v>
      </c>
      <c r="AD275" s="796">
        <v>0</v>
      </c>
      <c r="AE275" s="796">
        <v>0</v>
      </c>
      <c r="AF275" s="796">
        <v>0</v>
      </c>
      <c r="AG275" s="796">
        <v>0</v>
      </c>
      <c r="AH275" s="796">
        <v>0</v>
      </c>
      <c r="AI275" s="796">
        <v>0</v>
      </c>
      <c r="AJ275" s="796">
        <v>0</v>
      </c>
      <c r="AK275" s="796">
        <v>0</v>
      </c>
      <c r="AL275" s="796">
        <v>0</v>
      </c>
      <c r="AM275" s="796">
        <v>0</v>
      </c>
      <c r="AN275" s="796">
        <v>0</v>
      </c>
      <c r="AO275" s="796">
        <v>0</v>
      </c>
      <c r="AP275" s="796">
        <v>0</v>
      </c>
      <c r="AQ275" s="810">
        <v>168254.56</v>
      </c>
      <c r="AR275" s="796">
        <v>138433.04999999999</v>
      </c>
      <c r="AS275" s="796">
        <v>261466.67</v>
      </c>
      <c r="AT275" s="796">
        <v>216932.27</v>
      </c>
      <c r="AU275" s="796">
        <v>297273.99</v>
      </c>
      <c r="AV275" s="796">
        <v>288470.06</v>
      </c>
      <c r="AW275" s="796">
        <v>189327.47999999998</v>
      </c>
      <c r="AX275" s="796">
        <v>0</v>
      </c>
      <c r="AY275" s="796">
        <v>198303.99</v>
      </c>
      <c r="AZ275" s="796">
        <v>169408.08999999997</v>
      </c>
      <c r="BA275" s="796">
        <v>284419.27</v>
      </c>
      <c r="BB275" s="796">
        <v>85355.209999999992</v>
      </c>
      <c r="BC275" s="796">
        <v>129219.51000000001</v>
      </c>
      <c r="BD275" s="796">
        <v>218225.53000000003</v>
      </c>
      <c r="BE275" s="796">
        <v>0</v>
      </c>
      <c r="BF275" s="796">
        <v>0</v>
      </c>
      <c r="BG275" s="796">
        <v>0</v>
      </c>
      <c r="BH275" s="796">
        <v>0</v>
      </c>
      <c r="BI275" s="796">
        <v>0</v>
      </c>
      <c r="BJ275" s="796">
        <v>78252.33</v>
      </c>
      <c r="BK275" s="796">
        <v>204543.02</v>
      </c>
      <c r="BL275" s="796">
        <v>0</v>
      </c>
      <c r="BM275" s="796">
        <v>0</v>
      </c>
      <c r="BN275" s="796">
        <v>753116.5</v>
      </c>
      <c r="BO275" s="796">
        <v>125918.39999999999</v>
      </c>
      <c r="BP275" s="796">
        <v>83738.31</v>
      </c>
      <c r="BQ275" s="796">
        <v>77096.06</v>
      </c>
      <c r="BR275" s="796">
        <v>0</v>
      </c>
      <c r="BS275" s="796">
        <v>0</v>
      </c>
      <c r="BT275" s="796">
        <v>0</v>
      </c>
      <c r="BU275" s="796">
        <v>0</v>
      </c>
      <c r="BV275" s="796">
        <v>0</v>
      </c>
    </row>
    <row r="276" spans="2:74">
      <c r="B276" s="795" t="s">
        <v>3139</v>
      </c>
      <c r="C276" s="795" t="s">
        <v>3140</v>
      </c>
      <c r="D276" s="795"/>
      <c r="E276" s="796"/>
      <c r="F276" s="799"/>
      <c r="G276" s="799"/>
      <c r="H276" s="799"/>
      <c r="I276" s="799"/>
      <c r="J276" s="799"/>
      <c r="K276" s="799"/>
      <c r="L276" s="799">
        <f t="shared" si="9"/>
        <v>331</v>
      </c>
      <c r="M276" s="799"/>
      <c r="N276" s="595"/>
      <c r="O276" s="794">
        <v>0</v>
      </c>
      <c r="P276" s="794">
        <v>0</v>
      </c>
      <c r="Q276" s="794">
        <v>0</v>
      </c>
      <c r="R276" s="794">
        <v>0</v>
      </c>
      <c r="S276" s="796">
        <v>0</v>
      </c>
      <c r="T276" s="796">
        <v>0</v>
      </c>
      <c r="U276" s="796">
        <v>0</v>
      </c>
      <c r="V276" s="796">
        <v>0</v>
      </c>
      <c r="W276" s="796">
        <v>0</v>
      </c>
      <c r="X276" s="796">
        <v>0</v>
      </c>
      <c r="Y276" s="796">
        <v>0</v>
      </c>
      <c r="Z276" s="796">
        <v>0</v>
      </c>
      <c r="AA276" s="796">
        <v>0</v>
      </c>
      <c r="AB276" s="796">
        <v>0</v>
      </c>
      <c r="AC276" s="796">
        <v>0</v>
      </c>
      <c r="AD276" s="796">
        <v>0</v>
      </c>
      <c r="AE276" s="796">
        <v>0</v>
      </c>
      <c r="AF276" s="796">
        <v>0</v>
      </c>
      <c r="AG276" s="796">
        <v>0</v>
      </c>
      <c r="AH276" s="796">
        <v>0</v>
      </c>
      <c r="AI276" s="796">
        <v>0</v>
      </c>
      <c r="AJ276" s="796">
        <v>0</v>
      </c>
      <c r="AK276" s="796">
        <v>0</v>
      </c>
      <c r="AL276" s="796">
        <v>0</v>
      </c>
      <c r="AM276" s="796">
        <v>0</v>
      </c>
      <c r="AN276" s="796">
        <v>0</v>
      </c>
      <c r="AO276" s="796">
        <v>0</v>
      </c>
      <c r="AP276" s="796">
        <v>0</v>
      </c>
      <c r="AQ276" s="810">
        <v>103000</v>
      </c>
      <c r="AR276" s="796">
        <v>91495.58</v>
      </c>
      <c r="AS276" s="796">
        <v>264362.21000000002</v>
      </c>
      <c r="AT276" s="796">
        <v>284015.33</v>
      </c>
      <c r="AU276" s="796">
        <v>388378.68</v>
      </c>
      <c r="AV276" s="796">
        <v>351193.03</v>
      </c>
      <c r="AW276" s="796">
        <v>371672.94</v>
      </c>
      <c r="AX276" s="796">
        <v>199420.29</v>
      </c>
      <c r="AY276" s="796">
        <v>172275.14</v>
      </c>
      <c r="AZ276" s="796">
        <v>133084.82999999999</v>
      </c>
      <c r="BA276" s="796">
        <v>24868.9</v>
      </c>
      <c r="BB276" s="796">
        <v>83890.008000000002</v>
      </c>
      <c r="BC276" s="796">
        <v>37278.879999999997</v>
      </c>
      <c r="BD276" s="796">
        <v>0</v>
      </c>
      <c r="BE276" s="796">
        <v>30811.05</v>
      </c>
      <c r="BF276" s="796">
        <v>87353.34</v>
      </c>
      <c r="BG276" s="796">
        <v>330212.59999999998</v>
      </c>
      <c r="BH276" s="796">
        <v>103270.2</v>
      </c>
      <c r="BI276" s="796">
        <v>106430.06</v>
      </c>
      <c r="BJ276" s="796">
        <v>169029.29</v>
      </c>
      <c r="BK276" s="796">
        <v>3629.6</v>
      </c>
      <c r="BL276" s="796">
        <v>32733.96</v>
      </c>
      <c r="BM276" s="796">
        <v>0</v>
      </c>
      <c r="BN276" s="796">
        <v>0</v>
      </c>
      <c r="BO276" s="796">
        <v>6024</v>
      </c>
      <c r="BP276" s="796">
        <v>0</v>
      </c>
      <c r="BQ276" s="796">
        <v>32480.400000000001</v>
      </c>
      <c r="BR276" s="796">
        <v>0</v>
      </c>
      <c r="BS276" s="796">
        <v>0</v>
      </c>
      <c r="BT276" s="796">
        <v>0</v>
      </c>
      <c r="BU276" s="796">
        <v>0</v>
      </c>
      <c r="BV276" s="796">
        <v>0</v>
      </c>
    </row>
    <row r="277" spans="2:74">
      <c r="B277" s="795" t="s">
        <v>3141</v>
      </c>
      <c r="C277" s="795" t="s">
        <v>3142</v>
      </c>
      <c r="D277" s="795"/>
      <c r="E277" s="796"/>
      <c r="F277" s="799"/>
      <c r="G277" s="799"/>
      <c r="H277" s="799"/>
      <c r="I277" s="799"/>
      <c r="J277" s="799"/>
      <c r="K277" s="799"/>
      <c r="L277" s="799">
        <f t="shared" si="9"/>
        <v>331</v>
      </c>
      <c r="M277" s="799"/>
      <c r="N277" s="595"/>
      <c r="O277" s="794">
        <v>0</v>
      </c>
      <c r="P277" s="794">
        <v>0</v>
      </c>
      <c r="Q277" s="794">
        <v>0</v>
      </c>
      <c r="R277" s="794">
        <v>0</v>
      </c>
      <c r="S277" s="796">
        <v>0</v>
      </c>
      <c r="T277" s="796">
        <v>0</v>
      </c>
      <c r="U277" s="796">
        <v>0</v>
      </c>
      <c r="V277" s="796">
        <v>0</v>
      </c>
      <c r="W277" s="796">
        <v>0</v>
      </c>
      <c r="X277" s="796">
        <v>0</v>
      </c>
      <c r="Y277" s="796">
        <v>0</v>
      </c>
      <c r="Z277" s="796">
        <v>0</v>
      </c>
      <c r="AA277" s="796">
        <v>0</v>
      </c>
      <c r="AB277" s="796">
        <v>0</v>
      </c>
      <c r="AC277" s="796">
        <v>0</v>
      </c>
      <c r="AD277" s="796">
        <v>0</v>
      </c>
      <c r="AE277" s="796">
        <v>0</v>
      </c>
      <c r="AF277" s="796">
        <v>0</v>
      </c>
      <c r="AG277" s="796">
        <v>0</v>
      </c>
      <c r="AH277" s="796">
        <v>0</v>
      </c>
      <c r="AI277" s="796">
        <v>0</v>
      </c>
      <c r="AJ277" s="796">
        <v>0</v>
      </c>
      <c r="AK277" s="796">
        <v>0</v>
      </c>
      <c r="AL277" s="796">
        <v>0</v>
      </c>
      <c r="AM277" s="796">
        <v>0</v>
      </c>
      <c r="AN277" s="796">
        <v>0</v>
      </c>
      <c r="AO277" s="796">
        <v>0</v>
      </c>
      <c r="AP277" s="796">
        <v>0</v>
      </c>
      <c r="AQ277" s="810">
        <v>76419</v>
      </c>
      <c r="AR277" s="796">
        <v>0</v>
      </c>
      <c r="AS277" s="796">
        <v>82554</v>
      </c>
      <c r="AT277" s="796">
        <v>20584</v>
      </c>
      <c r="AU277" s="796">
        <v>0</v>
      </c>
      <c r="AV277" s="796">
        <v>0</v>
      </c>
      <c r="AW277" s="796">
        <v>0</v>
      </c>
      <c r="AX277" s="796">
        <v>50327</v>
      </c>
      <c r="AY277" s="796">
        <v>0</v>
      </c>
      <c r="AZ277" s="796">
        <v>46914</v>
      </c>
      <c r="BA277" s="796">
        <v>61803</v>
      </c>
      <c r="BB277" s="796">
        <v>0</v>
      </c>
      <c r="BC277" s="796">
        <v>43755</v>
      </c>
      <c r="BD277" s="796">
        <v>0</v>
      </c>
      <c r="BE277" s="796">
        <v>0</v>
      </c>
      <c r="BF277" s="796">
        <v>22300.6</v>
      </c>
      <c r="BG277" s="796">
        <v>80638.86</v>
      </c>
      <c r="BH277" s="796">
        <v>0</v>
      </c>
      <c r="BI277" s="796">
        <v>0</v>
      </c>
      <c r="BJ277" s="796">
        <v>0</v>
      </c>
      <c r="BK277" s="796">
        <v>0</v>
      </c>
      <c r="BL277" s="796">
        <v>0</v>
      </c>
      <c r="BM277" s="796">
        <v>0</v>
      </c>
      <c r="BN277" s="796">
        <v>0</v>
      </c>
      <c r="BO277" s="796">
        <v>0</v>
      </c>
      <c r="BP277" s="796">
        <v>0</v>
      </c>
      <c r="BQ277" s="796">
        <v>0</v>
      </c>
      <c r="BR277" s="796">
        <v>0</v>
      </c>
      <c r="BS277" s="796">
        <v>0</v>
      </c>
      <c r="BT277" s="796">
        <v>0</v>
      </c>
      <c r="BU277" s="796">
        <v>0</v>
      </c>
      <c r="BV277" s="796">
        <v>0</v>
      </c>
    </row>
    <row r="278" spans="2:74">
      <c r="B278" s="795" t="s">
        <v>3143</v>
      </c>
      <c r="C278" s="795" t="s">
        <v>3144</v>
      </c>
      <c r="D278" s="795"/>
      <c r="E278" s="796"/>
      <c r="F278" s="799"/>
      <c r="G278" s="799"/>
      <c r="H278" s="799"/>
      <c r="I278" s="799"/>
      <c r="J278" s="799"/>
      <c r="K278" s="799"/>
      <c r="L278" s="799">
        <f t="shared" si="9"/>
        <v>331</v>
      </c>
      <c r="M278" s="799"/>
      <c r="N278" s="595"/>
      <c r="O278" s="794">
        <v>0</v>
      </c>
      <c r="P278" s="794">
        <v>0</v>
      </c>
      <c r="Q278" s="794">
        <v>0</v>
      </c>
      <c r="R278" s="794">
        <v>0</v>
      </c>
      <c r="S278" s="796">
        <v>0</v>
      </c>
      <c r="T278" s="796">
        <v>0</v>
      </c>
      <c r="U278" s="796">
        <v>0</v>
      </c>
      <c r="V278" s="796">
        <v>0</v>
      </c>
      <c r="W278" s="796">
        <v>0</v>
      </c>
      <c r="X278" s="796">
        <v>0</v>
      </c>
      <c r="Y278" s="796">
        <v>0</v>
      </c>
      <c r="Z278" s="796">
        <v>0</v>
      </c>
      <c r="AA278" s="796">
        <v>0</v>
      </c>
      <c r="AB278" s="796">
        <v>0</v>
      </c>
      <c r="AC278" s="796">
        <v>0</v>
      </c>
      <c r="AD278" s="796">
        <v>0</v>
      </c>
      <c r="AE278" s="796">
        <v>0</v>
      </c>
      <c r="AF278" s="796">
        <v>0</v>
      </c>
      <c r="AG278" s="796">
        <v>0</v>
      </c>
      <c r="AH278" s="796">
        <v>0</v>
      </c>
      <c r="AI278" s="796">
        <v>0</v>
      </c>
      <c r="AJ278" s="796">
        <v>0</v>
      </c>
      <c r="AK278" s="796">
        <v>0</v>
      </c>
      <c r="AL278" s="796">
        <v>0</v>
      </c>
      <c r="AM278" s="796">
        <v>0</v>
      </c>
      <c r="AN278" s="796">
        <v>0</v>
      </c>
      <c r="AO278" s="796">
        <v>0</v>
      </c>
      <c r="AP278" s="796">
        <v>0</v>
      </c>
      <c r="AQ278" s="810">
        <v>201593.76</v>
      </c>
      <c r="AR278" s="796">
        <v>0</v>
      </c>
      <c r="AS278" s="796">
        <v>0</v>
      </c>
      <c r="AT278" s="796">
        <v>0</v>
      </c>
      <c r="AU278" s="796">
        <v>0</v>
      </c>
      <c r="AV278" s="796">
        <v>0</v>
      </c>
      <c r="AW278" s="796">
        <v>0</v>
      </c>
      <c r="AX278" s="796">
        <v>0</v>
      </c>
      <c r="AY278" s="796">
        <v>0</v>
      </c>
      <c r="AZ278" s="796">
        <v>0</v>
      </c>
      <c r="BA278" s="796">
        <v>0</v>
      </c>
      <c r="BB278" s="796">
        <v>0</v>
      </c>
      <c r="BC278" s="796">
        <v>0</v>
      </c>
      <c r="BD278" s="796">
        <v>0</v>
      </c>
      <c r="BE278" s="796">
        <v>0</v>
      </c>
      <c r="BF278" s="796">
        <v>0</v>
      </c>
      <c r="BG278" s="796">
        <v>0</v>
      </c>
      <c r="BH278" s="796">
        <v>0</v>
      </c>
      <c r="BI278" s="796">
        <v>0</v>
      </c>
      <c r="BJ278" s="796">
        <v>0</v>
      </c>
      <c r="BK278" s="796">
        <v>0</v>
      </c>
      <c r="BL278" s="796">
        <v>0</v>
      </c>
      <c r="BM278" s="796">
        <v>0</v>
      </c>
      <c r="BN278" s="796">
        <v>0</v>
      </c>
      <c r="BO278" s="796">
        <v>0</v>
      </c>
      <c r="BP278" s="796">
        <v>0</v>
      </c>
      <c r="BQ278" s="796">
        <v>0</v>
      </c>
      <c r="BR278" s="796">
        <v>0</v>
      </c>
      <c r="BS278" s="796">
        <v>0</v>
      </c>
      <c r="BT278" s="796">
        <v>0</v>
      </c>
      <c r="BU278" s="796">
        <v>0</v>
      </c>
      <c r="BV278" s="796">
        <v>0</v>
      </c>
    </row>
    <row r="279" spans="2:74">
      <c r="B279" s="795" t="s">
        <v>3145</v>
      </c>
      <c r="C279" s="795" t="s">
        <v>3146</v>
      </c>
      <c r="D279" s="795"/>
      <c r="E279" s="796"/>
      <c r="F279" s="799"/>
      <c r="G279" s="799"/>
      <c r="H279" s="799"/>
      <c r="I279" s="799"/>
      <c r="J279" s="799"/>
      <c r="K279" s="799"/>
      <c r="L279" s="799">
        <f t="shared" si="9"/>
        <v>331</v>
      </c>
      <c r="M279" s="799"/>
      <c r="N279" s="595"/>
      <c r="O279" s="794">
        <v>0</v>
      </c>
      <c r="P279" s="794">
        <v>0</v>
      </c>
      <c r="Q279" s="794">
        <v>0</v>
      </c>
      <c r="R279" s="794">
        <v>0</v>
      </c>
      <c r="S279" s="796">
        <v>0</v>
      </c>
      <c r="T279" s="796">
        <v>0</v>
      </c>
      <c r="U279" s="796">
        <v>0</v>
      </c>
      <c r="V279" s="796">
        <v>0</v>
      </c>
      <c r="W279" s="796">
        <v>0</v>
      </c>
      <c r="X279" s="796">
        <v>0</v>
      </c>
      <c r="Y279" s="796">
        <v>0</v>
      </c>
      <c r="Z279" s="796">
        <v>0</v>
      </c>
      <c r="AA279" s="796">
        <v>0</v>
      </c>
      <c r="AB279" s="796">
        <v>0</v>
      </c>
      <c r="AC279" s="796">
        <v>0</v>
      </c>
      <c r="AD279" s="796">
        <v>0</v>
      </c>
      <c r="AE279" s="796">
        <v>0</v>
      </c>
      <c r="AF279" s="796">
        <v>0</v>
      </c>
      <c r="AG279" s="796">
        <v>0</v>
      </c>
      <c r="AH279" s="796">
        <v>0</v>
      </c>
      <c r="AI279" s="796">
        <v>0</v>
      </c>
      <c r="AJ279" s="796">
        <v>0</v>
      </c>
      <c r="AK279" s="796">
        <v>0</v>
      </c>
      <c r="AL279" s="796">
        <v>0</v>
      </c>
      <c r="AM279" s="796">
        <v>0</v>
      </c>
      <c r="AN279" s="796">
        <v>0</v>
      </c>
      <c r="AO279" s="796">
        <v>0</v>
      </c>
      <c r="AP279" s="796">
        <v>0</v>
      </c>
      <c r="AQ279" s="810">
        <v>81946</v>
      </c>
      <c r="AR279" s="796">
        <v>139722.88</v>
      </c>
      <c r="AS279" s="796">
        <v>123324</v>
      </c>
      <c r="AT279" s="796">
        <v>61631.6</v>
      </c>
      <c r="AU279" s="796">
        <v>122434</v>
      </c>
      <c r="AV279" s="796">
        <v>91406.92</v>
      </c>
      <c r="AW279" s="796">
        <v>66502.2</v>
      </c>
      <c r="AX279" s="796">
        <v>0</v>
      </c>
      <c r="AY279" s="796">
        <v>0</v>
      </c>
      <c r="AZ279" s="796">
        <v>0</v>
      </c>
      <c r="BA279" s="796">
        <v>0</v>
      </c>
      <c r="BB279" s="796">
        <v>0</v>
      </c>
      <c r="BC279" s="796">
        <v>0</v>
      </c>
      <c r="BD279" s="796">
        <v>0</v>
      </c>
      <c r="BE279" s="796">
        <v>0</v>
      </c>
      <c r="BF279" s="796">
        <v>0</v>
      </c>
      <c r="BG279" s="796">
        <v>0</v>
      </c>
      <c r="BH279" s="796">
        <v>0</v>
      </c>
      <c r="BI279" s="796">
        <v>0</v>
      </c>
      <c r="BJ279" s="796">
        <v>0</v>
      </c>
      <c r="BK279" s="796">
        <v>0</v>
      </c>
      <c r="BL279" s="796">
        <v>0</v>
      </c>
      <c r="BM279" s="796">
        <v>0</v>
      </c>
      <c r="BN279" s="796">
        <v>0</v>
      </c>
      <c r="BO279" s="796">
        <v>0</v>
      </c>
      <c r="BP279" s="796">
        <v>9750</v>
      </c>
      <c r="BQ279" s="796">
        <v>169929.78</v>
      </c>
      <c r="BR279" s="796">
        <v>0</v>
      </c>
      <c r="BS279" s="796">
        <v>32577.68</v>
      </c>
      <c r="BT279" s="796">
        <v>0</v>
      </c>
      <c r="BU279" s="796">
        <v>0</v>
      </c>
      <c r="BV279" s="796">
        <v>0</v>
      </c>
    </row>
    <row r="280" spans="2:74">
      <c r="B280" s="795" t="s">
        <v>3147</v>
      </c>
      <c r="C280" s="795" t="s">
        <v>3148</v>
      </c>
      <c r="D280" s="795"/>
      <c r="E280" s="796"/>
      <c r="F280" s="799"/>
      <c r="G280" s="799"/>
      <c r="H280" s="799"/>
      <c r="I280" s="799"/>
      <c r="J280" s="799"/>
      <c r="K280" s="799"/>
      <c r="L280" s="799">
        <f t="shared" si="9"/>
        <v>331</v>
      </c>
      <c r="M280" s="799"/>
      <c r="N280" s="595"/>
      <c r="O280" s="794">
        <v>0</v>
      </c>
      <c r="P280" s="794">
        <v>0</v>
      </c>
      <c r="Q280" s="794">
        <v>0</v>
      </c>
      <c r="R280" s="794">
        <v>0</v>
      </c>
      <c r="S280" s="796">
        <v>0</v>
      </c>
      <c r="T280" s="796">
        <v>0</v>
      </c>
      <c r="U280" s="796">
        <v>0</v>
      </c>
      <c r="V280" s="796">
        <v>0</v>
      </c>
      <c r="W280" s="796">
        <v>0</v>
      </c>
      <c r="X280" s="796">
        <v>0</v>
      </c>
      <c r="Y280" s="796">
        <v>0</v>
      </c>
      <c r="Z280" s="796">
        <v>0</v>
      </c>
      <c r="AA280" s="796">
        <v>0</v>
      </c>
      <c r="AB280" s="796">
        <v>0</v>
      </c>
      <c r="AC280" s="796">
        <v>0</v>
      </c>
      <c r="AD280" s="796">
        <v>0</v>
      </c>
      <c r="AE280" s="796">
        <v>0</v>
      </c>
      <c r="AF280" s="796">
        <v>0</v>
      </c>
      <c r="AG280" s="796">
        <v>0</v>
      </c>
      <c r="AH280" s="796">
        <v>0</v>
      </c>
      <c r="AI280" s="796">
        <v>0</v>
      </c>
      <c r="AJ280" s="796">
        <v>0</v>
      </c>
      <c r="AK280" s="796">
        <v>0</v>
      </c>
      <c r="AL280" s="796">
        <v>0</v>
      </c>
      <c r="AM280" s="796">
        <v>0</v>
      </c>
      <c r="AN280" s="796">
        <v>0</v>
      </c>
      <c r="AO280" s="796">
        <v>0</v>
      </c>
      <c r="AP280" s="796">
        <v>0</v>
      </c>
      <c r="AQ280" s="810">
        <v>12863</v>
      </c>
      <c r="AR280" s="796">
        <v>28524.39</v>
      </c>
      <c r="AS280" s="796">
        <v>10429.1</v>
      </c>
      <c r="AT280" s="796">
        <v>0</v>
      </c>
      <c r="AU280" s="796">
        <v>0</v>
      </c>
      <c r="AV280" s="796">
        <v>0</v>
      </c>
      <c r="AW280" s="796">
        <v>0</v>
      </c>
      <c r="AX280" s="796">
        <v>0</v>
      </c>
      <c r="AY280" s="796">
        <v>0</v>
      </c>
      <c r="AZ280" s="796">
        <v>0</v>
      </c>
      <c r="BA280" s="796">
        <v>0</v>
      </c>
      <c r="BB280" s="796">
        <v>0</v>
      </c>
      <c r="BC280" s="796">
        <v>0</v>
      </c>
      <c r="BD280" s="796">
        <v>0</v>
      </c>
      <c r="BE280" s="796">
        <v>0</v>
      </c>
      <c r="BF280" s="796">
        <v>0</v>
      </c>
      <c r="BG280" s="796">
        <v>0</v>
      </c>
      <c r="BH280" s="796">
        <v>30277.5</v>
      </c>
      <c r="BI280" s="796">
        <v>0</v>
      </c>
      <c r="BJ280" s="796">
        <v>0</v>
      </c>
      <c r="BK280" s="796">
        <v>0</v>
      </c>
      <c r="BL280" s="796">
        <v>0</v>
      </c>
      <c r="BM280" s="796">
        <v>0</v>
      </c>
      <c r="BN280" s="796">
        <v>0</v>
      </c>
      <c r="BO280" s="796">
        <v>0</v>
      </c>
      <c r="BP280" s="796">
        <v>0</v>
      </c>
      <c r="BQ280" s="796">
        <v>0</v>
      </c>
      <c r="BR280" s="796">
        <v>0</v>
      </c>
      <c r="BS280" s="796">
        <v>0</v>
      </c>
      <c r="BT280" s="796">
        <v>0</v>
      </c>
      <c r="BU280" s="796">
        <v>0</v>
      </c>
      <c r="BV280" s="796">
        <v>0</v>
      </c>
    </row>
    <row r="281" spans="2:74">
      <c r="B281" s="795" t="s">
        <v>3149</v>
      </c>
      <c r="C281" s="795" t="s">
        <v>3071</v>
      </c>
      <c r="D281" s="795"/>
      <c r="E281" s="796"/>
      <c r="F281" s="799"/>
      <c r="G281" s="799"/>
      <c r="H281" s="799"/>
      <c r="I281" s="799"/>
      <c r="J281" s="799"/>
      <c r="K281" s="799"/>
      <c r="L281" s="799">
        <f t="shared" si="9"/>
        <v>331</v>
      </c>
      <c r="M281" s="799"/>
      <c r="N281" s="595"/>
      <c r="O281" s="794">
        <v>0</v>
      </c>
      <c r="P281" s="794">
        <v>0</v>
      </c>
      <c r="Q281" s="794">
        <v>0</v>
      </c>
      <c r="R281" s="794">
        <v>0</v>
      </c>
      <c r="S281" s="796">
        <v>0</v>
      </c>
      <c r="T281" s="796">
        <v>0</v>
      </c>
      <c r="U281" s="796">
        <v>0</v>
      </c>
      <c r="V281" s="796">
        <v>0</v>
      </c>
      <c r="W281" s="796">
        <v>0</v>
      </c>
      <c r="X281" s="796">
        <v>0</v>
      </c>
      <c r="Y281" s="796">
        <v>0</v>
      </c>
      <c r="Z281" s="796">
        <v>0</v>
      </c>
      <c r="AA281" s="796">
        <v>0</v>
      </c>
      <c r="AB281" s="796">
        <v>0</v>
      </c>
      <c r="AC281" s="796">
        <v>0</v>
      </c>
      <c r="AD281" s="796">
        <v>0</v>
      </c>
      <c r="AE281" s="796">
        <v>0</v>
      </c>
      <c r="AF281" s="796">
        <v>0</v>
      </c>
      <c r="AG281" s="796">
        <v>0</v>
      </c>
      <c r="AH281" s="796">
        <v>0</v>
      </c>
      <c r="AI281" s="796">
        <v>0</v>
      </c>
      <c r="AJ281" s="796">
        <v>0</v>
      </c>
      <c r="AK281" s="796">
        <v>0</v>
      </c>
      <c r="AL281" s="796">
        <v>0</v>
      </c>
      <c r="AM281" s="796">
        <v>0</v>
      </c>
      <c r="AN281" s="796">
        <v>0</v>
      </c>
      <c r="AO281" s="796">
        <v>0</v>
      </c>
      <c r="AP281" s="796">
        <v>0</v>
      </c>
      <c r="AQ281" s="810">
        <v>52265.440000000002</v>
      </c>
      <c r="AR281" s="796">
        <v>50048.83</v>
      </c>
      <c r="AS281" s="796">
        <v>0</v>
      </c>
      <c r="AT281" s="796">
        <v>0</v>
      </c>
      <c r="AU281" s="796">
        <v>0</v>
      </c>
      <c r="AV281" s="796">
        <v>0</v>
      </c>
      <c r="AW281" s="796">
        <v>0</v>
      </c>
      <c r="AX281" s="796">
        <v>0</v>
      </c>
      <c r="AY281" s="796">
        <v>0</v>
      </c>
      <c r="AZ281" s="796">
        <v>0</v>
      </c>
      <c r="BA281" s="796">
        <v>0</v>
      </c>
      <c r="BB281" s="796">
        <v>0</v>
      </c>
      <c r="BC281" s="796">
        <v>0</v>
      </c>
      <c r="BD281" s="796">
        <v>0</v>
      </c>
      <c r="BE281" s="796">
        <v>0</v>
      </c>
      <c r="BF281" s="796">
        <v>0</v>
      </c>
      <c r="BG281" s="796">
        <v>0</v>
      </c>
      <c r="BH281" s="796">
        <v>0</v>
      </c>
      <c r="BI281" s="796">
        <v>0</v>
      </c>
      <c r="BJ281" s="796">
        <v>0</v>
      </c>
      <c r="BK281" s="796">
        <v>0</v>
      </c>
      <c r="BL281" s="796">
        <v>0</v>
      </c>
      <c r="BM281" s="796">
        <v>0</v>
      </c>
      <c r="BN281" s="796">
        <v>0</v>
      </c>
      <c r="BO281" s="796">
        <v>0</v>
      </c>
      <c r="BP281" s="796">
        <v>0</v>
      </c>
      <c r="BQ281" s="796">
        <v>0</v>
      </c>
      <c r="BR281" s="796">
        <v>0</v>
      </c>
      <c r="BS281" s="796">
        <v>0</v>
      </c>
      <c r="BT281" s="796">
        <v>0</v>
      </c>
      <c r="BU281" s="796">
        <v>0</v>
      </c>
      <c r="BV281" s="796">
        <v>0</v>
      </c>
    </row>
    <row r="282" spans="2:74">
      <c r="B282" s="795" t="s">
        <v>3150</v>
      </c>
      <c r="C282" s="795" t="s">
        <v>3151</v>
      </c>
      <c r="D282" s="795"/>
      <c r="E282" s="796"/>
      <c r="F282" s="799"/>
      <c r="G282" s="799"/>
      <c r="H282" s="799"/>
      <c r="I282" s="799"/>
      <c r="J282" s="799"/>
      <c r="K282" s="799"/>
      <c r="L282" s="799">
        <f t="shared" si="9"/>
        <v>331</v>
      </c>
      <c r="M282" s="799"/>
      <c r="N282" s="595"/>
      <c r="O282" s="794">
        <v>0</v>
      </c>
      <c r="P282" s="794">
        <v>0</v>
      </c>
      <c r="Q282" s="794">
        <v>0</v>
      </c>
      <c r="R282" s="794">
        <v>0</v>
      </c>
      <c r="S282" s="796">
        <v>0</v>
      </c>
      <c r="T282" s="796">
        <v>0</v>
      </c>
      <c r="U282" s="796">
        <v>0</v>
      </c>
      <c r="V282" s="796">
        <v>0</v>
      </c>
      <c r="W282" s="796">
        <v>0</v>
      </c>
      <c r="X282" s="796">
        <v>0</v>
      </c>
      <c r="Y282" s="796">
        <v>0</v>
      </c>
      <c r="Z282" s="796">
        <v>0</v>
      </c>
      <c r="AA282" s="796">
        <v>0</v>
      </c>
      <c r="AB282" s="796">
        <v>0</v>
      </c>
      <c r="AC282" s="796">
        <v>0</v>
      </c>
      <c r="AD282" s="796">
        <v>0</v>
      </c>
      <c r="AE282" s="796">
        <v>0</v>
      </c>
      <c r="AF282" s="796">
        <v>0</v>
      </c>
      <c r="AG282" s="796">
        <v>0</v>
      </c>
      <c r="AH282" s="796">
        <v>0</v>
      </c>
      <c r="AI282" s="796">
        <v>0</v>
      </c>
      <c r="AJ282" s="796">
        <v>0</v>
      </c>
      <c r="AK282" s="796">
        <v>0</v>
      </c>
      <c r="AL282" s="796">
        <v>0</v>
      </c>
      <c r="AM282" s="796">
        <v>0</v>
      </c>
      <c r="AN282" s="796">
        <v>0</v>
      </c>
      <c r="AO282" s="796">
        <v>0</v>
      </c>
      <c r="AP282" s="796">
        <v>0</v>
      </c>
      <c r="AQ282" s="810">
        <v>17000</v>
      </c>
      <c r="AR282" s="796">
        <v>0</v>
      </c>
      <c r="AS282" s="796">
        <v>0</v>
      </c>
      <c r="AT282" s="796">
        <v>0</v>
      </c>
      <c r="AU282" s="796">
        <v>0</v>
      </c>
      <c r="AV282" s="796">
        <v>0</v>
      </c>
      <c r="AW282" s="796">
        <v>0</v>
      </c>
      <c r="AX282" s="796">
        <v>0</v>
      </c>
      <c r="AY282" s="796">
        <v>0</v>
      </c>
      <c r="AZ282" s="796">
        <v>0</v>
      </c>
      <c r="BA282" s="796">
        <v>0</v>
      </c>
      <c r="BB282" s="796">
        <v>0</v>
      </c>
      <c r="BC282" s="796">
        <v>0</v>
      </c>
      <c r="BD282" s="796">
        <v>0</v>
      </c>
      <c r="BE282" s="796">
        <v>0</v>
      </c>
      <c r="BF282" s="796">
        <v>0</v>
      </c>
      <c r="BG282" s="796">
        <v>0</v>
      </c>
      <c r="BH282" s="796">
        <v>0</v>
      </c>
      <c r="BI282" s="796">
        <v>0</v>
      </c>
      <c r="BJ282" s="796">
        <v>0</v>
      </c>
      <c r="BK282" s="796">
        <v>0</v>
      </c>
      <c r="BL282" s="796">
        <v>0</v>
      </c>
      <c r="BM282" s="796">
        <v>0</v>
      </c>
      <c r="BN282" s="796">
        <v>0</v>
      </c>
      <c r="BO282" s="796">
        <v>0</v>
      </c>
      <c r="BP282" s="796">
        <v>0</v>
      </c>
      <c r="BQ282" s="796">
        <v>0</v>
      </c>
      <c r="BR282" s="796">
        <v>0</v>
      </c>
      <c r="BS282" s="796">
        <v>0</v>
      </c>
      <c r="BT282" s="796">
        <v>0</v>
      </c>
      <c r="BU282" s="796">
        <v>0</v>
      </c>
      <c r="BV282" s="796">
        <v>0</v>
      </c>
    </row>
    <row r="283" spans="2:74">
      <c r="B283" s="795" t="s">
        <v>3152</v>
      </c>
      <c r="C283" s="795" t="s">
        <v>3153</v>
      </c>
      <c r="D283" s="795"/>
      <c r="E283" s="796"/>
      <c r="F283" s="799"/>
      <c r="G283" s="799"/>
      <c r="H283" s="799"/>
      <c r="I283" s="799"/>
      <c r="J283" s="799"/>
      <c r="K283" s="799"/>
      <c r="L283" s="799">
        <f t="shared" si="9"/>
        <v>331</v>
      </c>
      <c r="M283" s="799"/>
      <c r="N283" s="595"/>
      <c r="O283" s="794">
        <v>0</v>
      </c>
      <c r="P283" s="794">
        <v>0</v>
      </c>
      <c r="Q283" s="794">
        <v>0</v>
      </c>
      <c r="R283" s="794">
        <v>0</v>
      </c>
      <c r="S283" s="796">
        <v>0</v>
      </c>
      <c r="T283" s="796">
        <v>0</v>
      </c>
      <c r="U283" s="796">
        <v>0</v>
      </c>
      <c r="V283" s="796">
        <v>0</v>
      </c>
      <c r="W283" s="796">
        <v>0</v>
      </c>
      <c r="X283" s="796">
        <v>0</v>
      </c>
      <c r="Y283" s="796">
        <v>0</v>
      </c>
      <c r="Z283" s="796">
        <v>0</v>
      </c>
      <c r="AA283" s="796">
        <v>0</v>
      </c>
      <c r="AB283" s="796">
        <v>0</v>
      </c>
      <c r="AC283" s="796">
        <v>0</v>
      </c>
      <c r="AD283" s="796">
        <v>0</v>
      </c>
      <c r="AE283" s="796">
        <v>0</v>
      </c>
      <c r="AF283" s="796">
        <v>0</v>
      </c>
      <c r="AG283" s="796">
        <v>0</v>
      </c>
      <c r="AH283" s="796">
        <v>0</v>
      </c>
      <c r="AI283" s="796">
        <v>0</v>
      </c>
      <c r="AJ283" s="796">
        <v>0</v>
      </c>
      <c r="AK283" s="796">
        <v>0</v>
      </c>
      <c r="AL283" s="796">
        <v>0</v>
      </c>
      <c r="AM283" s="796">
        <v>0</v>
      </c>
      <c r="AN283" s="796">
        <v>0</v>
      </c>
      <c r="AO283" s="796">
        <v>0</v>
      </c>
      <c r="AP283" s="796">
        <v>0</v>
      </c>
      <c r="AQ283" s="810">
        <v>51340</v>
      </c>
      <c r="AR283" s="796">
        <v>2160</v>
      </c>
      <c r="AS283" s="796">
        <v>0</v>
      </c>
      <c r="AT283" s="796">
        <v>0</v>
      </c>
      <c r="AU283" s="796">
        <v>0</v>
      </c>
      <c r="AV283" s="796">
        <v>0</v>
      </c>
      <c r="AW283" s="796">
        <v>0</v>
      </c>
      <c r="AX283" s="796">
        <v>0</v>
      </c>
      <c r="AY283" s="796">
        <v>0</v>
      </c>
      <c r="AZ283" s="796">
        <v>0</v>
      </c>
      <c r="BA283" s="796">
        <v>0</v>
      </c>
      <c r="BB283" s="796">
        <v>0</v>
      </c>
      <c r="BC283" s="796">
        <v>0</v>
      </c>
      <c r="BD283" s="796">
        <v>0</v>
      </c>
      <c r="BE283" s="796">
        <v>0</v>
      </c>
      <c r="BF283" s="796">
        <v>0</v>
      </c>
      <c r="BG283" s="796">
        <v>0</v>
      </c>
      <c r="BH283" s="796">
        <v>0</v>
      </c>
      <c r="BI283" s="796">
        <v>0</v>
      </c>
      <c r="BJ283" s="796">
        <v>0</v>
      </c>
      <c r="BK283" s="796">
        <v>0</v>
      </c>
      <c r="BL283" s="796">
        <v>0</v>
      </c>
      <c r="BM283" s="796">
        <v>0</v>
      </c>
      <c r="BN283" s="796">
        <v>0</v>
      </c>
      <c r="BO283" s="796">
        <v>0</v>
      </c>
      <c r="BP283" s="796">
        <v>0</v>
      </c>
      <c r="BQ283" s="796">
        <v>0</v>
      </c>
      <c r="BR283" s="796">
        <v>0</v>
      </c>
      <c r="BS283" s="796">
        <v>0</v>
      </c>
      <c r="BT283" s="796">
        <v>0</v>
      </c>
      <c r="BU283" s="796">
        <v>0</v>
      </c>
      <c r="BV283" s="796">
        <v>0</v>
      </c>
    </row>
    <row r="284" spans="2:74">
      <c r="B284" s="795" t="s">
        <v>3154</v>
      </c>
      <c r="C284" s="795" t="s">
        <v>3155</v>
      </c>
      <c r="D284" s="795"/>
      <c r="E284" s="796"/>
      <c r="F284" s="799"/>
      <c r="G284" s="799"/>
      <c r="H284" s="799"/>
      <c r="I284" s="799"/>
      <c r="J284" s="799"/>
      <c r="K284" s="799"/>
      <c r="L284" s="799">
        <f t="shared" si="9"/>
        <v>331</v>
      </c>
      <c r="M284" s="799"/>
      <c r="N284" s="595"/>
      <c r="O284" s="794">
        <v>0</v>
      </c>
      <c r="P284" s="794">
        <v>0</v>
      </c>
      <c r="Q284" s="794">
        <v>0</v>
      </c>
      <c r="R284" s="794">
        <v>0</v>
      </c>
      <c r="S284" s="796">
        <v>0</v>
      </c>
      <c r="T284" s="796">
        <v>0</v>
      </c>
      <c r="U284" s="796">
        <v>0</v>
      </c>
      <c r="V284" s="796">
        <v>0</v>
      </c>
      <c r="W284" s="796">
        <v>0</v>
      </c>
      <c r="X284" s="796">
        <v>0</v>
      </c>
      <c r="Y284" s="796">
        <v>0</v>
      </c>
      <c r="Z284" s="796">
        <v>0</v>
      </c>
      <c r="AA284" s="796">
        <v>0</v>
      </c>
      <c r="AB284" s="796">
        <v>0</v>
      </c>
      <c r="AC284" s="796">
        <v>0</v>
      </c>
      <c r="AD284" s="796">
        <v>0</v>
      </c>
      <c r="AE284" s="796">
        <v>0</v>
      </c>
      <c r="AF284" s="796">
        <v>0</v>
      </c>
      <c r="AG284" s="796">
        <v>0</v>
      </c>
      <c r="AH284" s="796">
        <v>0</v>
      </c>
      <c r="AI284" s="796">
        <v>0</v>
      </c>
      <c r="AJ284" s="796">
        <v>0</v>
      </c>
      <c r="AK284" s="796">
        <v>0</v>
      </c>
      <c r="AL284" s="796">
        <v>0</v>
      </c>
      <c r="AM284" s="796">
        <v>0</v>
      </c>
      <c r="AN284" s="796">
        <v>0</v>
      </c>
      <c r="AO284" s="796">
        <v>0</v>
      </c>
      <c r="AP284" s="796">
        <v>0</v>
      </c>
      <c r="AQ284" s="796">
        <v>0</v>
      </c>
      <c r="AR284" s="810">
        <v>15869.77</v>
      </c>
      <c r="AS284" s="796">
        <v>0</v>
      </c>
      <c r="AT284" s="796">
        <v>0</v>
      </c>
      <c r="AU284" s="796">
        <v>0</v>
      </c>
      <c r="AV284" s="796">
        <v>0</v>
      </c>
      <c r="AW284" s="796">
        <v>0</v>
      </c>
      <c r="AX284" s="796">
        <v>0</v>
      </c>
      <c r="AY284" s="796">
        <v>0</v>
      </c>
      <c r="AZ284" s="796">
        <v>0</v>
      </c>
      <c r="BA284" s="796">
        <v>0</v>
      </c>
      <c r="BB284" s="796">
        <v>0</v>
      </c>
      <c r="BC284" s="796">
        <v>0</v>
      </c>
      <c r="BD284" s="796">
        <v>0</v>
      </c>
      <c r="BE284" s="796">
        <v>0</v>
      </c>
      <c r="BF284" s="796">
        <v>0</v>
      </c>
      <c r="BG284" s="796">
        <v>0</v>
      </c>
      <c r="BH284" s="796">
        <v>0</v>
      </c>
      <c r="BI284" s="796">
        <v>0</v>
      </c>
      <c r="BJ284" s="796">
        <v>0</v>
      </c>
      <c r="BK284" s="796">
        <v>0</v>
      </c>
      <c r="BL284" s="796">
        <v>0</v>
      </c>
      <c r="BM284" s="796">
        <v>0</v>
      </c>
      <c r="BN284" s="796">
        <v>0</v>
      </c>
      <c r="BO284" s="796">
        <v>0</v>
      </c>
      <c r="BP284" s="796">
        <v>0</v>
      </c>
      <c r="BQ284" s="796">
        <v>0</v>
      </c>
      <c r="BR284" s="796">
        <v>0</v>
      </c>
      <c r="BS284" s="796">
        <v>0</v>
      </c>
      <c r="BT284" s="796">
        <v>0</v>
      </c>
      <c r="BU284" s="796">
        <v>0</v>
      </c>
      <c r="BV284" s="796">
        <v>0</v>
      </c>
    </row>
    <row r="285" spans="2:74">
      <c r="B285" s="795" t="s">
        <v>3156</v>
      </c>
      <c r="C285" s="795" t="s">
        <v>3157</v>
      </c>
      <c r="D285" s="795"/>
      <c r="E285" s="796"/>
      <c r="F285" s="799"/>
      <c r="G285" s="799"/>
      <c r="H285" s="799"/>
      <c r="I285" s="799"/>
      <c r="J285" s="799"/>
      <c r="K285" s="799"/>
      <c r="L285" s="799">
        <f t="shared" si="9"/>
        <v>331</v>
      </c>
      <c r="M285" s="799"/>
      <c r="N285" s="595"/>
      <c r="O285" s="794">
        <v>0</v>
      </c>
      <c r="P285" s="794">
        <v>0</v>
      </c>
      <c r="Q285" s="794">
        <v>0</v>
      </c>
      <c r="R285" s="794">
        <v>0</v>
      </c>
      <c r="S285" s="796">
        <v>0</v>
      </c>
      <c r="T285" s="796">
        <v>0</v>
      </c>
      <c r="U285" s="796">
        <v>0</v>
      </c>
      <c r="V285" s="796">
        <v>0</v>
      </c>
      <c r="W285" s="796">
        <v>0</v>
      </c>
      <c r="X285" s="796">
        <v>0</v>
      </c>
      <c r="Y285" s="796">
        <v>0</v>
      </c>
      <c r="Z285" s="796">
        <v>0</v>
      </c>
      <c r="AA285" s="796">
        <v>0</v>
      </c>
      <c r="AB285" s="796">
        <v>0</v>
      </c>
      <c r="AC285" s="796">
        <v>0</v>
      </c>
      <c r="AD285" s="796">
        <v>0</v>
      </c>
      <c r="AE285" s="796">
        <v>0</v>
      </c>
      <c r="AF285" s="796">
        <v>0</v>
      </c>
      <c r="AG285" s="796">
        <v>0</v>
      </c>
      <c r="AH285" s="796">
        <v>0</v>
      </c>
      <c r="AI285" s="796">
        <v>0</v>
      </c>
      <c r="AJ285" s="796">
        <v>0</v>
      </c>
      <c r="AK285" s="796">
        <v>0</v>
      </c>
      <c r="AL285" s="796">
        <v>0</v>
      </c>
      <c r="AM285" s="796">
        <v>0</v>
      </c>
      <c r="AN285" s="796">
        <v>0</v>
      </c>
      <c r="AO285" s="796">
        <v>0</v>
      </c>
      <c r="AP285" s="796">
        <v>0</v>
      </c>
      <c r="AQ285" s="796">
        <v>0</v>
      </c>
      <c r="AR285" s="810">
        <v>28000</v>
      </c>
      <c r="AS285" s="796">
        <v>0</v>
      </c>
      <c r="AT285" s="796">
        <v>0</v>
      </c>
      <c r="AU285" s="796">
        <v>0</v>
      </c>
      <c r="AV285" s="796">
        <v>0</v>
      </c>
      <c r="AW285" s="796">
        <v>0</v>
      </c>
      <c r="AX285" s="796">
        <v>0</v>
      </c>
      <c r="AY285" s="796">
        <v>0</v>
      </c>
      <c r="AZ285" s="796">
        <v>0</v>
      </c>
      <c r="BA285" s="796">
        <v>0</v>
      </c>
      <c r="BB285" s="796">
        <v>0</v>
      </c>
      <c r="BC285" s="796">
        <v>0</v>
      </c>
      <c r="BD285" s="796">
        <v>0</v>
      </c>
      <c r="BE285" s="796">
        <v>0</v>
      </c>
      <c r="BF285" s="796">
        <v>0</v>
      </c>
      <c r="BG285" s="796">
        <v>0</v>
      </c>
      <c r="BH285" s="796">
        <v>0</v>
      </c>
      <c r="BI285" s="796">
        <v>0</v>
      </c>
      <c r="BJ285" s="796">
        <v>0</v>
      </c>
      <c r="BK285" s="796">
        <v>0</v>
      </c>
      <c r="BL285" s="796">
        <v>0</v>
      </c>
      <c r="BM285" s="796">
        <v>0</v>
      </c>
      <c r="BN285" s="796">
        <v>0</v>
      </c>
      <c r="BO285" s="796">
        <v>0</v>
      </c>
      <c r="BP285" s="796">
        <v>0</v>
      </c>
      <c r="BQ285" s="796">
        <v>0</v>
      </c>
      <c r="BR285" s="796">
        <v>0</v>
      </c>
      <c r="BS285" s="796">
        <v>0</v>
      </c>
      <c r="BT285" s="796">
        <v>0</v>
      </c>
      <c r="BU285" s="796">
        <v>0</v>
      </c>
      <c r="BV285" s="796">
        <v>0</v>
      </c>
    </row>
    <row r="286" spans="2:74">
      <c r="B286" s="795" t="s">
        <v>3158</v>
      </c>
      <c r="C286" s="795" t="s">
        <v>3144</v>
      </c>
      <c r="D286" s="795"/>
      <c r="E286" s="796"/>
      <c r="F286" s="799"/>
      <c r="G286" s="799"/>
      <c r="H286" s="799"/>
      <c r="I286" s="799"/>
      <c r="J286" s="799"/>
      <c r="K286" s="799"/>
      <c r="L286" s="799">
        <f t="shared" si="9"/>
        <v>331</v>
      </c>
      <c r="M286" s="799"/>
      <c r="N286" s="595"/>
      <c r="O286" s="794">
        <v>0</v>
      </c>
      <c r="P286" s="794">
        <v>0</v>
      </c>
      <c r="Q286" s="794">
        <v>0</v>
      </c>
      <c r="R286" s="794">
        <v>0</v>
      </c>
      <c r="S286" s="796">
        <v>0</v>
      </c>
      <c r="T286" s="796">
        <v>0</v>
      </c>
      <c r="U286" s="796">
        <v>0</v>
      </c>
      <c r="V286" s="796">
        <v>0</v>
      </c>
      <c r="W286" s="796">
        <v>0</v>
      </c>
      <c r="X286" s="796">
        <v>0</v>
      </c>
      <c r="Y286" s="796">
        <v>0</v>
      </c>
      <c r="Z286" s="796">
        <v>0</v>
      </c>
      <c r="AA286" s="796">
        <v>0</v>
      </c>
      <c r="AB286" s="796">
        <v>0</v>
      </c>
      <c r="AC286" s="796">
        <v>0</v>
      </c>
      <c r="AD286" s="796">
        <v>0</v>
      </c>
      <c r="AE286" s="796">
        <v>0</v>
      </c>
      <c r="AF286" s="796">
        <v>0</v>
      </c>
      <c r="AG286" s="796">
        <v>0</v>
      </c>
      <c r="AH286" s="796">
        <v>0</v>
      </c>
      <c r="AI286" s="796">
        <v>0</v>
      </c>
      <c r="AJ286" s="796">
        <v>0</v>
      </c>
      <c r="AK286" s="796">
        <v>0</v>
      </c>
      <c r="AL286" s="796">
        <v>0</v>
      </c>
      <c r="AM286" s="796">
        <v>0</v>
      </c>
      <c r="AN286" s="796">
        <v>0</v>
      </c>
      <c r="AO286" s="796">
        <v>0</v>
      </c>
      <c r="AP286" s="796">
        <v>0</v>
      </c>
      <c r="AQ286" s="796">
        <v>0</v>
      </c>
      <c r="AR286" s="810">
        <v>88406.14</v>
      </c>
      <c r="AS286" s="796">
        <v>0</v>
      </c>
      <c r="AT286" s="796">
        <v>0</v>
      </c>
      <c r="AU286" s="796">
        <v>0</v>
      </c>
      <c r="AV286" s="796">
        <v>0</v>
      </c>
      <c r="AW286" s="796">
        <v>0</v>
      </c>
      <c r="AX286" s="796">
        <v>0</v>
      </c>
      <c r="AY286" s="796">
        <v>0</v>
      </c>
      <c r="AZ286" s="796">
        <v>0</v>
      </c>
      <c r="BA286" s="796">
        <v>0</v>
      </c>
      <c r="BB286" s="796">
        <v>0</v>
      </c>
      <c r="BC286" s="796">
        <v>0</v>
      </c>
      <c r="BD286" s="796">
        <v>0</v>
      </c>
      <c r="BE286" s="796">
        <v>0</v>
      </c>
      <c r="BF286" s="796">
        <v>0</v>
      </c>
      <c r="BG286" s="796">
        <v>0</v>
      </c>
      <c r="BH286" s="796">
        <v>0</v>
      </c>
      <c r="BI286" s="796">
        <v>0</v>
      </c>
      <c r="BJ286" s="796">
        <v>0</v>
      </c>
      <c r="BK286" s="796">
        <v>0</v>
      </c>
      <c r="BL286" s="796">
        <v>0</v>
      </c>
      <c r="BM286" s="796">
        <v>0</v>
      </c>
      <c r="BN286" s="796">
        <v>0</v>
      </c>
      <c r="BO286" s="796">
        <v>0</v>
      </c>
      <c r="BP286" s="796">
        <v>0</v>
      </c>
      <c r="BQ286" s="796">
        <v>0</v>
      </c>
      <c r="BR286" s="796">
        <v>0</v>
      </c>
      <c r="BS286" s="796">
        <v>0</v>
      </c>
      <c r="BT286" s="796">
        <v>0</v>
      </c>
      <c r="BU286" s="796">
        <v>0</v>
      </c>
      <c r="BV286" s="796">
        <v>0</v>
      </c>
    </row>
    <row r="287" spans="2:74">
      <c r="B287" s="795" t="s">
        <v>3160</v>
      </c>
      <c r="C287" s="795" t="s">
        <v>3161</v>
      </c>
      <c r="D287" s="795"/>
      <c r="E287" s="796"/>
      <c r="F287" s="799"/>
      <c r="G287" s="799"/>
      <c r="H287" s="799"/>
      <c r="I287" s="799"/>
      <c r="J287" s="799"/>
      <c r="K287" s="799"/>
      <c r="L287" s="799">
        <f t="shared" si="9"/>
        <v>331</v>
      </c>
      <c r="M287" s="799"/>
      <c r="N287" s="595"/>
      <c r="O287" s="794">
        <v>0</v>
      </c>
      <c r="P287" s="794">
        <v>0</v>
      </c>
      <c r="Q287" s="794">
        <v>0</v>
      </c>
      <c r="R287" s="794">
        <v>0</v>
      </c>
      <c r="S287" s="796">
        <v>0</v>
      </c>
      <c r="T287" s="796">
        <v>0</v>
      </c>
      <c r="U287" s="796">
        <v>0</v>
      </c>
      <c r="V287" s="796">
        <v>0</v>
      </c>
      <c r="W287" s="796">
        <v>0</v>
      </c>
      <c r="X287" s="796">
        <v>0</v>
      </c>
      <c r="Y287" s="796">
        <v>0</v>
      </c>
      <c r="Z287" s="796">
        <v>0</v>
      </c>
      <c r="AA287" s="796">
        <v>0</v>
      </c>
      <c r="AB287" s="796">
        <v>0</v>
      </c>
      <c r="AC287" s="796">
        <v>0</v>
      </c>
      <c r="AD287" s="796">
        <v>0</v>
      </c>
      <c r="AE287" s="796">
        <v>0</v>
      </c>
      <c r="AF287" s="796">
        <v>0</v>
      </c>
      <c r="AG287" s="796">
        <v>0</v>
      </c>
      <c r="AH287" s="796">
        <v>0</v>
      </c>
      <c r="AI287" s="796">
        <v>0</v>
      </c>
      <c r="AJ287" s="796">
        <v>0</v>
      </c>
      <c r="AK287" s="796">
        <v>0</v>
      </c>
      <c r="AL287" s="796">
        <v>0</v>
      </c>
      <c r="AM287" s="796">
        <v>0</v>
      </c>
      <c r="AN287" s="796">
        <v>0</v>
      </c>
      <c r="AO287" s="796">
        <v>0</v>
      </c>
      <c r="AP287" s="796">
        <v>0</v>
      </c>
      <c r="AQ287" s="796">
        <v>0</v>
      </c>
      <c r="AR287" s="810">
        <v>175000</v>
      </c>
      <c r="AS287" s="796">
        <v>175000</v>
      </c>
      <c r="AT287" s="796">
        <v>0</v>
      </c>
      <c r="AU287" s="796">
        <v>125000</v>
      </c>
      <c r="AV287" s="796">
        <v>0</v>
      </c>
      <c r="AW287" s="796">
        <v>44800</v>
      </c>
      <c r="AX287" s="796">
        <v>0</v>
      </c>
      <c r="AY287" s="796">
        <v>0</v>
      </c>
      <c r="AZ287" s="796">
        <v>0</v>
      </c>
      <c r="BA287" s="796">
        <v>0</v>
      </c>
      <c r="BB287" s="796">
        <v>0</v>
      </c>
      <c r="BC287" s="796">
        <v>10000</v>
      </c>
      <c r="BD287" s="796">
        <v>3000</v>
      </c>
      <c r="BE287" s="796">
        <v>0</v>
      </c>
      <c r="BF287" s="796">
        <v>0</v>
      </c>
      <c r="BG287" s="796">
        <v>0</v>
      </c>
      <c r="BH287" s="796">
        <v>0</v>
      </c>
      <c r="BI287" s="796">
        <v>0</v>
      </c>
      <c r="BJ287" s="796">
        <v>0</v>
      </c>
      <c r="BK287" s="796">
        <v>0</v>
      </c>
      <c r="BL287" s="796">
        <v>0</v>
      </c>
      <c r="BM287" s="796">
        <v>0</v>
      </c>
      <c r="BN287" s="796">
        <v>0</v>
      </c>
      <c r="BO287" s="796">
        <v>0</v>
      </c>
      <c r="BP287" s="796">
        <v>0</v>
      </c>
      <c r="BQ287" s="796">
        <v>0</v>
      </c>
      <c r="BR287" s="796">
        <v>0</v>
      </c>
      <c r="BS287" s="796">
        <v>0</v>
      </c>
      <c r="BT287" s="796">
        <v>0</v>
      </c>
      <c r="BU287" s="796">
        <v>0</v>
      </c>
      <c r="BV287" s="796">
        <v>0</v>
      </c>
    </row>
    <row r="288" spans="2:74">
      <c r="B288" s="795" t="s">
        <v>3162</v>
      </c>
      <c r="C288" s="795" t="s">
        <v>3163</v>
      </c>
      <c r="D288" s="795"/>
      <c r="E288" s="796"/>
      <c r="F288" s="799"/>
      <c r="G288" s="799"/>
      <c r="H288" s="799"/>
      <c r="I288" s="799"/>
      <c r="J288" s="799"/>
      <c r="K288" s="799"/>
      <c r="L288" s="799">
        <f t="shared" si="9"/>
        <v>331</v>
      </c>
      <c r="M288" s="799"/>
      <c r="N288" s="595"/>
      <c r="O288" s="794">
        <v>0</v>
      </c>
      <c r="P288" s="794">
        <v>0</v>
      </c>
      <c r="Q288" s="794">
        <v>0</v>
      </c>
      <c r="R288" s="794">
        <v>0</v>
      </c>
      <c r="S288" s="796">
        <v>0</v>
      </c>
      <c r="T288" s="796">
        <v>0</v>
      </c>
      <c r="U288" s="796">
        <v>0</v>
      </c>
      <c r="V288" s="796">
        <v>0</v>
      </c>
      <c r="W288" s="796">
        <v>0</v>
      </c>
      <c r="X288" s="796">
        <v>0</v>
      </c>
      <c r="Y288" s="796">
        <v>0</v>
      </c>
      <c r="Z288" s="796">
        <v>0</v>
      </c>
      <c r="AA288" s="796">
        <v>0</v>
      </c>
      <c r="AB288" s="796">
        <v>0</v>
      </c>
      <c r="AC288" s="796">
        <v>0</v>
      </c>
      <c r="AD288" s="796">
        <v>0</v>
      </c>
      <c r="AE288" s="796">
        <v>0</v>
      </c>
      <c r="AF288" s="796">
        <v>0</v>
      </c>
      <c r="AG288" s="796">
        <v>0</v>
      </c>
      <c r="AH288" s="796">
        <v>0</v>
      </c>
      <c r="AI288" s="796">
        <v>0</v>
      </c>
      <c r="AJ288" s="796">
        <v>0</v>
      </c>
      <c r="AK288" s="796">
        <v>0</v>
      </c>
      <c r="AL288" s="796">
        <v>0</v>
      </c>
      <c r="AM288" s="796">
        <v>0</v>
      </c>
      <c r="AN288" s="796">
        <v>0</v>
      </c>
      <c r="AO288" s="796">
        <v>0</v>
      </c>
      <c r="AP288" s="796">
        <v>0</v>
      </c>
      <c r="AQ288" s="796">
        <v>0</v>
      </c>
      <c r="AR288" s="810">
        <v>237992.49</v>
      </c>
      <c r="AS288" s="796">
        <v>237992.49</v>
      </c>
      <c r="AT288" s="796">
        <v>37478.9</v>
      </c>
      <c r="AU288" s="796">
        <v>0</v>
      </c>
      <c r="AV288" s="796">
        <v>0</v>
      </c>
      <c r="AW288" s="796">
        <v>0</v>
      </c>
      <c r="AX288" s="796">
        <v>0</v>
      </c>
      <c r="AY288" s="796">
        <v>0</v>
      </c>
      <c r="AZ288" s="796">
        <v>0</v>
      </c>
      <c r="BA288" s="796">
        <v>0</v>
      </c>
      <c r="BB288" s="796">
        <v>0</v>
      </c>
      <c r="BC288" s="796">
        <v>0</v>
      </c>
      <c r="BD288" s="796">
        <v>0</v>
      </c>
      <c r="BE288" s="796">
        <v>0</v>
      </c>
      <c r="BF288" s="796">
        <v>0</v>
      </c>
      <c r="BG288" s="796">
        <v>0</v>
      </c>
      <c r="BH288" s="796">
        <v>0</v>
      </c>
      <c r="BI288" s="796">
        <v>0</v>
      </c>
      <c r="BJ288" s="796">
        <v>0</v>
      </c>
      <c r="BK288" s="796">
        <v>0</v>
      </c>
      <c r="BL288" s="796">
        <v>0</v>
      </c>
      <c r="BM288" s="796">
        <v>0</v>
      </c>
      <c r="BN288" s="796">
        <v>0</v>
      </c>
      <c r="BO288" s="796">
        <v>0</v>
      </c>
      <c r="BP288" s="796">
        <v>0</v>
      </c>
      <c r="BQ288" s="796">
        <v>0</v>
      </c>
      <c r="BR288" s="796">
        <v>0</v>
      </c>
      <c r="BS288" s="796">
        <v>0</v>
      </c>
      <c r="BT288" s="796">
        <v>0</v>
      </c>
      <c r="BU288" s="796">
        <v>0</v>
      </c>
      <c r="BV288" s="796">
        <v>0</v>
      </c>
    </row>
    <row r="289" spans="2:74">
      <c r="B289" s="795" t="s">
        <v>3164</v>
      </c>
      <c r="C289" s="795" t="s">
        <v>3165</v>
      </c>
      <c r="D289" s="795"/>
      <c r="E289" s="796"/>
      <c r="F289" s="799"/>
      <c r="G289" s="799"/>
      <c r="H289" s="799"/>
      <c r="I289" s="799"/>
      <c r="J289" s="799"/>
      <c r="K289" s="799"/>
      <c r="L289" s="799">
        <f t="shared" si="9"/>
        <v>331</v>
      </c>
      <c r="M289" s="799"/>
      <c r="N289" s="595"/>
      <c r="O289" s="794">
        <v>0</v>
      </c>
      <c r="P289" s="794">
        <v>0</v>
      </c>
      <c r="Q289" s="794">
        <v>0</v>
      </c>
      <c r="R289" s="794">
        <v>0</v>
      </c>
      <c r="S289" s="796">
        <v>0</v>
      </c>
      <c r="T289" s="796">
        <v>0</v>
      </c>
      <c r="U289" s="796">
        <v>0</v>
      </c>
      <c r="V289" s="796">
        <v>0</v>
      </c>
      <c r="W289" s="796">
        <v>0</v>
      </c>
      <c r="X289" s="796">
        <v>0</v>
      </c>
      <c r="Y289" s="796">
        <v>0</v>
      </c>
      <c r="Z289" s="796">
        <v>0</v>
      </c>
      <c r="AA289" s="796">
        <v>0</v>
      </c>
      <c r="AB289" s="796">
        <v>0</v>
      </c>
      <c r="AC289" s="796">
        <v>0</v>
      </c>
      <c r="AD289" s="796">
        <v>0</v>
      </c>
      <c r="AE289" s="796">
        <v>0</v>
      </c>
      <c r="AF289" s="796">
        <v>0</v>
      </c>
      <c r="AG289" s="796">
        <v>0</v>
      </c>
      <c r="AH289" s="796">
        <v>0</v>
      </c>
      <c r="AI289" s="796">
        <v>0</v>
      </c>
      <c r="AJ289" s="796">
        <v>0</v>
      </c>
      <c r="AK289" s="796">
        <v>0</v>
      </c>
      <c r="AL289" s="796">
        <v>0</v>
      </c>
      <c r="AM289" s="796">
        <v>0</v>
      </c>
      <c r="AN289" s="796">
        <v>0</v>
      </c>
      <c r="AO289" s="796">
        <v>0</v>
      </c>
      <c r="AP289" s="796">
        <v>0</v>
      </c>
      <c r="AQ289" s="796">
        <v>0</v>
      </c>
      <c r="AR289" s="810">
        <v>22539</v>
      </c>
      <c r="AS289" s="796">
        <v>0</v>
      </c>
      <c r="AT289" s="796">
        <v>0</v>
      </c>
      <c r="AU289" s="796">
        <v>0</v>
      </c>
      <c r="AV289" s="796">
        <v>0</v>
      </c>
      <c r="AW289" s="796">
        <v>0</v>
      </c>
      <c r="AX289" s="796">
        <v>0</v>
      </c>
      <c r="AY289" s="796">
        <v>0</v>
      </c>
      <c r="AZ289" s="796">
        <v>0</v>
      </c>
      <c r="BA289" s="796">
        <v>0</v>
      </c>
      <c r="BB289" s="796">
        <v>0</v>
      </c>
      <c r="BC289" s="796">
        <v>56420</v>
      </c>
      <c r="BD289" s="796">
        <v>0</v>
      </c>
      <c r="BE289" s="796">
        <v>8580</v>
      </c>
      <c r="BF289" s="796">
        <v>0</v>
      </c>
      <c r="BG289" s="796">
        <v>0</v>
      </c>
      <c r="BH289" s="796">
        <v>0</v>
      </c>
      <c r="BI289" s="796">
        <v>14300</v>
      </c>
      <c r="BJ289" s="796">
        <v>0</v>
      </c>
      <c r="BK289" s="796">
        <v>0</v>
      </c>
      <c r="BL289" s="796">
        <v>86791.4</v>
      </c>
      <c r="BM289" s="796">
        <v>282512.09999999998</v>
      </c>
      <c r="BN289" s="796">
        <v>179066.5</v>
      </c>
      <c r="BO289" s="796">
        <v>40349.199999999997</v>
      </c>
      <c r="BP289" s="796">
        <v>0</v>
      </c>
      <c r="BQ289" s="796">
        <v>0</v>
      </c>
      <c r="BR289" s="796">
        <v>54160</v>
      </c>
      <c r="BS289" s="796">
        <v>4062</v>
      </c>
      <c r="BT289" s="796">
        <v>0</v>
      </c>
      <c r="BU289" s="796">
        <v>0</v>
      </c>
      <c r="BV289" s="796">
        <v>0</v>
      </c>
    </row>
    <row r="290" spans="2:74">
      <c r="B290" s="795" t="s">
        <v>3166</v>
      </c>
      <c r="C290" s="795" t="s">
        <v>3144</v>
      </c>
      <c r="D290" s="795"/>
      <c r="E290" s="796"/>
      <c r="F290" s="799"/>
      <c r="G290" s="799"/>
      <c r="H290" s="799"/>
      <c r="I290" s="799"/>
      <c r="J290" s="799"/>
      <c r="K290" s="799"/>
      <c r="L290" s="799">
        <f t="shared" si="9"/>
        <v>331</v>
      </c>
      <c r="M290" s="799"/>
      <c r="N290" s="595"/>
      <c r="O290" s="794">
        <v>0</v>
      </c>
      <c r="P290" s="794">
        <v>0</v>
      </c>
      <c r="Q290" s="794">
        <v>0</v>
      </c>
      <c r="R290" s="794">
        <v>0</v>
      </c>
      <c r="S290" s="796">
        <v>0</v>
      </c>
      <c r="T290" s="796">
        <v>0</v>
      </c>
      <c r="U290" s="796">
        <v>0</v>
      </c>
      <c r="V290" s="796">
        <v>0</v>
      </c>
      <c r="W290" s="796">
        <v>0</v>
      </c>
      <c r="X290" s="796">
        <v>0</v>
      </c>
      <c r="Y290" s="796">
        <v>0</v>
      </c>
      <c r="Z290" s="796">
        <v>0</v>
      </c>
      <c r="AA290" s="796">
        <v>0</v>
      </c>
      <c r="AB290" s="796">
        <v>0</v>
      </c>
      <c r="AC290" s="796">
        <v>0</v>
      </c>
      <c r="AD290" s="796">
        <v>0</v>
      </c>
      <c r="AE290" s="796">
        <v>0</v>
      </c>
      <c r="AF290" s="796">
        <v>0</v>
      </c>
      <c r="AG290" s="796">
        <v>0</v>
      </c>
      <c r="AH290" s="796">
        <v>0</v>
      </c>
      <c r="AI290" s="796">
        <v>0</v>
      </c>
      <c r="AJ290" s="796">
        <v>0</v>
      </c>
      <c r="AK290" s="796">
        <v>0</v>
      </c>
      <c r="AL290" s="796">
        <v>0</v>
      </c>
      <c r="AM290" s="796">
        <v>0</v>
      </c>
      <c r="AN290" s="796">
        <v>0</v>
      </c>
      <c r="AO290" s="796">
        <v>0</v>
      </c>
      <c r="AP290" s="796">
        <v>0</v>
      </c>
      <c r="AQ290" s="796">
        <v>0</v>
      </c>
      <c r="AR290" s="810">
        <v>26700</v>
      </c>
      <c r="AS290" s="796">
        <v>62300</v>
      </c>
      <c r="AT290" s="796">
        <v>0</v>
      </c>
      <c r="AU290" s="796">
        <v>0</v>
      </c>
      <c r="AV290" s="796">
        <v>0</v>
      </c>
      <c r="AW290" s="796">
        <v>0</v>
      </c>
      <c r="AX290" s="796">
        <v>0</v>
      </c>
      <c r="AY290" s="796">
        <v>0</v>
      </c>
      <c r="AZ290" s="796">
        <v>0</v>
      </c>
      <c r="BA290" s="796">
        <v>0</v>
      </c>
      <c r="BB290" s="796">
        <v>0</v>
      </c>
      <c r="BC290" s="796">
        <v>0</v>
      </c>
      <c r="BD290" s="796">
        <v>0</v>
      </c>
      <c r="BE290" s="796">
        <v>0</v>
      </c>
      <c r="BF290" s="796">
        <v>0</v>
      </c>
      <c r="BG290" s="796">
        <v>0</v>
      </c>
      <c r="BH290" s="796">
        <v>0</v>
      </c>
      <c r="BI290" s="796">
        <v>0</v>
      </c>
      <c r="BJ290" s="796">
        <v>0</v>
      </c>
      <c r="BK290" s="796">
        <v>0</v>
      </c>
      <c r="BL290" s="796">
        <v>0</v>
      </c>
      <c r="BM290" s="796">
        <v>0</v>
      </c>
      <c r="BN290" s="796">
        <v>0</v>
      </c>
      <c r="BO290" s="796">
        <v>0</v>
      </c>
      <c r="BP290" s="796">
        <v>0</v>
      </c>
      <c r="BQ290" s="796">
        <v>0</v>
      </c>
      <c r="BR290" s="796">
        <v>0</v>
      </c>
      <c r="BS290" s="796">
        <v>0</v>
      </c>
      <c r="BT290" s="796">
        <v>0</v>
      </c>
      <c r="BU290" s="796">
        <v>0</v>
      </c>
      <c r="BV290" s="796">
        <v>0</v>
      </c>
    </row>
    <row r="291" spans="2:74">
      <c r="B291" s="795" t="s">
        <v>3167</v>
      </c>
      <c r="C291" s="795" t="s">
        <v>3168</v>
      </c>
      <c r="D291" s="795"/>
      <c r="E291" s="796"/>
      <c r="F291" s="799"/>
      <c r="G291" s="799"/>
      <c r="H291" s="799"/>
      <c r="I291" s="799"/>
      <c r="J291" s="799"/>
      <c r="K291" s="799"/>
      <c r="L291" s="799">
        <f t="shared" si="9"/>
        <v>331</v>
      </c>
      <c r="M291" s="799"/>
      <c r="N291" s="595"/>
      <c r="O291" s="794">
        <v>0</v>
      </c>
      <c r="P291" s="794">
        <v>0</v>
      </c>
      <c r="Q291" s="794">
        <v>0</v>
      </c>
      <c r="R291" s="794">
        <v>0</v>
      </c>
      <c r="S291" s="796">
        <v>0</v>
      </c>
      <c r="T291" s="796">
        <v>0</v>
      </c>
      <c r="U291" s="796">
        <v>0</v>
      </c>
      <c r="V291" s="796">
        <v>0</v>
      </c>
      <c r="W291" s="796">
        <v>0</v>
      </c>
      <c r="X291" s="796">
        <v>0</v>
      </c>
      <c r="Y291" s="796">
        <v>0</v>
      </c>
      <c r="Z291" s="796">
        <v>0</v>
      </c>
      <c r="AA291" s="796">
        <v>0</v>
      </c>
      <c r="AB291" s="796">
        <v>0</v>
      </c>
      <c r="AC291" s="796">
        <v>0</v>
      </c>
      <c r="AD291" s="796">
        <v>0</v>
      </c>
      <c r="AE291" s="796">
        <v>0</v>
      </c>
      <c r="AF291" s="796">
        <v>0</v>
      </c>
      <c r="AG291" s="796">
        <v>0</v>
      </c>
      <c r="AH291" s="796">
        <v>0</v>
      </c>
      <c r="AI291" s="796">
        <v>0</v>
      </c>
      <c r="AJ291" s="796">
        <v>0</v>
      </c>
      <c r="AK291" s="796">
        <v>0</v>
      </c>
      <c r="AL291" s="796">
        <v>0</v>
      </c>
      <c r="AM291" s="796">
        <v>0</v>
      </c>
      <c r="AN291" s="796">
        <v>0</v>
      </c>
      <c r="AO291" s="796">
        <v>0</v>
      </c>
      <c r="AP291" s="796">
        <v>0</v>
      </c>
      <c r="AQ291" s="796">
        <v>0</v>
      </c>
      <c r="AR291" s="810">
        <v>36564.83</v>
      </c>
      <c r="AS291" s="796">
        <v>0</v>
      </c>
      <c r="AT291" s="796">
        <v>0</v>
      </c>
      <c r="AU291" s="796">
        <v>0</v>
      </c>
      <c r="AV291" s="796">
        <v>0</v>
      </c>
      <c r="AW291" s="796">
        <v>0</v>
      </c>
      <c r="AX291" s="796">
        <v>0</v>
      </c>
      <c r="AY291" s="796">
        <v>0</v>
      </c>
      <c r="AZ291" s="796">
        <v>0</v>
      </c>
      <c r="BA291" s="796">
        <v>0</v>
      </c>
      <c r="BB291" s="796">
        <v>0</v>
      </c>
      <c r="BC291" s="796">
        <v>0</v>
      </c>
      <c r="BD291" s="796">
        <v>0</v>
      </c>
      <c r="BE291" s="796">
        <v>0</v>
      </c>
      <c r="BF291" s="796">
        <v>0</v>
      </c>
      <c r="BG291" s="796">
        <v>0</v>
      </c>
      <c r="BH291" s="796">
        <v>0</v>
      </c>
      <c r="BI291" s="796">
        <v>0</v>
      </c>
      <c r="BJ291" s="796">
        <v>0</v>
      </c>
      <c r="BK291" s="796">
        <v>0</v>
      </c>
      <c r="BL291" s="796">
        <v>0</v>
      </c>
      <c r="BM291" s="796">
        <v>0</v>
      </c>
      <c r="BN291" s="796">
        <v>0</v>
      </c>
      <c r="BO291" s="796">
        <v>580000</v>
      </c>
      <c r="BP291" s="796">
        <v>896936.22</v>
      </c>
      <c r="BQ291" s="796">
        <v>11276.26</v>
      </c>
      <c r="BR291" s="796">
        <v>394941.02</v>
      </c>
      <c r="BS291" s="796">
        <v>548391.35</v>
      </c>
      <c r="BT291" s="796">
        <v>612201.66</v>
      </c>
      <c r="BU291" s="796">
        <v>89599.98</v>
      </c>
      <c r="BV291" s="796">
        <v>0</v>
      </c>
    </row>
    <row r="292" spans="2:74">
      <c r="B292" s="795" t="s">
        <v>3169</v>
      </c>
      <c r="C292" s="795" t="s">
        <v>3144</v>
      </c>
      <c r="D292" s="795"/>
      <c r="E292" s="796"/>
      <c r="F292" s="799"/>
      <c r="G292" s="799"/>
      <c r="H292" s="799"/>
      <c r="I292" s="799"/>
      <c r="J292" s="799"/>
      <c r="K292" s="799"/>
      <c r="L292" s="799">
        <f t="shared" si="9"/>
        <v>331</v>
      </c>
      <c r="M292" s="799"/>
      <c r="N292" s="595"/>
      <c r="O292" s="794">
        <v>0</v>
      </c>
      <c r="P292" s="794">
        <v>0</v>
      </c>
      <c r="Q292" s="794">
        <v>0</v>
      </c>
      <c r="R292" s="794">
        <v>0</v>
      </c>
      <c r="S292" s="796">
        <v>0</v>
      </c>
      <c r="T292" s="796">
        <v>0</v>
      </c>
      <c r="U292" s="796">
        <v>0</v>
      </c>
      <c r="V292" s="796">
        <v>0</v>
      </c>
      <c r="W292" s="796">
        <v>0</v>
      </c>
      <c r="X292" s="796">
        <v>0</v>
      </c>
      <c r="Y292" s="796">
        <v>0</v>
      </c>
      <c r="Z292" s="796">
        <v>0</v>
      </c>
      <c r="AA292" s="796">
        <v>0</v>
      </c>
      <c r="AB292" s="796">
        <v>0</v>
      </c>
      <c r="AC292" s="796">
        <v>0</v>
      </c>
      <c r="AD292" s="796">
        <v>0</v>
      </c>
      <c r="AE292" s="796">
        <v>0</v>
      </c>
      <c r="AF292" s="796">
        <v>0</v>
      </c>
      <c r="AG292" s="796">
        <v>0</v>
      </c>
      <c r="AH292" s="796">
        <v>0</v>
      </c>
      <c r="AI292" s="796">
        <v>0</v>
      </c>
      <c r="AJ292" s="796">
        <v>0</v>
      </c>
      <c r="AK292" s="796">
        <v>0</v>
      </c>
      <c r="AL292" s="796">
        <v>0</v>
      </c>
      <c r="AM292" s="796">
        <v>0</v>
      </c>
      <c r="AN292" s="796">
        <v>0</v>
      </c>
      <c r="AO292" s="796">
        <v>0</v>
      </c>
      <c r="AP292" s="796">
        <v>0</v>
      </c>
      <c r="AQ292" s="796">
        <v>0</v>
      </c>
      <c r="AR292" s="810">
        <v>24500</v>
      </c>
      <c r="AS292" s="796">
        <v>0</v>
      </c>
      <c r="AT292" s="796">
        <v>0</v>
      </c>
      <c r="AU292" s="796">
        <v>0</v>
      </c>
      <c r="AV292" s="796">
        <v>0</v>
      </c>
      <c r="AW292" s="796">
        <v>0</v>
      </c>
      <c r="AX292" s="796">
        <v>0</v>
      </c>
      <c r="AY292" s="796">
        <v>0</v>
      </c>
      <c r="AZ292" s="796">
        <v>0</v>
      </c>
      <c r="BA292" s="796">
        <v>0</v>
      </c>
      <c r="BB292" s="796">
        <v>0</v>
      </c>
      <c r="BC292" s="796">
        <v>0</v>
      </c>
      <c r="BD292" s="796">
        <v>0</v>
      </c>
      <c r="BE292" s="796">
        <v>0</v>
      </c>
      <c r="BF292" s="796">
        <v>0</v>
      </c>
      <c r="BG292" s="796">
        <v>0</v>
      </c>
      <c r="BH292" s="796">
        <v>0</v>
      </c>
      <c r="BI292" s="796">
        <v>0</v>
      </c>
      <c r="BJ292" s="796">
        <v>0</v>
      </c>
      <c r="BK292" s="796">
        <v>0</v>
      </c>
      <c r="BL292" s="796">
        <v>0</v>
      </c>
      <c r="BM292" s="796">
        <v>0</v>
      </c>
      <c r="BN292" s="796">
        <v>0</v>
      </c>
      <c r="BO292" s="796">
        <v>0</v>
      </c>
      <c r="BP292" s="796">
        <v>0</v>
      </c>
      <c r="BQ292" s="796">
        <v>0</v>
      </c>
      <c r="BR292" s="796">
        <v>0</v>
      </c>
      <c r="BS292" s="796">
        <v>0</v>
      </c>
      <c r="BT292" s="796">
        <v>0</v>
      </c>
      <c r="BU292" s="796">
        <v>0</v>
      </c>
      <c r="BV292" s="796">
        <v>0</v>
      </c>
    </row>
    <row r="293" spans="2:74">
      <c r="B293" s="795" t="s">
        <v>470</v>
      </c>
      <c r="C293" s="795" t="s">
        <v>3170</v>
      </c>
      <c r="D293" s="795"/>
      <c r="E293" s="796"/>
      <c r="F293" s="799"/>
      <c r="G293" s="799"/>
      <c r="H293" s="799"/>
      <c r="I293" s="799"/>
      <c r="J293" s="799"/>
      <c r="K293" s="799"/>
      <c r="L293" s="799">
        <f t="shared" si="9"/>
        <v>331</v>
      </c>
      <c r="M293" s="799"/>
      <c r="N293" s="595"/>
      <c r="O293" s="794">
        <v>0</v>
      </c>
      <c r="P293" s="794">
        <v>0</v>
      </c>
      <c r="Q293" s="794">
        <v>0</v>
      </c>
      <c r="R293" s="794">
        <v>0</v>
      </c>
      <c r="S293" s="796">
        <v>0</v>
      </c>
      <c r="T293" s="796">
        <v>0</v>
      </c>
      <c r="U293" s="796">
        <v>0</v>
      </c>
      <c r="V293" s="796">
        <v>0</v>
      </c>
      <c r="W293" s="796">
        <v>0</v>
      </c>
      <c r="X293" s="796">
        <v>0</v>
      </c>
      <c r="Y293" s="796">
        <v>0</v>
      </c>
      <c r="Z293" s="796">
        <v>0</v>
      </c>
      <c r="AA293" s="796">
        <v>0</v>
      </c>
      <c r="AB293" s="796">
        <v>0</v>
      </c>
      <c r="AC293" s="796">
        <v>0</v>
      </c>
      <c r="AD293" s="796">
        <v>0</v>
      </c>
      <c r="AE293" s="796">
        <v>0</v>
      </c>
      <c r="AF293" s="796">
        <v>0</v>
      </c>
      <c r="AG293" s="796">
        <v>0</v>
      </c>
      <c r="AH293" s="796">
        <v>0</v>
      </c>
      <c r="AI293" s="796">
        <v>0</v>
      </c>
      <c r="AJ293" s="796">
        <v>0</v>
      </c>
      <c r="AK293" s="796">
        <v>0</v>
      </c>
      <c r="AL293" s="796">
        <v>0</v>
      </c>
      <c r="AM293" s="796">
        <v>0</v>
      </c>
      <c r="AN293" s="796">
        <v>0</v>
      </c>
      <c r="AO293" s="796">
        <v>0</v>
      </c>
      <c r="AP293" s="796">
        <v>0</v>
      </c>
      <c r="AQ293" s="796">
        <v>0</v>
      </c>
      <c r="AR293" s="796">
        <v>0</v>
      </c>
      <c r="AS293" s="810">
        <v>19249.16</v>
      </c>
      <c r="AT293" s="796">
        <v>19249.16</v>
      </c>
      <c r="AU293" s="796">
        <v>122727.77</v>
      </c>
      <c r="AV293" s="796">
        <v>91773.08</v>
      </c>
      <c r="AW293" s="796">
        <v>127760.88</v>
      </c>
      <c r="AX293" s="796">
        <v>32898.720000000001</v>
      </c>
      <c r="AY293" s="796">
        <v>14000</v>
      </c>
      <c r="AZ293" s="796">
        <v>31423.200000000001</v>
      </c>
      <c r="BA293" s="796">
        <v>111823.84</v>
      </c>
      <c r="BB293" s="796">
        <v>240718.37</v>
      </c>
      <c r="BC293" s="796">
        <v>57990.68</v>
      </c>
      <c r="BD293" s="796">
        <v>0</v>
      </c>
      <c r="BE293" s="796">
        <v>0</v>
      </c>
      <c r="BF293" s="796">
        <v>0</v>
      </c>
      <c r="BG293" s="796">
        <v>100408.79</v>
      </c>
      <c r="BH293" s="796">
        <v>107390</v>
      </c>
      <c r="BI293" s="796">
        <v>65780</v>
      </c>
      <c r="BJ293" s="796">
        <v>36722</v>
      </c>
      <c r="BK293" s="796">
        <v>59609</v>
      </c>
      <c r="BL293" s="796">
        <v>206020</v>
      </c>
      <c r="BM293" s="796">
        <v>420000</v>
      </c>
      <c r="BN293" s="796">
        <v>246643.18</v>
      </c>
      <c r="BO293" s="796">
        <v>46047.37</v>
      </c>
      <c r="BP293" s="796">
        <v>9300</v>
      </c>
      <c r="BQ293" s="796">
        <v>55709.33</v>
      </c>
      <c r="BR293" s="796">
        <v>1730</v>
      </c>
      <c r="BS293" s="796">
        <v>590</v>
      </c>
      <c r="BT293" s="796">
        <v>0</v>
      </c>
      <c r="BU293" s="796">
        <v>0</v>
      </c>
      <c r="BV293" s="796">
        <v>0</v>
      </c>
    </row>
    <row r="294" spans="2:74">
      <c r="B294" s="795" t="s">
        <v>3171</v>
      </c>
      <c r="C294" s="795" t="s">
        <v>3088</v>
      </c>
      <c r="D294" s="795"/>
      <c r="E294" s="796"/>
      <c r="F294" s="799"/>
      <c r="G294" s="799"/>
      <c r="H294" s="799"/>
      <c r="I294" s="799"/>
      <c r="J294" s="799"/>
      <c r="K294" s="799"/>
      <c r="L294" s="799">
        <f t="shared" si="9"/>
        <v>331</v>
      </c>
      <c r="M294" s="799"/>
      <c r="N294" s="595"/>
      <c r="O294" s="794">
        <v>0</v>
      </c>
      <c r="P294" s="794">
        <v>0</v>
      </c>
      <c r="Q294" s="794">
        <v>0</v>
      </c>
      <c r="R294" s="794">
        <v>0</v>
      </c>
      <c r="S294" s="796">
        <v>0</v>
      </c>
      <c r="T294" s="796">
        <v>0</v>
      </c>
      <c r="U294" s="796">
        <v>0</v>
      </c>
      <c r="V294" s="796">
        <v>0</v>
      </c>
      <c r="W294" s="796">
        <v>0</v>
      </c>
      <c r="X294" s="796">
        <v>0</v>
      </c>
      <c r="Y294" s="796">
        <v>0</v>
      </c>
      <c r="Z294" s="796">
        <v>0</v>
      </c>
      <c r="AA294" s="796">
        <v>0</v>
      </c>
      <c r="AB294" s="796">
        <v>0</v>
      </c>
      <c r="AC294" s="796">
        <v>0</v>
      </c>
      <c r="AD294" s="796">
        <v>0</v>
      </c>
      <c r="AE294" s="796">
        <v>0</v>
      </c>
      <c r="AF294" s="796">
        <v>0</v>
      </c>
      <c r="AG294" s="796">
        <v>0</v>
      </c>
      <c r="AH294" s="796">
        <v>0</v>
      </c>
      <c r="AI294" s="796">
        <v>0</v>
      </c>
      <c r="AJ294" s="796">
        <v>0</v>
      </c>
      <c r="AK294" s="796">
        <v>0</v>
      </c>
      <c r="AL294" s="796">
        <v>0</v>
      </c>
      <c r="AM294" s="796">
        <v>0</v>
      </c>
      <c r="AN294" s="796">
        <v>0</v>
      </c>
      <c r="AO294" s="796">
        <v>0</v>
      </c>
      <c r="AP294" s="796">
        <v>0</v>
      </c>
      <c r="AQ294" s="796">
        <v>0</v>
      </c>
      <c r="AR294" s="796">
        <v>0</v>
      </c>
      <c r="AS294" s="810">
        <v>78588.06</v>
      </c>
      <c r="AT294" s="796">
        <v>15747.9</v>
      </c>
      <c r="AU294" s="796">
        <v>6264.04</v>
      </c>
      <c r="AV294" s="796">
        <v>0</v>
      </c>
      <c r="AW294" s="796">
        <v>0</v>
      </c>
      <c r="AX294" s="796">
        <v>0</v>
      </c>
      <c r="AY294" s="796">
        <v>0</v>
      </c>
      <c r="AZ294" s="796">
        <v>0</v>
      </c>
      <c r="BA294" s="796">
        <v>0</v>
      </c>
      <c r="BB294" s="796">
        <v>0</v>
      </c>
      <c r="BC294" s="796">
        <v>0</v>
      </c>
      <c r="BD294" s="796">
        <v>0</v>
      </c>
      <c r="BE294" s="796">
        <v>0</v>
      </c>
      <c r="BF294" s="796">
        <v>0</v>
      </c>
      <c r="BG294" s="796">
        <v>0</v>
      </c>
      <c r="BH294" s="796">
        <v>0</v>
      </c>
      <c r="BI294" s="796">
        <v>0</v>
      </c>
      <c r="BJ294" s="796">
        <v>0</v>
      </c>
      <c r="BK294" s="796">
        <v>0</v>
      </c>
      <c r="BL294" s="796">
        <v>0</v>
      </c>
      <c r="BM294" s="796">
        <v>0</v>
      </c>
      <c r="BN294" s="796">
        <v>0</v>
      </c>
      <c r="BO294" s="796">
        <v>0</v>
      </c>
      <c r="BP294" s="796">
        <v>0</v>
      </c>
      <c r="BQ294" s="796">
        <v>0</v>
      </c>
      <c r="BR294" s="796">
        <v>0</v>
      </c>
      <c r="BS294" s="796">
        <v>0</v>
      </c>
      <c r="BT294" s="796">
        <v>0</v>
      </c>
      <c r="BU294" s="796">
        <v>0</v>
      </c>
      <c r="BV294" s="796">
        <v>0</v>
      </c>
    </row>
    <row r="295" spans="2:74">
      <c r="B295" s="795" t="s">
        <v>3172</v>
      </c>
      <c r="C295" s="795" t="s">
        <v>535</v>
      </c>
      <c r="D295" s="795"/>
      <c r="E295" s="796"/>
      <c r="F295" s="799"/>
      <c r="G295" s="799"/>
      <c r="H295" s="799"/>
      <c r="I295" s="799"/>
      <c r="J295" s="799"/>
      <c r="K295" s="799"/>
      <c r="L295" s="799">
        <f t="shared" si="9"/>
        <v>331</v>
      </c>
      <c r="M295" s="799"/>
      <c r="N295" s="595"/>
      <c r="O295" s="794">
        <v>0</v>
      </c>
      <c r="P295" s="794">
        <v>0</v>
      </c>
      <c r="Q295" s="794">
        <v>0</v>
      </c>
      <c r="R295" s="794">
        <v>0</v>
      </c>
      <c r="S295" s="796">
        <v>0</v>
      </c>
      <c r="T295" s="796">
        <v>0</v>
      </c>
      <c r="U295" s="796">
        <v>0</v>
      </c>
      <c r="V295" s="796">
        <v>0</v>
      </c>
      <c r="W295" s="796">
        <v>0</v>
      </c>
      <c r="X295" s="796">
        <v>0</v>
      </c>
      <c r="Y295" s="796">
        <v>0</v>
      </c>
      <c r="Z295" s="796">
        <v>0</v>
      </c>
      <c r="AA295" s="796">
        <v>0</v>
      </c>
      <c r="AB295" s="796">
        <v>0</v>
      </c>
      <c r="AC295" s="796">
        <v>0</v>
      </c>
      <c r="AD295" s="796">
        <v>0</v>
      </c>
      <c r="AE295" s="796">
        <v>0</v>
      </c>
      <c r="AF295" s="796">
        <v>0</v>
      </c>
      <c r="AG295" s="796">
        <v>0</v>
      </c>
      <c r="AH295" s="796">
        <v>0</v>
      </c>
      <c r="AI295" s="796">
        <v>0</v>
      </c>
      <c r="AJ295" s="796">
        <v>0</v>
      </c>
      <c r="AK295" s="796">
        <v>0</v>
      </c>
      <c r="AL295" s="796">
        <v>0</v>
      </c>
      <c r="AM295" s="796">
        <v>0</v>
      </c>
      <c r="AN295" s="796">
        <v>0</v>
      </c>
      <c r="AO295" s="796">
        <v>0</v>
      </c>
      <c r="AP295" s="796">
        <v>0</v>
      </c>
      <c r="AQ295" s="796">
        <v>0</v>
      </c>
      <c r="AR295" s="796">
        <v>0</v>
      </c>
      <c r="AS295" s="810">
        <v>34570.5</v>
      </c>
      <c r="AT295" s="796">
        <v>0</v>
      </c>
      <c r="AU295" s="796">
        <v>0</v>
      </c>
      <c r="AV295" s="796">
        <v>0</v>
      </c>
      <c r="AW295" s="796">
        <v>0</v>
      </c>
      <c r="AX295" s="796">
        <v>0</v>
      </c>
      <c r="AY295" s="796">
        <v>0</v>
      </c>
      <c r="AZ295" s="796">
        <v>0</v>
      </c>
      <c r="BA295" s="796">
        <v>0</v>
      </c>
      <c r="BB295" s="796">
        <v>0</v>
      </c>
      <c r="BC295" s="796">
        <v>0</v>
      </c>
      <c r="BD295" s="796">
        <v>0</v>
      </c>
      <c r="BE295" s="796">
        <v>0</v>
      </c>
      <c r="BF295" s="796">
        <v>0</v>
      </c>
      <c r="BG295" s="796">
        <v>0</v>
      </c>
      <c r="BH295" s="796">
        <v>0</v>
      </c>
      <c r="BI295" s="796">
        <v>0</v>
      </c>
      <c r="BJ295" s="796">
        <v>0</v>
      </c>
      <c r="BK295" s="796">
        <v>0</v>
      </c>
      <c r="BL295" s="796">
        <v>0</v>
      </c>
      <c r="BM295" s="796">
        <v>0</v>
      </c>
      <c r="BN295" s="796">
        <v>0</v>
      </c>
      <c r="BO295" s="796">
        <v>0</v>
      </c>
      <c r="BP295" s="796">
        <v>0</v>
      </c>
      <c r="BQ295" s="796">
        <v>0</v>
      </c>
      <c r="BR295" s="796">
        <v>0</v>
      </c>
      <c r="BS295" s="796">
        <v>0</v>
      </c>
      <c r="BT295" s="796">
        <v>0</v>
      </c>
      <c r="BU295" s="796">
        <v>0</v>
      </c>
      <c r="BV295" s="796">
        <v>0</v>
      </c>
    </row>
    <row r="296" spans="2:74">
      <c r="B296" s="795" t="s">
        <v>3173</v>
      </c>
      <c r="C296" s="795" t="s">
        <v>570</v>
      </c>
      <c r="D296" s="795"/>
      <c r="E296" s="796"/>
      <c r="F296" s="799"/>
      <c r="G296" s="799"/>
      <c r="H296" s="799"/>
      <c r="I296" s="799"/>
      <c r="J296" s="799"/>
      <c r="K296" s="799"/>
      <c r="L296" s="799">
        <f t="shared" si="9"/>
        <v>331</v>
      </c>
      <c r="M296" s="799"/>
      <c r="N296" s="595"/>
      <c r="O296" s="794">
        <v>0</v>
      </c>
      <c r="P296" s="794">
        <v>0</v>
      </c>
      <c r="Q296" s="794">
        <v>0</v>
      </c>
      <c r="R296" s="794">
        <v>0</v>
      </c>
      <c r="S296" s="796">
        <v>0</v>
      </c>
      <c r="T296" s="796">
        <v>0</v>
      </c>
      <c r="U296" s="796">
        <v>0</v>
      </c>
      <c r="V296" s="796">
        <v>0</v>
      </c>
      <c r="W296" s="796">
        <v>0</v>
      </c>
      <c r="X296" s="796">
        <v>0</v>
      </c>
      <c r="Y296" s="796">
        <v>0</v>
      </c>
      <c r="Z296" s="796">
        <v>0</v>
      </c>
      <c r="AA296" s="796">
        <v>0</v>
      </c>
      <c r="AB296" s="796">
        <v>0</v>
      </c>
      <c r="AC296" s="796">
        <v>0</v>
      </c>
      <c r="AD296" s="796">
        <v>0</v>
      </c>
      <c r="AE296" s="796">
        <v>0</v>
      </c>
      <c r="AF296" s="796">
        <v>0</v>
      </c>
      <c r="AG296" s="796">
        <v>0</v>
      </c>
      <c r="AH296" s="796">
        <v>0</v>
      </c>
      <c r="AI296" s="796">
        <v>0</v>
      </c>
      <c r="AJ296" s="796">
        <v>0</v>
      </c>
      <c r="AK296" s="796">
        <v>0</v>
      </c>
      <c r="AL296" s="796">
        <v>0</v>
      </c>
      <c r="AM296" s="796">
        <v>0</v>
      </c>
      <c r="AN296" s="796">
        <v>0</v>
      </c>
      <c r="AO296" s="796">
        <v>0</v>
      </c>
      <c r="AP296" s="796">
        <v>0</v>
      </c>
      <c r="AQ296" s="796">
        <v>0</v>
      </c>
      <c r="AR296" s="796">
        <v>0</v>
      </c>
      <c r="AS296" s="810">
        <v>39970.17</v>
      </c>
      <c r="AT296" s="796">
        <v>0</v>
      </c>
      <c r="AU296" s="796">
        <v>0</v>
      </c>
      <c r="AV296" s="796">
        <v>8000</v>
      </c>
      <c r="AW296" s="796">
        <v>0</v>
      </c>
      <c r="AX296" s="796">
        <v>0</v>
      </c>
      <c r="AY296" s="796">
        <v>0</v>
      </c>
      <c r="AZ296" s="796">
        <v>0</v>
      </c>
      <c r="BA296" s="796">
        <v>0</v>
      </c>
      <c r="BB296" s="796">
        <v>0</v>
      </c>
      <c r="BC296" s="796">
        <v>0</v>
      </c>
      <c r="BD296" s="796">
        <v>0</v>
      </c>
      <c r="BE296" s="796">
        <v>0</v>
      </c>
      <c r="BF296" s="796">
        <v>0</v>
      </c>
      <c r="BG296" s="796">
        <v>0</v>
      </c>
      <c r="BH296" s="796">
        <v>81246.899999999994</v>
      </c>
      <c r="BI296" s="796">
        <v>92355.9</v>
      </c>
      <c r="BJ296" s="796">
        <v>81307.8</v>
      </c>
      <c r="BK296" s="796">
        <v>69797.77</v>
      </c>
      <c r="BL296" s="796">
        <v>0</v>
      </c>
      <c r="BM296" s="796">
        <v>0</v>
      </c>
      <c r="BN296" s="796">
        <v>0</v>
      </c>
      <c r="BO296" s="796">
        <v>0</v>
      </c>
      <c r="BP296" s="796">
        <v>0</v>
      </c>
      <c r="BQ296" s="796">
        <v>0</v>
      </c>
      <c r="BR296" s="796">
        <v>0</v>
      </c>
      <c r="BS296" s="796">
        <v>0</v>
      </c>
      <c r="BT296" s="796">
        <v>0</v>
      </c>
      <c r="BU296" s="796">
        <v>0</v>
      </c>
      <c r="BV296" s="796">
        <v>0</v>
      </c>
    </row>
    <row r="297" spans="2:74">
      <c r="B297" s="795" t="s">
        <v>3174</v>
      </c>
      <c r="C297" s="795" t="s">
        <v>3175</v>
      </c>
      <c r="D297" s="795"/>
      <c r="E297" s="796"/>
      <c r="F297" s="799"/>
      <c r="G297" s="799"/>
      <c r="H297" s="799"/>
      <c r="I297" s="799"/>
      <c r="J297" s="799"/>
      <c r="K297" s="799"/>
      <c r="L297" s="799">
        <f t="shared" si="9"/>
        <v>331</v>
      </c>
      <c r="M297" s="799"/>
      <c r="N297" s="595"/>
      <c r="O297" s="794">
        <v>0</v>
      </c>
      <c r="P297" s="794">
        <v>0</v>
      </c>
      <c r="Q297" s="794">
        <v>0</v>
      </c>
      <c r="R297" s="794">
        <v>0</v>
      </c>
      <c r="S297" s="796">
        <v>0</v>
      </c>
      <c r="T297" s="796">
        <v>0</v>
      </c>
      <c r="U297" s="796">
        <v>0</v>
      </c>
      <c r="V297" s="796">
        <v>0</v>
      </c>
      <c r="W297" s="796">
        <v>0</v>
      </c>
      <c r="X297" s="796">
        <v>0</v>
      </c>
      <c r="Y297" s="796">
        <v>0</v>
      </c>
      <c r="Z297" s="796">
        <v>0</v>
      </c>
      <c r="AA297" s="796">
        <v>0</v>
      </c>
      <c r="AB297" s="796">
        <v>0</v>
      </c>
      <c r="AC297" s="796">
        <v>0</v>
      </c>
      <c r="AD297" s="796">
        <v>0</v>
      </c>
      <c r="AE297" s="796">
        <v>0</v>
      </c>
      <c r="AF297" s="796">
        <v>0</v>
      </c>
      <c r="AG297" s="796">
        <v>0</v>
      </c>
      <c r="AH297" s="796">
        <v>0</v>
      </c>
      <c r="AI297" s="796">
        <v>0</v>
      </c>
      <c r="AJ297" s="796">
        <v>0</v>
      </c>
      <c r="AK297" s="796">
        <v>0</v>
      </c>
      <c r="AL297" s="796">
        <v>0</v>
      </c>
      <c r="AM297" s="796">
        <v>0</v>
      </c>
      <c r="AN297" s="796">
        <v>0</v>
      </c>
      <c r="AO297" s="796">
        <v>0</v>
      </c>
      <c r="AP297" s="796">
        <v>0</v>
      </c>
      <c r="AQ297" s="796">
        <v>0</v>
      </c>
      <c r="AR297" s="796">
        <v>0</v>
      </c>
      <c r="AS297" s="810">
        <v>19132.87</v>
      </c>
      <c r="AT297" s="796">
        <v>40801.730000000003</v>
      </c>
      <c r="AU297" s="796">
        <v>8055.55</v>
      </c>
      <c r="AV297" s="796">
        <v>12048.55</v>
      </c>
      <c r="AW297" s="796">
        <v>19564.52</v>
      </c>
      <c r="AX297" s="796">
        <v>0</v>
      </c>
      <c r="AY297" s="796">
        <v>1800</v>
      </c>
      <c r="AZ297" s="796">
        <v>0</v>
      </c>
      <c r="BA297" s="796">
        <v>0</v>
      </c>
      <c r="BB297" s="796">
        <v>0</v>
      </c>
      <c r="BC297" s="796">
        <v>0</v>
      </c>
      <c r="BD297" s="796">
        <v>0</v>
      </c>
      <c r="BE297" s="796">
        <v>0</v>
      </c>
      <c r="BF297" s="796">
        <v>0</v>
      </c>
      <c r="BG297" s="796">
        <v>0</v>
      </c>
      <c r="BH297" s="796">
        <v>0</v>
      </c>
      <c r="BI297" s="796">
        <v>0</v>
      </c>
      <c r="BJ297" s="796">
        <v>0</v>
      </c>
      <c r="BK297" s="796">
        <v>0</v>
      </c>
      <c r="BL297" s="796">
        <v>0</v>
      </c>
      <c r="BM297" s="796">
        <v>0</v>
      </c>
      <c r="BN297" s="796">
        <v>0</v>
      </c>
      <c r="BO297" s="796">
        <v>0</v>
      </c>
      <c r="BP297" s="796">
        <v>0</v>
      </c>
      <c r="BQ297" s="796">
        <v>0</v>
      </c>
      <c r="BR297" s="796">
        <v>0</v>
      </c>
      <c r="BS297" s="796">
        <v>0</v>
      </c>
      <c r="BT297" s="796">
        <v>0</v>
      </c>
      <c r="BU297" s="796">
        <v>0</v>
      </c>
      <c r="BV297" s="796">
        <v>0</v>
      </c>
    </row>
    <row r="298" spans="2:74">
      <c r="B298" s="795" t="s">
        <v>583</v>
      </c>
      <c r="C298" s="795" t="s">
        <v>3176</v>
      </c>
      <c r="D298" s="795"/>
      <c r="E298" s="796"/>
      <c r="F298" s="799"/>
      <c r="G298" s="799"/>
      <c r="H298" s="799"/>
      <c r="I298" s="799"/>
      <c r="J298" s="799"/>
      <c r="K298" s="799"/>
      <c r="L298" s="799">
        <f t="shared" si="9"/>
        <v>331</v>
      </c>
      <c r="M298" s="799"/>
      <c r="N298" s="595"/>
      <c r="O298" s="794">
        <v>0</v>
      </c>
      <c r="P298" s="794">
        <v>0</v>
      </c>
      <c r="Q298" s="794">
        <v>0</v>
      </c>
      <c r="R298" s="794">
        <v>0</v>
      </c>
      <c r="S298" s="796">
        <v>0</v>
      </c>
      <c r="T298" s="796">
        <v>0</v>
      </c>
      <c r="U298" s="796">
        <v>0</v>
      </c>
      <c r="V298" s="796">
        <v>0</v>
      </c>
      <c r="W298" s="796">
        <v>0</v>
      </c>
      <c r="X298" s="796">
        <v>0</v>
      </c>
      <c r="Y298" s="796">
        <v>0</v>
      </c>
      <c r="Z298" s="796">
        <v>0</v>
      </c>
      <c r="AA298" s="796">
        <v>0</v>
      </c>
      <c r="AB298" s="796">
        <v>0</v>
      </c>
      <c r="AC298" s="796">
        <v>0</v>
      </c>
      <c r="AD298" s="796">
        <v>0</v>
      </c>
      <c r="AE298" s="796">
        <v>0</v>
      </c>
      <c r="AF298" s="796">
        <v>0</v>
      </c>
      <c r="AG298" s="796">
        <v>0</v>
      </c>
      <c r="AH298" s="796">
        <v>0</v>
      </c>
      <c r="AI298" s="796">
        <v>0</v>
      </c>
      <c r="AJ298" s="796">
        <v>0</v>
      </c>
      <c r="AK298" s="796">
        <v>0</v>
      </c>
      <c r="AL298" s="796">
        <v>0</v>
      </c>
      <c r="AM298" s="796">
        <v>0</v>
      </c>
      <c r="AN298" s="796">
        <v>0</v>
      </c>
      <c r="AO298" s="796">
        <v>0</v>
      </c>
      <c r="AP298" s="796">
        <v>0</v>
      </c>
      <c r="AQ298" s="796">
        <v>0</v>
      </c>
      <c r="AR298" s="796">
        <v>0</v>
      </c>
      <c r="AS298" s="810">
        <v>16154.33</v>
      </c>
      <c r="AT298" s="796">
        <v>26628.33</v>
      </c>
      <c r="AU298" s="796">
        <v>0</v>
      </c>
      <c r="AV298" s="796">
        <v>0</v>
      </c>
      <c r="AW298" s="796">
        <v>0</v>
      </c>
      <c r="AX298" s="796">
        <v>0</v>
      </c>
      <c r="AY298" s="796">
        <v>0</v>
      </c>
      <c r="AZ298" s="796">
        <v>0</v>
      </c>
      <c r="BA298" s="796">
        <v>0</v>
      </c>
      <c r="BB298" s="796">
        <v>0</v>
      </c>
      <c r="BC298" s="796">
        <v>0</v>
      </c>
      <c r="BD298" s="796">
        <v>0</v>
      </c>
      <c r="BE298" s="796">
        <v>0</v>
      </c>
      <c r="BF298" s="796">
        <v>0</v>
      </c>
      <c r="BG298" s="796">
        <v>0</v>
      </c>
      <c r="BH298" s="796">
        <v>0</v>
      </c>
      <c r="BI298" s="796">
        <v>0</v>
      </c>
      <c r="BJ298" s="796">
        <v>0</v>
      </c>
      <c r="BK298" s="796">
        <v>37771.35</v>
      </c>
      <c r="BL298" s="796">
        <v>37604.5</v>
      </c>
      <c r="BM298" s="796">
        <v>0</v>
      </c>
      <c r="BN298" s="796">
        <v>0</v>
      </c>
      <c r="BO298" s="796">
        <v>0</v>
      </c>
      <c r="BP298" s="796">
        <v>0</v>
      </c>
      <c r="BQ298" s="796">
        <v>0</v>
      </c>
      <c r="BR298" s="796">
        <v>0</v>
      </c>
      <c r="BS298" s="796">
        <v>0</v>
      </c>
      <c r="BT298" s="796">
        <v>0</v>
      </c>
      <c r="BU298" s="796">
        <v>0</v>
      </c>
      <c r="BV298" s="796">
        <v>0</v>
      </c>
    </row>
    <row r="299" spans="2:74">
      <c r="B299" s="795" t="s">
        <v>3177</v>
      </c>
      <c r="C299" s="795" t="s">
        <v>3178</v>
      </c>
      <c r="D299" s="795"/>
      <c r="E299" s="796"/>
      <c r="F299" s="799"/>
      <c r="G299" s="799"/>
      <c r="H299" s="799"/>
      <c r="I299" s="799"/>
      <c r="J299" s="799"/>
      <c r="K299" s="799"/>
      <c r="L299" s="799">
        <f t="shared" si="9"/>
        <v>331</v>
      </c>
      <c r="M299" s="799"/>
      <c r="N299" s="595"/>
      <c r="O299" s="794">
        <v>0</v>
      </c>
      <c r="P299" s="794">
        <v>0</v>
      </c>
      <c r="Q299" s="794">
        <v>0</v>
      </c>
      <c r="R299" s="794">
        <v>0</v>
      </c>
      <c r="S299" s="796">
        <v>0</v>
      </c>
      <c r="T299" s="796">
        <v>0</v>
      </c>
      <c r="U299" s="796">
        <v>0</v>
      </c>
      <c r="V299" s="796">
        <v>0</v>
      </c>
      <c r="W299" s="796">
        <v>0</v>
      </c>
      <c r="X299" s="796">
        <v>0</v>
      </c>
      <c r="Y299" s="796">
        <v>0</v>
      </c>
      <c r="Z299" s="796">
        <v>0</v>
      </c>
      <c r="AA299" s="796">
        <v>0</v>
      </c>
      <c r="AB299" s="796">
        <v>0</v>
      </c>
      <c r="AC299" s="796">
        <v>0</v>
      </c>
      <c r="AD299" s="796">
        <v>0</v>
      </c>
      <c r="AE299" s="796">
        <v>0</v>
      </c>
      <c r="AF299" s="796">
        <v>0</v>
      </c>
      <c r="AG299" s="796">
        <v>0</v>
      </c>
      <c r="AH299" s="796">
        <v>0</v>
      </c>
      <c r="AI299" s="796">
        <v>0</v>
      </c>
      <c r="AJ299" s="796">
        <v>0</v>
      </c>
      <c r="AK299" s="796">
        <v>0</v>
      </c>
      <c r="AL299" s="796">
        <v>0</v>
      </c>
      <c r="AM299" s="796">
        <v>0</v>
      </c>
      <c r="AN299" s="796">
        <v>0</v>
      </c>
      <c r="AO299" s="796">
        <v>0</v>
      </c>
      <c r="AP299" s="796">
        <v>0</v>
      </c>
      <c r="AQ299" s="796">
        <v>0</v>
      </c>
      <c r="AR299" s="796">
        <v>0</v>
      </c>
      <c r="AS299" s="810">
        <v>12971.9</v>
      </c>
      <c r="AT299" s="796">
        <v>40660.29</v>
      </c>
      <c r="AU299" s="796">
        <v>13033.48</v>
      </c>
      <c r="AV299" s="796">
        <v>19374.48</v>
      </c>
      <c r="AW299" s="796">
        <v>20687</v>
      </c>
      <c r="AX299" s="796">
        <v>0</v>
      </c>
      <c r="AY299" s="796">
        <v>0</v>
      </c>
      <c r="AZ299" s="796">
        <v>0</v>
      </c>
      <c r="BA299" s="796">
        <v>0</v>
      </c>
      <c r="BB299" s="796">
        <v>0</v>
      </c>
      <c r="BC299" s="796">
        <v>4401</v>
      </c>
      <c r="BD299" s="796">
        <v>20503.88</v>
      </c>
      <c r="BE299" s="796">
        <v>0</v>
      </c>
      <c r="BF299" s="796">
        <v>0</v>
      </c>
      <c r="BG299" s="796">
        <v>0</v>
      </c>
      <c r="BH299" s="796">
        <v>0</v>
      </c>
      <c r="BI299" s="796">
        <v>0</v>
      </c>
      <c r="BJ299" s="796">
        <v>0</v>
      </c>
      <c r="BK299" s="796">
        <v>0</v>
      </c>
      <c r="BL299" s="796">
        <v>0</v>
      </c>
      <c r="BM299" s="796">
        <v>0</v>
      </c>
      <c r="BN299" s="796">
        <v>0</v>
      </c>
      <c r="BO299" s="796">
        <v>0</v>
      </c>
      <c r="BP299" s="796">
        <v>0</v>
      </c>
      <c r="BQ299" s="796">
        <v>0</v>
      </c>
      <c r="BR299" s="796">
        <v>0</v>
      </c>
      <c r="BS299" s="796">
        <v>0</v>
      </c>
      <c r="BT299" s="796">
        <v>0</v>
      </c>
      <c r="BU299" s="796">
        <v>0</v>
      </c>
      <c r="BV299" s="796">
        <v>0</v>
      </c>
    </row>
    <row r="300" spans="2:74">
      <c r="B300" s="795" t="s">
        <v>3179</v>
      </c>
      <c r="C300" s="795" t="s">
        <v>481</v>
      </c>
      <c r="D300" s="795"/>
      <c r="E300" s="796"/>
      <c r="F300" s="799"/>
      <c r="G300" s="799"/>
      <c r="H300" s="799"/>
      <c r="I300" s="799"/>
      <c r="J300" s="799"/>
      <c r="K300" s="799"/>
      <c r="L300" s="799">
        <f t="shared" si="9"/>
        <v>331</v>
      </c>
      <c r="M300" s="799"/>
      <c r="N300" s="595"/>
      <c r="O300" s="794">
        <v>0</v>
      </c>
      <c r="P300" s="794">
        <v>0</v>
      </c>
      <c r="Q300" s="794">
        <v>0</v>
      </c>
      <c r="R300" s="794">
        <v>0</v>
      </c>
      <c r="S300" s="796">
        <v>0</v>
      </c>
      <c r="T300" s="796">
        <v>0</v>
      </c>
      <c r="U300" s="796">
        <v>0</v>
      </c>
      <c r="V300" s="796">
        <v>0</v>
      </c>
      <c r="W300" s="796">
        <v>0</v>
      </c>
      <c r="X300" s="796">
        <v>0</v>
      </c>
      <c r="Y300" s="796">
        <v>0</v>
      </c>
      <c r="Z300" s="796">
        <v>0</v>
      </c>
      <c r="AA300" s="796">
        <v>0</v>
      </c>
      <c r="AB300" s="796">
        <v>0</v>
      </c>
      <c r="AC300" s="796">
        <v>0</v>
      </c>
      <c r="AD300" s="796">
        <v>0</v>
      </c>
      <c r="AE300" s="796">
        <v>0</v>
      </c>
      <c r="AF300" s="796">
        <v>0</v>
      </c>
      <c r="AG300" s="796">
        <v>0</v>
      </c>
      <c r="AH300" s="796">
        <v>0</v>
      </c>
      <c r="AI300" s="796">
        <v>0</v>
      </c>
      <c r="AJ300" s="796">
        <v>0</v>
      </c>
      <c r="AK300" s="796">
        <v>0</v>
      </c>
      <c r="AL300" s="796">
        <v>0</v>
      </c>
      <c r="AM300" s="796">
        <v>0</v>
      </c>
      <c r="AN300" s="796">
        <v>0</v>
      </c>
      <c r="AO300" s="796">
        <v>0</v>
      </c>
      <c r="AP300" s="796">
        <v>0</v>
      </c>
      <c r="AQ300" s="796">
        <v>0</v>
      </c>
      <c r="AR300" s="796">
        <v>0</v>
      </c>
      <c r="AS300" s="810">
        <v>10060.799999999999</v>
      </c>
      <c r="AT300" s="796">
        <v>30786.11</v>
      </c>
      <c r="AU300" s="796">
        <v>46437.5</v>
      </c>
      <c r="AV300" s="796">
        <v>59733.760000000002</v>
      </c>
      <c r="AW300" s="796">
        <v>50521.08</v>
      </c>
      <c r="AX300" s="796">
        <v>20501.490000000002</v>
      </c>
      <c r="AY300" s="796">
        <v>28759.599999999999</v>
      </c>
      <c r="AZ300" s="796">
        <v>25436.42</v>
      </c>
      <c r="BA300" s="796">
        <v>52986.85</v>
      </c>
      <c r="BB300" s="796">
        <v>19669.669999999998</v>
      </c>
      <c r="BC300" s="796">
        <v>16991.849999999999</v>
      </c>
      <c r="BD300" s="796">
        <v>13285.68</v>
      </c>
      <c r="BE300" s="796">
        <v>31082.53</v>
      </c>
      <c r="BF300" s="796">
        <v>14076.13</v>
      </c>
      <c r="BG300" s="796">
        <v>0</v>
      </c>
      <c r="BH300" s="796">
        <v>0</v>
      </c>
      <c r="BI300" s="796">
        <v>0</v>
      </c>
      <c r="BJ300" s="796">
        <v>7007.23</v>
      </c>
      <c r="BK300" s="796">
        <v>0</v>
      </c>
      <c r="BL300" s="796">
        <v>0</v>
      </c>
      <c r="BM300" s="796">
        <v>23648.639999999999</v>
      </c>
      <c r="BN300" s="796">
        <v>0</v>
      </c>
      <c r="BO300" s="796">
        <v>0</v>
      </c>
      <c r="BP300" s="796">
        <v>0</v>
      </c>
      <c r="BQ300" s="796">
        <v>0</v>
      </c>
      <c r="BR300" s="796">
        <v>0</v>
      </c>
      <c r="BS300" s="796">
        <v>8149.68</v>
      </c>
      <c r="BT300" s="796">
        <v>0</v>
      </c>
      <c r="BU300" s="796">
        <v>0</v>
      </c>
      <c r="BV300" s="796">
        <v>0</v>
      </c>
    </row>
    <row r="301" spans="2:74">
      <c r="B301" s="795" t="s">
        <v>3180</v>
      </c>
      <c r="C301" s="795" t="s">
        <v>3029</v>
      </c>
      <c r="D301" s="795"/>
      <c r="E301" s="796"/>
      <c r="F301" s="799"/>
      <c r="G301" s="799"/>
      <c r="H301" s="799"/>
      <c r="I301" s="799"/>
      <c r="J301" s="799"/>
      <c r="K301" s="799"/>
      <c r="L301" s="799">
        <f t="shared" si="9"/>
        <v>331</v>
      </c>
      <c r="M301" s="799"/>
      <c r="N301" s="595"/>
      <c r="O301" s="794">
        <v>0</v>
      </c>
      <c r="P301" s="794">
        <v>0</v>
      </c>
      <c r="Q301" s="794">
        <v>0</v>
      </c>
      <c r="R301" s="794">
        <v>0</v>
      </c>
      <c r="S301" s="796">
        <v>0</v>
      </c>
      <c r="T301" s="796">
        <v>0</v>
      </c>
      <c r="U301" s="796">
        <v>0</v>
      </c>
      <c r="V301" s="796">
        <v>0</v>
      </c>
      <c r="W301" s="796">
        <v>0</v>
      </c>
      <c r="X301" s="796">
        <v>0</v>
      </c>
      <c r="Y301" s="796">
        <v>0</v>
      </c>
      <c r="Z301" s="796">
        <v>0</v>
      </c>
      <c r="AA301" s="796">
        <v>0</v>
      </c>
      <c r="AB301" s="796">
        <v>0</v>
      </c>
      <c r="AC301" s="796">
        <v>0</v>
      </c>
      <c r="AD301" s="796">
        <v>0</v>
      </c>
      <c r="AE301" s="796">
        <v>0</v>
      </c>
      <c r="AF301" s="796">
        <v>0</v>
      </c>
      <c r="AG301" s="796">
        <v>0</v>
      </c>
      <c r="AH301" s="796">
        <v>0</v>
      </c>
      <c r="AI301" s="796">
        <v>0</v>
      </c>
      <c r="AJ301" s="796">
        <v>0</v>
      </c>
      <c r="AK301" s="796">
        <v>0</v>
      </c>
      <c r="AL301" s="796">
        <v>0</v>
      </c>
      <c r="AM301" s="796">
        <v>0</v>
      </c>
      <c r="AN301" s="796">
        <v>0</v>
      </c>
      <c r="AO301" s="796">
        <v>0</v>
      </c>
      <c r="AP301" s="796">
        <v>0</v>
      </c>
      <c r="AQ301" s="796">
        <v>0</v>
      </c>
      <c r="AR301" s="796">
        <v>0</v>
      </c>
      <c r="AS301" s="810">
        <v>45200</v>
      </c>
      <c r="AT301" s="796">
        <v>0</v>
      </c>
      <c r="AU301" s="796">
        <v>0</v>
      </c>
      <c r="AV301" s="796">
        <v>57800</v>
      </c>
      <c r="AW301" s="796">
        <v>0</v>
      </c>
      <c r="AX301" s="796">
        <v>0</v>
      </c>
      <c r="AY301" s="796">
        <v>0</v>
      </c>
      <c r="AZ301" s="796">
        <v>0</v>
      </c>
      <c r="BA301" s="796">
        <v>0</v>
      </c>
      <c r="BB301" s="796">
        <v>0</v>
      </c>
      <c r="BC301" s="796">
        <v>0</v>
      </c>
      <c r="BD301" s="796">
        <v>0</v>
      </c>
      <c r="BE301" s="796">
        <v>0</v>
      </c>
      <c r="BF301" s="796">
        <v>0</v>
      </c>
      <c r="BG301" s="796">
        <v>0</v>
      </c>
      <c r="BH301" s="796">
        <v>0</v>
      </c>
      <c r="BI301" s="796">
        <v>0</v>
      </c>
      <c r="BJ301" s="796">
        <v>0</v>
      </c>
      <c r="BK301" s="796">
        <v>0</v>
      </c>
      <c r="BL301" s="796">
        <v>0</v>
      </c>
      <c r="BM301" s="796">
        <v>0</v>
      </c>
      <c r="BN301" s="796">
        <v>0</v>
      </c>
      <c r="BO301" s="796">
        <v>0</v>
      </c>
      <c r="BP301" s="796">
        <v>0</v>
      </c>
      <c r="BQ301" s="796">
        <v>0</v>
      </c>
      <c r="BR301" s="796">
        <v>0</v>
      </c>
      <c r="BS301" s="796">
        <v>0</v>
      </c>
      <c r="BT301" s="796">
        <v>0</v>
      </c>
      <c r="BU301" s="796">
        <v>0</v>
      </c>
      <c r="BV301" s="796">
        <v>0</v>
      </c>
    </row>
    <row r="302" spans="2:74">
      <c r="B302" s="795" t="s">
        <v>3428</v>
      </c>
      <c r="C302" s="795" t="s">
        <v>3181</v>
      </c>
      <c r="D302" s="795"/>
      <c r="E302" s="796"/>
      <c r="F302" s="799"/>
      <c r="G302" s="799"/>
      <c r="H302" s="799"/>
      <c r="I302" s="799"/>
      <c r="J302" s="799"/>
      <c r="K302" s="799"/>
      <c r="L302" s="799">
        <f t="shared" si="9"/>
        <v>331</v>
      </c>
      <c r="M302" s="799"/>
      <c r="N302" s="595"/>
      <c r="O302" s="794">
        <v>0</v>
      </c>
      <c r="P302" s="794">
        <v>0</v>
      </c>
      <c r="Q302" s="794">
        <v>0</v>
      </c>
      <c r="R302" s="794">
        <v>0</v>
      </c>
      <c r="S302" s="796">
        <v>0</v>
      </c>
      <c r="T302" s="796">
        <v>0</v>
      </c>
      <c r="U302" s="796">
        <v>0</v>
      </c>
      <c r="V302" s="796">
        <v>0</v>
      </c>
      <c r="W302" s="796">
        <v>0</v>
      </c>
      <c r="X302" s="796">
        <v>0</v>
      </c>
      <c r="Y302" s="796">
        <v>0</v>
      </c>
      <c r="Z302" s="796">
        <v>0</v>
      </c>
      <c r="AA302" s="796">
        <v>0</v>
      </c>
      <c r="AB302" s="796">
        <v>0</v>
      </c>
      <c r="AC302" s="796">
        <v>0</v>
      </c>
      <c r="AD302" s="796">
        <v>0</v>
      </c>
      <c r="AE302" s="796">
        <v>0</v>
      </c>
      <c r="AF302" s="796">
        <v>0</v>
      </c>
      <c r="AG302" s="796">
        <v>0</v>
      </c>
      <c r="AH302" s="796">
        <v>0</v>
      </c>
      <c r="AI302" s="796">
        <v>0</v>
      </c>
      <c r="AJ302" s="796">
        <v>0</v>
      </c>
      <c r="AK302" s="796">
        <v>0</v>
      </c>
      <c r="AL302" s="796">
        <v>0</v>
      </c>
      <c r="AM302" s="796">
        <v>0</v>
      </c>
      <c r="AN302" s="796">
        <v>0</v>
      </c>
      <c r="AO302" s="796">
        <v>0</v>
      </c>
      <c r="AP302" s="796">
        <v>0</v>
      </c>
      <c r="AQ302" s="796">
        <v>0</v>
      </c>
      <c r="AR302" s="796">
        <v>0</v>
      </c>
      <c r="AS302" s="810">
        <v>107702.5</v>
      </c>
      <c r="AT302" s="796">
        <v>0</v>
      </c>
      <c r="AU302" s="796">
        <v>0</v>
      </c>
      <c r="AV302" s="796">
        <v>0</v>
      </c>
      <c r="AW302" s="796">
        <v>0</v>
      </c>
      <c r="AX302" s="796">
        <v>0</v>
      </c>
      <c r="AY302" s="796">
        <v>0</v>
      </c>
      <c r="AZ302" s="796">
        <v>0</v>
      </c>
      <c r="BA302" s="796">
        <v>0</v>
      </c>
      <c r="BB302" s="796">
        <v>0</v>
      </c>
      <c r="BC302" s="796">
        <v>0</v>
      </c>
      <c r="BD302" s="796">
        <v>0</v>
      </c>
      <c r="BE302" s="796">
        <v>0</v>
      </c>
      <c r="BF302" s="796">
        <v>0</v>
      </c>
      <c r="BG302" s="796">
        <v>0</v>
      </c>
      <c r="BH302" s="796">
        <v>0</v>
      </c>
      <c r="BI302" s="796">
        <v>0</v>
      </c>
      <c r="BJ302" s="796">
        <v>0</v>
      </c>
      <c r="BK302" s="796">
        <v>0</v>
      </c>
      <c r="BL302" s="796">
        <v>0</v>
      </c>
      <c r="BM302" s="796">
        <v>0</v>
      </c>
      <c r="BN302" s="796">
        <v>0</v>
      </c>
      <c r="BO302" s="796">
        <v>0</v>
      </c>
      <c r="BP302" s="796">
        <v>0</v>
      </c>
      <c r="BQ302" s="796">
        <v>0</v>
      </c>
      <c r="BR302" s="796">
        <v>0</v>
      </c>
      <c r="BS302" s="796">
        <v>0</v>
      </c>
      <c r="BT302" s="796">
        <v>0</v>
      </c>
      <c r="BU302" s="796">
        <v>0</v>
      </c>
      <c r="BV302" s="796">
        <v>0</v>
      </c>
    </row>
    <row r="303" spans="2:74">
      <c r="B303" s="795" t="s">
        <v>3182</v>
      </c>
      <c r="C303" s="795" t="s">
        <v>2900</v>
      </c>
      <c r="D303" s="795"/>
      <c r="E303" s="796"/>
      <c r="F303" s="799"/>
      <c r="G303" s="799"/>
      <c r="H303" s="799"/>
      <c r="I303" s="799"/>
      <c r="J303" s="799"/>
      <c r="K303" s="799"/>
      <c r="L303" s="799">
        <f t="shared" si="9"/>
        <v>331</v>
      </c>
      <c r="M303" s="799"/>
      <c r="N303" s="595"/>
      <c r="O303" s="794">
        <v>0</v>
      </c>
      <c r="P303" s="794">
        <v>0</v>
      </c>
      <c r="Q303" s="794">
        <v>0</v>
      </c>
      <c r="R303" s="794">
        <v>0</v>
      </c>
      <c r="S303" s="796">
        <v>0</v>
      </c>
      <c r="T303" s="796">
        <v>0</v>
      </c>
      <c r="U303" s="796">
        <v>0</v>
      </c>
      <c r="V303" s="796">
        <v>0</v>
      </c>
      <c r="W303" s="796">
        <v>0</v>
      </c>
      <c r="X303" s="796">
        <v>0</v>
      </c>
      <c r="Y303" s="796">
        <v>0</v>
      </c>
      <c r="Z303" s="796">
        <v>0</v>
      </c>
      <c r="AA303" s="796">
        <v>0</v>
      </c>
      <c r="AB303" s="796">
        <v>0</v>
      </c>
      <c r="AC303" s="796">
        <v>0</v>
      </c>
      <c r="AD303" s="796">
        <v>0</v>
      </c>
      <c r="AE303" s="796">
        <v>0</v>
      </c>
      <c r="AF303" s="796">
        <v>0</v>
      </c>
      <c r="AG303" s="796">
        <v>0</v>
      </c>
      <c r="AH303" s="796">
        <v>0</v>
      </c>
      <c r="AI303" s="796">
        <v>0</v>
      </c>
      <c r="AJ303" s="796">
        <v>0</v>
      </c>
      <c r="AK303" s="796">
        <v>0</v>
      </c>
      <c r="AL303" s="796">
        <v>0</v>
      </c>
      <c r="AM303" s="796">
        <v>0</v>
      </c>
      <c r="AN303" s="796">
        <v>0</v>
      </c>
      <c r="AO303" s="796">
        <v>0</v>
      </c>
      <c r="AP303" s="796">
        <v>0</v>
      </c>
      <c r="AQ303" s="796">
        <v>0</v>
      </c>
      <c r="AR303" s="796">
        <v>0</v>
      </c>
      <c r="AS303" s="810">
        <v>29067.599999999999</v>
      </c>
      <c r="AT303" s="796">
        <v>164448.75</v>
      </c>
      <c r="AU303" s="796">
        <v>162449.03</v>
      </c>
      <c r="AV303" s="796">
        <v>131910.01</v>
      </c>
      <c r="AW303" s="796">
        <v>0</v>
      </c>
      <c r="AX303" s="796">
        <v>1200</v>
      </c>
      <c r="AY303" s="796">
        <v>0</v>
      </c>
      <c r="AZ303" s="796">
        <v>0</v>
      </c>
      <c r="BA303" s="796">
        <v>0</v>
      </c>
      <c r="BB303" s="796">
        <v>0</v>
      </c>
      <c r="BC303" s="796">
        <v>0</v>
      </c>
      <c r="BD303" s="796">
        <v>0</v>
      </c>
      <c r="BE303" s="796">
        <v>0</v>
      </c>
      <c r="BF303" s="796">
        <v>0</v>
      </c>
      <c r="BG303" s="796">
        <v>0</v>
      </c>
      <c r="BH303" s="796">
        <v>0</v>
      </c>
      <c r="BI303" s="796">
        <v>0</v>
      </c>
      <c r="BJ303" s="796">
        <v>0</v>
      </c>
      <c r="BK303" s="796">
        <v>0</v>
      </c>
      <c r="BL303" s="796">
        <v>0</v>
      </c>
      <c r="BM303" s="796">
        <v>0</v>
      </c>
      <c r="BN303" s="796">
        <v>0</v>
      </c>
      <c r="BO303" s="796">
        <v>0</v>
      </c>
      <c r="BP303" s="796">
        <v>0</v>
      </c>
      <c r="BQ303" s="796">
        <v>0</v>
      </c>
      <c r="BR303" s="796">
        <v>0</v>
      </c>
      <c r="BS303" s="796">
        <v>0</v>
      </c>
      <c r="BT303" s="796">
        <v>0</v>
      </c>
      <c r="BU303" s="796">
        <v>0</v>
      </c>
      <c r="BV303" s="796">
        <v>0</v>
      </c>
    </row>
    <row r="304" spans="2:74">
      <c r="B304" s="795" t="s">
        <v>3183</v>
      </c>
      <c r="C304" s="795" t="s">
        <v>3066</v>
      </c>
      <c r="D304" s="795"/>
      <c r="E304" s="796"/>
      <c r="F304" s="799"/>
      <c r="G304" s="799"/>
      <c r="H304" s="799"/>
      <c r="I304" s="799"/>
      <c r="J304" s="799"/>
      <c r="K304" s="799"/>
      <c r="L304" s="799">
        <f t="shared" si="9"/>
        <v>331</v>
      </c>
      <c r="M304" s="799"/>
      <c r="N304" s="595"/>
      <c r="O304" s="794">
        <v>0</v>
      </c>
      <c r="P304" s="794">
        <v>0</v>
      </c>
      <c r="Q304" s="794">
        <v>0</v>
      </c>
      <c r="R304" s="794">
        <v>0</v>
      </c>
      <c r="S304" s="796">
        <v>0</v>
      </c>
      <c r="T304" s="796">
        <v>0</v>
      </c>
      <c r="U304" s="796">
        <v>0</v>
      </c>
      <c r="V304" s="796">
        <v>0</v>
      </c>
      <c r="W304" s="796">
        <v>0</v>
      </c>
      <c r="X304" s="796">
        <v>0</v>
      </c>
      <c r="Y304" s="796">
        <v>0</v>
      </c>
      <c r="Z304" s="796">
        <v>0</v>
      </c>
      <c r="AA304" s="796">
        <v>0</v>
      </c>
      <c r="AB304" s="796">
        <v>0</v>
      </c>
      <c r="AC304" s="796">
        <v>0</v>
      </c>
      <c r="AD304" s="796">
        <v>0</v>
      </c>
      <c r="AE304" s="796">
        <v>0</v>
      </c>
      <c r="AF304" s="796">
        <v>0</v>
      </c>
      <c r="AG304" s="796">
        <v>0</v>
      </c>
      <c r="AH304" s="796">
        <v>0</v>
      </c>
      <c r="AI304" s="796">
        <v>0</v>
      </c>
      <c r="AJ304" s="796">
        <v>0</v>
      </c>
      <c r="AK304" s="796">
        <v>0</v>
      </c>
      <c r="AL304" s="796">
        <v>0</v>
      </c>
      <c r="AM304" s="796">
        <v>0</v>
      </c>
      <c r="AN304" s="796">
        <v>0</v>
      </c>
      <c r="AO304" s="796">
        <v>0</v>
      </c>
      <c r="AP304" s="796">
        <v>0</v>
      </c>
      <c r="AQ304" s="796">
        <v>0</v>
      </c>
      <c r="AR304" s="796">
        <v>0</v>
      </c>
      <c r="AS304" s="810">
        <v>133746.5</v>
      </c>
      <c r="AT304" s="796">
        <v>0</v>
      </c>
      <c r="AU304" s="796">
        <v>0</v>
      </c>
      <c r="AV304" s="796">
        <v>29989</v>
      </c>
      <c r="AW304" s="796">
        <v>0</v>
      </c>
      <c r="AX304" s="796">
        <v>0</v>
      </c>
      <c r="AY304" s="796">
        <v>0</v>
      </c>
      <c r="AZ304" s="796">
        <v>0</v>
      </c>
      <c r="BA304" s="796">
        <v>0</v>
      </c>
      <c r="BB304" s="796">
        <v>19584</v>
      </c>
      <c r="BC304" s="796">
        <v>0</v>
      </c>
      <c r="BD304" s="796">
        <v>0</v>
      </c>
      <c r="BE304" s="796">
        <v>0</v>
      </c>
      <c r="BF304" s="796">
        <v>0</v>
      </c>
      <c r="BG304" s="796">
        <v>0</v>
      </c>
      <c r="BH304" s="796">
        <v>0</v>
      </c>
      <c r="BI304" s="796">
        <v>0</v>
      </c>
      <c r="BJ304" s="796">
        <v>0</v>
      </c>
      <c r="BK304" s="796">
        <v>0</v>
      </c>
      <c r="BL304" s="796">
        <v>0</v>
      </c>
      <c r="BM304" s="796">
        <v>0</v>
      </c>
      <c r="BN304" s="796">
        <v>0</v>
      </c>
      <c r="BO304" s="796">
        <v>0</v>
      </c>
      <c r="BP304" s="796">
        <v>0</v>
      </c>
      <c r="BQ304" s="796">
        <v>0</v>
      </c>
      <c r="BR304" s="796">
        <v>0</v>
      </c>
      <c r="BS304" s="796">
        <v>0</v>
      </c>
      <c r="BT304" s="796">
        <v>0</v>
      </c>
      <c r="BU304" s="796">
        <v>0</v>
      </c>
      <c r="BV304" s="796">
        <v>0</v>
      </c>
    </row>
    <row r="305" spans="2:74">
      <c r="B305" s="795" t="s">
        <v>3184</v>
      </c>
      <c r="C305" s="795" t="s">
        <v>534</v>
      </c>
      <c r="D305" s="795"/>
      <c r="E305" s="796"/>
      <c r="F305" s="799"/>
      <c r="G305" s="799"/>
      <c r="H305" s="799"/>
      <c r="I305" s="799"/>
      <c r="J305" s="799"/>
      <c r="K305" s="799"/>
      <c r="L305" s="799">
        <f t="shared" si="9"/>
        <v>331</v>
      </c>
      <c r="M305" s="799"/>
      <c r="N305" s="595"/>
      <c r="O305" s="794">
        <v>0</v>
      </c>
      <c r="P305" s="794">
        <v>0</v>
      </c>
      <c r="Q305" s="794">
        <v>0</v>
      </c>
      <c r="R305" s="794">
        <v>0</v>
      </c>
      <c r="S305" s="796">
        <v>0</v>
      </c>
      <c r="T305" s="796">
        <v>0</v>
      </c>
      <c r="U305" s="796">
        <v>0</v>
      </c>
      <c r="V305" s="796">
        <v>0</v>
      </c>
      <c r="W305" s="796">
        <v>0</v>
      </c>
      <c r="X305" s="796">
        <v>0</v>
      </c>
      <c r="Y305" s="796">
        <v>0</v>
      </c>
      <c r="Z305" s="796">
        <v>0</v>
      </c>
      <c r="AA305" s="796">
        <v>0</v>
      </c>
      <c r="AB305" s="796">
        <v>0</v>
      </c>
      <c r="AC305" s="796">
        <v>0</v>
      </c>
      <c r="AD305" s="796">
        <v>0</v>
      </c>
      <c r="AE305" s="796">
        <v>0</v>
      </c>
      <c r="AF305" s="796">
        <v>0</v>
      </c>
      <c r="AG305" s="796">
        <v>0</v>
      </c>
      <c r="AH305" s="796">
        <v>0</v>
      </c>
      <c r="AI305" s="796">
        <v>0</v>
      </c>
      <c r="AJ305" s="796">
        <v>0</v>
      </c>
      <c r="AK305" s="796">
        <v>0</v>
      </c>
      <c r="AL305" s="796">
        <v>0</v>
      </c>
      <c r="AM305" s="796">
        <v>0</v>
      </c>
      <c r="AN305" s="796">
        <v>0</v>
      </c>
      <c r="AO305" s="796">
        <v>0</v>
      </c>
      <c r="AP305" s="796">
        <v>0</v>
      </c>
      <c r="AQ305" s="796">
        <v>0</v>
      </c>
      <c r="AR305" s="796">
        <v>0</v>
      </c>
      <c r="AS305" s="810">
        <v>309585.03999999998</v>
      </c>
      <c r="AT305" s="796">
        <v>0</v>
      </c>
      <c r="AU305" s="796">
        <v>0</v>
      </c>
      <c r="AV305" s="796">
        <v>0</v>
      </c>
      <c r="AW305" s="796">
        <v>0</v>
      </c>
      <c r="AX305" s="796">
        <v>0</v>
      </c>
      <c r="AY305" s="796">
        <v>0</v>
      </c>
      <c r="AZ305" s="796">
        <v>0</v>
      </c>
      <c r="BA305" s="796">
        <v>0</v>
      </c>
      <c r="BB305" s="796">
        <v>0</v>
      </c>
      <c r="BC305" s="796">
        <v>0</v>
      </c>
      <c r="BD305" s="796">
        <v>0</v>
      </c>
      <c r="BE305" s="796">
        <v>0</v>
      </c>
      <c r="BF305" s="796">
        <v>0</v>
      </c>
      <c r="BG305" s="796">
        <v>0</v>
      </c>
      <c r="BH305" s="796">
        <v>0</v>
      </c>
      <c r="BI305" s="796">
        <v>0</v>
      </c>
      <c r="BJ305" s="796">
        <v>0</v>
      </c>
      <c r="BK305" s="796">
        <v>0</v>
      </c>
      <c r="BL305" s="796">
        <v>0</v>
      </c>
      <c r="BM305" s="796">
        <v>0</v>
      </c>
      <c r="BN305" s="796">
        <v>0</v>
      </c>
      <c r="BO305" s="796">
        <v>0</v>
      </c>
      <c r="BP305" s="796">
        <v>0</v>
      </c>
      <c r="BQ305" s="796">
        <v>0</v>
      </c>
      <c r="BR305" s="796">
        <v>0</v>
      </c>
      <c r="BS305" s="796">
        <v>0</v>
      </c>
      <c r="BT305" s="796">
        <v>0</v>
      </c>
      <c r="BU305" s="796">
        <v>0</v>
      </c>
      <c r="BV305" s="796">
        <v>0</v>
      </c>
    </row>
    <row r="306" spans="2:74">
      <c r="B306" s="795" t="s">
        <v>3185</v>
      </c>
      <c r="C306" s="795" t="s">
        <v>3186</v>
      </c>
      <c r="D306" s="795"/>
      <c r="E306" s="796"/>
      <c r="F306" s="799"/>
      <c r="G306" s="799"/>
      <c r="H306" s="799"/>
      <c r="I306" s="799"/>
      <c r="J306" s="799"/>
      <c r="K306" s="799"/>
      <c r="L306" s="799">
        <f t="shared" si="9"/>
        <v>331</v>
      </c>
      <c r="M306" s="799"/>
      <c r="N306" s="595"/>
      <c r="O306" s="794">
        <v>0</v>
      </c>
      <c r="P306" s="794">
        <v>0</v>
      </c>
      <c r="Q306" s="794">
        <v>0</v>
      </c>
      <c r="R306" s="794">
        <v>0</v>
      </c>
      <c r="S306" s="796">
        <v>0</v>
      </c>
      <c r="T306" s="796">
        <v>0</v>
      </c>
      <c r="U306" s="796">
        <v>0</v>
      </c>
      <c r="V306" s="796">
        <v>0</v>
      </c>
      <c r="W306" s="796">
        <v>0</v>
      </c>
      <c r="X306" s="796">
        <v>0</v>
      </c>
      <c r="Y306" s="796">
        <v>0</v>
      </c>
      <c r="Z306" s="796">
        <v>0</v>
      </c>
      <c r="AA306" s="796">
        <v>0</v>
      </c>
      <c r="AB306" s="796">
        <v>0</v>
      </c>
      <c r="AC306" s="796">
        <v>0</v>
      </c>
      <c r="AD306" s="796">
        <v>0</v>
      </c>
      <c r="AE306" s="796">
        <v>0</v>
      </c>
      <c r="AF306" s="796">
        <v>0</v>
      </c>
      <c r="AG306" s="796">
        <v>0</v>
      </c>
      <c r="AH306" s="796">
        <v>0</v>
      </c>
      <c r="AI306" s="796">
        <v>0</v>
      </c>
      <c r="AJ306" s="796">
        <v>0</v>
      </c>
      <c r="AK306" s="796">
        <v>0</v>
      </c>
      <c r="AL306" s="796">
        <v>0</v>
      </c>
      <c r="AM306" s="796">
        <v>0</v>
      </c>
      <c r="AN306" s="796">
        <v>0</v>
      </c>
      <c r="AO306" s="796">
        <v>0</v>
      </c>
      <c r="AP306" s="796">
        <v>0</v>
      </c>
      <c r="AQ306" s="796">
        <v>0</v>
      </c>
      <c r="AR306" s="796">
        <v>0</v>
      </c>
      <c r="AS306" s="810">
        <v>6644.85</v>
      </c>
      <c r="AT306" s="796">
        <v>0</v>
      </c>
      <c r="AU306" s="796">
        <v>0</v>
      </c>
      <c r="AV306" s="796">
        <v>0</v>
      </c>
      <c r="AW306" s="796">
        <v>0</v>
      </c>
      <c r="AX306" s="796">
        <v>0</v>
      </c>
      <c r="AY306" s="796">
        <v>0</v>
      </c>
      <c r="AZ306" s="796">
        <v>0</v>
      </c>
      <c r="BA306" s="796">
        <v>0</v>
      </c>
      <c r="BB306" s="796">
        <v>0</v>
      </c>
      <c r="BC306" s="796">
        <v>0</v>
      </c>
      <c r="BD306" s="796">
        <v>0</v>
      </c>
      <c r="BE306" s="796">
        <v>0</v>
      </c>
      <c r="BF306" s="796">
        <v>0</v>
      </c>
      <c r="BG306" s="796">
        <v>0</v>
      </c>
      <c r="BH306" s="796">
        <v>0</v>
      </c>
      <c r="BI306" s="796">
        <v>0</v>
      </c>
      <c r="BJ306" s="796">
        <v>0</v>
      </c>
      <c r="BK306" s="796">
        <v>0</v>
      </c>
      <c r="BL306" s="796">
        <v>0</v>
      </c>
      <c r="BM306" s="796">
        <v>0</v>
      </c>
      <c r="BN306" s="796">
        <v>0</v>
      </c>
      <c r="BO306" s="796">
        <v>0</v>
      </c>
      <c r="BP306" s="796">
        <v>0</v>
      </c>
      <c r="BQ306" s="796">
        <v>0</v>
      </c>
      <c r="BR306" s="796">
        <v>0</v>
      </c>
      <c r="BS306" s="796">
        <v>0</v>
      </c>
      <c r="BT306" s="796">
        <v>0</v>
      </c>
      <c r="BU306" s="796">
        <v>0</v>
      </c>
      <c r="BV306" s="796">
        <v>0</v>
      </c>
    </row>
    <row r="307" spans="2:74">
      <c r="B307" s="795" t="s">
        <v>3189</v>
      </c>
      <c r="C307" s="795" t="s">
        <v>3190</v>
      </c>
      <c r="D307" s="795"/>
      <c r="E307" s="796"/>
      <c r="F307" s="799"/>
      <c r="G307" s="799"/>
      <c r="H307" s="799"/>
      <c r="I307" s="799"/>
      <c r="J307" s="799"/>
      <c r="K307" s="799"/>
      <c r="L307" s="799">
        <f t="shared" si="9"/>
        <v>331</v>
      </c>
      <c r="M307" s="799"/>
      <c r="N307" s="595"/>
      <c r="O307" s="794">
        <v>0</v>
      </c>
      <c r="P307" s="794">
        <v>0</v>
      </c>
      <c r="Q307" s="794">
        <v>0</v>
      </c>
      <c r="R307" s="794">
        <v>0</v>
      </c>
      <c r="S307" s="796">
        <v>0</v>
      </c>
      <c r="T307" s="796">
        <v>0</v>
      </c>
      <c r="U307" s="796">
        <v>0</v>
      </c>
      <c r="V307" s="796">
        <v>0</v>
      </c>
      <c r="W307" s="796">
        <v>0</v>
      </c>
      <c r="X307" s="796">
        <v>0</v>
      </c>
      <c r="Y307" s="796">
        <v>0</v>
      </c>
      <c r="Z307" s="796">
        <v>0</v>
      </c>
      <c r="AA307" s="796">
        <v>0</v>
      </c>
      <c r="AB307" s="796">
        <v>0</v>
      </c>
      <c r="AC307" s="796">
        <v>0</v>
      </c>
      <c r="AD307" s="796">
        <v>0</v>
      </c>
      <c r="AE307" s="796">
        <v>0</v>
      </c>
      <c r="AF307" s="796">
        <v>0</v>
      </c>
      <c r="AG307" s="796">
        <v>0</v>
      </c>
      <c r="AH307" s="796">
        <v>0</v>
      </c>
      <c r="AI307" s="796">
        <v>0</v>
      </c>
      <c r="AJ307" s="796">
        <v>0</v>
      </c>
      <c r="AK307" s="796">
        <v>0</v>
      </c>
      <c r="AL307" s="796">
        <v>0</v>
      </c>
      <c r="AM307" s="796">
        <v>0</v>
      </c>
      <c r="AN307" s="796">
        <v>0</v>
      </c>
      <c r="AO307" s="796">
        <v>0</v>
      </c>
      <c r="AP307" s="796">
        <v>0</v>
      </c>
      <c r="AQ307" s="796">
        <v>0</v>
      </c>
      <c r="AR307" s="796">
        <v>0</v>
      </c>
      <c r="AS307" s="796">
        <v>0</v>
      </c>
      <c r="AT307" s="810">
        <v>36536.76</v>
      </c>
      <c r="AU307" s="796">
        <v>6660</v>
      </c>
      <c r="AV307" s="796">
        <v>0</v>
      </c>
      <c r="AW307" s="796">
        <v>0</v>
      </c>
      <c r="AX307" s="796">
        <v>936</v>
      </c>
      <c r="AY307" s="796">
        <v>0</v>
      </c>
      <c r="AZ307" s="796">
        <v>0</v>
      </c>
      <c r="BA307" s="796">
        <v>0</v>
      </c>
      <c r="BB307" s="796">
        <v>0</v>
      </c>
      <c r="BC307" s="796">
        <v>0</v>
      </c>
      <c r="BD307" s="796">
        <v>0</v>
      </c>
      <c r="BE307" s="796">
        <v>0</v>
      </c>
      <c r="BF307" s="796">
        <v>0</v>
      </c>
      <c r="BG307" s="796">
        <v>0</v>
      </c>
      <c r="BH307" s="796">
        <v>0</v>
      </c>
      <c r="BI307" s="796">
        <v>0</v>
      </c>
      <c r="BJ307" s="796">
        <v>0</v>
      </c>
      <c r="BK307" s="796">
        <v>0</v>
      </c>
      <c r="BL307" s="796">
        <v>0</v>
      </c>
      <c r="BM307" s="796">
        <v>0</v>
      </c>
      <c r="BN307" s="796">
        <v>0</v>
      </c>
      <c r="BO307" s="796">
        <v>0</v>
      </c>
      <c r="BP307" s="796">
        <v>0</v>
      </c>
      <c r="BQ307" s="796">
        <v>0</v>
      </c>
      <c r="BR307" s="796">
        <v>0</v>
      </c>
      <c r="BS307" s="796">
        <v>0</v>
      </c>
      <c r="BT307" s="796">
        <v>0</v>
      </c>
      <c r="BU307" s="796">
        <v>0</v>
      </c>
      <c r="BV307" s="796">
        <v>0</v>
      </c>
    </row>
    <row r="308" spans="2:74">
      <c r="B308" s="795" t="s">
        <v>3191</v>
      </c>
      <c r="C308" s="795" t="s">
        <v>3192</v>
      </c>
      <c r="D308" s="795"/>
      <c r="E308" s="796"/>
      <c r="F308" s="799"/>
      <c r="G308" s="799"/>
      <c r="H308" s="799"/>
      <c r="I308" s="799"/>
      <c r="J308" s="799"/>
      <c r="K308" s="799"/>
      <c r="L308" s="799">
        <f t="shared" si="9"/>
        <v>331</v>
      </c>
      <c r="M308" s="799"/>
      <c r="N308" s="595"/>
      <c r="O308" s="794">
        <v>0</v>
      </c>
      <c r="P308" s="794">
        <v>0</v>
      </c>
      <c r="Q308" s="794">
        <v>0</v>
      </c>
      <c r="R308" s="794">
        <v>0</v>
      </c>
      <c r="S308" s="796">
        <v>0</v>
      </c>
      <c r="T308" s="796">
        <v>0</v>
      </c>
      <c r="U308" s="796">
        <v>0</v>
      </c>
      <c r="V308" s="796">
        <v>0</v>
      </c>
      <c r="W308" s="796">
        <v>0</v>
      </c>
      <c r="X308" s="796">
        <v>0</v>
      </c>
      <c r="Y308" s="796">
        <v>0</v>
      </c>
      <c r="Z308" s="796">
        <v>0</v>
      </c>
      <c r="AA308" s="796">
        <v>0</v>
      </c>
      <c r="AB308" s="796">
        <v>0</v>
      </c>
      <c r="AC308" s="796">
        <v>0</v>
      </c>
      <c r="AD308" s="796">
        <v>0</v>
      </c>
      <c r="AE308" s="796">
        <v>0</v>
      </c>
      <c r="AF308" s="796">
        <v>0</v>
      </c>
      <c r="AG308" s="796">
        <v>0</v>
      </c>
      <c r="AH308" s="796">
        <v>0</v>
      </c>
      <c r="AI308" s="796">
        <v>0</v>
      </c>
      <c r="AJ308" s="796">
        <v>0</v>
      </c>
      <c r="AK308" s="796">
        <v>0</v>
      </c>
      <c r="AL308" s="796">
        <v>0</v>
      </c>
      <c r="AM308" s="796">
        <v>0</v>
      </c>
      <c r="AN308" s="796">
        <v>0</v>
      </c>
      <c r="AO308" s="796">
        <v>0</v>
      </c>
      <c r="AP308" s="796">
        <v>0</v>
      </c>
      <c r="AQ308" s="796">
        <v>0</v>
      </c>
      <c r="AR308" s="796">
        <v>0</v>
      </c>
      <c r="AS308" s="796">
        <v>0</v>
      </c>
      <c r="AT308" s="810">
        <v>12624.8</v>
      </c>
      <c r="AU308" s="796">
        <v>41870.800000000003</v>
      </c>
      <c r="AV308" s="796">
        <v>0</v>
      </c>
      <c r="AW308" s="796">
        <v>0</v>
      </c>
      <c r="AX308" s="796">
        <v>0</v>
      </c>
      <c r="AY308" s="796">
        <v>0</v>
      </c>
      <c r="AZ308" s="796">
        <v>0</v>
      </c>
      <c r="BA308" s="796">
        <v>0</v>
      </c>
      <c r="BB308" s="796">
        <v>43774</v>
      </c>
      <c r="BC308" s="796">
        <v>60583.6</v>
      </c>
      <c r="BD308" s="796">
        <v>0</v>
      </c>
      <c r="BE308" s="796">
        <v>0</v>
      </c>
      <c r="BF308" s="796">
        <v>0</v>
      </c>
      <c r="BG308" s="796">
        <v>0</v>
      </c>
      <c r="BH308" s="796">
        <v>0</v>
      </c>
      <c r="BI308" s="796">
        <v>0</v>
      </c>
      <c r="BJ308" s="796">
        <v>0</v>
      </c>
      <c r="BK308" s="796">
        <v>0</v>
      </c>
      <c r="BL308" s="796">
        <v>0</v>
      </c>
      <c r="BM308" s="796">
        <v>0</v>
      </c>
      <c r="BN308" s="796">
        <v>0</v>
      </c>
      <c r="BO308" s="796">
        <v>0</v>
      </c>
      <c r="BP308" s="796">
        <v>0</v>
      </c>
      <c r="BQ308" s="796">
        <v>0</v>
      </c>
      <c r="BR308" s="796">
        <v>0</v>
      </c>
      <c r="BS308" s="796">
        <v>0</v>
      </c>
      <c r="BT308" s="796">
        <v>0</v>
      </c>
      <c r="BU308" s="796">
        <v>0</v>
      </c>
      <c r="BV308" s="796">
        <v>0</v>
      </c>
    </row>
    <row r="309" spans="2:74">
      <c r="B309" s="795" t="s">
        <v>3187</v>
      </c>
      <c r="C309" s="795" t="s">
        <v>3188</v>
      </c>
      <c r="D309" s="795"/>
      <c r="E309" s="796"/>
      <c r="F309" s="799"/>
      <c r="G309" s="799"/>
      <c r="H309" s="799"/>
      <c r="I309" s="799"/>
      <c r="J309" s="799"/>
      <c r="K309" s="799"/>
      <c r="L309" s="799">
        <f t="shared" si="9"/>
        <v>331</v>
      </c>
      <c r="M309" s="799"/>
      <c r="N309" s="595"/>
      <c r="O309" s="794">
        <v>0</v>
      </c>
      <c r="P309" s="794">
        <v>0</v>
      </c>
      <c r="Q309" s="794">
        <v>0</v>
      </c>
      <c r="R309" s="794">
        <v>0</v>
      </c>
      <c r="S309" s="796">
        <v>0</v>
      </c>
      <c r="T309" s="796">
        <v>0</v>
      </c>
      <c r="U309" s="796">
        <v>0</v>
      </c>
      <c r="V309" s="796">
        <v>0</v>
      </c>
      <c r="W309" s="796">
        <v>0</v>
      </c>
      <c r="X309" s="796">
        <v>0</v>
      </c>
      <c r="Y309" s="796">
        <v>0</v>
      </c>
      <c r="Z309" s="796">
        <v>0</v>
      </c>
      <c r="AA309" s="796">
        <v>0</v>
      </c>
      <c r="AB309" s="796">
        <v>0</v>
      </c>
      <c r="AC309" s="796">
        <v>0</v>
      </c>
      <c r="AD309" s="796">
        <v>0</v>
      </c>
      <c r="AE309" s="796">
        <v>0</v>
      </c>
      <c r="AF309" s="796">
        <v>0</v>
      </c>
      <c r="AG309" s="796">
        <v>0</v>
      </c>
      <c r="AH309" s="796">
        <v>0</v>
      </c>
      <c r="AI309" s="796">
        <v>0</v>
      </c>
      <c r="AJ309" s="796">
        <v>0</v>
      </c>
      <c r="AK309" s="796">
        <v>0</v>
      </c>
      <c r="AL309" s="796">
        <v>0</v>
      </c>
      <c r="AM309" s="796">
        <v>0</v>
      </c>
      <c r="AN309" s="796">
        <v>0</v>
      </c>
      <c r="AO309" s="796">
        <v>0</v>
      </c>
      <c r="AP309" s="796">
        <v>0</v>
      </c>
      <c r="AQ309" s="796">
        <v>0</v>
      </c>
      <c r="AR309" s="796">
        <v>0</v>
      </c>
      <c r="AS309" s="796">
        <v>0</v>
      </c>
      <c r="AT309" s="796">
        <v>0</v>
      </c>
      <c r="AU309" s="810">
        <v>35000</v>
      </c>
      <c r="AV309" s="796">
        <v>0</v>
      </c>
      <c r="AW309" s="796">
        <v>0</v>
      </c>
      <c r="AX309" s="796">
        <v>0</v>
      </c>
      <c r="AY309" s="796">
        <v>0</v>
      </c>
      <c r="AZ309" s="796">
        <v>0</v>
      </c>
      <c r="BA309" s="796">
        <v>0</v>
      </c>
      <c r="BB309" s="796">
        <v>0</v>
      </c>
      <c r="BC309" s="796">
        <v>75000</v>
      </c>
      <c r="BD309" s="796">
        <v>0</v>
      </c>
      <c r="BE309" s="796">
        <v>0</v>
      </c>
      <c r="BF309" s="796">
        <v>0</v>
      </c>
      <c r="BG309" s="796">
        <v>0</v>
      </c>
      <c r="BH309" s="796">
        <v>0</v>
      </c>
      <c r="BI309" s="796">
        <v>0</v>
      </c>
      <c r="BJ309" s="796">
        <v>0</v>
      </c>
      <c r="BK309" s="796">
        <v>0</v>
      </c>
      <c r="BL309" s="796">
        <v>0</v>
      </c>
      <c r="BM309" s="796">
        <v>0</v>
      </c>
      <c r="BN309" s="796">
        <v>0</v>
      </c>
      <c r="BO309" s="796">
        <v>0</v>
      </c>
      <c r="BP309" s="796">
        <v>0</v>
      </c>
      <c r="BQ309" s="796">
        <v>0</v>
      </c>
      <c r="BR309" s="796">
        <v>0</v>
      </c>
      <c r="BS309" s="796">
        <v>0</v>
      </c>
      <c r="BT309" s="796">
        <v>0</v>
      </c>
      <c r="BU309" s="796">
        <v>0</v>
      </c>
      <c r="BV309" s="796">
        <v>0</v>
      </c>
    </row>
    <row r="310" spans="2:74">
      <c r="B310" s="795" t="s">
        <v>629</v>
      </c>
      <c r="C310" s="795" t="s">
        <v>3193</v>
      </c>
      <c r="D310" s="795"/>
      <c r="E310" s="796"/>
      <c r="F310" s="799"/>
      <c r="G310" s="799"/>
      <c r="H310" s="799"/>
      <c r="I310" s="799"/>
      <c r="J310" s="799"/>
      <c r="K310" s="799"/>
      <c r="L310" s="799">
        <f t="shared" si="9"/>
        <v>331</v>
      </c>
      <c r="M310" s="799"/>
      <c r="N310" s="595"/>
      <c r="O310" s="794">
        <v>0</v>
      </c>
      <c r="P310" s="794">
        <v>0</v>
      </c>
      <c r="Q310" s="794">
        <v>0</v>
      </c>
      <c r="R310" s="794">
        <v>0</v>
      </c>
      <c r="S310" s="796">
        <v>0</v>
      </c>
      <c r="T310" s="796">
        <v>0</v>
      </c>
      <c r="U310" s="796">
        <v>0</v>
      </c>
      <c r="V310" s="796">
        <v>0</v>
      </c>
      <c r="W310" s="796">
        <v>0</v>
      </c>
      <c r="X310" s="796">
        <v>0</v>
      </c>
      <c r="Y310" s="796">
        <v>0</v>
      </c>
      <c r="Z310" s="796">
        <v>0</v>
      </c>
      <c r="AA310" s="796">
        <v>0</v>
      </c>
      <c r="AB310" s="796">
        <v>0</v>
      </c>
      <c r="AC310" s="796">
        <v>0</v>
      </c>
      <c r="AD310" s="796">
        <v>0</v>
      </c>
      <c r="AE310" s="796">
        <v>0</v>
      </c>
      <c r="AF310" s="796">
        <v>0</v>
      </c>
      <c r="AG310" s="796">
        <v>0</v>
      </c>
      <c r="AH310" s="796">
        <v>0</v>
      </c>
      <c r="AI310" s="796">
        <v>0</v>
      </c>
      <c r="AJ310" s="796">
        <v>0</v>
      </c>
      <c r="AK310" s="796">
        <v>0</v>
      </c>
      <c r="AL310" s="796">
        <v>0</v>
      </c>
      <c r="AM310" s="796">
        <v>0</v>
      </c>
      <c r="AN310" s="796">
        <v>0</v>
      </c>
      <c r="AO310" s="796">
        <v>0</v>
      </c>
      <c r="AP310" s="796">
        <v>0</v>
      </c>
      <c r="AQ310" s="796">
        <v>0</v>
      </c>
      <c r="AR310" s="796">
        <v>0</v>
      </c>
      <c r="AS310" s="796">
        <v>0</v>
      </c>
      <c r="AT310" s="796">
        <v>0</v>
      </c>
      <c r="AU310" s="810">
        <v>83000</v>
      </c>
      <c r="AV310" s="796">
        <v>0</v>
      </c>
      <c r="AW310" s="796">
        <v>0</v>
      </c>
      <c r="AX310" s="796">
        <v>0</v>
      </c>
      <c r="AY310" s="796">
        <v>0</v>
      </c>
      <c r="AZ310" s="796">
        <v>0</v>
      </c>
      <c r="BA310" s="796">
        <v>0</v>
      </c>
      <c r="BB310" s="796">
        <v>0</v>
      </c>
      <c r="BC310" s="796">
        <v>0</v>
      </c>
      <c r="BD310" s="796">
        <v>0</v>
      </c>
      <c r="BE310" s="796">
        <v>0</v>
      </c>
      <c r="BF310" s="796">
        <v>128837.15</v>
      </c>
      <c r="BG310" s="796">
        <v>12449.75</v>
      </c>
      <c r="BH310" s="796">
        <v>0</v>
      </c>
      <c r="BI310" s="796">
        <v>0</v>
      </c>
      <c r="BJ310" s="796">
        <v>0</v>
      </c>
      <c r="BK310" s="796">
        <v>0</v>
      </c>
      <c r="BL310" s="796">
        <v>0</v>
      </c>
      <c r="BM310" s="796">
        <v>0</v>
      </c>
      <c r="BN310" s="796">
        <v>0</v>
      </c>
      <c r="BO310" s="796">
        <v>0</v>
      </c>
      <c r="BP310" s="796">
        <v>27977.8</v>
      </c>
      <c r="BQ310" s="796">
        <v>0</v>
      </c>
      <c r="BR310" s="796">
        <v>0</v>
      </c>
      <c r="BS310" s="796">
        <v>0</v>
      </c>
      <c r="BT310" s="796">
        <v>0</v>
      </c>
      <c r="BU310" s="796">
        <v>0</v>
      </c>
      <c r="BV310" s="796">
        <v>0</v>
      </c>
    </row>
    <row r="311" spans="2:74">
      <c r="B311" s="795" t="s">
        <v>3194</v>
      </c>
      <c r="C311" s="795" t="s">
        <v>3195</v>
      </c>
      <c r="D311" s="795"/>
      <c r="E311" s="796"/>
      <c r="F311" s="799"/>
      <c r="G311" s="799"/>
      <c r="H311" s="799"/>
      <c r="I311" s="799"/>
      <c r="J311" s="799"/>
      <c r="K311" s="799"/>
      <c r="L311" s="799">
        <f t="shared" si="9"/>
        <v>331</v>
      </c>
      <c r="M311" s="799"/>
      <c r="N311" s="595"/>
      <c r="O311" s="794">
        <v>0</v>
      </c>
      <c r="P311" s="794">
        <v>0</v>
      </c>
      <c r="Q311" s="794">
        <v>0</v>
      </c>
      <c r="R311" s="794">
        <v>0</v>
      </c>
      <c r="S311" s="796">
        <v>0</v>
      </c>
      <c r="T311" s="796">
        <v>0</v>
      </c>
      <c r="U311" s="796">
        <v>0</v>
      </c>
      <c r="V311" s="796">
        <v>0</v>
      </c>
      <c r="W311" s="796">
        <v>0</v>
      </c>
      <c r="X311" s="796">
        <v>0</v>
      </c>
      <c r="Y311" s="796">
        <v>0</v>
      </c>
      <c r="Z311" s="796">
        <v>0</v>
      </c>
      <c r="AA311" s="796">
        <v>0</v>
      </c>
      <c r="AB311" s="796">
        <v>0</v>
      </c>
      <c r="AC311" s="796">
        <v>0</v>
      </c>
      <c r="AD311" s="796">
        <v>0</v>
      </c>
      <c r="AE311" s="796">
        <v>0</v>
      </c>
      <c r="AF311" s="796">
        <v>0</v>
      </c>
      <c r="AG311" s="796">
        <v>0</v>
      </c>
      <c r="AH311" s="796">
        <v>0</v>
      </c>
      <c r="AI311" s="796">
        <v>0</v>
      </c>
      <c r="AJ311" s="796">
        <v>0</v>
      </c>
      <c r="AK311" s="796">
        <v>0</v>
      </c>
      <c r="AL311" s="796">
        <v>0</v>
      </c>
      <c r="AM311" s="796">
        <v>0</v>
      </c>
      <c r="AN311" s="796">
        <v>0</v>
      </c>
      <c r="AO311" s="796">
        <v>0</v>
      </c>
      <c r="AP311" s="796">
        <v>0</v>
      </c>
      <c r="AQ311" s="796">
        <v>0</v>
      </c>
      <c r="AR311" s="796">
        <v>0</v>
      </c>
      <c r="AS311" s="796">
        <v>0</v>
      </c>
      <c r="AT311" s="796">
        <v>0</v>
      </c>
      <c r="AU311" s="810">
        <v>44500</v>
      </c>
      <c r="AV311" s="796">
        <v>0</v>
      </c>
      <c r="AW311" s="796">
        <v>0</v>
      </c>
      <c r="AX311" s="796">
        <v>0</v>
      </c>
      <c r="AY311" s="796">
        <v>0</v>
      </c>
      <c r="AZ311" s="796">
        <v>0</v>
      </c>
      <c r="BA311" s="796">
        <v>0</v>
      </c>
      <c r="BB311" s="796">
        <v>0</v>
      </c>
      <c r="BC311" s="796">
        <v>0</v>
      </c>
      <c r="BD311" s="796">
        <v>0</v>
      </c>
      <c r="BE311" s="796">
        <v>0</v>
      </c>
      <c r="BF311" s="796">
        <v>0</v>
      </c>
      <c r="BG311" s="796">
        <v>0</v>
      </c>
      <c r="BH311" s="796">
        <v>0</v>
      </c>
      <c r="BI311" s="796">
        <v>0</v>
      </c>
      <c r="BJ311" s="796">
        <v>0</v>
      </c>
      <c r="BK311" s="796">
        <v>0</v>
      </c>
      <c r="BL311" s="796">
        <v>0</v>
      </c>
      <c r="BM311" s="796">
        <v>0</v>
      </c>
      <c r="BN311" s="796">
        <v>0</v>
      </c>
      <c r="BO311" s="796">
        <v>0</v>
      </c>
      <c r="BP311" s="796">
        <v>0</v>
      </c>
      <c r="BQ311" s="796">
        <v>0</v>
      </c>
      <c r="BR311" s="796">
        <v>0</v>
      </c>
      <c r="BS311" s="796">
        <v>0</v>
      </c>
      <c r="BT311" s="796">
        <v>0</v>
      </c>
      <c r="BU311" s="796">
        <v>0</v>
      </c>
      <c r="BV311" s="796">
        <v>0</v>
      </c>
    </row>
    <row r="312" spans="2:74">
      <c r="B312" s="795" t="s">
        <v>3196</v>
      </c>
      <c r="C312" s="795" t="s">
        <v>3197</v>
      </c>
      <c r="D312" s="795"/>
      <c r="E312" s="796"/>
      <c r="F312" s="799"/>
      <c r="G312" s="799"/>
      <c r="H312" s="799"/>
      <c r="I312" s="799"/>
      <c r="J312" s="799"/>
      <c r="K312" s="799"/>
      <c r="L312" s="799">
        <f t="shared" si="9"/>
        <v>331</v>
      </c>
      <c r="M312" s="799"/>
      <c r="N312" s="595"/>
      <c r="O312" s="794">
        <v>0</v>
      </c>
      <c r="P312" s="794">
        <v>0</v>
      </c>
      <c r="Q312" s="794">
        <v>0</v>
      </c>
      <c r="R312" s="794">
        <v>0</v>
      </c>
      <c r="S312" s="796">
        <v>0</v>
      </c>
      <c r="T312" s="796">
        <v>0</v>
      </c>
      <c r="U312" s="796">
        <v>0</v>
      </c>
      <c r="V312" s="796">
        <v>0</v>
      </c>
      <c r="W312" s="796">
        <v>0</v>
      </c>
      <c r="X312" s="796">
        <v>0</v>
      </c>
      <c r="Y312" s="796">
        <v>0</v>
      </c>
      <c r="Z312" s="796">
        <v>0</v>
      </c>
      <c r="AA312" s="796">
        <v>0</v>
      </c>
      <c r="AB312" s="796">
        <v>0</v>
      </c>
      <c r="AC312" s="796">
        <v>0</v>
      </c>
      <c r="AD312" s="796">
        <v>0</v>
      </c>
      <c r="AE312" s="796">
        <v>0</v>
      </c>
      <c r="AF312" s="796">
        <v>0</v>
      </c>
      <c r="AG312" s="796">
        <v>0</v>
      </c>
      <c r="AH312" s="796">
        <v>0</v>
      </c>
      <c r="AI312" s="796">
        <v>0</v>
      </c>
      <c r="AJ312" s="796">
        <v>0</v>
      </c>
      <c r="AK312" s="796">
        <v>0</v>
      </c>
      <c r="AL312" s="796">
        <v>0</v>
      </c>
      <c r="AM312" s="796">
        <v>0</v>
      </c>
      <c r="AN312" s="796">
        <v>0</v>
      </c>
      <c r="AO312" s="796">
        <v>0</v>
      </c>
      <c r="AP312" s="796">
        <v>0</v>
      </c>
      <c r="AQ312" s="796">
        <v>0</v>
      </c>
      <c r="AR312" s="796">
        <v>0</v>
      </c>
      <c r="AS312" s="796">
        <v>0</v>
      </c>
      <c r="AT312" s="796">
        <v>0</v>
      </c>
      <c r="AU312" s="810">
        <v>180000</v>
      </c>
      <c r="AV312" s="796">
        <v>400000</v>
      </c>
      <c r="AW312" s="796">
        <v>54000</v>
      </c>
      <c r="AX312" s="796">
        <v>0</v>
      </c>
      <c r="AY312" s="796">
        <v>0</v>
      </c>
      <c r="AZ312" s="796">
        <v>0</v>
      </c>
      <c r="BA312" s="796">
        <v>0</v>
      </c>
      <c r="BB312" s="796">
        <v>0</v>
      </c>
      <c r="BC312" s="796">
        <v>0</v>
      </c>
      <c r="BD312" s="796">
        <v>0</v>
      </c>
      <c r="BE312" s="796">
        <v>0</v>
      </c>
      <c r="BF312" s="796">
        <v>0</v>
      </c>
      <c r="BG312" s="796">
        <v>0</v>
      </c>
      <c r="BH312" s="796">
        <v>0</v>
      </c>
      <c r="BI312" s="796">
        <v>0</v>
      </c>
      <c r="BJ312" s="796">
        <v>0</v>
      </c>
      <c r="BK312" s="796">
        <v>0</v>
      </c>
      <c r="BL312" s="796">
        <v>0</v>
      </c>
      <c r="BM312" s="796">
        <v>0</v>
      </c>
      <c r="BN312" s="796">
        <v>0</v>
      </c>
      <c r="BO312" s="796">
        <v>0</v>
      </c>
      <c r="BP312" s="796">
        <v>0</v>
      </c>
      <c r="BQ312" s="796">
        <v>0</v>
      </c>
      <c r="BR312" s="796">
        <v>0</v>
      </c>
      <c r="BS312" s="796">
        <v>0</v>
      </c>
      <c r="BT312" s="796">
        <v>0</v>
      </c>
      <c r="BU312" s="796">
        <v>0</v>
      </c>
      <c r="BV312" s="796">
        <v>0</v>
      </c>
    </row>
    <row r="313" spans="2:74">
      <c r="B313" s="795" t="s">
        <v>3198</v>
      </c>
      <c r="C313" s="795" t="s">
        <v>3199</v>
      </c>
      <c r="D313" s="795"/>
      <c r="E313" s="796"/>
      <c r="F313" s="799"/>
      <c r="G313" s="799"/>
      <c r="H313" s="799"/>
      <c r="I313" s="799"/>
      <c r="J313" s="799"/>
      <c r="K313" s="799"/>
      <c r="L313" s="799">
        <f t="shared" si="9"/>
        <v>331</v>
      </c>
      <c r="M313" s="799"/>
      <c r="N313" s="595"/>
      <c r="O313" s="794">
        <v>0</v>
      </c>
      <c r="P313" s="794">
        <v>0</v>
      </c>
      <c r="Q313" s="794">
        <v>0</v>
      </c>
      <c r="R313" s="794">
        <v>0</v>
      </c>
      <c r="S313" s="796">
        <v>0</v>
      </c>
      <c r="T313" s="796">
        <v>0</v>
      </c>
      <c r="U313" s="796">
        <v>0</v>
      </c>
      <c r="V313" s="796">
        <v>0</v>
      </c>
      <c r="W313" s="796">
        <v>0</v>
      </c>
      <c r="X313" s="796">
        <v>0</v>
      </c>
      <c r="Y313" s="796">
        <v>0</v>
      </c>
      <c r="Z313" s="796">
        <v>0</v>
      </c>
      <c r="AA313" s="796">
        <v>0</v>
      </c>
      <c r="AB313" s="796">
        <v>0</v>
      </c>
      <c r="AC313" s="796">
        <v>0</v>
      </c>
      <c r="AD313" s="796">
        <v>0</v>
      </c>
      <c r="AE313" s="796">
        <v>0</v>
      </c>
      <c r="AF313" s="796">
        <v>0</v>
      </c>
      <c r="AG313" s="796">
        <v>0</v>
      </c>
      <c r="AH313" s="796">
        <v>0</v>
      </c>
      <c r="AI313" s="796">
        <v>0</v>
      </c>
      <c r="AJ313" s="796">
        <v>0</v>
      </c>
      <c r="AK313" s="796">
        <v>0</v>
      </c>
      <c r="AL313" s="796">
        <v>0</v>
      </c>
      <c r="AM313" s="796">
        <v>0</v>
      </c>
      <c r="AN313" s="796">
        <v>0</v>
      </c>
      <c r="AO313" s="796">
        <v>0</v>
      </c>
      <c r="AP313" s="796">
        <v>0</v>
      </c>
      <c r="AQ313" s="796">
        <v>0</v>
      </c>
      <c r="AR313" s="796">
        <v>0</v>
      </c>
      <c r="AS313" s="796">
        <v>0</v>
      </c>
      <c r="AT313" s="796">
        <v>0</v>
      </c>
      <c r="AU313" s="810">
        <v>122258.62</v>
      </c>
      <c r="AV313" s="796">
        <v>74157.08</v>
      </c>
      <c r="AW313" s="796">
        <v>0</v>
      </c>
      <c r="AX313" s="796">
        <v>0</v>
      </c>
      <c r="AY313" s="796">
        <v>5602.5</v>
      </c>
      <c r="AZ313" s="796">
        <v>0</v>
      </c>
      <c r="BA313" s="796">
        <v>0</v>
      </c>
      <c r="BB313" s="796">
        <v>0</v>
      </c>
      <c r="BC313" s="796">
        <v>0</v>
      </c>
      <c r="BD313" s="796">
        <v>0</v>
      </c>
      <c r="BE313" s="796">
        <v>0</v>
      </c>
      <c r="BF313" s="796">
        <v>0</v>
      </c>
      <c r="BG313" s="796">
        <v>0</v>
      </c>
      <c r="BH313" s="796">
        <v>0</v>
      </c>
      <c r="BI313" s="796">
        <v>0</v>
      </c>
      <c r="BJ313" s="796">
        <v>0</v>
      </c>
      <c r="BK313" s="796">
        <v>0</v>
      </c>
      <c r="BL313" s="796">
        <v>0</v>
      </c>
      <c r="BM313" s="796">
        <v>0</v>
      </c>
      <c r="BN313" s="796">
        <v>0</v>
      </c>
      <c r="BO313" s="796">
        <v>0</v>
      </c>
      <c r="BP313" s="796">
        <v>0</v>
      </c>
      <c r="BQ313" s="796">
        <v>0</v>
      </c>
      <c r="BR313" s="796">
        <v>0</v>
      </c>
      <c r="BS313" s="796">
        <v>0</v>
      </c>
      <c r="BT313" s="796">
        <v>0</v>
      </c>
      <c r="BU313" s="796">
        <v>10811.25</v>
      </c>
      <c r="BV313" s="796">
        <v>0</v>
      </c>
    </row>
    <row r="314" spans="2:74">
      <c r="B314" s="795" t="s">
        <v>3200</v>
      </c>
      <c r="C314" s="795" t="s">
        <v>3201</v>
      </c>
      <c r="D314" s="795"/>
      <c r="E314" s="796"/>
      <c r="F314" s="799"/>
      <c r="G314" s="799"/>
      <c r="H314" s="799"/>
      <c r="I314" s="799"/>
      <c r="J314" s="799"/>
      <c r="K314" s="799"/>
      <c r="L314" s="799">
        <f t="shared" si="9"/>
        <v>331</v>
      </c>
      <c r="M314" s="799"/>
      <c r="N314" s="595"/>
      <c r="O314" s="794">
        <v>0</v>
      </c>
      <c r="P314" s="794">
        <v>0</v>
      </c>
      <c r="Q314" s="794">
        <v>0</v>
      </c>
      <c r="R314" s="794">
        <v>0</v>
      </c>
      <c r="S314" s="796">
        <v>0</v>
      </c>
      <c r="T314" s="796">
        <v>0</v>
      </c>
      <c r="U314" s="796">
        <v>0</v>
      </c>
      <c r="V314" s="796">
        <v>0</v>
      </c>
      <c r="W314" s="796">
        <v>0</v>
      </c>
      <c r="X314" s="796">
        <v>0</v>
      </c>
      <c r="Y314" s="796">
        <v>0</v>
      </c>
      <c r="Z314" s="796">
        <v>0</v>
      </c>
      <c r="AA314" s="796">
        <v>0</v>
      </c>
      <c r="AB314" s="796">
        <v>0</v>
      </c>
      <c r="AC314" s="796">
        <v>0</v>
      </c>
      <c r="AD314" s="796">
        <v>0</v>
      </c>
      <c r="AE314" s="796">
        <v>0</v>
      </c>
      <c r="AF314" s="796">
        <v>0</v>
      </c>
      <c r="AG314" s="796">
        <v>0</v>
      </c>
      <c r="AH314" s="796">
        <v>0</v>
      </c>
      <c r="AI314" s="796">
        <v>0</v>
      </c>
      <c r="AJ314" s="796">
        <v>0</v>
      </c>
      <c r="AK314" s="796">
        <v>0</v>
      </c>
      <c r="AL314" s="796">
        <v>0</v>
      </c>
      <c r="AM314" s="796">
        <v>0</v>
      </c>
      <c r="AN314" s="796">
        <v>0</v>
      </c>
      <c r="AO314" s="796">
        <v>0</v>
      </c>
      <c r="AP314" s="796">
        <v>0</v>
      </c>
      <c r="AQ314" s="796">
        <v>0</v>
      </c>
      <c r="AR314" s="796">
        <v>0</v>
      </c>
      <c r="AS314" s="796">
        <v>0</v>
      </c>
      <c r="AT314" s="796">
        <v>0</v>
      </c>
      <c r="AU314" s="810">
        <v>73485.52</v>
      </c>
      <c r="AV314" s="796">
        <v>0</v>
      </c>
      <c r="AW314" s="796">
        <v>0</v>
      </c>
      <c r="AX314" s="796">
        <v>0</v>
      </c>
      <c r="AY314" s="796">
        <v>0</v>
      </c>
      <c r="AZ314" s="796">
        <v>0</v>
      </c>
      <c r="BA314" s="796">
        <v>0</v>
      </c>
      <c r="BB314" s="796">
        <v>0</v>
      </c>
      <c r="BC314" s="796">
        <v>0</v>
      </c>
      <c r="BD314" s="796">
        <v>0</v>
      </c>
      <c r="BE314" s="796">
        <v>0</v>
      </c>
      <c r="BF314" s="796">
        <v>0</v>
      </c>
      <c r="BG314" s="796">
        <v>0</v>
      </c>
      <c r="BH314" s="796">
        <v>0</v>
      </c>
      <c r="BI314" s="796">
        <v>0</v>
      </c>
      <c r="BJ314" s="796">
        <v>0</v>
      </c>
      <c r="BK314" s="796">
        <v>0</v>
      </c>
      <c r="BL314" s="796">
        <v>0</v>
      </c>
      <c r="BM314" s="796">
        <v>0</v>
      </c>
      <c r="BN314" s="796">
        <v>0</v>
      </c>
      <c r="BO314" s="796">
        <v>0</v>
      </c>
      <c r="BP314" s="796">
        <v>0</v>
      </c>
      <c r="BQ314" s="796">
        <v>0</v>
      </c>
      <c r="BR314" s="796">
        <v>0</v>
      </c>
      <c r="BS314" s="796">
        <v>0</v>
      </c>
      <c r="BT314" s="796">
        <v>0</v>
      </c>
      <c r="BU314" s="796">
        <v>0</v>
      </c>
      <c r="BV314" s="796">
        <v>0</v>
      </c>
    </row>
    <row r="315" spans="2:74">
      <c r="B315" s="795" t="s">
        <v>3202</v>
      </c>
      <c r="C315" s="795" t="s">
        <v>3203</v>
      </c>
      <c r="D315" s="795"/>
      <c r="E315" s="796"/>
      <c r="F315" s="799"/>
      <c r="G315" s="799"/>
      <c r="H315" s="799"/>
      <c r="I315" s="799"/>
      <c r="J315" s="799"/>
      <c r="K315" s="799"/>
      <c r="L315" s="799">
        <f t="shared" si="9"/>
        <v>331</v>
      </c>
      <c r="M315" s="799"/>
      <c r="N315" s="595"/>
      <c r="O315" s="794">
        <v>0</v>
      </c>
      <c r="P315" s="794">
        <v>0</v>
      </c>
      <c r="Q315" s="794">
        <v>0</v>
      </c>
      <c r="R315" s="794">
        <v>0</v>
      </c>
      <c r="S315" s="796">
        <v>0</v>
      </c>
      <c r="T315" s="796">
        <v>0</v>
      </c>
      <c r="U315" s="796">
        <v>0</v>
      </c>
      <c r="V315" s="796">
        <v>0</v>
      </c>
      <c r="W315" s="796">
        <v>0</v>
      </c>
      <c r="X315" s="796">
        <v>0</v>
      </c>
      <c r="Y315" s="796">
        <v>0</v>
      </c>
      <c r="Z315" s="796">
        <v>0</v>
      </c>
      <c r="AA315" s="796">
        <v>0</v>
      </c>
      <c r="AB315" s="796">
        <v>0</v>
      </c>
      <c r="AC315" s="796">
        <v>0</v>
      </c>
      <c r="AD315" s="796">
        <v>0</v>
      </c>
      <c r="AE315" s="796">
        <v>0</v>
      </c>
      <c r="AF315" s="796">
        <v>0</v>
      </c>
      <c r="AG315" s="796">
        <v>0</v>
      </c>
      <c r="AH315" s="796">
        <v>0</v>
      </c>
      <c r="AI315" s="796">
        <v>0</v>
      </c>
      <c r="AJ315" s="796">
        <v>0</v>
      </c>
      <c r="AK315" s="796">
        <v>0</v>
      </c>
      <c r="AL315" s="796">
        <v>0</v>
      </c>
      <c r="AM315" s="796">
        <v>0</v>
      </c>
      <c r="AN315" s="796">
        <v>0</v>
      </c>
      <c r="AO315" s="796">
        <v>0</v>
      </c>
      <c r="AP315" s="796">
        <v>0</v>
      </c>
      <c r="AQ315" s="796">
        <v>0</v>
      </c>
      <c r="AR315" s="796">
        <v>0</v>
      </c>
      <c r="AS315" s="796">
        <v>0</v>
      </c>
      <c r="AT315" s="796">
        <v>0</v>
      </c>
      <c r="AU315" s="810">
        <v>90077.2</v>
      </c>
      <c r="AV315" s="796">
        <v>0</v>
      </c>
      <c r="AW315" s="796">
        <v>0</v>
      </c>
      <c r="AX315" s="796">
        <v>0</v>
      </c>
      <c r="AY315" s="796">
        <v>0</v>
      </c>
      <c r="AZ315" s="796">
        <v>0</v>
      </c>
      <c r="BA315" s="796">
        <v>0</v>
      </c>
      <c r="BB315" s="796">
        <v>0</v>
      </c>
      <c r="BC315" s="796">
        <v>0</v>
      </c>
      <c r="BD315" s="796">
        <v>0</v>
      </c>
      <c r="BE315" s="796">
        <v>0</v>
      </c>
      <c r="BF315" s="796">
        <v>0</v>
      </c>
      <c r="BG315" s="796">
        <v>0</v>
      </c>
      <c r="BH315" s="796">
        <v>0</v>
      </c>
      <c r="BI315" s="796">
        <v>0</v>
      </c>
      <c r="BJ315" s="796">
        <v>0</v>
      </c>
      <c r="BK315" s="796">
        <v>0</v>
      </c>
      <c r="BL315" s="796">
        <v>0</v>
      </c>
      <c r="BM315" s="796">
        <v>0</v>
      </c>
      <c r="BN315" s="796">
        <v>0</v>
      </c>
      <c r="BO315" s="796">
        <v>0</v>
      </c>
      <c r="BP315" s="796">
        <v>0</v>
      </c>
      <c r="BQ315" s="796">
        <v>0</v>
      </c>
      <c r="BR315" s="796">
        <v>0</v>
      </c>
      <c r="BS315" s="796">
        <v>0</v>
      </c>
      <c r="BT315" s="796">
        <v>0</v>
      </c>
      <c r="BU315" s="796">
        <v>0</v>
      </c>
      <c r="BV315" s="796">
        <v>0</v>
      </c>
    </row>
    <row r="316" spans="2:74">
      <c r="B316" s="795" t="s">
        <v>3204</v>
      </c>
      <c r="C316" s="795" t="s">
        <v>3205</v>
      </c>
      <c r="D316" s="795"/>
      <c r="E316" s="796"/>
      <c r="F316" s="799"/>
      <c r="G316" s="799"/>
      <c r="H316" s="799"/>
      <c r="I316" s="799"/>
      <c r="J316" s="799"/>
      <c r="K316" s="799"/>
      <c r="L316" s="799">
        <f t="shared" si="9"/>
        <v>331</v>
      </c>
      <c r="M316" s="799"/>
      <c r="N316" s="595"/>
      <c r="O316" s="794">
        <v>0</v>
      </c>
      <c r="P316" s="794">
        <v>0</v>
      </c>
      <c r="Q316" s="794">
        <v>0</v>
      </c>
      <c r="R316" s="794">
        <v>0</v>
      </c>
      <c r="S316" s="796">
        <v>0</v>
      </c>
      <c r="T316" s="796">
        <v>0</v>
      </c>
      <c r="U316" s="796">
        <v>0</v>
      </c>
      <c r="V316" s="796">
        <v>0</v>
      </c>
      <c r="W316" s="796">
        <v>0</v>
      </c>
      <c r="X316" s="796">
        <v>0</v>
      </c>
      <c r="Y316" s="796">
        <v>0</v>
      </c>
      <c r="Z316" s="796">
        <v>0</v>
      </c>
      <c r="AA316" s="796">
        <v>0</v>
      </c>
      <c r="AB316" s="796">
        <v>0</v>
      </c>
      <c r="AC316" s="796">
        <v>0</v>
      </c>
      <c r="AD316" s="796">
        <v>0</v>
      </c>
      <c r="AE316" s="796">
        <v>0</v>
      </c>
      <c r="AF316" s="796">
        <v>0</v>
      </c>
      <c r="AG316" s="796">
        <v>0</v>
      </c>
      <c r="AH316" s="796">
        <v>0</v>
      </c>
      <c r="AI316" s="796">
        <v>0</v>
      </c>
      <c r="AJ316" s="796">
        <v>0</v>
      </c>
      <c r="AK316" s="796">
        <v>0</v>
      </c>
      <c r="AL316" s="796">
        <v>0</v>
      </c>
      <c r="AM316" s="796">
        <v>0</v>
      </c>
      <c r="AN316" s="796">
        <v>0</v>
      </c>
      <c r="AO316" s="796">
        <v>0</v>
      </c>
      <c r="AP316" s="796">
        <v>0</v>
      </c>
      <c r="AQ316" s="796">
        <v>0</v>
      </c>
      <c r="AR316" s="796">
        <v>0</v>
      </c>
      <c r="AS316" s="796">
        <v>0</v>
      </c>
      <c r="AT316" s="796">
        <v>0</v>
      </c>
      <c r="AU316" s="810">
        <v>63061.18</v>
      </c>
      <c r="AV316" s="796">
        <v>65248.92</v>
      </c>
      <c r="AW316" s="796">
        <v>74791.91</v>
      </c>
      <c r="AX316" s="796">
        <v>32846.39</v>
      </c>
      <c r="AY316" s="796">
        <v>0</v>
      </c>
      <c r="AZ316" s="796">
        <v>0</v>
      </c>
      <c r="BA316" s="796">
        <v>0</v>
      </c>
      <c r="BB316" s="796">
        <v>0</v>
      </c>
      <c r="BC316" s="796">
        <v>0</v>
      </c>
      <c r="BD316" s="796">
        <v>0</v>
      </c>
      <c r="BE316" s="796">
        <v>0</v>
      </c>
      <c r="BF316" s="796">
        <v>0</v>
      </c>
      <c r="BG316" s="796">
        <v>0</v>
      </c>
      <c r="BH316" s="796">
        <v>0</v>
      </c>
      <c r="BI316" s="796">
        <v>0</v>
      </c>
      <c r="BJ316" s="796">
        <v>0</v>
      </c>
      <c r="BK316" s="796">
        <v>10254.459999999999</v>
      </c>
      <c r="BL316" s="796">
        <v>65552.53</v>
      </c>
      <c r="BM316" s="796">
        <v>34687.64</v>
      </c>
      <c r="BN316" s="796">
        <v>0</v>
      </c>
      <c r="BO316" s="796">
        <v>0</v>
      </c>
      <c r="BP316" s="796">
        <v>0</v>
      </c>
      <c r="BQ316" s="796">
        <v>0</v>
      </c>
      <c r="BR316" s="796">
        <v>0</v>
      </c>
      <c r="BS316" s="796">
        <v>0</v>
      </c>
      <c r="BT316" s="796">
        <v>0</v>
      </c>
      <c r="BU316" s="796">
        <v>0</v>
      </c>
      <c r="BV316" s="796">
        <v>0</v>
      </c>
    </row>
    <row r="317" spans="2:74">
      <c r="B317" s="795" t="s">
        <v>3206</v>
      </c>
      <c r="C317" s="795" t="s">
        <v>3207</v>
      </c>
      <c r="D317" s="795"/>
      <c r="E317" s="796"/>
      <c r="F317" s="799"/>
      <c r="G317" s="799"/>
      <c r="H317" s="799"/>
      <c r="I317" s="799"/>
      <c r="J317" s="799"/>
      <c r="K317" s="799"/>
      <c r="L317" s="799">
        <f t="shared" si="9"/>
        <v>331</v>
      </c>
      <c r="M317" s="799"/>
      <c r="N317" s="595"/>
      <c r="O317" s="794">
        <v>0</v>
      </c>
      <c r="P317" s="794">
        <v>0</v>
      </c>
      <c r="Q317" s="794">
        <v>0</v>
      </c>
      <c r="R317" s="794">
        <v>0</v>
      </c>
      <c r="S317" s="796">
        <v>0</v>
      </c>
      <c r="T317" s="796">
        <v>0</v>
      </c>
      <c r="U317" s="796">
        <v>0</v>
      </c>
      <c r="V317" s="796">
        <v>0</v>
      </c>
      <c r="W317" s="796">
        <v>0</v>
      </c>
      <c r="X317" s="796">
        <v>0</v>
      </c>
      <c r="Y317" s="796">
        <v>0</v>
      </c>
      <c r="Z317" s="796">
        <v>0</v>
      </c>
      <c r="AA317" s="796">
        <v>0</v>
      </c>
      <c r="AB317" s="796">
        <v>0</v>
      </c>
      <c r="AC317" s="796">
        <v>0</v>
      </c>
      <c r="AD317" s="796">
        <v>0</v>
      </c>
      <c r="AE317" s="796">
        <v>0</v>
      </c>
      <c r="AF317" s="796">
        <v>0</v>
      </c>
      <c r="AG317" s="796">
        <v>0</v>
      </c>
      <c r="AH317" s="796">
        <v>0</v>
      </c>
      <c r="AI317" s="796">
        <v>0</v>
      </c>
      <c r="AJ317" s="796">
        <v>0</v>
      </c>
      <c r="AK317" s="796">
        <v>0</v>
      </c>
      <c r="AL317" s="796">
        <v>0</v>
      </c>
      <c r="AM317" s="796">
        <v>0</v>
      </c>
      <c r="AN317" s="796">
        <v>0</v>
      </c>
      <c r="AO317" s="796">
        <v>0</v>
      </c>
      <c r="AP317" s="796">
        <v>0</v>
      </c>
      <c r="AQ317" s="796">
        <v>0</v>
      </c>
      <c r="AR317" s="796">
        <v>0</v>
      </c>
      <c r="AS317" s="796">
        <v>0</v>
      </c>
      <c r="AT317" s="796">
        <v>0</v>
      </c>
      <c r="AU317" s="810">
        <v>37240</v>
      </c>
      <c r="AV317" s="796">
        <v>0</v>
      </c>
      <c r="AW317" s="796">
        <v>39256.800000000003</v>
      </c>
      <c r="AX317" s="796">
        <v>0</v>
      </c>
      <c r="AY317" s="796">
        <v>0</v>
      </c>
      <c r="AZ317" s="796">
        <v>0</v>
      </c>
      <c r="BA317" s="796">
        <v>0</v>
      </c>
      <c r="BB317" s="796">
        <v>0</v>
      </c>
      <c r="BC317" s="796">
        <v>0</v>
      </c>
      <c r="BD317" s="796">
        <v>0</v>
      </c>
      <c r="BE317" s="796">
        <v>0</v>
      </c>
      <c r="BF317" s="796">
        <v>0</v>
      </c>
      <c r="BG317" s="796">
        <v>0</v>
      </c>
      <c r="BH317" s="796">
        <v>0</v>
      </c>
      <c r="BI317" s="796">
        <v>0</v>
      </c>
      <c r="BJ317" s="796">
        <v>0</v>
      </c>
      <c r="BK317" s="796">
        <v>0</v>
      </c>
      <c r="BL317" s="796">
        <v>0</v>
      </c>
      <c r="BM317" s="796">
        <v>0</v>
      </c>
      <c r="BN317" s="796">
        <v>0</v>
      </c>
      <c r="BO317" s="796">
        <v>0</v>
      </c>
      <c r="BP317" s="796">
        <v>0</v>
      </c>
      <c r="BQ317" s="796">
        <v>0</v>
      </c>
      <c r="BR317" s="796">
        <v>0</v>
      </c>
      <c r="BS317" s="796">
        <v>0</v>
      </c>
      <c r="BT317" s="796">
        <v>0</v>
      </c>
      <c r="BU317" s="796">
        <v>0</v>
      </c>
      <c r="BV317" s="796">
        <v>0</v>
      </c>
    </row>
    <row r="318" spans="2:74">
      <c r="B318" s="795" t="s">
        <v>3208</v>
      </c>
      <c r="C318" s="795" t="s">
        <v>3209</v>
      </c>
      <c r="D318" s="795"/>
      <c r="E318" s="796"/>
      <c r="F318" s="799"/>
      <c r="G318" s="799"/>
      <c r="H318" s="799"/>
      <c r="I318" s="799"/>
      <c r="J318" s="799"/>
      <c r="K318" s="799"/>
      <c r="L318" s="799">
        <f t="shared" si="9"/>
        <v>331</v>
      </c>
      <c r="M318" s="799"/>
      <c r="N318" s="595"/>
      <c r="O318" s="794">
        <v>0</v>
      </c>
      <c r="P318" s="794">
        <v>0</v>
      </c>
      <c r="Q318" s="794">
        <v>0</v>
      </c>
      <c r="R318" s="794">
        <v>0</v>
      </c>
      <c r="S318" s="796">
        <v>0</v>
      </c>
      <c r="T318" s="796">
        <v>0</v>
      </c>
      <c r="U318" s="796">
        <v>0</v>
      </c>
      <c r="V318" s="796">
        <v>0</v>
      </c>
      <c r="W318" s="796">
        <v>0</v>
      </c>
      <c r="X318" s="796">
        <v>0</v>
      </c>
      <c r="Y318" s="796">
        <v>0</v>
      </c>
      <c r="Z318" s="796">
        <v>0</v>
      </c>
      <c r="AA318" s="796">
        <v>0</v>
      </c>
      <c r="AB318" s="796">
        <v>0</v>
      </c>
      <c r="AC318" s="796">
        <v>0</v>
      </c>
      <c r="AD318" s="796">
        <v>0</v>
      </c>
      <c r="AE318" s="796">
        <v>0</v>
      </c>
      <c r="AF318" s="796">
        <v>0</v>
      </c>
      <c r="AG318" s="796">
        <v>0</v>
      </c>
      <c r="AH318" s="796">
        <v>0</v>
      </c>
      <c r="AI318" s="796">
        <v>0</v>
      </c>
      <c r="AJ318" s="796">
        <v>0</v>
      </c>
      <c r="AK318" s="796">
        <v>0</v>
      </c>
      <c r="AL318" s="796">
        <v>0</v>
      </c>
      <c r="AM318" s="796">
        <v>0</v>
      </c>
      <c r="AN318" s="796">
        <v>0</v>
      </c>
      <c r="AO318" s="796">
        <v>0</v>
      </c>
      <c r="AP318" s="796">
        <v>0</v>
      </c>
      <c r="AQ318" s="796">
        <v>0</v>
      </c>
      <c r="AR318" s="796">
        <v>0</v>
      </c>
      <c r="AS318" s="796">
        <v>0</v>
      </c>
      <c r="AT318" s="796">
        <v>0</v>
      </c>
      <c r="AU318" s="810">
        <v>45000</v>
      </c>
      <c r="AV318" s="796">
        <v>0</v>
      </c>
      <c r="AW318" s="796">
        <v>0</v>
      </c>
      <c r="AX318" s="796">
        <v>0</v>
      </c>
      <c r="AY318" s="796">
        <v>0</v>
      </c>
      <c r="AZ318" s="796">
        <v>0</v>
      </c>
      <c r="BA318" s="796">
        <v>0</v>
      </c>
      <c r="BB318" s="796">
        <v>0</v>
      </c>
      <c r="BC318" s="796">
        <v>0</v>
      </c>
      <c r="BD318" s="796">
        <v>0</v>
      </c>
      <c r="BE318" s="796">
        <v>169606.65</v>
      </c>
      <c r="BF318" s="796">
        <v>144150.85</v>
      </c>
      <c r="BG318" s="796">
        <v>236233.74</v>
      </c>
      <c r="BH318" s="796">
        <v>164803.15</v>
      </c>
      <c r="BI318" s="796">
        <v>0</v>
      </c>
      <c r="BJ318" s="796">
        <v>0</v>
      </c>
      <c r="BK318" s="796">
        <v>0</v>
      </c>
      <c r="BL318" s="796">
        <v>0</v>
      </c>
      <c r="BM318" s="796">
        <v>0</v>
      </c>
      <c r="BN318" s="796">
        <v>0</v>
      </c>
      <c r="BO318" s="796">
        <v>0</v>
      </c>
      <c r="BP318" s="796">
        <v>0</v>
      </c>
      <c r="BQ318" s="796">
        <v>0</v>
      </c>
      <c r="BR318" s="796">
        <v>0</v>
      </c>
      <c r="BS318" s="796">
        <v>0</v>
      </c>
      <c r="BT318" s="796">
        <v>0</v>
      </c>
      <c r="BU318" s="796">
        <v>0</v>
      </c>
      <c r="BV318" s="796">
        <v>0</v>
      </c>
    </row>
    <row r="319" spans="2:74">
      <c r="B319" s="795" t="s">
        <v>522</v>
      </c>
      <c r="C319" s="795" t="s">
        <v>3178</v>
      </c>
      <c r="D319" s="795"/>
      <c r="E319" s="796"/>
      <c r="F319" s="799"/>
      <c r="G319" s="799"/>
      <c r="H319" s="799"/>
      <c r="I319" s="799"/>
      <c r="J319" s="799"/>
      <c r="K319" s="799"/>
      <c r="L319" s="799">
        <f t="shared" si="9"/>
        <v>331</v>
      </c>
      <c r="M319" s="799"/>
      <c r="N319" s="595"/>
      <c r="O319" s="794">
        <v>0</v>
      </c>
      <c r="P319" s="794">
        <v>0</v>
      </c>
      <c r="Q319" s="794">
        <v>0</v>
      </c>
      <c r="R319" s="794">
        <v>0</v>
      </c>
      <c r="S319" s="796">
        <v>0</v>
      </c>
      <c r="T319" s="796">
        <v>0</v>
      </c>
      <c r="U319" s="796">
        <v>0</v>
      </c>
      <c r="V319" s="796">
        <v>0</v>
      </c>
      <c r="W319" s="796">
        <v>0</v>
      </c>
      <c r="X319" s="796">
        <v>0</v>
      </c>
      <c r="Y319" s="796">
        <v>0</v>
      </c>
      <c r="Z319" s="796">
        <v>0</v>
      </c>
      <c r="AA319" s="796">
        <v>0</v>
      </c>
      <c r="AB319" s="796">
        <v>0</v>
      </c>
      <c r="AC319" s="796">
        <v>0</v>
      </c>
      <c r="AD319" s="796">
        <v>0</v>
      </c>
      <c r="AE319" s="796">
        <v>0</v>
      </c>
      <c r="AF319" s="796">
        <v>0</v>
      </c>
      <c r="AG319" s="796">
        <v>0</v>
      </c>
      <c r="AH319" s="796">
        <v>0</v>
      </c>
      <c r="AI319" s="796">
        <v>0</v>
      </c>
      <c r="AJ319" s="796">
        <v>0</v>
      </c>
      <c r="AK319" s="796">
        <v>0</v>
      </c>
      <c r="AL319" s="796">
        <v>0</v>
      </c>
      <c r="AM319" s="796">
        <v>0</v>
      </c>
      <c r="AN319" s="796">
        <v>0</v>
      </c>
      <c r="AO319" s="796">
        <v>0</v>
      </c>
      <c r="AP319" s="796">
        <v>0</v>
      </c>
      <c r="AQ319" s="796">
        <v>0</v>
      </c>
      <c r="AR319" s="796">
        <v>0</v>
      </c>
      <c r="AS319" s="796">
        <v>0</v>
      </c>
      <c r="AT319" s="796">
        <v>0</v>
      </c>
      <c r="AU319" s="810">
        <v>15847</v>
      </c>
      <c r="AV319" s="796">
        <v>0</v>
      </c>
      <c r="AW319" s="796">
        <v>0</v>
      </c>
      <c r="AX319" s="796">
        <v>0</v>
      </c>
      <c r="AY319" s="796">
        <v>0</v>
      </c>
      <c r="AZ319" s="796">
        <v>0</v>
      </c>
      <c r="BA319" s="796">
        <v>43225.599999999999</v>
      </c>
      <c r="BB319" s="796">
        <v>30425.91</v>
      </c>
      <c r="BC319" s="796">
        <v>55250.28</v>
      </c>
      <c r="BD319" s="796">
        <v>59500</v>
      </c>
      <c r="BE319" s="796">
        <v>68800</v>
      </c>
      <c r="BF319" s="796">
        <v>51066.9</v>
      </c>
      <c r="BG319" s="796">
        <v>21445.09</v>
      </c>
      <c r="BH319" s="796">
        <v>0</v>
      </c>
      <c r="BI319" s="796">
        <v>62714.91</v>
      </c>
      <c r="BJ319" s="796">
        <v>0</v>
      </c>
      <c r="BK319" s="796">
        <v>19398.52</v>
      </c>
      <c r="BL319" s="796">
        <v>12603.78</v>
      </c>
      <c r="BM319" s="796">
        <v>51337.18</v>
      </c>
      <c r="BN319" s="796">
        <v>0</v>
      </c>
      <c r="BO319" s="796">
        <v>33238.449999999997</v>
      </c>
      <c r="BP319" s="796">
        <v>0</v>
      </c>
      <c r="BQ319" s="796">
        <v>19000</v>
      </c>
      <c r="BR319" s="796">
        <v>0</v>
      </c>
      <c r="BS319" s="796">
        <v>0</v>
      </c>
      <c r="BT319" s="796">
        <v>0</v>
      </c>
      <c r="BU319" s="796">
        <v>0</v>
      </c>
      <c r="BV319" s="796">
        <v>0</v>
      </c>
    </row>
    <row r="320" spans="2:74">
      <c r="B320" s="795" t="s">
        <v>3210</v>
      </c>
      <c r="C320" s="795" t="s">
        <v>3211</v>
      </c>
      <c r="D320" s="795"/>
      <c r="E320" s="796"/>
      <c r="F320" s="799"/>
      <c r="G320" s="799"/>
      <c r="H320" s="799"/>
      <c r="I320" s="799"/>
      <c r="J320" s="799"/>
      <c r="K320" s="799"/>
      <c r="L320" s="799">
        <f t="shared" si="9"/>
        <v>331</v>
      </c>
      <c r="M320" s="799"/>
      <c r="N320" s="595"/>
      <c r="O320" s="794">
        <v>0</v>
      </c>
      <c r="P320" s="794">
        <v>0</v>
      </c>
      <c r="Q320" s="794">
        <v>0</v>
      </c>
      <c r="R320" s="794">
        <v>0</v>
      </c>
      <c r="S320" s="796">
        <v>0</v>
      </c>
      <c r="T320" s="796">
        <v>0</v>
      </c>
      <c r="U320" s="796">
        <v>0</v>
      </c>
      <c r="V320" s="796">
        <v>0</v>
      </c>
      <c r="W320" s="796">
        <v>0</v>
      </c>
      <c r="X320" s="796">
        <v>0</v>
      </c>
      <c r="Y320" s="796">
        <v>0</v>
      </c>
      <c r="Z320" s="796">
        <v>0</v>
      </c>
      <c r="AA320" s="796">
        <v>0</v>
      </c>
      <c r="AB320" s="796">
        <v>0</v>
      </c>
      <c r="AC320" s="796">
        <v>0</v>
      </c>
      <c r="AD320" s="796">
        <v>0</v>
      </c>
      <c r="AE320" s="796">
        <v>0</v>
      </c>
      <c r="AF320" s="796">
        <v>0</v>
      </c>
      <c r="AG320" s="796">
        <v>0</v>
      </c>
      <c r="AH320" s="796">
        <v>0</v>
      </c>
      <c r="AI320" s="796">
        <v>0</v>
      </c>
      <c r="AJ320" s="796">
        <v>0</v>
      </c>
      <c r="AK320" s="796">
        <v>0</v>
      </c>
      <c r="AL320" s="796">
        <v>0</v>
      </c>
      <c r="AM320" s="796">
        <v>0</v>
      </c>
      <c r="AN320" s="796">
        <v>0</v>
      </c>
      <c r="AO320" s="796">
        <v>0</v>
      </c>
      <c r="AP320" s="796">
        <v>0</v>
      </c>
      <c r="AQ320" s="796">
        <v>0</v>
      </c>
      <c r="AR320" s="796">
        <v>0</v>
      </c>
      <c r="AS320" s="796">
        <v>0</v>
      </c>
      <c r="AT320" s="796">
        <v>0</v>
      </c>
      <c r="AU320" s="796">
        <v>0</v>
      </c>
      <c r="AV320" s="796">
        <v>0</v>
      </c>
      <c r="AW320" s="810">
        <v>60000</v>
      </c>
      <c r="AX320" s="796">
        <v>60000</v>
      </c>
      <c r="AY320" s="796">
        <v>54500</v>
      </c>
      <c r="AZ320" s="796">
        <v>0</v>
      </c>
      <c r="BA320" s="796">
        <v>0</v>
      </c>
      <c r="BB320" s="796">
        <v>0</v>
      </c>
      <c r="BC320" s="796">
        <v>0</v>
      </c>
      <c r="BD320" s="796">
        <v>0</v>
      </c>
      <c r="BE320" s="796">
        <v>0</v>
      </c>
      <c r="BF320" s="796">
        <v>0</v>
      </c>
      <c r="BG320" s="796">
        <v>0</v>
      </c>
      <c r="BH320" s="796">
        <v>0</v>
      </c>
      <c r="BI320" s="796">
        <v>0</v>
      </c>
      <c r="BJ320" s="796">
        <v>0</v>
      </c>
      <c r="BK320" s="796">
        <v>0</v>
      </c>
      <c r="BL320" s="796">
        <v>0</v>
      </c>
      <c r="BM320" s="796">
        <v>0</v>
      </c>
      <c r="BN320" s="796">
        <v>0</v>
      </c>
      <c r="BO320" s="796">
        <v>0</v>
      </c>
      <c r="BP320" s="796">
        <v>0</v>
      </c>
      <c r="BQ320" s="796">
        <v>0</v>
      </c>
      <c r="BR320" s="796">
        <v>0</v>
      </c>
      <c r="BS320" s="796">
        <v>0</v>
      </c>
      <c r="BT320" s="796">
        <v>0</v>
      </c>
      <c r="BU320" s="796">
        <v>0</v>
      </c>
      <c r="BV320" s="796">
        <v>0</v>
      </c>
    </row>
    <row r="321" spans="2:74">
      <c r="B321" s="795" t="s">
        <v>3212</v>
      </c>
      <c r="C321" s="795" t="s">
        <v>3207</v>
      </c>
      <c r="D321" s="795"/>
      <c r="E321" s="796"/>
      <c r="F321" s="799"/>
      <c r="G321" s="799"/>
      <c r="H321" s="799"/>
      <c r="I321" s="799"/>
      <c r="J321" s="799"/>
      <c r="K321" s="799"/>
      <c r="L321" s="799">
        <f t="shared" si="9"/>
        <v>331</v>
      </c>
      <c r="M321" s="799"/>
      <c r="N321" s="595"/>
      <c r="O321" s="794">
        <v>0</v>
      </c>
      <c r="P321" s="794">
        <v>0</v>
      </c>
      <c r="Q321" s="794">
        <v>0</v>
      </c>
      <c r="R321" s="794">
        <v>0</v>
      </c>
      <c r="S321" s="796">
        <v>0</v>
      </c>
      <c r="T321" s="796">
        <v>0</v>
      </c>
      <c r="U321" s="796">
        <v>0</v>
      </c>
      <c r="V321" s="796">
        <v>0</v>
      </c>
      <c r="W321" s="796">
        <v>0</v>
      </c>
      <c r="X321" s="796">
        <v>0</v>
      </c>
      <c r="Y321" s="796">
        <v>0</v>
      </c>
      <c r="Z321" s="796">
        <v>0</v>
      </c>
      <c r="AA321" s="796">
        <v>0</v>
      </c>
      <c r="AB321" s="796">
        <v>0</v>
      </c>
      <c r="AC321" s="796">
        <v>0</v>
      </c>
      <c r="AD321" s="796">
        <v>0</v>
      </c>
      <c r="AE321" s="796">
        <v>0</v>
      </c>
      <c r="AF321" s="796">
        <v>0</v>
      </c>
      <c r="AG321" s="796">
        <v>0</v>
      </c>
      <c r="AH321" s="796">
        <v>0</v>
      </c>
      <c r="AI321" s="796">
        <v>0</v>
      </c>
      <c r="AJ321" s="796">
        <v>0</v>
      </c>
      <c r="AK321" s="796">
        <v>0</v>
      </c>
      <c r="AL321" s="796">
        <v>0</v>
      </c>
      <c r="AM321" s="796">
        <v>0</v>
      </c>
      <c r="AN321" s="796">
        <v>0</v>
      </c>
      <c r="AO321" s="796">
        <v>0</v>
      </c>
      <c r="AP321" s="796">
        <v>0</v>
      </c>
      <c r="AQ321" s="796">
        <v>0</v>
      </c>
      <c r="AR321" s="796">
        <v>0</v>
      </c>
      <c r="AS321" s="796">
        <v>0</v>
      </c>
      <c r="AT321" s="796">
        <v>0</v>
      </c>
      <c r="AU321" s="796">
        <v>0</v>
      </c>
      <c r="AV321" s="810">
        <v>45494.89</v>
      </c>
      <c r="AW321" s="796">
        <v>0</v>
      </c>
      <c r="AX321" s="796">
        <v>0</v>
      </c>
      <c r="AY321" s="796">
        <v>0</v>
      </c>
      <c r="AZ321" s="796">
        <v>0</v>
      </c>
      <c r="BA321" s="796">
        <v>0</v>
      </c>
      <c r="BB321" s="796">
        <v>0</v>
      </c>
      <c r="BC321" s="796">
        <v>0</v>
      </c>
      <c r="BD321" s="796">
        <v>0</v>
      </c>
      <c r="BE321" s="796">
        <v>0</v>
      </c>
      <c r="BF321" s="796">
        <v>0</v>
      </c>
      <c r="BG321" s="796">
        <v>0</v>
      </c>
      <c r="BH321" s="796">
        <v>0</v>
      </c>
      <c r="BI321" s="796">
        <v>0</v>
      </c>
      <c r="BJ321" s="796">
        <v>0</v>
      </c>
      <c r="BK321" s="796">
        <v>0</v>
      </c>
      <c r="BL321" s="796">
        <v>0</v>
      </c>
      <c r="BM321" s="796">
        <v>0</v>
      </c>
      <c r="BN321" s="796">
        <v>0</v>
      </c>
      <c r="BO321" s="796">
        <v>0</v>
      </c>
      <c r="BP321" s="796">
        <v>0</v>
      </c>
      <c r="BQ321" s="796">
        <v>0</v>
      </c>
      <c r="BR321" s="796">
        <v>0</v>
      </c>
      <c r="BS321" s="796">
        <v>0</v>
      </c>
      <c r="BT321" s="796">
        <v>0</v>
      </c>
      <c r="BU321" s="796">
        <v>0</v>
      </c>
      <c r="BV321" s="796">
        <v>0</v>
      </c>
    </row>
    <row r="322" spans="2:74">
      <c r="B322" s="795" t="s">
        <v>3213</v>
      </c>
      <c r="C322" s="795" t="s">
        <v>3175</v>
      </c>
      <c r="D322" s="795"/>
      <c r="E322" s="796"/>
      <c r="F322" s="799"/>
      <c r="G322" s="799"/>
      <c r="H322" s="799"/>
      <c r="I322" s="799"/>
      <c r="J322" s="799"/>
      <c r="K322" s="799"/>
      <c r="L322" s="799">
        <f t="shared" si="9"/>
        <v>331</v>
      </c>
      <c r="M322" s="799"/>
      <c r="N322" s="595"/>
      <c r="O322" s="794">
        <v>0</v>
      </c>
      <c r="P322" s="794">
        <v>0</v>
      </c>
      <c r="Q322" s="794">
        <v>0</v>
      </c>
      <c r="R322" s="794">
        <v>0</v>
      </c>
      <c r="S322" s="796">
        <v>0</v>
      </c>
      <c r="T322" s="796">
        <v>0</v>
      </c>
      <c r="U322" s="796">
        <v>0</v>
      </c>
      <c r="V322" s="796">
        <v>0</v>
      </c>
      <c r="W322" s="796">
        <v>0</v>
      </c>
      <c r="X322" s="796">
        <v>0</v>
      </c>
      <c r="Y322" s="796">
        <v>0</v>
      </c>
      <c r="Z322" s="796">
        <v>0</v>
      </c>
      <c r="AA322" s="796">
        <v>0</v>
      </c>
      <c r="AB322" s="796">
        <v>0</v>
      </c>
      <c r="AC322" s="796">
        <v>0</v>
      </c>
      <c r="AD322" s="796">
        <v>0</v>
      </c>
      <c r="AE322" s="796">
        <v>0</v>
      </c>
      <c r="AF322" s="796">
        <v>0</v>
      </c>
      <c r="AG322" s="796">
        <v>0</v>
      </c>
      <c r="AH322" s="796">
        <v>0</v>
      </c>
      <c r="AI322" s="796">
        <v>0</v>
      </c>
      <c r="AJ322" s="796">
        <v>0</v>
      </c>
      <c r="AK322" s="796">
        <v>0</v>
      </c>
      <c r="AL322" s="796">
        <v>0</v>
      </c>
      <c r="AM322" s="796">
        <v>0</v>
      </c>
      <c r="AN322" s="796">
        <v>0</v>
      </c>
      <c r="AO322" s="796">
        <v>0</v>
      </c>
      <c r="AP322" s="796">
        <v>0</v>
      </c>
      <c r="AQ322" s="796">
        <v>0</v>
      </c>
      <c r="AR322" s="796">
        <v>0</v>
      </c>
      <c r="AS322" s="796">
        <v>0</v>
      </c>
      <c r="AT322" s="796">
        <v>0</v>
      </c>
      <c r="AU322" s="796">
        <v>0</v>
      </c>
      <c r="AV322" s="810">
        <v>82289.149999999994</v>
      </c>
      <c r="AW322" s="796">
        <v>215500.76</v>
      </c>
      <c r="AX322" s="796">
        <v>130464.5</v>
      </c>
      <c r="AY322" s="796">
        <v>171051.59</v>
      </c>
      <c r="AZ322" s="796">
        <v>0</v>
      </c>
      <c r="BA322" s="796">
        <v>0</v>
      </c>
      <c r="BB322" s="796">
        <v>0</v>
      </c>
      <c r="BC322" s="796">
        <v>0</v>
      </c>
      <c r="BD322" s="796">
        <v>0</v>
      </c>
      <c r="BE322" s="796">
        <v>0</v>
      </c>
      <c r="BF322" s="796">
        <v>0</v>
      </c>
      <c r="BG322" s="796">
        <v>0</v>
      </c>
      <c r="BH322" s="796">
        <v>0</v>
      </c>
      <c r="BI322" s="796">
        <v>0</v>
      </c>
      <c r="BJ322" s="796">
        <v>0</v>
      </c>
      <c r="BK322" s="796">
        <v>0</v>
      </c>
      <c r="BL322" s="796">
        <v>0</v>
      </c>
      <c r="BM322" s="796">
        <v>0</v>
      </c>
      <c r="BN322" s="796">
        <v>0</v>
      </c>
      <c r="BO322" s="796">
        <v>0</v>
      </c>
      <c r="BP322" s="796">
        <v>0</v>
      </c>
      <c r="BQ322" s="796">
        <v>0</v>
      </c>
      <c r="BR322" s="796">
        <v>0</v>
      </c>
      <c r="BS322" s="796">
        <v>0</v>
      </c>
      <c r="BT322" s="796">
        <v>0</v>
      </c>
      <c r="BU322" s="796">
        <v>0</v>
      </c>
      <c r="BV322" s="796">
        <v>0</v>
      </c>
    </row>
    <row r="323" spans="2:74">
      <c r="B323" s="795" t="s">
        <v>659</v>
      </c>
      <c r="C323" s="795" t="s">
        <v>3214</v>
      </c>
      <c r="D323" s="795"/>
      <c r="E323" s="796"/>
      <c r="F323" s="799"/>
      <c r="G323" s="799"/>
      <c r="H323" s="799"/>
      <c r="I323" s="799"/>
      <c r="J323" s="799"/>
      <c r="K323" s="799"/>
      <c r="L323" s="799">
        <f t="shared" si="9"/>
        <v>331</v>
      </c>
      <c r="M323" s="799"/>
      <c r="N323" s="595"/>
      <c r="O323" s="794">
        <v>0</v>
      </c>
      <c r="P323" s="794">
        <v>0</v>
      </c>
      <c r="Q323" s="794">
        <v>0</v>
      </c>
      <c r="R323" s="794">
        <v>0</v>
      </c>
      <c r="S323" s="796">
        <v>0</v>
      </c>
      <c r="T323" s="796">
        <v>0</v>
      </c>
      <c r="U323" s="796">
        <v>0</v>
      </c>
      <c r="V323" s="796">
        <v>0</v>
      </c>
      <c r="W323" s="796">
        <v>0</v>
      </c>
      <c r="X323" s="796">
        <v>0</v>
      </c>
      <c r="Y323" s="796">
        <v>0</v>
      </c>
      <c r="Z323" s="796">
        <v>0</v>
      </c>
      <c r="AA323" s="796">
        <v>0</v>
      </c>
      <c r="AB323" s="796">
        <v>0</v>
      </c>
      <c r="AC323" s="796">
        <v>0</v>
      </c>
      <c r="AD323" s="796">
        <v>0</v>
      </c>
      <c r="AE323" s="796">
        <v>0</v>
      </c>
      <c r="AF323" s="796">
        <v>0</v>
      </c>
      <c r="AG323" s="796">
        <v>0</v>
      </c>
      <c r="AH323" s="796">
        <v>0</v>
      </c>
      <c r="AI323" s="796">
        <v>0</v>
      </c>
      <c r="AJ323" s="796">
        <v>0</v>
      </c>
      <c r="AK323" s="796">
        <v>0</v>
      </c>
      <c r="AL323" s="796">
        <v>0</v>
      </c>
      <c r="AM323" s="796">
        <v>0</v>
      </c>
      <c r="AN323" s="796">
        <v>0</v>
      </c>
      <c r="AO323" s="796">
        <v>0</v>
      </c>
      <c r="AP323" s="796">
        <v>0</v>
      </c>
      <c r="AQ323" s="796">
        <v>0</v>
      </c>
      <c r="AR323" s="796">
        <v>0</v>
      </c>
      <c r="AS323" s="796">
        <v>0</v>
      </c>
      <c r="AT323" s="796">
        <v>0</v>
      </c>
      <c r="AU323" s="796">
        <v>0</v>
      </c>
      <c r="AV323" s="810">
        <v>19800</v>
      </c>
      <c r="AW323" s="796">
        <v>0</v>
      </c>
      <c r="AX323" s="796">
        <v>0</v>
      </c>
      <c r="AY323" s="796">
        <v>0</v>
      </c>
      <c r="AZ323" s="796">
        <v>0</v>
      </c>
      <c r="BA323" s="796">
        <v>0</v>
      </c>
      <c r="BB323" s="796">
        <v>0</v>
      </c>
      <c r="BC323" s="796">
        <v>0</v>
      </c>
      <c r="BD323" s="796">
        <v>0</v>
      </c>
      <c r="BE323" s="796">
        <v>0</v>
      </c>
      <c r="BF323" s="796">
        <v>0</v>
      </c>
      <c r="BG323" s="796">
        <v>0</v>
      </c>
      <c r="BH323" s="796">
        <v>0</v>
      </c>
      <c r="BI323" s="796">
        <v>0</v>
      </c>
      <c r="BJ323" s="796">
        <v>0</v>
      </c>
      <c r="BK323" s="796">
        <v>0</v>
      </c>
      <c r="BL323" s="796">
        <v>0</v>
      </c>
      <c r="BM323" s="796">
        <v>0</v>
      </c>
      <c r="BN323" s="796">
        <v>0</v>
      </c>
      <c r="BO323" s="796">
        <v>0</v>
      </c>
      <c r="BP323" s="796">
        <v>0</v>
      </c>
      <c r="BQ323" s="796">
        <v>0</v>
      </c>
      <c r="BR323" s="796">
        <v>0</v>
      </c>
      <c r="BS323" s="796">
        <v>0</v>
      </c>
      <c r="BT323" s="796">
        <v>0</v>
      </c>
      <c r="BU323" s="796">
        <v>0</v>
      </c>
      <c r="BV323" s="796">
        <v>0</v>
      </c>
    </row>
    <row r="324" spans="2:74">
      <c r="B324" s="795" t="s">
        <v>3215</v>
      </c>
      <c r="C324" s="795" t="s">
        <v>3216</v>
      </c>
      <c r="D324" s="795"/>
      <c r="E324" s="796"/>
      <c r="F324" s="799"/>
      <c r="G324" s="799"/>
      <c r="H324" s="799"/>
      <c r="I324" s="799"/>
      <c r="J324" s="799"/>
      <c r="K324" s="799"/>
      <c r="L324" s="799">
        <f t="shared" si="9"/>
        <v>331</v>
      </c>
      <c r="M324" s="799"/>
      <c r="N324" s="595"/>
      <c r="O324" s="794">
        <v>0</v>
      </c>
      <c r="P324" s="794">
        <v>0</v>
      </c>
      <c r="Q324" s="794">
        <v>0</v>
      </c>
      <c r="R324" s="794">
        <v>0</v>
      </c>
      <c r="S324" s="796">
        <v>0</v>
      </c>
      <c r="T324" s="796">
        <v>0</v>
      </c>
      <c r="U324" s="796">
        <v>0</v>
      </c>
      <c r="V324" s="796">
        <v>0</v>
      </c>
      <c r="W324" s="796">
        <v>0</v>
      </c>
      <c r="X324" s="796">
        <v>0</v>
      </c>
      <c r="Y324" s="796">
        <v>0</v>
      </c>
      <c r="Z324" s="796">
        <v>0</v>
      </c>
      <c r="AA324" s="796">
        <v>0</v>
      </c>
      <c r="AB324" s="796">
        <v>0</v>
      </c>
      <c r="AC324" s="796">
        <v>0</v>
      </c>
      <c r="AD324" s="796">
        <v>0</v>
      </c>
      <c r="AE324" s="796">
        <v>0</v>
      </c>
      <c r="AF324" s="796">
        <v>0</v>
      </c>
      <c r="AG324" s="796">
        <v>0</v>
      </c>
      <c r="AH324" s="796">
        <v>0</v>
      </c>
      <c r="AI324" s="796">
        <v>0</v>
      </c>
      <c r="AJ324" s="796">
        <v>0</v>
      </c>
      <c r="AK324" s="796">
        <v>0</v>
      </c>
      <c r="AL324" s="796">
        <v>0</v>
      </c>
      <c r="AM324" s="796">
        <v>0</v>
      </c>
      <c r="AN324" s="796">
        <v>0</v>
      </c>
      <c r="AO324" s="796">
        <v>0</v>
      </c>
      <c r="AP324" s="796">
        <v>0</v>
      </c>
      <c r="AQ324" s="796">
        <v>0</v>
      </c>
      <c r="AR324" s="796">
        <v>0</v>
      </c>
      <c r="AS324" s="796">
        <v>0</v>
      </c>
      <c r="AT324" s="796">
        <v>0</v>
      </c>
      <c r="AU324" s="796">
        <v>0</v>
      </c>
      <c r="AV324" s="810">
        <v>44326</v>
      </c>
      <c r="AW324" s="796">
        <v>14896</v>
      </c>
      <c r="AX324" s="796">
        <v>0</v>
      </c>
      <c r="AY324" s="796">
        <v>0</v>
      </c>
      <c r="AZ324" s="796">
        <v>0</v>
      </c>
      <c r="BA324" s="796">
        <v>0</v>
      </c>
      <c r="BB324" s="796">
        <v>0</v>
      </c>
      <c r="BC324" s="796">
        <v>0</v>
      </c>
      <c r="BD324" s="796">
        <v>0</v>
      </c>
      <c r="BE324" s="796">
        <v>0</v>
      </c>
      <c r="BF324" s="796">
        <v>0</v>
      </c>
      <c r="BG324" s="796">
        <v>0</v>
      </c>
      <c r="BH324" s="796">
        <v>0</v>
      </c>
      <c r="BI324" s="796">
        <v>0</v>
      </c>
      <c r="BJ324" s="796">
        <v>0</v>
      </c>
      <c r="BK324" s="796">
        <v>0</v>
      </c>
      <c r="BL324" s="796">
        <v>0</v>
      </c>
      <c r="BM324" s="796">
        <v>0</v>
      </c>
      <c r="BN324" s="796">
        <v>0</v>
      </c>
      <c r="BO324" s="796">
        <v>0</v>
      </c>
      <c r="BP324" s="796">
        <v>0</v>
      </c>
      <c r="BQ324" s="796">
        <v>0</v>
      </c>
      <c r="BR324" s="796">
        <v>0</v>
      </c>
      <c r="BS324" s="796">
        <v>0</v>
      </c>
      <c r="BT324" s="796">
        <v>0</v>
      </c>
      <c r="BU324" s="796">
        <v>0</v>
      </c>
      <c r="BV324" s="796">
        <v>0</v>
      </c>
    </row>
    <row r="325" spans="2:74">
      <c r="B325" s="795" t="s">
        <v>3217</v>
      </c>
      <c r="C325" s="795" t="s">
        <v>3218</v>
      </c>
      <c r="D325" s="795"/>
      <c r="E325" s="796"/>
      <c r="F325" s="799"/>
      <c r="G325" s="799"/>
      <c r="H325" s="799"/>
      <c r="I325" s="799"/>
      <c r="J325" s="799"/>
      <c r="K325" s="799"/>
      <c r="L325" s="799">
        <f t="shared" ref="L325:L371" si="10">+COUNTIF($AJ$5:$AJ$371,AJ325)</f>
        <v>331</v>
      </c>
      <c r="M325" s="799"/>
      <c r="N325" s="595"/>
      <c r="O325" s="794">
        <v>0</v>
      </c>
      <c r="P325" s="794">
        <v>0</v>
      </c>
      <c r="Q325" s="794">
        <v>0</v>
      </c>
      <c r="R325" s="794">
        <v>0</v>
      </c>
      <c r="S325" s="796">
        <v>0</v>
      </c>
      <c r="T325" s="796">
        <v>0</v>
      </c>
      <c r="U325" s="796">
        <v>0</v>
      </c>
      <c r="V325" s="796">
        <v>0</v>
      </c>
      <c r="W325" s="796">
        <v>0</v>
      </c>
      <c r="X325" s="796">
        <v>0</v>
      </c>
      <c r="Y325" s="796">
        <v>0</v>
      </c>
      <c r="Z325" s="796">
        <v>0</v>
      </c>
      <c r="AA325" s="796">
        <v>0</v>
      </c>
      <c r="AB325" s="796">
        <v>0</v>
      </c>
      <c r="AC325" s="796">
        <v>0</v>
      </c>
      <c r="AD325" s="796">
        <v>0</v>
      </c>
      <c r="AE325" s="796">
        <v>0</v>
      </c>
      <c r="AF325" s="796">
        <v>0</v>
      </c>
      <c r="AG325" s="796">
        <v>0</v>
      </c>
      <c r="AH325" s="796">
        <v>0</v>
      </c>
      <c r="AI325" s="796">
        <v>0</v>
      </c>
      <c r="AJ325" s="796">
        <v>0</v>
      </c>
      <c r="AK325" s="796">
        <v>0</v>
      </c>
      <c r="AL325" s="796">
        <v>0</v>
      </c>
      <c r="AM325" s="796">
        <v>0</v>
      </c>
      <c r="AN325" s="796">
        <v>0</v>
      </c>
      <c r="AO325" s="796">
        <v>0</v>
      </c>
      <c r="AP325" s="796">
        <v>0</v>
      </c>
      <c r="AQ325" s="796">
        <v>0</v>
      </c>
      <c r="AR325" s="796">
        <v>0</v>
      </c>
      <c r="AS325" s="796">
        <v>0</v>
      </c>
      <c r="AT325" s="796">
        <v>0</v>
      </c>
      <c r="AU325" s="796">
        <v>0</v>
      </c>
      <c r="AV325" s="810">
        <v>99000</v>
      </c>
      <c r="AW325" s="796">
        <v>74975.520000000004</v>
      </c>
      <c r="AX325" s="796">
        <v>75000</v>
      </c>
      <c r="AY325" s="796">
        <v>64000</v>
      </c>
      <c r="AZ325" s="796">
        <v>0</v>
      </c>
      <c r="BA325" s="796">
        <v>0</v>
      </c>
      <c r="BB325" s="796">
        <v>0</v>
      </c>
      <c r="BC325" s="796">
        <v>0</v>
      </c>
      <c r="BD325" s="796">
        <v>0</v>
      </c>
      <c r="BE325" s="796">
        <v>0</v>
      </c>
      <c r="BF325" s="796">
        <v>0</v>
      </c>
      <c r="BG325" s="796">
        <v>0</v>
      </c>
      <c r="BH325" s="796">
        <v>5500</v>
      </c>
      <c r="BI325" s="796">
        <v>0</v>
      </c>
      <c r="BJ325" s="796">
        <v>0</v>
      </c>
      <c r="BK325" s="796">
        <v>0</v>
      </c>
      <c r="BL325" s="796">
        <v>0</v>
      </c>
      <c r="BM325" s="796">
        <v>0</v>
      </c>
      <c r="BN325" s="796">
        <v>0</v>
      </c>
      <c r="BO325" s="796">
        <v>0</v>
      </c>
      <c r="BP325" s="796">
        <v>0</v>
      </c>
      <c r="BQ325" s="796">
        <v>0</v>
      </c>
      <c r="BR325" s="796">
        <v>0</v>
      </c>
      <c r="BS325" s="796">
        <v>0</v>
      </c>
      <c r="BT325" s="796">
        <v>0</v>
      </c>
      <c r="BU325" s="796">
        <v>0</v>
      </c>
      <c r="BV325" s="796">
        <v>0</v>
      </c>
    </row>
    <row r="326" spans="2:74">
      <c r="B326" s="795" t="s">
        <v>3219</v>
      </c>
      <c r="C326" s="795" t="s">
        <v>3220</v>
      </c>
      <c r="D326" s="795"/>
      <c r="E326" s="796"/>
      <c r="F326" s="799"/>
      <c r="G326" s="799"/>
      <c r="H326" s="799"/>
      <c r="I326" s="799"/>
      <c r="J326" s="799"/>
      <c r="K326" s="799"/>
      <c r="L326" s="799">
        <f t="shared" si="10"/>
        <v>331</v>
      </c>
      <c r="M326" s="799"/>
      <c r="N326" s="595"/>
      <c r="O326" s="794">
        <v>0</v>
      </c>
      <c r="P326" s="794">
        <v>0</v>
      </c>
      <c r="Q326" s="794">
        <v>0</v>
      </c>
      <c r="R326" s="794">
        <v>0</v>
      </c>
      <c r="S326" s="796">
        <v>0</v>
      </c>
      <c r="T326" s="796">
        <v>0</v>
      </c>
      <c r="U326" s="796">
        <v>0</v>
      </c>
      <c r="V326" s="796">
        <v>0</v>
      </c>
      <c r="W326" s="796">
        <v>0</v>
      </c>
      <c r="X326" s="796">
        <v>0</v>
      </c>
      <c r="Y326" s="796">
        <v>0</v>
      </c>
      <c r="Z326" s="796">
        <v>0</v>
      </c>
      <c r="AA326" s="796">
        <v>0</v>
      </c>
      <c r="AB326" s="796">
        <v>0</v>
      </c>
      <c r="AC326" s="796">
        <v>0</v>
      </c>
      <c r="AD326" s="796">
        <v>0</v>
      </c>
      <c r="AE326" s="796">
        <v>0</v>
      </c>
      <c r="AF326" s="796">
        <v>0</v>
      </c>
      <c r="AG326" s="796">
        <v>0</v>
      </c>
      <c r="AH326" s="796">
        <v>0</v>
      </c>
      <c r="AI326" s="796">
        <v>0</v>
      </c>
      <c r="AJ326" s="796">
        <v>0</v>
      </c>
      <c r="AK326" s="796">
        <v>0</v>
      </c>
      <c r="AL326" s="796">
        <v>0</v>
      </c>
      <c r="AM326" s="796">
        <v>0</v>
      </c>
      <c r="AN326" s="796">
        <v>0</v>
      </c>
      <c r="AO326" s="796">
        <v>0</v>
      </c>
      <c r="AP326" s="796">
        <v>0</v>
      </c>
      <c r="AQ326" s="796">
        <v>0</v>
      </c>
      <c r="AR326" s="796">
        <v>0</v>
      </c>
      <c r="AS326" s="796">
        <v>0</v>
      </c>
      <c r="AT326" s="796">
        <v>0</v>
      </c>
      <c r="AU326" s="796">
        <v>0</v>
      </c>
      <c r="AV326" s="810">
        <v>56334.32</v>
      </c>
      <c r="AW326" s="796">
        <v>41841.199999999997</v>
      </c>
      <c r="AX326" s="796">
        <v>60134.239999999998</v>
      </c>
      <c r="AY326" s="796">
        <v>21124.68</v>
      </c>
      <c r="AZ326" s="796">
        <v>0</v>
      </c>
      <c r="BA326" s="796">
        <v>0</v>
      </c>
      <c r="BB326" s="796">
        <v>0</v>
      </c>
      <c r="BC326" s="796">
        <v>0</v>
      </c>
      <c r="BD326" s="796">
        <v>0</v>
      </c>
      <c r="BE326" s="796">
        <v>0</v>
      </c>
      <c r="BF326" s="796">
        <v>0</v>
      </c>
      <c r="BG326" s="796">
        <v>0</v>
      </c>
      <c r="BH326" s="796">
        <v>0</v>
      </c>
      <c r="BI326" s="796">
        <v>0</v>
      </c>
      <c r="BJ326" s="796">
        <v>0</v>
      </c>
      <c r="BK326" s="796">
        <v>0</v>
      </c>
      <c r="BL326" s="796">
        <v>0</v>
      </c>
      <c r="BM326" s="796">
        <v>0</v>
      </c>
      <c r="BN326" s="796">
        <v>0</v>
      </c>
      <c r="BO326" s="796">
        <v>0</v>
      </c>
      <c r="BP326" s="796">
        <v>0</v>
      </c>
      <c r="BQ326" s="796">
        <v>0</v>
      </c>
      <c r="BR326" s="796">
        <v>0</v>
      </c>
      <c r="BS326" s="796">
        <v>0</v>
      </c>
      <c r="BT326" s="796">
        <v>0</v>
      </c>
      <c r="BU326" s="796">
        <v>0</v>
      </c>
      <c r="BV326" s="796">
        <v>0</v>
      </c>
    </row>
    <row r="327" spans="2:74">
      <c r="B327" s="795" t="s">
        <v>3221</v>
      </c>
      <c r="C327" s="795" t="s">
        <v>3207</v>
      </c>
      <c r="D327" s="795"/>
      <c r="E327" s="796"/>
      <c r="F327" s="799"/>
      <c r="G327" s="799"/>
      <c r="H327" s="799"/>
      <c r="I327" s="799"/>
      <c r="J327" s="799"/>
      <c r="K327" s="799"/>
      <c r="L327" s="799">
        <f t="shared" si="10"/>
        <v>331</v>
      </c>
      <c r="M327" s="799"/>
      <c r="N327" s="595"/>
      <c r="O327" s="794">
        <v>0</v>
      </c>
      <c r="P327" s="794">
        <v>0</v>
      </c>
      <c r="Q327" s="794">
        <v>0</v>
      </c>
      <c r="R327" s="794">
        <v>0</v>
      </c>
      <c r="S327" s="796">
        <v>0</v>
      </c>
      <c r="T327" s="796">
        <v>0</v>
      </c>
      <c r="U327" s="796">
        <v>0</v>
      </c>
      <c r="V327" s="796">
        <v>0</v>
      </c>
      <c r="W327" s="796">
        <v>0</v>
      </c>
      <c r="X327" s="796">
        <v>0</v>
      </c>
      <c r="Y327" s="796">
        <v>0</v>
      </c>
      <c r="Z327" s="796">
        <v>0</v>
      </c>
      <c r="AA327" s="796">
        <v>0</v>
      </c>
      <c r="AB327" s="796">
        <v>0</v>
      </c>
      <c r="AC327" s="796">
        <v>0</v>
      </c>
      <c r="AD327" s="796">
        <v>0</v>
      </c>
      <c r="AE327" s="796">
        <v>0</v>
      </c>
      <c r="AF327" s="796">
        <v>0</v>
      </c>
      <c r="AG327" s="796">
        <v>0</v>
      </c>
      <c r="AH327" s="796">
        <v>0</v>
      </c>
      <c r="AI327" s="796">
        <v>0</v>
      </c>
      <c r="AJ327" s="796">
        <v>0</v>
      </c>
      <c r="AK327" s="796">
        <v>0</v>
      </c>
      <c r="AL327" s="796">
        <v>0</v>
      </c>
      <c r="AM327" s="796">
        <v>0</v>
      </c>
      <c r="AN327" s="796">
        <v>0</v>
      </c>
      <c r="AO327" s="796">
        <v>0</v>
      </c>
      <c r="AP327" s="796">
        <v>0</v>
      </c>
      <c r="AQ327" s="796">
        <v>0</v>
      </c>
      <c r="AR327" s="796">
        <v>0</v>
      </c>
      <c r="AS327" s="796">
        <v>0</v>
      </c>
      <c r="AT327" s="796">
        <v>0</v>
      </c>
      <c r="AU327" s="796">
        <v>0</v>
      </c>
      <c r="AV327" s="810">
        <v>48500</v>
      </c>
      <c r="AW327" s="796">
        <v>0</v>
      </c>
      <c r="AX327" s="796">
        <v>0</v>
      </c>
      <c r="AY327" s="796">
        <v>0</v>
      </c>
      <c r="AZ327" s="796">
        <v>60000</v>
      </c>
      <c r="BA327" s="796">
        <v>0</v>
      </c>
      <c r="BB327" s="796">
        <v>0</v>
      </c>
      <c r="BC327" s="796">
        <v>0</v>
      </c>
      <c r="BD327" s="796">
        <v>0</v>
      </c>
      <c r="BE327" s="796">
        <v>0</v>
      </c>
      <c r="BF327" s="796">
        <v>0</v>
      </c>
      <c r="BG327" s="796">
        <v>0</v>
      </c>
      <c r="BH327" s="796">
        <v>0</v>
      </c>
      <c r="BI327" s="796">
        <v>0</v>
      </c>
      <c r="BJ327" s="796">
        <v>0</v>
      </c>
      <c r="BK327" s="796">
        <v>0</v>
      </c>
      <c r="BL327" s="796">
        <v>0</v>
      </c>
      <c r="BM327" s="796">
        <v>0</v>
      </c>
      <c r="BN327" s="796">
        <v>0</v>
      </c>
      <c r="BO327" s="796">
        <v>0</v>
      </c>
      <c r="BP327" s="796">
        <v>0</v>
      </c>
      <c r="BQ327" s="796">
        <v>0</v>
      </c>
      <c r="BR327" s="796">
        <v>0</v>
      </c>
      <c r="BS327" s="796">
        <v>0</v>
      </c>
      <c r="BT327" s="796">
        <v>0</v>
      </c>
      <c r="BU327" s="796">
        <v>0</v>
      </c>
      <c r="BV327" s="796">
        <v>0</v>
      </c>
    </row>
    <row r="328" spans="2:74">
      <c r="B328" s="795" t="s">
        <v>502</v>
      </c>
      <c r="C328" s="795" t="s">
        <v>3222</v>
      </c>
      <c r="D328" s="795"/>
      <c r="E328" s="796"/>
      <c r="F328" s="799"/>
      <c r="G328" s="799"/>
      <c r="H328" s="799"/>
      <c r="I328" s="799"/>
      <c r="J328" s="799"/>
      <c r="K328" s="799"/>
      <c r="L328" s="799">
        <f t="shared" si="10"/>
        <v>331</v>
      </c>
      <c r="M328" s="799"/>
      <c r="N328" s="595"/>
      <c r="O328" s="794">
        <v>0</v>
      </c>
      <c r="P328" s="794">
        <v>0</v>
      </c>
      <c r="Q328" s="794">
        <v>0</v>
      </c>
      <c r="R328" s="794">
        <v>0</v>
      </c>
      <c r="S328" s="796">
        <v>0</v>
      </c>
      <c r="T328" s="796">
        <v>0</v>
      </c>
      <c r="U328" s="796">
        <v>0</v>
      </c>
      <c r="V328" s="796">
        <v>0</v>
      </c>
      <c r="W328" s="796">
        <v>0</v>
      </c>
      <c r="X328" s="796">
        <v>0</v>
      </c>
      <c r="Y328" s="796">
        <v>0</v>
      </c>
      <c r="Z328" s="796">
        <v>0</v>
      </c>
      <c r="AA328" s="796">
        <v>0</v>
      </c>
      <c r="AB328" s="796">
        <v>0</v>
      </c>
      <c r="AC328" s="796">
        <v>0</v>
      </c>
      <c r="AD328" s="796">
        <v>0</v>
      </c>
      <c r="AE328" s="796">
        <v>0</v>
      </c>
      <c r="AF328" s="796">
        <v>0</v>
      </c>
      <c r="AG328" s="796">
        <v>0</v>
      </c>
      <c r="AH328" s="796">
        <v>0</v>
      </c>
      <c r="AI328" s="796">
        <v>0</v>
      </c>
      <c r="AJ328" s="796">
        <v>0</v>
      </c>
      <c r="AK328" s="796">
        <v>0</v>
      </c>
      <c r="AL328" s="796">
        <v>0</v>
      </c>
      <c r="AM328" s="796">
        <v>0</v>
      </c>
      <c r="AN328" s="796">
        <v>0</v>
      </c>
      <c r="AO328" s="796">
        <v>0</v>
      </c>
      <c r="AP328" s="796">
        <v>0</v>
      </c>
      <c r="AQ328" s="796">
        <v>0</v>
      </c>
      <c r="AR328" s="796">
        <v>0</v>
      </c>
      <c r="AS328" s="796">
        <v>0</v>
      </c>
      <c r="AT328" s="796">
        <v>0</v>
      </c>
      <c r="AU328" s="796">
        <v>0</v>
      </c>
      <c r="AV328" s="796">
        <v>0</v>
      </c>
      <c r="AW328" s="810">
        <v>110657.17</v>
      </c>
      <c r="AX328" s="796">
        <v>0</v>
      </c>
      <c r="AY328" s="796">
        <v>0</v>
      </c>
      <c r="AZ328" s="796">
        <v>0</v>
      </c>
      <c r="BA328" s="796">
        <v>0</v>
      </c>
      <c r="BB328" s="796">
        <v>0</v>
      </c>
      <c r="BC328" s="796">
        <v>0</v>
      </c>
      <c r="BD328" s="796">
        <v>0</v>
      </c>
      <c r="BE328" s="796">
        <v>0</v>
      </c>
      <c r="BF328" s="796">
        <v>0</v>
      </c>
      <c r="BG328" s="796">
        <v>0</v>
      </c>
      <c r="BH328" s="796">
        <v>0</v>
      </c>
      <c r="BI328" s="796">
        <v>26474.54</v>
      </c>
      <c r="BJ328" s="796">
        <v>0</v>
      </c>
      <c r="BK328" s="796">
        <v>0</v>
      </c>
      <c r="BL328" s="796">
        <v>0</v>
      </c>
      <c r="BM328" s="796">
        <v>227131.23</v>
      </c>
      <c r="BN328" s="796">
        <v>175361.17</v>
      </c>
      <c r="BO328" s="796">
        <v>280682.81</v>
      </c>
      <c r="BP328" s="796">
        <v>107813.58</v>
      </c>
      <c r="BQ328" s="796">
        <v>39343.160000000003</v>
      </c>
      <c r="BR328" s="796">
        <v>0</v>
      </c>
      <c r="BS328" s="796">
        <v>0</v>
      </c>
      <c r="BT328" s="796">
        <v>0</v>
      </c>
      <c r="BU328" s="796">
        <v>0</v>
      </c>
      <c r="BV328" s="796">
        <v>200000</v>
      </c>
    </row>
    <row r="329" spans="2:74">
      <c r="B329" s="795" t="s">
        <v>3225</v>
      </c>
      <c r="C329" s="795" t="s">
        <v>3226</v>
      </c>
      <c r="D329" s="795"/>
      <c r="E329" s="796"/>
      <c r="F329" s="799"/>
      <c r="G329" s="799"/>
      <c r="H329" s="799"/>
      <c r="I329" s="799"/>
      <c r="J329" s="799"/>
      <c r="K329" s="799"/>
      <c r="L329" s="799">
        <f t="shared" si="10"/>
        <v>331</v>
      </c>
      <c r="M329" s="799"/>
      <c r="N329" s="595"/>
      <c r="O329" s="794">
        <v>0</v>
      </c>
      <c r="P329" s="794">
        <v>0</v>
      </c>
      <c r="Q329" s="794">
        <v>0</v>
      </c>
      <c r="R329" s="794">
        <v>0</v>
      </c>
      <c r="S329" s="796">
        <v>0</v>
      </c>
      <c r="T329" s="796">
        <v>0</v>
      </c>
      <c r="U329" s="796">
        <v>0</v>
      </c>
      <c r="V329" s="796">
        <v>0</v>
      </c>
      <c r="W329" s="796">
        <v>0</v>
      </c>
      <c r="X329" s="796">
        <v>0</v>
      </c>
      <c r="Y329" s="796">
        <v>0</v>
      </c>
      <c r="Z329" s="796">
        <v>0</v>
      </c>
      <c r="AA329" s="796">
        <v>0</v>
      </c>
      <c r="AB329" s="796">
        <v>0</v>
      </c>
      <c r="AC329" s="796">
        <v>0</v>
      </c>
      <c r="AD329" s="796">
        <v>0</v>
      </c>
      <c r="AE329" s="796">
        <v>0</v>
      </c>
      <c r="AF329" s="796">
        <v>0</v>
      </c>
      <c r="AG329" s="796">
        <v>0</v>
      </c>
      <c r="AH329" s="796">
        <v>0</v>
      </c>
      <c r="AI329" s="796">
        <v>0</v>
      </c>
      <c r="AJ329" s="796">
        <v>0</v>
      </c>
      <c r="AK329" s="796">
        <v>0</v>
      </c>
      <c r="AL329" s="796">
        <v>0</v>
      </c>
      <c r="AM329" s="796">
        <v>0</v>
      </c>
      <c r="AN329" s="796">
        <v>0</v>
      </c>
      <c r="AO329" s="796">
        <v>0</v>
      </c>
      <c r="AP329" s="796">
        <v>0</v>
      </c>
      <c r="AQ329" s="796">
        <v>0</v>
      </c>
      <c r="AR329" s="796">
        <v>0</v>
      </c>
      <c r="AS329" s="796">
        <v>0</v>
      </c>
      <c r="AT329" s="796">
        <v>0</v>
      </c>
      <c r="AU329" s="796">
        <v>0</v>
      </c>
      <c r="AV329" s="796">
        <v>0</v>
      </c>
      <c r="AW329" s="810">
        <v>13295.95</v>
      </c>
      <c r="AX329" s="796">
        <v>19609.55</v>
      </c>
      <c r="AY329" s="796">
        <v>4000</v>
      </c>
      <c r="AZ329" s="796">
        <v>0</v>
      </c>
      <c r="BA329" s="796">
        <v>0</v>
      </c>
      <c r="BB329" s="796">
        <v>0</v>
      </c>
      <c r="BC329" s="796">
        <v>20294.5</v>
      </c>
      <c r="BD329" s="796">
        <v>0</v>
      </c>
      <c r="BE329" s="796">
        <v>0</v>
      </c>
      <c r="BF329" s="796">
        <v>0</v>
      </c>
      <c r="BG329" s="796">
        <v>20294.5</v>
      </c>
      <c r="BH329" s="796">
        <v>0</v>
      </c>
      <c r="BI329" s="796">
        <v>0</v>
      </c>
      <c r="BJ329" s="796">
        <v>0</v>
      </c>
      <c r="BK329" s="796">
        <v>0</v>
      </c>
      <c r="BL329" s="796">
        <v>0</v>
      </c>
      <c r="BM329" s="796">
        <v>0</v>
      </c>
      <c r="BN329" s="796">
        <v>0</v>
      </c>
      <c r="BO329" s="796">
        <v>0</v>
      </c>
      <c r="BP329" s="796">
        <v>0</v>
      </c>
      <c r="BQ329" s="796">
        <v>0</v>
      </c>
      <c r="BR329" s="796">
        <v>0</v>
      </c>
      <c r="BS329" s="796">
        <v>0</v>
      </c>
      <c r="BT329" s="796">
        <v>0</v>
      </c>
      <c r="BU329" s="796">
        <v>0</v>
      </c>
      <c r="BV329" s="796">
        <v>0</v>
      </c>
    </row>
    <row r="330" spans="2:74">
      <c r="B330" s="795" t="s">
        <v>3227</v>
      </c>
      <c r="C330" s="795" t="s">
        <v>3228</v>
      </c>
      <c r="D330" s="795"/>
      <c r="E330" s="796"/>
      <c r="F330" s="799"/>
      <c r="G330" s="799"/>
      <c r="H330" s="799"/>
      <c r="I330" s="799"/>
      <c r="J330" s="799"/>
      <c r="K330" s="799"/>
      <c r="L330" s="799">
        <f t="shared" si="10"/>
        <v>331</v>
      </c>
      <c r="M330" s="799"/>
      <c r="N330" s="595"/>
      <c r="O330" s="794">
        <v>0</v>
      </c>
      <c r="P330" s="794">
        <v>0</v>
      </c>
      <c r="Q330" s="794">
        <v>0</v>
      </c>
      <c r="R330" s="794">
        <v>0</v>
      </c>
      <c r="S330" s="796">
        <v>0</v>
      </c>
      <c r="T330" s="796">
        <v>0</v>
      </c>
      <c r="U330" s="796">
        <v>0</v>
      </c>
      <c r="V330" s="796">
        <v>0</v>
      </c>
      <c r="W330" s="796">
        <v>0</v>
      </c>
      <c r="X330" s="796">
        <v>0</v>
      </c>
      <c r="Y330" s="796">
        <v>0</v>
      </c>
      <c r="Z330" s="796">
        <v>0</v>
      </c>
      <c r="AA330" s="796">
        <v>0</v>
      </c>
      <c r="AB330" s="796">
        <v>0</v>
      </c>
      <c r="AC330" s="796">
        <v>0</v>
      </c>
      <c r="AD330" s="796">
        <v>0</v>
      </c>
      <c r="AE330" s="796">
        <v>0</v>
      </c>
      <c r="AF330" s="796">
        <v>0</v>
      </c>
      <c r="AG330" s="796">
        <v>0</v>
      </c>
      <c r="AH330" s="796">
        <v>0</v>
      </c>
      <c r="AI330" s="796">
        <v>0</v>
      </c>
      <c r="AJ330" s="796">
        <v>0</v>
      </c>
      <c r="AK330" s="796">
        <v>0</v>
      </c>
      <c r="AL330" s="796">
        <v>0</v>
      </c>
      <c r="AM330" s="796">
        <v>0</v>
      </c>
      <c r="AN330" s="796">
        <v>0</v>
      </c>
      <c r="AO330" s="796">
        <v>0</v>
      </c>
      <c r="AP330" s="796">
        <v>0</v>
      </c>
      <c r="AQ330" s="796">
        <v>0</v>
      </c>
      <c r="AR330" s="796">
        <v>0</v>
      </c>
      <c r="AS330" s="796">
        <v>0</v>
      </c>
      <c r="AT330" s="796">
        <v>0</v>
      </c>
      <c r="AU330" s="796">
        <v>0</v>
      </c>
      <c r="AV330" s="796">
        <v>0</v>
      </c>
      <c r="AW330" s="810">
        <v>236084.52</v>
      </c>
      <c r="AX330" s="796">
        <v>0</v>
      </c>
      <c r="AY330" s="796">
        <v>0</v>
      </c>
      <c r="AZ330" s="796">
        <v>34656</v>
      </c>
      <c r="BA330" s="796">
        <v>0</v>
      </c>
      <c r="BB330" s="796">
        <v>0</v>
      </c>
      <c r="BC330" s="796">
        <v>158530</v>
      </c>
      <c r="BD330" s="796">
        <v>0</v>
      </c>
      <c r="BE330" s="796">
        <v>0</v>
      </c>
      <c r="BF330" s="796">
        <v>0</v>
      </c>
      <c r="BG330" s="796">
        <v>0</v>
      </c>
      <c r="BH330" s="796">
        <v>0</v>
      </c>
      <c r="BI330" s="796">
        <v>0</v>
      </c>
      <c r="BJ330" s="796">
        <v>0</v>
      </c>
      <c r="BK330" s="796">
        <v>0</v>
      </c>
      <c r="BL330" s="796">
        <v>0</v>
      </c>
      <c r="BM330" s="796">
        <v>0</v>
      </c>
      <c r="BN330" s="796">
        <v>0</v>
      </c>
      <c r="BO330" s="796">
        <v>0</v>
      </c>
      <c r="BP330" s="796">
        <v>0</v>
      </c>
      <c r="BQ330" s="796">
        <v>0</v>
      </c>
      <c r="BR330" s="796">
        <v>0</v>
      </c>
      <c r="BS330" s="796">
        <v>0</v>
      </c>
      <c r="BT330" s="796">
        <v>0</v>
      </c>
      <c r="BU330" s="796">
        <v>0</v>
      </c>
      <c r="BV330" s="796">
        <v>0</v>
      </c>
    </row>
    <row r="331" spans="2:74">
      <c r="B331" s="795" t="s">
        <v>3229</v>
      </c>
      <c r="C331" s="795" t="s">
        <v>540</v>
      </c>
      <c r="D331" s="795"/>
      <c r="E331" s="796"/>
      <c r="F331" s="799"/>
      <c r="G331" s="799"/>
      <c r="H331" s="799"/>
      <c r="I331" s="799"/>
      <c r="J331" s="799"/>
      <c r="K331" s="799"/>
      <c r="L331" s="799">
        <f t="shared" si="10"/>
        <v>331</v>
      </c>
      <c r="M331" s="799"/>
      <c r="N331" s="595"/>
      <c r="O331" s="794">
        <v>0</v>
      </c>
      <c r="P331" s="794">
        <v>0</v>
      </c>
      <c r="Q331" s="794">
        <v>0</v>
      </c>
      <c r="R331" s="794">
        <v>0</v>
      </c>
      <c r="S331" s="796">
        <v>0</v>
      </c>
      <c r="T331" s="796">
        <v>0</v>
      </c>
      <c r="U331" s="796">
        <v>0</v>
      </c>
      <c r="V331" s="796">
        <v>0</v>
      </c>
      <c r="W331" s="796">
        <v>0</v>
      </c>
      <c r="X331" s="796">
        <v>0</v>
      </c>
      <c r="Y331" s="796">
        <v>0</v>
      </c>
      <c r="Z331" s="796">
        <v>0</v>
      </c>
      <c r="AA331" s="796">
        <v>0</v>
      </c>
      <c r="AB331" s="796">
        <v>0</v>
      </c>
      <c r="AC331" s="796">
        <v>0</v>
      </c>
      <c r="AD331" s="796">
        <v>0</v>
      </c>
      <c r="AE331" s="796">
        <v>0</v>
      </c>
      <c r="AF331" s="796">
        <v>0</v>
      </c>
      <c r="AG331" s="796">
        <v>0</v>
      </c>
      <c r="AH331" s="796">
        <v>0</v>
      </c>
      <c r="AI331" s="796">
        <v>0</v>
      </c>
      <c r="AJ331" s="796">
        <v>0</v>
      </c>
      <c r="AK331" s="796">
        <v>0</v>
      </c>
      <c r="AL331" s="796">
        <v>0</v>
      </c>
      <c r="AM331" s="796">
        <v>0</v>
      </c>
      <c r="AN331" s="796">
        <v>0</v>
      </c>
      <c r="AO331" s="796">
        <v>0</v>
      </c>
      <c r="AP331" s="796">
        <v>0</v>
      </c>
      <c r="AQ331" s="796">
        <v>0</v>
      </c>
      <c r="AR331" s="796">
        <v>0</v>
      </c>
      <c r="AS331" s="796">
        <v>0</v>
      </c>
      <c r="AT331" s="796">
        <v>0</v>
      </c>
      <c r="AU331" s="796">
        <v>0</v>
      </c>
      <c r="AV331" s="796">
        <v>0</v>
      </c>
      <c r="AW331" s="810">
        <v>81470.19</v>
      </c>
      <c r="AX331" s="796">
        <v>105700.66</v>
      </c>
      <c r="AY331" s="796">
        <v>94324.69</v>
      </c>
      <c r="AZ331" s="796">
        <v>26832.079999999998</v>
      </c>
      <c r="BA331" s="796">
        <v>89336.29</v>
      </c>
      <c r="BB331" s="796">
        <v>27521.23</v>
      </c>
      <c r="BC331" s="796">
        <v>37987.990000000005</v>
      </c>
      <c r="BD331" s="796">
        <v>42365.9</v>
      </c>
      <c r="BE331" s="796">
        <v>45873.119999999995</v>
      </c>
      <c r="BF331" s="796">
        <v>21381</v>
      </c>
      <c r="BG331" s="796">
        <v>57961.73</v>
      </c>
      <c r="BH331" s="796">
        <v>720</v>
      </c>
      <c r="BI331" s="796">
        <v>0</v>
      </c>
      <c r="BJ331" s="796">
        <v>0</v>
      </c>
      <c r="BK331" s="796">
        <v>0</v>
      </c>
      <c r="BL331" s="796">
        <v>0</v>
      </c>
      <c r="BM331" s="796">
        <v>0</v>
      </c>
      <c r="BN331" s="796">
        <v>0</v>
      </c>
      <c r="BO331" s="796">
        <v>0</v>
      </c>
      <c r="BP331" s="796">
        <v>0</v>
      </c>
      <c r="BQ331" s="796">
        <v>0</v>
      </c>
      <c r="BR331" s="796">
        <v>0</v>
      </c>
      <c r="BS331" s="796">
        <v>0</v>
      </c>
      <c r="BT331" s="796">
        <v>0</v>
      </c>
      <c r="BU331" s="796">
        <v>0</v>
      </c>
      <c r="BV331" s="796">
        <v>0</v>
      </c>
    </row>
    <row r="332" spans="2:74">
      <c r="B332" s="795" t="s">
        <v>3230</v>
      </c>
      <c r="C332" s="795" t="s">
        <v>3216</v>
      </c>
      <c r="D332" s="795"/>
      <c r="E332" s="796"/>
      <c r="F332" s="799"/>
      <c r="G332" s="799"/>
      <c r="H332" s="799"/>
      <c r="I332" s="799"/>
      <c r="J332" s="799"/>
      <c r="K332" s="799"/>
      <c r="L332" s="799">
        <f t="shared" si="10"/>
        <v>331</v>
      </c>
      <c r="M332" s="799"/>
      <c r="N332" s="595"/>
      <c r="O332" s="794">
        <v>0</v>
      </c>
      <c r="P332" s="794">
        <v>0</v>
      </c>
      <c r="Q332" s="794">
        <v>0</v>
      </c>
      <c r="R332" s="794">
        <v>0</v>
      </c>
      <c r="S332" s="796">
        <v>0</v>
      </c>
      <c r="T332" s="796">
        <v>0</v>
      </c>
      <c r="U332" s="796">
        <v>0</v>
      </c>
      <c r="V332" s="796">
        <v>0</v>
      </c>
      <c r="W332" s="796">
        <v>0</v>
      </c>
      <c r="X332" s="796">
        <v>0</v>
      </c>
      <c r="Y332" s="796">
        <v>0</v>
      </c>
      <c r="Z332" s="796">
        <v>0</v>
      </c>
      <c r="AA332" s="796">
        <v>0</v>
      </c>
      <c r="AB332" s="796">
        <v>0</v>
      </c>
      <c r="AC332" s="796">
        <v>0</v>
      </c>
      <c r="AD332" s="796">
        <v>0</v>
      </c>
      <c r="AE332" s="796">
        <v>0</v>
      </c>
      <c r="AF332" s="796">
        <v>0</v>
      </c>
      <c r="AG332" s="796">
        <v>0</v>
      </c>
      <c r="AH332" s="796">
        <v>0</v>
      </c>
      <c r="AI332" s="796">
        <v>0</v>
      </c>
      <c r="AJ332" s="796">
        <v>0</v>
      </c>
      <c r="AK332" s="796">
        <v>0</v>
      </c>
      <c r="AL332" s="796">
        <v>0</v>
      </c>
      <c r="AM332" s="796">
        <v>0</v>
      </c>
      <c r="AN332" s="796">
        <v>0</v>
      </c>
      <c r="AO332" s="796">
        <v>0</v>
      </c>
      <c r="AP332" s="796">
        <v>0</v>
      </c>
      <c r="AQ332" s="796">
        <v>0</v>
      </c>
      <c r="AR332" s="796">
        <v>0</v>
      </c>
      <c r="AS332" s="796">
        <v>0</v>
      </c>
      <c r="AT332" s="796">
        <v>0</v>
      </c>
      <c r="AU332" s="796">
        <v>0</v>
      </c>
      <c r="AV332" s="796">
        <v>0</v>
      </c>
      <c r="AW332" s="810">
        <v>13281.8</v>
      </c>
      <c r="AX332" s="796">
        <v>26961.599999999999</v>
      </c>
      <c r="AY332" s="796">
        <v>0</v>
      </c>
      <c r="AZ332" s="796">
        <v>0</v>
      </c>
      <c r="BA332" s="796">
        <v>58814.400000000001</v>
      </c>
      <c r="BB332" s="796">
        <v>0</v>
      </c>
      <c r="BC332" s="796">
        <v>12870</v>
      </c>
      <c r="BD332" s="796">
        <v>0</v>
      </c>
      <c r="BE332" s="796">
        <v>0</v>
      </c>
      <c r="BF332" s="796">
        <v>0</v>
      </c>
      <c r="BG332" s="796">
        <v>0</v>
      </c>
      <c r="BH332" s="796">
        <v>0</v>
      </c>
      <c r="BI332" s="796">
        <v>0</v>
      </c>
      <c r="BJ332" s="796">
        <v>0</v>
      </c>
      <c r="BK332" s="796">
        <v>0</v>
      </c>
      <c r="BL332" s="796">
        <v>0</v>
      </c>
      <c r="BM332" s="796">
        <v>0</v>
      </c>
      <c r="BN332" s="796">
        <v>0</v>
      </c>
      <c r="BO332" s="796">
        <v>0</v>
      </c>
      <c r="BP332" s="796">
        <v>0</v>
      </c>
      <c r="BQ332" s="796">
        <v>0</v>
      </c>
      <c r="BR332" s="796">
        <v>0</v>
      </c>
      <c r="BS332" s="796">
        <v>0</v>
      </c>
      <c r="BT332" s="796">
        <v>0</v>
      </c>
      <c r="BU332" s="796">
        <v>0</v>
      </c>
      <c r="BV332" s="796">
        <v>0</v>
      </c>
    </row>
    <row r="333" spans="2:74">
      <c r="B333" s="795" t="s">
        <v>3233</v>
      </c>
      <c r="C333" s="795" t="s">
        <v>3234</v>
      </c>
      <c r="D333" s="795"/>
      <c r="E333" s="796"/>
      <c r="F333" s="799"/>
      <c r="G333" s="799"/>
      <c r="H333" s="799"/>
      <c r="I333" s="799"/>
      <c r="J333" s="799"/>
      <c r="K333" s="799"/>
      <c r="L333" s="799">
        <f t="shared" si="10"/>
        <v>331</v>
      </c>
      <c r="M333" s="799"/>
      <c r="N333" s="595"/>
      <c r="O333" s="794">
        <v>0</v>
      </c>
      <c r="P333" s="794">
        <v>0</v>
      </c>
      <c r="Q333" s="794">
        <v>0</v>
      </c>
      <c r="R333" s="794">
        <v>0</v>
      </c>
      <c r="S333" s="796">
        <v>0</v>
      </c>
      <c r="T333" s="796">
        <v>0</v>
      </c>
      <c r="U333" s="796">
        <v>0</v>
      </c>
      <c r="V333" s="796">
        <v>0</v>
      </c>
      <c r="W333" s="796">
        <v>0</v>
      </c>
      <c r="X333" s="796">
        <v>0</v>
      </c>
      <c r="Y333" s="796">
        <v>0</v>
      </c>
      <c r="Z333" s="796">
        <v>0</v>
      </c>
      <c r="AA333" s="796">
        <v>0</v>
      </c>
      <c r="AB333" s="796">
        <v>0</v>
      </c>
      <c r="AC333" s="796">
        <v>0</v>
      </c>
      <c r="AD333" s="796">
        <v>0</v>
      </c>
      <c r="AE333" s="796">
        <v>0</v>
      </c>
      <c r="AF333" s="796">
        <v>0</v>
      </c>
      <c r="AG333" s="796">
        <v>0</v>
      </c>
      <c r="AH333" s="796">
        <v>0</v>
      </c>
      <c r="AI333" s="796">
        <v>0</v>
      </c>
      <c r="AJ333" s="796">
        <v>0</v>
      </c>
      <c r="AK333" s="796">
        <v>0</v>
      </c>
      <c r="AL333" s="796">
        <v>0</v>
      </c>
      <c r="AM333" s="796">
        <v>0</v>
      </c>
      <c r="AN333" s="796">
        <v>0</v>
      </c>
      <c r="AO333" s="796">
        <v>0</v>
      </c>
      <c r="AP333" s="796">
        <v>0</v>
      </c>
      <c r="AQ333" s="796">
        <v>0</v>
      </c>
      <c r="AR333" s="796">
        <v>0</v>
      </c>
      <c r="AS333" s="796">
        <v>0</v>
      </c>
      <c r="AT333" s="796">
        <v>0</v>
      </c>
      <c r="AU333" s="796">
        <v>0</v>
      </c>
      <c r="AV333" s="796">
        <v>0</v>
      </c>
      <c r="AW333" s="810">
        <v>29814.1</v>
      </c>
      <c r="AX333" s="796">
        <v>38894.46</v>
      </c>
      <c r="AY333" s="796">
        <v>68718.64</v>
      </c>
      <c r="AZ333" s="796">
        <v>126123.53</v>
      </c>
      <c r="BA333" s="796">
        <v>93004.92</v>
      </c>
      <c r="BB333" s="796">
        <v>106764.43</v>
      </c>
      <c r="BC333" s="796">
        <v>1704</v>
      </c>
      <c r="BD333" s="796">
        <v>4704.3</v>
      </c>
      <c r="BE333" s="796">
        <v>0</v>
      </c>
      <c r="BF333" s="796">
        <v>0</v>
      </c>
      <c r="BG333" s="796">
        <v>0</v>
      </c>
      <c r="BH333" s="796">
        <v>0</v>
      </c>
      <c r="BI333" s="796">
        <v>0</v>
      </c>
      <c r="BJ333" s="796">
        <v>0</v>
      </c>
      <c r="BK333" s="796">
        <v>0</v>
      </c>
      <c r="BL333" s="796">
        <v>57257.77</v>
      </c>
      <c r="BM333" s="796">
        <v>91229.28</v>
      </c>
      <c r="BN333" s="796">
        <v>124739.3</v>
      </c>
      <c r="BO333" s="796">
        <v>153463.29999999999</v>
      </c>
      <c r="BP333" s="796">
        <v>173296.45</v>
      </c>
      <c r="BQ333" s="796">
        <v>130023.96</v>
      </c>
      <c r="BR333" s="796">
        <v>148672.79999999999</v>
      </c>
      <c r="BS333" s="796">
        <v>0</v>
      </c>
      <c r="BT333" s="796">
        <v>0</v>
      </c>
      <c r="BU333" s="796">
        <v>0</v>
      </c>
      <c r="BV333" s="796">
        <v>0</v>
      </c>
    </row>
    <row r="334" spans="2:74">
      <c r="B334" s="795" t="s">
        <v>3108</v>
      </c>
      <c r="C334" s="795" t="s">
        <v>3235</v>
      </c>
      <c r="D334" s="795"/>
      <c r="E334" s="796"/>
      <c r="F334" s="799"/>
      <c r="G334" s="799"/>
      <c r="H334" s="799"/>
      <c r="I334" s="799"/>
      <c r="J334" s="799"/>
      <c r="K334" s="799"/>
      <c r="L334" s="799">
        <f t="shared" si="10"/>
        <v>331</v>
      </c>
      <c r="M334" s="799"/>
      <c r="N334" s="595"/>
      <c r="O334" s="794">
        <v>0</v>
      </c>
      <c r="P334" s="794">
        <v>0</v>
      </c>
      <c r="Q334" s="794">
        <v>0</v>
      </c>
      <c r="R334" s="794">
        <v>0</v>
      </c>
      <c r="S334" s="796">
        <v>0</v>
      </c>
      <c r="T334" s="796">
        <v>0</v>
      </c>
      <c r="U334" s="796">
        <v>0</v>
      </c>
      <c r="V334" s="796">
        <v>0</v>
      </c>
      <c r="W334" s="796">
        <v>0</v>
      </c>
      <c r="X334" s="796">
        <v>0</v>
      </c>
      <c r="Y334" s="796">
        <v>0</v>
      </c>
      <c r="Z334" s="796">
        <v>0</v>
      </c>
      <c r="AA334" s="796">
        <v>0</v>
      </c>
      <c r="AB334" s="796">
        <v>0</v>
      </c>
      <c r="AC334" s="796">
        <v>0</v>
      </c>
      <c r="AD334" s="796">
        <v>0</v>
      </c>
      <c r="AE334" s="796">
        <v>0</v>
      </c>
      <c r="AF334" s="796">
        <v>0</v>
      </c>
      <c r="AG334" s="796">
        <v>0</v>
      </c>
      <c r="AH334" s="796">
        <v>0</v>
      </c>
      <c r="AI334" s="796">
        <v>0</v>
      </c>
      <c r="AJ334" s="796">
        <v>0</v>
      </c>
      <c r="AK334" s="796">
        <v>0</v>
      </c>
      <c r="AL334" s="796">
        <v>0</v>
      </c>
      <c r="AM334" s="796">
        <v>0</v>
      </c>
      <c r="AN334" s="796">
        <v>0</v>
      </c>
      <c r="AO334" s="796">
        <v>0</v>
      </c>
      <c r="AP334" s="796">
        <v>0</v>
      </c>
      <c r="AQ334" s="796">
        <v>0</v>
      </c>
      <c r="AR334" s="796">
        <v>0</v>
      </c>
      <c r="AS334" s="796">
        <v>0</v>
      </c>
      <c r="AT334" s="796">
        <v>0</v>
      </c>
      <c r="AU334" s="796">
        <v>0</v>
      </c>
      <c r="AV334" s="796">
        <v>0</v>
      </c>
      <c r="AW334" s="810">
        <v>464800</v>
      </c>
      <c r="AX334" s="796">
        <v>0</v>
      </c>
      <c r="AY334" s="796">
        <v>0</v>
      </c>
      <c r="AZ334" s="796">
        <v>0</v>
      </c>
      <c r="BA334" s="796">
        <v>0</v>
      </c>
      <c r="BB334" s="796">
        <v>0</v>
      </c>
      <c r="BC334" s="796">
        <v>0</v>
      </c>
      <c r="BD334" s="796">
        <v>0</v>
      </c>
      <c r="BE334" s="796">
        <v>0</v>
      </c>
      <c r="BF334" s="796">
        <v>0</v>
      </c>
      <c r="BG334" s="796">
        <v>0</v>
      </c>
      <c r="BH334" s="796">
        <v>0</v>
      </c>
      <c r="BI334" s="796">
        <v>0</v>
      </c>
      <c r="BJ334" s="796">
        <v>0</v>
      </c>
      <c r="BK334" s="796">
        <v>0</v>
      </c>
      <c r="BL334" s="796">
        <v>0</v>
      </c>
      <c r="BM334" s="796">
        <v>0</v>
      </c>
      <c r="BN334" s="796">
        <v>0</v>
      </c>
      <c r="BO334" s="796">
        <v>0</v>
      </c>
      <c r="BP334" s="796">
        <v>0</v>
      </c>
      <c r="BQ334" s="796">
        <v>0</v>
      </c>
      <c r="BR334" s="796">
        <v>0</v>
      </c>
      <c r="BS334" s="796">
        <v>0</v>
      </c>
      <c r="BT334" s="796">
        <v>0</v>
      </c>
      <c r="BU334" s="796">
        <v>0</v>
      </c>
      <c r="BV334" s="796">
        <v>0</v>
      </c>
    </row>
    <row r="335" spans="2:74">
      <c r="B335" s="795" t="s">
        <v>3236</v>
      </c>
      <c r="C335" s="795" t="s">
        <v>3237</v>
      </c>
      <c r="D335" s="795"/>
      <c r="E335" s="796"/>
      <c r="F335" s="799"/>
      <c r="G335" s="799"/>
      <c r="H335" s="799"/>
      <c r="I335" s="799"/>
      <c r="J335" s="799"/>
      <c r="K335" s="799"/>
      <c r="L335" s="799">
        <f t="shared" si="10"/>
        <v>331</v>
      </c>
      <c r="M335" s="799"/>
      <c r="N335" s="595"/>
      <c r="O335" s="794">
        <v>0</v>
      </c>
      <c r="P335" s="794">
        <v>0</v>
      </c>
      <c r="Q335" s="794">
        <v>0</v>
      </c>
      <c r="R335" s="794">
        <v>0</v>
      </c>
      <c r="S335" s="796">
        <v>0</v>
      </c>
      <c r="T335" s="796">
        <v>0</v>
      </c>
      <c r="U335" s="796">
        <v>0</v>
      </c>
      <c r="V335" s="796">
        <v>0</v>
      </c>
      <c r="W335" s="796">
        <v>0</v>
      </c>
      <c r="X335" s="796">
        <v>0</v>
      </c>
      <c r="Y335" s="796">
        <v>0</v>
      </c>
      <c r="Z335" s="796">
        <v>0</v>
      </c>
      <c r="AA335" s="796">
        <v>0</v>
      </c>
      <c r="AB335" s="796">
        <v>0</v>
      </c>
      <c r="AC335" s="796">
        <v>0</v>
      </c>
      <c r="AD335" s="796">
        <v>0</v>
      </c>
      <c r="AE335" s="796">
        <v>0</v>
      </c>
      <c r="AF335" s="796">
        <v>0</v>
      </c>
      <c r="AG335" s="796">
        <v>0</v>
      </c>
      <c r="AH335" s="796">
        <v>0</v>
      </c>
      <c r="AI335" s="796">
        <v>0</v>
      </c>
      <c r="AJ335" s="796">
        <v>0</v>
      </c>
      <c r="AK335" s="796">
        <v>0</v>
      </c>
      <c r="AL335" s="796">
        <v>0</v>
      </c>
      <c r="AM335" s="796">
        <v>0</v>
      </c>
      <c r="AN335" s="796">
        <v>0</v>
      </c>
      <c r="AO335" s="796">
        <v>0</v>
      </c>
      <c r="AP335" s="796">
        <v>0</v>
      </c>
      <c r="AQ335" s="796">
        <v>0</v>
      </c>
      <c r="AR335" s="796">
        <v>0</v>
      </c>
      <c r="AS335" s="796">
        <v>0</v>
      </c>
      <c r="AT335" s="796">
        <v>0</v>
      </c>
      <c r="AU335" s="796">
        <v>0</v>
      </c>
      <c r="AV335" s="796">
        <v>0</v>
      </c>
      <c r="AW335" s="810">
        <v>18200</v>
      </c>
      <c r="AX335" s="796">
        <v>0</v>
      </c>
      <c r="AY335" s="796">
        <v>0</v>
      </c>
      <c r="AZ335" s="796">
        <v>0</v>
      </c>
      <c r="BA335" s="796">
        <v>0</v>
      </c>
      <c r="BB335" s="796">
        <v>0</v>
      </c>
      <c r="BC335" s="796">
        <v>0</v>
      </c>
      <c r="BD335" s="796">
        <v>0</v>
      </c>
      <c r="BE335" s="796">
        <v>0</v>
      </c>
      <c r="BF335" s="796">
        <v>0</v>
      </c>
      <c r="BG335" s="796">
        <v>0</v>
      </c>
      <c r="BH335" s="796">
        <v>0</v>
      </c>
      <c r="BI335" s="796">
        <v>0</v>
      </c>
      <c r="BJ335" s="796">
        <v>0</v>
      </c>
      <c r="BK335" s="796">
        <v>0</v>
      </c>
      <c r="BL335" s="796">
        <v>0</v>
      </c>
      <c r="BM335" s="796">
        <v>0</v>
      </c>
      <c r="BN335" s="796">
        <v>0</v>
      </c>
      <c r="BO335" s="796">
        <v>0</v>
      </c>
      <c r="BP335" s="796">
        <v>0</v>
      </c>
      <c r="BQ335" s="796">
        <v>0</v>
      </c>
      <c r="BR335" s="796">
        <v>0</v>
      </c>
      <c r="BS335" s="796">
        <v>0</v>
      </c>
      <c r="BT335" s="796">
        <v>0</v>
      </c>
      <c r="BU335" s="796">
        <v>0</v>
      </c>
      <c r="BV335" s="796">
        <v>0</v>
      </c>
    </row>
    <row r="336" spans="2:74">
      <c r="B336" s="795" t="s">
        <v>3238</v>
      </c>
      <c r="C336" s="795" t="s">
        <v>3239</v>
      </c>
      <c r="D336" s="795"/>
      <c r="E336" s="796"/>
      <c r="F336" s="799"/>
      <c r="G336" s="799"/>
      <c r="H336" s="799"/>
      <c r="I336" s="799"/>
      <c r="J336" s="799"/>
      <c r="K336" s="799"/>
      <c r="L336" s="799">
        <f t="shared" si="10"/>
        <v>331</v>
      </c>
      <c r="M336" s="799"/>
      <c r="N336" s="595"/>
      <c r="O336" s="794">
        <v>0</v>
      </c>
      <c r="P336" s="794">
        <v>0</v>
      </c>
      <c r="Q336" s="794">
        <v>0</v>
      </c>
      <c r="R336" s="794">
        <v>0</v>
      </c>
      <c r="S336" s="796">
        <v>0</v>
      </c>
      <c r="T336" s="796">
        <v>0</v>
      </c>
      <c r="U336" s="796">
        <v>0</v>
      </c>
      <c r="V336" s="796">
        <v>0</v>
      </c>
      <c r="W336" s="796">
        <v>0</v>
      </c>
      <c r="X336" s="796">
        <v>0</v>
      </c>
      <c r="Y336" s="796">
        <v>0</v>
      </c>
      <c r="Z336" s="796">
        <v>0</v>
      </c>
      <c r="AA336" s="796">
        <v>0</v>
      </c>
      <c r="AB336" s="796">
        <v>0</v>
      </c>
      <c r="AC336" s="796">
        <v>0</v>
      </c>
      <c r="AD336" s="796">
        <v>0</v>
      </c>
      <c r="AE336" s="796">
        <v>0</v>
      </c>
      <c r="AF336" s="796">
        <v>0</v>
      </c>
      <c r="AG336" s="796">
        <v>0</v>
      </c>
      <c r="AH336" s="796">
        <v>0</v>
      </c>
      <c r="AI336" s="796">
        <v>0</v>
      </c>
      <c r="AJ336" s="796">
        <v>0</v>
      </c>
      <c r="AK336" s="796">
        <v>0</v>
      </c>
      <c r="AL336" s="796">
        <v>0</v>
      </c>
      <c r="AM336" s="796">
        <v>0</v>
      </c>
      <c r="AN336" s="796">
        <v>0</v>
      </c>
      <c r="AO336" s="796">
        <v>0</v>
      </c>
      <c r="AP336" s="796">
        <v>0</v>
      </c>
      <c r="AQ336" s="796">
        <v>0</v>
      </c>
      <c r="AR336" s="796">
        <v>0</v>
      </c>
      <c r="AS336" s="796">
        <v>0</v>
      </c>
      <c r="AT336" s="796">
        <v>0</v>
      </c>
      <c r="AU336" s="796">
        <v>0</v>
      </c>
      <c r="AV336" s="796">
        <v>0</v>
      </c>
      <c r="AW336" s="810">
        <v>100000</v>
      </c>
      <c r="AX336" s="796">
        <v>0</v>
      </c>
      <c r="AY336" s="796">
        <v>0</v>
      </c>
      <c r="AZ336" s="796">
        <v>0</v>
      </c>
      <c r="BA336" s="796">
        <v>160000</v>
      </c>
      <c r="BB336" s="796">
        <v>0</v>
      </c>
      <c r="BC336" s="796">
        <v>0</v>
      </c>
      <c r="BD336" s="796">
        <v>0</v>
      </c>
      <c r="BE336" s="796">
        <v>0</v>
      </c>
      <c r="BF336" s="796">
        <v>0</v>
      </c>
      <c r="BG336" s="796">
        <v>70000</v>
      </c>
      <c r="BH336" s="796">
        <v>0</v>
      </c>
      <c r="BI336" s="796">
        <v>0</v>
      </c>
      <c r="BJ336" s="796">
        <v>0</v>
      </c>
      <c r="BK336" s="796">
        <v>71940</v>
      </c>
      <c r="BL336" s="796">
        <v>0</v>
      </c>
      <c r="BM336" s="796">
        <v>0</v>
      </c>
      <c r="BN336" s="796">
        <v>0</v>
      </c>
      <c r="BO336" s="796">
        <v>0</v>
      </c>
      <c r="BP336" s="796">
        <v>0</v>
      </c>
      <c r="BQ336" s="796">
        <v>0</v>
      </c>
      <c r="BR336" s="796">
        <v>0</v>
      </c>
      <c r="BS336" s="796">
        <v>0</v>
      </c>
      <c r="BT336" s="796">
        <v>0</v>
      </c>
      <c r="BU336" s="796">
        <v>0</v>
      </c>
      <c r="BV336" s="796">
        <v>0</v>
      </c>
    </row>
    <row r="337" spans="2:74">
      <c r="B337" s="795" t="s">
        <v>3240</v>
      </c>
      <c r="C337" s="795" t="s">
        <v>3241</v>
      </c>
      <c r="D337" s="795"/>
      <c r="E337" s="796"/>
      <c r="F337" s="799"/>
      <c r="G337" s="799"/>
      <c r="H337" s="799"/>
      <c r="I337" s="799"/>
      <c r="J337" s="799"/>
      <c r="K337" s="799"/>
      <c r="L337" s="799">
        <f t="shared" si="10"/>
        <v>331</v>
      </c>
      <c r="M337" s="799"/>
      <c r="N337" s="595"/>
      <c r="O337" s="794">
        <v>0</v>
      </c>
      <c r="P337" s="794">
        <v>0</v>
      </c>
      <c r="Q337" s="794">
        <v>0</v>
      </c>
      <c r="R337" s="794">
        <v>0</v>
      </c>
      <c r="S337" s="796">
        <v>0</v>
      </c>
      <c r="T337" s="796">
        <v>0</v>
      </c>
      <c r="U337" s="796">
        <v>0</v>
      </c>
      <c r="V337" s="796">
        <v>0</v>
      </c>
      <c r="W337" s="796">
        <v>0</v>
      </c>
      <c r="X337" s="796">
        <v>0</v>
      </c>
      <c r="Y337" s="796">
        <v>0</v>
      </c>
      <c r="Z337" s="796">
        <v>0</v>
      </c>
      <c r="AA337" s="796">
        <v>0</v>
      </c>
      <c r="AB337" s="796">
        <v>0</v>
      </c>
      <c r="AC337" s="796">
        <v>0</v>
      </c>
      <c r="AD337" s="796">
        <v>0</v>
      </c>
      <c r="AE337" s="796">
        <v>0</v>
      </c>
      <c r="AF337" s="796">
        <v>0</v>
      </c>
      <c r="AG337" s="796">
        <v>0</v>
      </c>
      <c r="AH337" s="796">
        <v>0</v>
      </c>
      <c r="AI337" s="796">
        <v>0</v>
      </c>
      <c r="AJ337" s="796">
        <v>0</v>
      </c>
      <c r="AK337" s="796">
        <v>0</v>
      </c>
      <c r="AL337" s="796">
        <v>0</v>
      </c>
      <c r="AM337" s="796">
        <v>0</v>
      </c>
      <c r="AN337" s="796">
        <v>0</v>
      </c>
      <c r="AO337" s="796">
        <v>0</v>
      </c>
      <c r="AP337" s="796">
        <v>0</v>
      </c>
      <c r="AQ337" s="796">
        <v>0</v>
      </c>
      <c r="AR337" s="796">
        <v>0</v>
      </c>
      <c r="AS337" s="796">
        <v>0</v>
      </c>
      <c r="AT337" s="796">
        <v>0</v>
      </c>
      <c r="AU337" s="796">
        <v>0</v>
      </c>
      <c r="AV337" s="796">
        <v>0</v>
      </c>
      <c r="AW337" s="796">
        <v>0</v>
      </c>
      <c r="AX337" s="810">
        <v>35550.79</v>
      </c>
      <c r="AY337" s="796">
        <v>0</v>
      </c>
      <c r="AZ337" s="796">
        <v>0</v>
      </c>
      <c r="BA337" s="796">
        <v>0</v>
      </c>
      <c r="BB337" s="796">
        <v>0</v>
      </c>
      <c r="BC337" s="796">
        <v>0</v>
      </c>
      <c r="BD337" s="796">
        <v>0</v>
      </c>
      <c r="BE337" s="796">
        <v>0</v>
      </c>
      <c r="BF337" s="796">
        <v>0</v>
      </c>
      <c r="BG337" s="796">
        <v>0</v>
      </c>
      <c r="BH337" s="796">
        <v>0</v>
      </c>
      <c r="BI337" s="796">
        <v>0</v>
      </c>
      <c r="BJ337" s="796">
        <v>0</v>
      </c>
      <c r="BK337" s="796">
        <v>0</v>
      </c>
      <c r="BL337" s="796">
        <v>0</v>
      </c>
      <c r="BM337" s="796">
        <v>0</v>
      </c>
      <c r="BN337" s="796">
        <v>0</v>
      </c>
      <c r="BO337" s="796">
        <v>0</v>
      </c>
      <c r="BP337" s="796">
        <v>0</v>
      </c>
      <c r="BQ337" s="796">
        <v>0</v>
      </c>
      <c r="BR337" s="796">
        <v>0</v>
      </c>
      <c r="BS337" s="796">
        <v>0</v>
      </c>
      <c r="BT337" s="796">
        <v>0</v>
      </c>
      <c r="BU337" s="796">
        <v>0</v>
      </c>
      <c r="BV337" s="796">
        <v>0</v>
      </c>
    </row>
    <row r="338" spans="2:74">
      <c r="B338" s="795" t="s">
        <v>3231</v>
      </c>
      <c r="C338" s="795" t="s">
        <v>3232</v>
      </c>
      <c r="D338" s="795"/>
      <c r="E338" s="796"/>
      <c r="F338" s="799"/>
      <c r="G338" s="799"/>
      <c r="H338" s="799"/>
      <c r="I338" s="799"/>
      <c r="J338" s="799"/>
      <c r="K338" s="799"/>
      <c r="L338" s="799">
        <f t="shared" si="10"/>
        <v>331</v>
      </c>
      <c r="M338" s="799"/>
      <c r="N338" s="595"/>
      <c r="O338" s="794">
        <v>0</v>
      </c>
      <c r="P338" s="794">
        <v>0</v>
      </c>
      <c r="Q338" s="794">
        <v>0</v>
      </c>
      <c r="R338" s="794">
        <v>0</v>
      </c>
      <c r="S338" s="796">
        <v>0</v>
      </c>
      <c r="T338" s="796">
        <v>0</v>
      </c>
      <c r="U338" s="796">
        <v>0</v>
      </c>
      <c r="V338" s="796">
        <v>0</v>
      </c>
      <c r="W338" s="796">
        <v>0</v>
      </c>
      <c r="X338" s="796">
        <v>0</v>
      </c>
      <c r="Y338" s="796">
        <v>0</v>
      </c>
      <c r="Z338" s="796">
        <v>0</v>
      </c>
      <c r="AA338" s="796">
        <v>0</v>
      </c>
      <c r="AB338" s="796">
        <v>0</v>
      </c>
      <c r="AC338" s="796">
        <v>0</v>
      </c>
      <c r="AD338" s="796">
        <v>0</v>
      </c>
      <c r="AE338" s="796">
        <v>0</v>
      </c>
      <c r="AF338" s="796">
        <v>0</v>
      </c>
      <c r="AG338" s="796">
        <v>0</v>
      </c>
      <c r="AH338" s="796">
        <v>0</v>
      </c>
      <c r="AI338" s="796">
        <v>0</v>
      </c>
      <c r="AJ338" s="796">
        <v>0</v>
      </c>
      <c r="AK338" s="796">
        <v>0</v>
      </c>
      <c r="AL338" s="796">
        <v>0</v>
      </c>
      <c r="AM338" s="796">
        <v>0</v>
      </c>
      <c r="AN338" s="796">
        <v>0</v>
      </c>
      <c r="AO338" s="796">
        <v>0</v>
      </c>
      <c r="AP338" s="796">
        <v>0</v>
      </c>
      <c r="AQ338" s="796">
        <v>0</v>
      </c>
      <c r="AR338" s="796">
        <v>0</v>
      </c>
      <c r="AS338" s="796">
        <v>0</v>
      </c>
      <c r="AT338" s="796">
        <v>0</v>
      </c>
      <c r="AU338" s="796">
        <v>0</v>
      </c>
      <c r="AV338" s="796">
        <v>0</v>
      </c>
      <c r="AW338" s="796">
        <v>0</v>
      </c>
      <c r="AX338" s="810">
        <v>36000</v>
      </c>
      <c r="AY338" s="796">
        <v>0</v>
      </c>
      <c r="AZ338" s="796">
        <v>115889.71</v>
      </c>
      <c r="BA338" s="796">
        <v>0</v>
      </c>
      <c r="BB338" s="796">
        <v>0</v>
      </c>
      <c r="BC338" s="796">
        <v>0</v>
      </c>
      <c r="BD338" s="796">
        <v>0</v>
      </c>
      <c r="BE338" s="796">
        <v>0</v>
      </c>
      <c r="BF338" s="796">
        <v>0</v>
      </c>
      <c r="BG338" s="796">
        <v>0</v>
      </c>
      <c r="BH338" s="796">
        <v>0</v>
      </c>
      <c r="BI338" s="796">
        <v>0</v>
      </c>
      <c r="BJ338" s="796">
        <v>0</v>
      </c>
      <c r="BK338" s="796">
        <v>0</v>
      </c>
      <c r="BL338" s="796">
        <v>0</v>
      </c>
      <c r="BM338" s="796">
        <v>0</v>
      </c>
      <c r="BN338" s="796">
        <v>0</v>
      </c>
      <c r="BO338" s="796">
        <v>0</v>
      </c>
      <c r="BP338" s="796">
        <v>0</v>
      </c>
      <c r="BQ338" s="796">
        <v>0</v>
      </c>
      <c r="BR338" s="796">
        <v>0</v>
      </c>
      <c r="BS338" s="796">
        <v>0</v>
      </c>
      <c r="BT338" s="796">
        <v>0</v>
      </c>
      <c r="BU338" s="796">
        <v>0</v>
      </c>
      <c r="BV338" s="796">
        <v>0</v>
      </c>
    </row>
    <row r="339" spans="2:74">
      <c r="B339" s="795" t="s">
        <v>3243</v>
      </c>
      <c r="C339" s="795" t="s">
        <v>486</v>
      </c>
      <c r="D339" s="795"/>
      <c r="E339" s="796"/>
      <c r="F339" s="799"/>
      <c r="G339" s="799"/>
      <c r="H339" s="799"/>
      <c r="I339" s="799"/>
      <c r="J339" s="799"/>
      <c r="K339" s="799"/>
      <c r="L339" s="799">
        <f t="shared" si="10"/>
        <v>331</v>
      </c>
      <c r="M339" s="799"/>
      <c r="N339" s="595"/>
      <c r="O339" s="794">
        <v>0</v>
      </c>
      <c r="P339" s="794">
        <v>0</v>
      </c>
      <c r="Q339" s="794">
        <v>0</v>
      </c>
      <c r="R339" s="794">
        <v>0</v>
      </c>
      <c r="S339" s="796">
        <v>0</v>
      </c>
      <c r="T339" s="796">
        <v>0</v>
      </c>
      <c r="U339" s="796">
        <v>0</v>
      </c>
      <c r="V339" s="796">
        <v>0</v>
      </c>
      <c r="W339" s="796">
        <v>0</v>
      </c>
      <c r="X339" s="796">
        <v>0</v>
      </c>
      <c r="Y339" s="796">
        <v>0</v>
      </c>
      <c r="Z339" s="796">
        <v>0</v>
      </c>
      <c r="AA339" s="796">
        <v>0</v>
      </c>
      <c r="AB339" s="796">
        <v>0</v>
      </c>
      <c r="AC339" s="796">
        <v>0</v>
      </c>
      <c r="AD339" s="796">
        <v>0</v>
      </c>
      <c r="AE339" s="796">
        <v>0</v>
      </c>
      <c r="AF339" s="796">
        <v>0</v>
      </c>
      <c r="AG339" s="796">
        <v>0</v>
      </c>
      <c r="AH339" s="796">
        <v>0</v>
      </c>
      <c r="AI339" s="796">
        <v>0</v>
      </c>
      <c r="AJ339" s="796">
        <v>0</v>
      </c>
      <c r="AK339" s="796">
        <v>0</v>
      </c>
      <c r="AL339" s="796">
        <v>0</v>
      </c>
      <c r="AM339" s="796">
        <v>0</v>
      </c>
      <c r="AN339" s="796">
        <v>0</v>
      </c>
      <c r="AO339" s="796">
        <v>0</v>
      </c>
      <c r="AP339" s="796">
        <v>0</v>
      </c>
      <c r="AQ339" s="796">
        <v>0</v>
      </c>
      <c r="AR339" s="796">
        <v>0</v>
      </c>
      <c r="AS339" s="796">
        <v>0</v>
      </c>
      <c r="AT339" s="796">
        <v>0</v>
      </c>
      <c r="AU339" s="796">
        <v>0</v>
      </c>
      <c r="AV339" s="796">
        <v>0</v>
      </c>
      <c r="AW339" s="796">
        <v>0</v>
      </c>
      <c r="AX339" s="810">
        <v>21640</v>
      </c>
      <c r="AY339" s="796">
        <v>66000</v>
      </c>
      <c r="AZ339" s="796">
        <v>61200</v>
      </c>
      <c r="BA339" s="796">
        <v>3360</v>
      </c>
      <c r="BB339" s="796">
        <v>0</v>
      </c>
      <c r="BC339" s="796">
        <v>8000</v>
      </c>
      <c r="BD339" s="796">
        <v>0</v>
      </c>
      <c r="BE339" s="796">
        <v>0</v>
      </c>
      <c r="BF339" s="796">
        <v>0</v>
      </c>
      <c r="BG339" s="796">
        <v>0</v>
      </c>
      <c r="BH339" s="796">
        <v>0</v>
      </c>
      <c r="BI339" s="796">
        <v>0</v>
      </c>
      <c r="BJ339" s="796">
        <v>0</v>
      </c>
      <c r="BK339" s="796">
        <v>0</v>
      </c>
      <c r="BL339" s="796">
        <v>0</v>
      </c>
      <c r="BM339" s="796">
        <v>0</v>
      </c>
      <c r="BN339" s="796">
        <v>0</v>
      </c>
      <c r="BO339" s="796">
        <v>0</v>
      </c>
      <c r="BP339" s="796">
        <v>0</v>
      </c>
      <c r="BQ339" s="796">
        <v>0</v>
      </c>
      <c r="BR339" s="796">
        <v>0</v>
      </c>
      <c r="BS339" s="796">
        <v>0</v>
      </c>
      <c r="BT339" s="796">
        <v>0</v>
      </c>
      <c r="BU339" s="796">
        <v>0</v>
      </c>
      <c r="BV339" s="796">
        <v>0</v>
      </c>
    </row>
    <row r="340" spans="2:74">
      <c r="B340" s="795" t="s">
        <v>3244</v>
      </c>
      <c r="C340" s="795" t="s">
        <v>3245</v>
      </c>
      <c r="D340" s="795"/>
      <c r="E340" s="796"/>
      <c r="F340" s="799"/>
      <c r="G340" s="799"/>
      <c r="H340" s="799"/>
      <c r="I340" s="799"/>
      <c r="J340" s="799"/>
      <c r="K340" s="799"/>
      <c r="L340" s="799">
        <f t="shared" si="10"/>
        <v>331</v>
      </c>
      <c r="M340" s="799"/>
      <c r="N340" s="595"/>
      <c r="O340" s="794">
        <v>0</v>
      </c>
      <c r="P340" s="794">
        <v>0</v>
      </c>
      <c r="Q340" s="794">
        <v>0</v>
      </c>
      <c r="R340" s="794">
        <v>0</v>
      </c>
      <c r="S340" s="796">
        <v>0</v>
      </c>
      <c r="T340" s="796">
        <v>0</v>
      </c>
      <c r="U340" s="796">
        <v>0</v>
      </c>
      <c r="V340" s="796">
        <v>0</v>
      </c>
      <c r="W340" s="796">
        <v>0</v>
      </c>
      <c r="X340" s="796">
        <v>0</v>
      </c>
      <c r="Y340" s="796">
        <v>0</v>
      </c>
      <c r="Z340" s="796">
        <v>0</v>
      </c>
      <c r="AA340" s="796">
        <v>0</v>
      </c>
      <c r="AB340" s="796">
        <v>0</v>
      </c>
      <c r="AC340" s="796">
        <v>0</v>
      </c>
      <c r="AD340" s="796">
        <v>0</v>
      </c>
      <c r="AE340" s="796">
        <v>0</v>
      </c>
      <c r="AF340" s="796">
        <v>0</v>
      </c>
      <c r="AG340" s="796">
        <v>0</v>
      </c>
      <c r="AH340" s="796">
        <v>0</v>
      </c>
      <c r="AI340" s="796">
        <v>0</v>
      </c>
      <c r="AJ340" s="796">
        <v>0</v>
      </c>
      <c r="AK340" s="796">
        <v>0</v>
      </c>
      <c r="AL340" s="796">
        <v>0</v>
      </c>
      <c r="AM340" s="796">
        <v>0</v>
      </c>
      <c r="AN340" s="796">
        <v>0</v>
      </c>
      <c r="AO340" s="796">
        <v>0</v>
      </c>
      <c r="AP340" s="796">
        <v>0</v>
      </c>
      <c r="AQ340" s="796">
        <v>0</v>
      </c>
      <c r="AR340" s="796">
        <v>0</v>
      </c>
      <c r="AS340" s="796">
        <v>0</v>
      </c>
      <c r="AT340" s="796">
        <v>0</v>
      </c>
      <c r="AU340" s="796">
        <v>0</v>
      </c>
      <c r="AV340" s="796">
        <v>0</v>
      </c>
      <c r="AW340" s="796">
        <v>0</v>
      </c>
      <c r="AX340" s="810">
        <v>32762.6</v>
      </c>
      <c r="AY340" s="796">
        <v>0</v>
      </c>
      <c r="AZ340" s="796">
        <v>0</v>
      </c>
      <c r="BA340" s="796">
        <v>0</v>
      </c>
      <c r="BB340" s="796">
        <v>0</v>
      </c>
      <c r="BC340" s="796">
        <v>0</v>
      </c>
      <c r="BD340" s="796">
        <v>0</v>
      </c>
      <c r="BE340" s="796">
        <v>0</v>
      </c>
      <c r="BF340" s="796">
        <v>0</v>
      </c>
      <c r="BG340" s="796">
        <v>0</v>
      </c>
      <c r="BH340" s="796">
        <v>0</v>
      </c>
      <c r="BI340" s="796">
        <v>0</v>
      </c>
      <c r="BJ340" s="796">
        <v>0</v>
      </c>
      <c r="BK340" s="796">
        <v>0</v>
      </c>
      <c r="BL340" s="796">
        <v>0</v>
      </c>
      <c r="BM340" s="796">
        <v>0</v>
      </c>
      <c r="BN340" s="796">
        <v>0</v>
      </c>
      <c r="BO340" s="796">
        <v>0</v>
      </c>
      <c r="BP340" s="796">
        <v>0</v>
      </c>
      <c r="BQ340" s="796">
        <v>0</v>
      </c>
      <c r="BR340" s="796">
        <v>0</v>
      </c>
      <c r="BS340" s="796">
        <v>0</v>
      </c>
      <c r="BT340" s="796">
        <v>0</v>
      </c>
      <c r="BU340" s="796">
        <v>0</v>
      </c>
      <c r="BV340" s="796">
        <v>0</v>
      </c>
    </row>
    <row r="341" spans="2:74">
      <c r="B341" s="795" t="s">
        <v>3246</v>
      </c>
      <c r="C341" s="795" t="s">
        <v>3247</v>
      </c>
      <c r="D341" s="795"/>
      <c r="E341" s="796"/>
      <c r="F341" s="799"/>
      <c r="G341" s="799"/>
      <c r="H341" s="799"/>
      <c r="I341" s="799"/>
      <c r="J341" s="799"/>
      <c r="K341" s="799"/>
      <c r="L341" s="799">
        <f t="shared" si="10"/>
        <v>331</v>
      </c>
      <c r="M341" s="799"/>
      <c r="N341" s="595"/>
      <c r="O341" s="794">
        <v>0</v>
      </c>
      <c r="P341" s="794">
        <v>0</v>
      </c>
      <c r="Q341" s="794">
        <v>0</v>
      </c>
      <c r="R341" s="794">
        <v>0</v>
      </c>
      <c r="S341" s="796">
        <v>0</v>
      </c>
      <c r="T341" s="796">
        <v>0</v>
      </c>
      <c r="U341" s="796">
        <v>0</v>
      </c>
      <c r="V341" s="796">
        <v>0</v>
      </c>
      <c r="W341" s="796">
        <v>0</v>
      </c>
      <c r="X341" s="796">
        <v>0</v>
      </c>
      <c r="Y341" s="796">
        <v>0</v>
      </c>
      <c r="Z341" s="796">
        <v>0</v>
      </c>
      <c r="AA341" s="796">
        <v>0</v>
      </c>
      <c r="AB341" s="796">
        <v>0</v>
      </c>
      <c r="AC341" s="796">
        <v>0</v>
      </c>
      <c r="AD341" s="796">
        <v>0</v>
      </c>
      <c r="AE341" s="796">
        <v>0</v>
      </c>
      <c r="AF341" s="796">
        <v>0</v>
      </c>
      <c r="AG341" s="796">
        <v>0</v>
      </c>
      <c r="AH341" s="796">
        <v>0</v>
      </c>
      <c r="AI341" s="796">
        <v>0</v>
      </c>
      <c r="AJ341" s="796">
        <v>0</v>
      </c>
      <c r="AK341" s="796">
        <v>0</v>
      </c>
      <c r="AL341" s="796">
        <v>0</v>
      </c>
      <c r="AM341" s="796">
        <v>0</v>
      </c>
      <c r="AN341" s="796">
        <v>0</v>
      </c>
      <c r="AO341" s="796">
        <v>0</v>
      </c>
      <c r="AP341" s="796">
        <v>0</v>
      </c>
      <c r="AQ341" s="796">
        <v>0</v>
      </c>
      <c r="AR341" s="796">
        <v>0</v>
      </c>
      <c r="AS341" s="796">
        <v>0</v>
      </c>
      <c r="AT341" s="796">
        <v>0</v>
      </c>
      <c r="AU341" s="796">
        <v>0</v>
      </c>
      <c r="AV341" s="796">
        <v>0</v>
      </c>
      <c r="AW341" s="796">
        <v>0</v>
      </c>
      <c r="AX341" s="810">
        <v>77546</v>
      </c>
      <c r="AY341" s="796">
        <v>61181.5</v>
      </c>
      <c r="AZ341" s="796">
        <v>0</v>
      </c>
      <c r="BA341" s="796">
        <v>0</v>
      </c>
      <c r="BB341" s="796">
        <v>0</v>
      </c>
      <c r="BC341" s="796">
        <v>0</v>
      </c>
      <c r="BD341" s="796">
        <v>0</v>
      </c>
      <c r="BE341" s="796">
        <v>0</v>
      </c>
      <c r="BF341" s="796">
        <v>0</v>
      </c>
      <c r="BG341" s="796">
        <v>0</v>
      </c>
      <c r="BH341" s="796">
        <v>0</v>
      </c>
      <c r="BI341" s="796">
        <v>0</v>
      </c>
      <c r="BJ341" s="796">
        <v>0</v>
      </c>
      <c r="BK341" s="796">
        <v>0</v>
      </c>
      <c r="BL341" s="796">
        <v>0</v>
      </c>
      <c r="BM341" s="796">
        <v>0</v>
      </c>
      <c r="BN341" s="796">
        <v>0</v>
      </c>
      <c r="BO341" s="796">
        <v>0</v>
      </c>
      <c r="BP341" s="796">
        <v>0</v>
      </c>
      <c r="BQ341" s="796">
        <v>0</v>
      </c>
      <c r="BR341" s="796">
        <v>0</v>
      </c>
      <c r="BS341" s="796">
        <v>0</v>
      </c>
      <c r="BT341" s="796">
        <v>0</v>
      </c>
      <c r="BU341" s="796">
        <v>0</v>
      </c>
      <c r="BV341" s="796">
        <v>0</v>
      </c>
    </row>
    <row r="342" spans="2:74">
      <c r="B342" s="795" t="s">
        <v>3248</v>
      </c>
      <c r="C342" s="795" t="s">
        <v>3249</v>
      </c>
      <c r="D342" s="795"/>
      <c r="E342" s="796"/>
      <c r="F342" s="799"/>
      <c r="G342" s="799"/>
      <c r="H342" s="799"/>
      <c r="I342" s="799"/>
      <c r="J342" s="799"/>
      <c r="K342" s="799"/>
      <c r="L342" s="799">
        <f t="shared" si="10"/>
        <v>331</v>
      </c>
      <c r="M342" s="799"/>
      <c r="N342" s="595"/>
      <c r="O342" s="794">
        <v>0</v>
      </c>
      <c r="P342" s="794">
        <v>0</v>
      </c>
      <c r="Q342" s="794">
        <v>0</v>
      </c>
      <c r="R342" s="794">
        <v>0</v>
      </c>
      <c r="S342" s="796">
        <v>0</v>
      </c>
      <c r="T342" s="796">
        <v>0</v>
      </c>
      <c r="U342" s="796">
        <v>0</v>
      </c>
      <c r="V342" s="796">
        <v>0</v>
      </c>
      <c r="W342" s="796">
        <v>0</v>
      </c>
      <c r="X342" s="796">
        <v>0</v>
      </c>
      <c r="Y342" s="796">
        <v>0</v>
      </c>
      <c r="Z342" s="796">
        <v>0</v>
      </c>
      <c r="AA342" s="796">
        <v>0</v>
      </c>
      <c r="AB342" s="796">
        <v>0</v>
      </c>
      <c r="AC342" s="796">
        <v>0</v>
      </c>
      <c r="AD342" s="796">
        <v>0</v>
      </c>
      <c r="AE342" s="796">
        <v>0</v>
      </c>
      <c r="AF342" s="796">
        <v>0</v>
      </c>
      <c r="AG342" s="796">
        <v>0</v>
      </c>
      <c r="AH342" s="796">
        <v>0</v>
      </c>
      <c r="AI342" s="796">
        <v>0</v>
      </c>
      <c r="AJ342" s="796">
        <v>0</v>
      </c>
      <c r="AK342" s="796">
        <v>0</v>
      </c>
      <c r="AL342" s="796">
        <v>0</v>
      </c>
      <c r="AM342" s="796">
        <v>0</v>
      </c>
      <c r="AN342" s="796">
        <v>0</v>
      </c>
      <c r="AO342" s="796">
        <v>0</v>
      </c>
      <c r="AP342" s="796">
        <v>0</v>
      </c>
      <c r="AQ342" s="796">
        <v>0</v>
      </c>
      <c r="AR342" s="796">
        <v>0</v>
      </c>
      <c r="AS342" s="796">
        <v>0</v>
      </c>
      <c r="AT342" s="796">
        <v>0</v>
      </c>
      <c r="AU342" s="796">
        <v>0</v>
      </c>
      <c r="AV342" s="796">
        <v>0</v>
      </c>
      <c r="AW342" s="796">
        <v>0</v>
      </c>
      <c r="AX342" s="810">
        <v>41531.89</v>
      </c>
      <c r="AY342" s="796">
        <v>19422.7</v>
      </c>
      <c r="AZ342" s="796">
        <v>0</v>
      </c>
      <c r="BA342" s="796">
        <v>0</v>
      </c>
      <c r="BB342" s="796">
        <v>0</v>
      </c>
      <c r="BC342" s="796">
        <v>0</v>
      </c>
      <c r="BD342" s="796">
        <v>0</v>
      </c>
      <c r="BE342" s="796">
        <v>0</v>
      </c>
      <c r="BF342" s="796">
        <v>0</v>
      </c>
      <c r="BG342" s="796">
        <v>0</v>
      </c>
      <c r="BH342" s="796">
        <v>0</v>
      </c>
      <c r="BI342" s="796">
        <v>0</v>
      </c>
      <c r="BJ342" s="796">
        <v>0</v>
      </c>
      <c r="BK342" s="796">
        <v>0</v>
      </c>
      <c r="BL342" s="796">
        <v>0</v>
      </c>
      <c r="BM342" s="796">
        <v>0</v>
      </c>
      <c r="BN342" s="796">
        <v>0</v>
      </c>
      <c r="BO342" s="796">
        <v>0</v>
      </c>
      <c r="BP342" s="796">
        <v>0</v>
      </c>
      <c r="BQ342" s="796">
        <v>0</v>
      </c>
      <c r="BR342" s="796">
        <v>0</v>
      </c>
      <c r="BS342" s="796">
        <v>0</v>
      </c>
      <c r="BT342" s="796">
        <v>0</v>
      </c>
      <c r="BU342" s="796">
        <v>0</v>
      </c>
      <c r="BV342" s="796">
        <v>0</v>
      </c>
    </row>
    <row r="343" spans="2:74">
      <c r="B343" s="795" t="s">
        <v>3250</v>
      </c>
      <c r="C343" s="795" t="s">
        <v>610</v>
      </c>
      <c r="D343" s="795"/>
      <c r="E343" s="796"/>
      <c r="F343" s="799"/>
      <c r="G343" s="799"/>
      <c r="H343" s="799"/>
      <c r="I343" s="799"/>
      <c r="J343" s="799"/>
      <c r="K343" s="799"/>
      <c r="L343" s="799">
        <f t="shared" si="10"/>
        <v>331</v>
      </c>
      <c r="M343" s="799"/>
      <c r="N343" s="595"/>
      <c r="O343" s="794">
        <v>0</v>
      </c>
      <c r="P343" s="794">
        <v>0</v>
      </c>
      <c r="Q343" s="794">
        <v>0</v>
      </c>
      <c r="R343" s="794">
        <v>0</v>
      </c>
      <c r="S343" s="796">
        <v>0</v>
      </c>
      <c r="T343" s="796">
        <v>0</v>
      </c>
      <c r="U343" s="796">
        <v>0</v>
      </c>
      <c r="V343" s="796">
        <v>0</v>
      </c>
      <c r="W343" s="796">
        <v>0</v>
      </c>
      <c r="X343" s="796">
        <v>0</v>
      </c>
      <c r="Y343" s="796">
        <v>0</v>
      </c>
      <c r="Z343" s="796">
        <v>0</v>
      </c>
      <c r="AA343" s="796">
        <v>0</v>
      </c>
      <c r="AB343" s="796">
        <v>0</v>
      </c>
      <c r="AC343" s="796">
        <v>0</v>
      </c>
      <c r="AD343" s="796">
        <v>0</v>
      </c>
      <c r="AE343" s="796">
        <v>0</v>
      </c>
      <c r="AF343" s="796">
        <v>0</v>
      </c>
      <c r="AG343" s="796">
        <v>0</v>
      </c>
      <c r="AH343" s="796">
        <v>0</v>
      </c>
      <c r="AI343" s="796">
        <v>0</v>
      </c>
      <c r="AJ343" s="796">
        <v>0</v>
      </c>
      <c r="AK343" s="796">
        <v>0</v>
      </c>
      <c r="AL343" s="796">
        <v>0</v>
      </c>
      <c r="AM343" s="796">
        <v>0</v>
      </c>
      <c r="AN343" s="796">
        <v>0</v>
      </c>
      <c r="AO343" s="796">
        <v>0</v>
      </c>
      <c r="AP343" s="796">
        <v>0</v>
      </c>
      <c r="AQ343" s="796">
        <v>0</v>
      </c>
      <c r="AR343" s="796">
        <v>0</v>
      </c>
      <c r="AS343" s="796">
        <v>0</v>
      </c>
      <c r="AT343" s="796">
        <v>0</v>
      </c>
      <c r="AU343" s="796">
        <v>0</v>
      </c>
      <c r="AV343" s="796">
        <v>0</v>
      </c>
      <c r="AW343" s="796">
        <v>0</v>
      </c>
      <c r="AX343" s="810">
        <v>74400</v>
      </c>
      <c r="AY343" s="796">
        <v>0</v>
      </c>
      <c r="AZ343" s="796">
        <v>37400</v>
      </c>
      <c r="BA343" s="796">
        <v>20900</v>
      </c>
      <c r="BB343" s="796">
        <v>0</v>
      </c>
      <c r="BC343" s="796">
        <v>0</v>
      </c>
      <c r="BD343" s="796">
        <v>15510</v>
      </c>
      <c r="BE343" s="796">
        <v>0</v>
      </c>
      <c r="BF343" s="796">
        <v>45800</v>
      </c>
      <c r="BG343" s="796">
        <v>0</v>
      </c>
      <c r="BH343" s="796">
        <v>0</v>
      </c>
      <c r="BI343" s="796">
        <v>0</v>
      </c>
      <c r="BJ343" s="796">
        <v>0</v>
      </c>
      <c r="BK343" s="796">
        <v>0</v>
      </c>
      <c r="BL343" s="796">
        <v>0</v>
      </c>
      <c r="BM343" s="796">
        <v>0</v>
      </c>
      <c r="BN343" s="796">
        <v>24900</v>
      </c>
      <c r="BO343" s="796">
        <v>0</v>
      </c>
      <c r="BP343" s="796">
        <v>0</v>
      </c>
      <c r="BQ343" s="796">
        <v>0</v>
      </c>
      <c r="BR343" s="796">
        <v>0</v>
      </c>
      <c r="BS343" s="796">
        <v>0</v>
      </c>
      <c r="BT343" s="796">
        <v>0</v>
      </c>
      <c r="BU343" s="796">
        <v>0</v>
      </c>
      <c r="BV343" s="796">
        <v>0</v>
      </c>
    </row>
    <row r="344" spans="2:74">
      <c r="B344" s="795" t="s">
        <v>3251</v>
      </c>
      <c r="C344" s="795" t="s">
        <v>3207</v>
      </c>
      <c r="D344" s="795"/>
      <c r="E344" s="796"/>
      <c r="F344" s="799"/>
      <c r="G344" s="799"/>
      <c r="H344" s="799"/>
      <c r="I344" s="799"/>
      <c r="J344" s="799"/>
      <c r="K344" s="799"/>
      <c r="L344" s="799">
        <f t="shared" si="10"/>
        <v>331</v>
      </c>
      <c r="M344" s="799"/>
      <c r="N344" s="595"/>
      <c r="O344" s="794">
        <v>0</v>
      </c>
      <c r="P344" s="794">
        <v>0</v>
      </c>
      <c r="Q344" s="794">
        <v>0</v>
      </c>
      <c r="R344" s="794">
        <v>0</v>
      </c>
      <c r="S344" s="796">
        <v>0</v>
      </c>
      <c r="T344" s="796">
        <v>0</v>
      </c>
      <c r="U344" s="796">
        <v>0</v>
      </c>
      <c r="V344" s="796">
        <v>0</v>
      </c>
      <c r="W344" s="796">
        <v>0</v>
      </c>
      <c r="X344" s="796">
        <v>0</v>
      </c>
      <c r="Y344" s="796">
        <v>0</v>
      </c>
      <c r="Z344" s="796">
        <v>0</v>
      </c>
      <c r="AA344" s="796">
        <v>0</v>
      </c>
      <c r="AB344" s="796">
        <v>0</v>
      </c>
      <c r="AC344" s="796">
        <v>0</v>
      </c>
      <c r="AD344" s="796">
        <v>0</v>
      </c>
      <c r="AE344" s="796">
        <v>0</v>
      </c>
      <c r="AF344" s="796">
        <v>0</v>
      </c>
      <c r="AG344" s="796">
        <v>0</v>
      </c>
      <c r="AH344" s="796">
        <v>0</v>
      </c>
      <c r="AI344" s="796">
        <v>0</v>
      </c>
      <c r="AJ344" s="796">
        <v>0</v>
      </c>
      <c r="AK344" s="796">
        <v>0</v>
      </c>
      <c r="AL344" s="796">
        <v>0</v>
      </c>
      <c r="AM344" s="796">
        <v>0</v>
      </c>
      <c r="AN344" s="796">
        <v>0</v>
      </c>
      <c r="AO344" s="796">
        <v>0</v>
      </c>
      <c r="AP344" s="796">
        <v>0</v>
      </c>
      <c r="AQ344" s="796">
        <v>0</v>
      </c>
      <c r="AR344" s="796">
        <v>0</v>
      </c>
      <c r="AS344" s="796">
        <v>0</v>
      </c>
      <c r="AT344" s="796">
        <v>0</v>
      </c>
      <c r="AU344" s="796">
        <v>0</v>
      </c>
      <c r="AV344" s="796">
        <v>0</v>
      </c>
      <c r="AW344" s="796">
        <v>0</v>
      </c>
      <c r="AX344" s="810">
        <v>21000</v>
      </c>
      <c r="AY344" s="796">
        <v>0</v>
      </c>
      <c r="AZ344" s="796">
        <v>0</v>
      </c>
      <c r="BA344" s="796">
        <v>0</v>
      </c>
      <c r="BB344" s="796">
        <v>0</v>
      </c>
      <c r="BC344" s="796">
        <v>0</v>
      </c>
      <c r="BD344" s="796">
        <v>0</v>
      </c>
      <c r="BE344" s="796">
        <v>0</v>
      </c>
      <c r="BF344" s="796">
        <v>0</v>
      </c>
      <c r="BG344" s="796">
        <v>0</v>
      </c>
      <c r="BH344" s="796">
        <v>0</v>
      </c>
      <c r="BI344" s="796">
        <v>0</v>
      </c>
      <c r="BJ344" s="796">
        <v>0</v>
      </c>
      <c r="BK344" s="796">
        <v>0</v>
      </c>
      <c r="BL344" s="796">
        <v>0</v>
      </c>
      <c r="BM344" s="796">
        <v>0</v>
      </c>
      <c r="BN344" s="796">
        <v>0</v>
      </c>
      <c r="BO344" s="796">
        <v>0</v>
      </c>
      <c r="BP344" s="796">
        <v>0</v>
      </c>
      <c r="BQ344" s="796">
        <v>0</v>
      </c>
      <c r="BR344" s="796">
        <v>0</v>
      </c>
      <c r="BS344" s="796">
        <v>0</v>
      </c>
      <c r="BT344" s="796">
        <v>0</v>
      </c>
      <c r="BU344" s="796">
        <v>0</v>
      </c>
      <c r="BV344" s="796">
        <v>0</v>
      </c>
    </row>
    <row r="345" spans="2:74">
      <c r="B345" s="795" t="s">
        <v>3252</v>
      </c>
      <c r="C345" s="795" t="s">
        <v>3253</v>
      </c>
      <c r="D345" s="795"/>
      <c r="E345" s="796"/>
      <c r="F345" s="799"/>
      <c r="G345" s="799"/>
      <c r="H345" s="799"/>
      <c r="I345" s="799"/>
      <c r="J345" s="799"/>
      <c r="K345" s="799"/>
      <c r="L345" s="799">
        <f t="shared" si="10"/>
        <v>331</v>
      </c>
      <c r="M345" s="799"/>
      <c r="N345" s="595"/>
      <c r="O345" s="794">
        <v>0</v>
      </c>
      <c r="P345" s="794">
        <v>0</v>
      </c>
      <c r="Q345" s="794">
        <v>0</v>
      </c>
      <c r="R345" s="794">
        <v>0</v>
      </c>
      <c r="S345" s="796">
        <v>0</v>
      </c>
      <c r="T345" s="796">
        <v>0</v>
      </c>
      <c r="U345" s="796">
        <v>0</v>
      </c>
      <c r="V345" s="796">
        <v>0</v>
      </c>
      <c r="W345" s="796">
        <v>0</v>
      </c>
      <c r="X345" s="796">
        <v>0</v>
      </c>
      <c r="Y345" s="796">
        <v>0</v>
      </c>
      <c r="Z345" s="796">
        <v>0</v>
      </c>
      <c r="AA345" s="796">
        <v>0</v>
      </c>
      <c r="AB345" s="796">
        <v>0</v>
      </c>
      <c r="AC345" s="796">
        <v>0</v>
      </c>
      <c r="AD345" s="796">
        <v>0</v>
      </c>
      <c r="AE345" s="796">
        <v>0</v>
      </c>
      <c r="AF345" s="796">
        <v>0</v>
      </c>
      <c r="AG345" s="796">
        <v>0</v>
      </c>
      <c r="AH345" s="796">
        <v>0</v>
      </c>
      <c r="AI345" s="796">
        <v>0</v>
      </c>
      <c r="AJ345" s="796">
        <v>0</v>
      </c>
      <c r="AK345" s="796">
        <v>0</v>
      </c>
      <c r="AL345" s="796">
        <v>0</v>
      </c>
      <c r="AM345" s="796">
        <v>0</v>
      </c>
      <c r="AN345" s="796">
        <v>0</v>
      </c>
      <c r="AO345" s="796">
        <v>0</v>
      </c>
      <c r="AP345" s="796">
        <v>0</v>
      </c>
      <c r="AQ345" s="796">
        <v>0</v>
      </c>
      <c r="AR345" s="796">
        <v>0</v>
      </c>
      <c r="AS345" s="796">
        <v>0</v>
      </c>
      <c r="AT345" s="796">
        <v>0</v>
      </c>
      <c r="AU345" s="796">
        <v>0</v>
      </c>
      <c r="AV345" s="796">
        <v>0</v>
      </c>
      <c r="AW345" s="796">
        <v>0</v>
      </c>
      <c r="AX345" s="810">
        <v>38715.07</v>
      </c>
      <c r="AY345" s="796">
        <v>0</v>
      </c>
      <c r="AZ345" s="796">
        <v>0</v>
      </c>
      <c r="BA345" s="796">
        <v>0</v>
      </c>
      <c r="BB345" s="796">
        <v>0</v>
      </c>
      <c r="BC345" s="796">
        <v>0</v>
      </c>
      <c r="BD345" s="796">
        <v>0</v>
      </c>
      <c r="BE345" s="796">
        <v>13948.93</v>
      </c>
      <c r="BF345" s="796">
        <v>174888.14</v>
      </c>
      <c r="BG345" s="796">
        <v>65774.09</v>
      </c>
      <c r="BH345" s="796">
        <v>167307.76999999999</v>
      </c>
      <c r="BI345" s="796">
        <v>75898.05</v>
      </c>
      <c r="BJ345" s="796">
        <v>25543.81</v>
      </c>
      <c r="BK345" s="796">
        <v>44944.24</v>
      </c>
      <c r="BL345" s="796">
        <v>52102.29</v>
      </c>
      <c r="BM345" s="796">
        <v>3000</v>
      </c>
      <c r="BN345" s="796">
        <v>0</v>
      </c>
      <c r="BO345" s="796">
        <v>30000</v>
      </c>
      <c r="BP345" s="796">
        <v>0</v>
      </c>
      <c r="BQ345" s="796">
        <v>0</v>
      </c>
      <c r="BR345" s="796">
        <v>0</v>
      </c>
      <c r="BS345" s="796">
        <v>37420</v>
      </c>
      <c r="BT345" s="796">
        <v>16000</v>
      </c>
      <c r="BU345" s="796">
        <v>0</v>
      </c>
      <c r="BV345" s="796">
        <v>0</v>
      </c>
    </row>
    <row r="346" spans="2:74">
      <c r="B346" s="795" t="s">
        <v>3159</v>
      </c>
      <c r="C346" s="795" t="s">
        <v>3101</v>
      </c>
      <c r="D346" s="795"/>
      <c r="E346" s="796"/>
      <c r="F346" s="799"/>
      <c r="G346" s="799"/>
      <c r="H346" s="799"/>
      <c r="I346" s="799"/>
      <c r="J346" s="799"/>
      <c r="K346" s="799"/>
      <c r="L346" s="799">
        <f t="shared" si="10"/>
        <v>331</v>
      </c>
      <c r="M346" s="799"/>
      <c r="N346" s="595"/>
      <c r="O346" s="794">
        <v>0</v>
      </c>
      <c r="P346" s="794">
        <v>0</v>
      </c>
      <c r="Q346" s="794">
        <v>0</v>
      </c>
      <c r="R346" s="794">
        <v>0</v>
      </c>
      <c r="S346" s="796">
        <v>0</v>
      </c>
      <c r="T346" s="796">
        <v>0</v>
      </c>
      <c r="U346" s="796">
        <v>0</v>
      </c>
      <c r="V346" s="796">
        <v>0</v>
      </c>
      <c r="W346" s="796">
        <v>0</v>
      </c>
      <c r="X346" s="796">
        <v>0</v>
      </c>
      <c r="Y346" s="796">
        <v>0</v>
      </c>
      <c r="Z346" s="796">
        <v>0</v>
      </c>
      <c r="AA346" s="796">
        <v>0</v>
      </c>
      <c r="AB346" s="796">
        <v>0</v>
      </c>
      <c r="AC346" s="796">
        <v>0</v>
      </c>
      <c r="AD346" s="796">
        <v>0</v>
      </c>
      <c r="AE346" s="796">
        <v>0</v>
      </c>
      <c r="AF346" s="796">
        <v>0</v>
      </c>
      <c r="AG346" s="796">
        <v>0</v>
      </c>
      <c r="AH346" s="796">
        <v>0</v>
      </c>
      <c r="AI346" s="796">
        <v>0</v>
      </c>
      <c r="AJ346" s="796">
        <v>0</v>
      </c>
      <c r="AK346" s="796">
        <v>0</v>
      </c>
      <c r="AL346" s="796">
        <v>0</v>
      </c>
      <c r="AM346" s="796">
        <v>0</v>
      </c>
      <c r="AN346" s="796">
        <v>0</v>
      </c>
      <c r="AO346" s="796">
        <v>0</v>
      </c>
      <c r="AP346" s="796">
        <v>0</v>
      </c>
      <c r="AQ346" s="796">
        <v>0</v>
      </c>
      <c r="AR346" s="796">
        <v>0</v>
      </c>
      <c r="AS346" s="796">
        <v>0</v>
      </c>
      <c r="AT346" s="796">
        <v>0</v>
      </c>
      <c r="AU346" s="796">
        <v>0</v>
      </c>
      <c r="AV346" s="796">
        <v>0</v>
      </c>
      <c r="AW346" s="796">
        <v>0</v>
      </c>
      <c r="AX346" s="810">
        <v>168683.46</v>
      </c>
      <c r="AY346" s="796">
        <v>0</v>
      </c>
      <c r="AZ346" s="796">
        <v>0</v>
      </c>
      <c r="BA346" s="796">
        <v>0</v>
      </c>
      <c r="BB346" s="796">
        <v>0</v>
      </c>
      <c r="BC346" s="796">
        <v>0</v>
      </c>
      <c r="BD346" s="796">
        <v>0</v>
      </c>
      <c r="BE346" s="796">
        <v>188241.07</v>
      </c>
      <c r="BF346" s="796">
        <v>132767.49</v>
      </c>
      <c r="BG346" s="796">
        <v>205648.52000000002</v>
      </c>
      <c r="BH346" s="796">
        <v>91650.43</v>
      </c>
      <c r="BI346" s="796">
        <v>26029.05</v>
      </c>
      <c r="BJ346" s="796">
        <v>21796.48</v>
      </c>
      <c r="BK346" s="796">
        <v>23576.99</v>
      </c>
      <c r="BL346" s="796">
        <v>24880.35</v>
      </c>
      <c r="BM346" s="796">
        <v>26075.01</v>
      </c>
      <c r="BN346" s="796">
        <v>47258.45</v>
      </c>
      <c r="BO346" s="796">
        <v>255150.68</v>
      </c>
      <c r="BP346" s="796">
        <v>32731.45</v>
      </c>
      <c r="BQ346" s="796">
        <v>18356.490000000002</v>
      </c>
      <c r="BR346" s="796">
        <v>43938.21</v>
      </c>
      <c r="BS346" s="796">
        <v>0</v>
      </c>
      <c r="BT346" s="796">
        <v>105564.2</v>
      </c>
      <c r="BU346" s="796">
        <v>39919.660000000003</v>
      </c>
      <c r="BV346" s="796">
        <v>0</v>
      </c>
    </row>
    <row r="347" spans="2:74">
      <c r="B347" s="795" t="s">
        <v>3223</v>
      </c>
      <c r="C347" s="795" t="s">
        <v>3224</v>
      </c>
      <c r="D347" s="795"/>
      <c r="E347" s="796"/>
      <c r="F347" s="799"/>
      <c r="G347" s="799"/>
      <c r="H347" s="799"/>
      <c r="I347" s="799"/>
      <c r="J347" s="799"/>
      <c r="K347" s="799"/>
      <c r="L347" s="799">
        <f t="shared" si="10"/>
        <v>331</v>
      </c>
      <c r="M347" s="799"/>
      <c r="N347" s="595"/>
      <c r="O347" s="794">
        <v>0</v>
      </c>
      <c r="P347" s="794">
        <v>0</v>
      </c>
      <c r="Q347" s="794">
        <v>0</v>
      </c>
      <c r="R347" s="794">
        <v>0</v>
      </c>
      <c r="S347" s="796">
        <v>0</v>
      </c>
      <c r="T347" s="796">
        <v>0</v>
      </c>
      <c r="U347" s="796">
        <v>0</v>
      </c>
      <c r="V347" s="796">
        <v>0</v>
      </c>
      <c r="W347" s="796">
        <v>0</v>
      </c>
      <c r="X347" s="796">
        <v>0</v>
      </c>
      <c r="Y347" s="796">
        <v>0</v>
      </c>
      <c r="Z347" s="796">
        <v>0</v>
      </c>
      <c r="AA347" s="796">
        <v>0</v>
      </c>
      <c r="AB347" s="796">
        <v>0</v>
      </c>
      <c r="AC347" s="796">
        <v>0</v>
      </c>
      <c r="AD347" s="796">
        <v>0</v>
      </c>
      <c r="AE347" s="796">
        <v>0</v>
      </c>
      <c r="AF347" s="796">
        <v>0</v>
      </c>
      <c r="AG347" s="796">
        <v>0</v>
      </c>
      <c r="AH347" s="796">
        <v>0</v>
      </c>
      <c r="AI347" s="796">
        <v>0</v>
      </c>
      <c r="AJ347" s="796">
        <v>0</v>
      </c>
      <c r="AK347" s="796">
        <v>0</v>
      </c>
      <c r="AL347" s="796">
        <v>0</v>
      </c>
      <c r="AM347" s="796">
        <v>0</v>
      </c>
      <c r="AN347" s="796">
        <v>0</v>
      </c>
      <c r="AO347" s="796">
        <v>0</v>
      </c>
      <c r="AP347" s="796">
        <v>0</v>
      </c>
      <c r="AQ347" s="796">
        <v>0</v>
      </c>
      <c r="AR347" s="796">
        <v>0</v>
      </c>
      <c r="AS347" s="796">
        <v>0</v>
      </c>
      <c r="AT347" s="796">
        <v>0</v>
      </c>
      <c r="AU347" s="796">
        <v>0</v>
      </c>
      <c r="AV347" s="796">
        <v>0</v>
      </c>
      <c r="AW347" s="796">
        <v>0</v>
      </c>
      <c r="AX347" s="796">
        <v>0</v>
      </c>
      <c r="AY347" s="810">
        <v>251912.54</v>
      </c>
      <c r="AZ347" s="796">
        <v>231760.36</v>
      </c>
      <c r="BA347" s="796">
        <v>355725.79</v>
      </c>
      <c r="BB347" s="796">
        <v>86738.04</v>
      </c>
      <c r="BC347" s="796">
        <v>117556.38</v>
      </c>
      <c r="BD347" s="796">
        <v>44663</v>
      </c>
      <c r="BE347" s="796">
        <v>34635.79</v>
      </c>
      <c r="BF347" s="796">
        <v>58227.86</v>
      </c>
      <c r="BG347" s="796">
        <v>8495</v>
      </c>
      <c r="BH347" s="796">
        <v>0</v>
      </c>
      <c r="BI347" s="796">
        <v>0</v>
      </c>
      <c r="BJ347" s="796">
        <v>0</v>
      </c>
      <c r="BK347" s="796">
        <v>0</v>
      </c>
      <c r="BL347" s="796">
        <v>0</v>
      </c>
      <c r="BM347" s="796">
        <v>0</v>
      </c>
      <c r="BN347" s="796">
        <v>0</v>
      </c>
      <c r="BO347" s="796">
        <v>0</v>
      </c>
      <c r="BP347" s="796">
        <v>0</v>
      </c>
      <c r="BQ347" s="796">
        <v>0</v>
      </c>
      <c r="BR347" s="796">
        <v>0</v>
      </c>
      <c r="BS347" s="796">
        <v>0</v>
      </c>
      <c r="BT347" s="796">
        <v>0</v>
      </c>
      <c r="BU347" s="796">
        <v>0</v>
      </c>
      <c r="BV347" s="796">
        <v>0</v>
      </c>
    </row>
    <row r="348" spans="2:74">
      <c r="B348" s="795" t="s">
        <v>3254</v>
      </c>
      <c r="C348" s="795" t="s">
        <v>486</v>
      </c>
      <c r="D348" s="795"/>
      <c r="E348" s="796"/>
      <c r="F348" s="799"/>
      <c r="G348" s="799"/>
      <c r="H348" s="799"/>
      <c r="I348" s="799"/>
      <c r="J348" s="799"/>
      <c r="K348" s="799"/>
      <c r="L348" s="799">
        <f t="shared" si="10"/>
        <v>331</v>
      </c>
      <c r="M348" s="799"/>
      <c r="N348" s="595"/>
      <c r="O348" s="794">
        <v>0</v>
      </c>
      <c r="P348" s="794">
        <v>0</v>
      </c>
      <c r="Q348" s="794">
        <v>0</v>
      </c>
      <c r="R348" s="794">
        <v>0</v>
      </c>
      <c r="S348" s="796">
        <v>0</v>
      </c>
      <c r="T348" s="796">
        <v>0</v>
      </c>
      <c r="U348" s="796">
        <v>0</v>
      </c>
      <c r="V348" s="796">
        <v>0</v>
      </c>
      <c r="W348" s="796">
        <v>0</v>
      </c>
      <c r="X348" s="796">
        <v>0</v>
      </c>
      <c r="Y348" s="796">
        <v>0</v>
      </c>
      <c r="Z348" s="796">
        <v>0</v>
      </c>
      <c r="AA348" s="796">
        <v>0</v>
      </c>
      <c r="AB348" s="796">
        <v>0</v>
      </c>
      <c r="AC348" s="796">
        <v>0</v>
      </c>
      <c r="AD348" s="796">
        <v>0</v>
      </c>
      <c r="AE348" s="796">
        <v>0</v>
      </c>
      <c r="AF348" s="796">
        <v>0</v>
      </c>
      <c r="AG348" s="796">
        <v>0</v>
      </c>
      <c r="AH348" s="796">
        <v>0</v>
      </c>
      <c r="AI348" s="796">
        <v>0</v>
      </c>
      <c r="AJ348" s="796">
        <v>0</v>
      </c>
      <c r="AK348" s="796">
        <v>0</v>
      </c>
      <c r="AL348" s="796">
        <v>0</v>
      </c>
      <c r="AM348" s="796">
        <v>0</v>
      </c>
      <c r="AN348" s="796">
        <v>0</v>
      </c>
      <c r="AO348" s="796">
        <v>0</v>
      </c>
      <c r="AP348" s="796">
        <v>0</v>
      </c>
      <c r="AQ348" s="796">
        <v>0</v>
      </c>
      <c r="AR348" s="796">
        <v>0</v>
      </c>
      <c r="AS348" s="796">
        <v>0</v>
      </c>
      <c r="AT348" s="796">
        <v>0</v>
      </c>
      <c r="AU348" s="796">
        <v>0</v>
      </c>
      <c r="AV348" s="796">
        <v>0</v>
      </c>
      <c r="AW348" s="796">
        <v>0</v>
      </c>
      <c r="AX348" s="796">
        <v>0</v>
      </c>
      <c r="AY348" s="810">
        <v>36687.919999999998</v>
      </c>
      <c r="AZ348" s="796">
        <v>0</v>
      </c>
      <c r="BA348" s="796">
        <v>0</v>
      </c>
      <c r="BB348" s="796">
        <v>0</v>
      </c>
      <c r="BC348" s="796">
        <v>0</v>
      </c>
      <c r="BD348" s="796">
        <v>1000</v>
      </c>
      <c r="BE348" s="796">
        <v>0</v>
      </c>
      <c r="BF348" s="796">
        <v>0</v>
      </c>
      <c r="BG348" s="796">
        <v>0</v>
      </c>
      <c r="BH348" s="796">
        <v>0</v>
      </c>
      <c r="BI348" s="796">
        <v>0</v>
      </c>
      <c r="BJ348" s="796">
        <v>0</v>
      </c>
      <c r="BK348" s="796">
        <v>0</v>
      </c>
      <c r="BL348" s="796">
        <v>0</v>
      </c>
      <c r="BM348" s="796">
        <v>0</v>
      </c>
      <c r="BN348" s="796">
        <v>0</v>
      </c>
      <c r="BO348" s="796">
        <v>0</v>
      </c>
      <c r="BP348" s="796">
        <v>0</v>
      </c>
      <c r="BQ348" s="796">
        <v>0</v>
      </c>
      <c r="BR348" s="796">
        <v>0</v>
      </c>
      <c r="BS348" s="796">
        <v>0</v>
      </c>
      <c r="BT348" s="796">
        <v>0</v>
      </c>
      <c r="BU348" s="796">
        <v>0</v>
      </c>
      <c r="BV348" s="796">
        <v>0</v>
      </c>
    </row>
    <row r="349" spans="2:74">
      <c r="B349" s="795" t="s">
        <v>3255</v>
      </c>
      <c r="C349" s="795" t="s">
        <v>3207</v>
      </c>
      <c r="D349" s="795"/>
      <c r="E349" s="796"/>
      <c r="F349" s="799"/>
      <c r="G349" s="799"/>
      <c r="H349" s="799"/>
      <c r="I349" s="799"/>
      <c r="J349" s="799"/>
      <c r="K349" s="799"/>
      <c r="L349" s="799">
        <f t="shared" si="10"/>
        <v>331</v>
      </c>
      <c r="M349" s="799"/>
      <c r="N349" s="595"/>
      <c r="O349" s="794">
        <v>0</v>
      </c>
      <c r="P349" s="794">
        <v>0</v>
      </c>
      <c r="Q349" s="794">
        <v>0</v>
      </c>
      <c r="R349" s="794">
        <v>0</v>
      </c>
      <c r="S349" s="796">
        <v>0</v>
      </c>
      <c r="T349" s="796">
        <v>0</v>
      </c>
      <c r="U349" s="796">
        <v>0</v>
      </c>
      <c r="V349" s="796">
        <v>0</v>
      </c>
      <c r="W349" s="796">
        <v>0</v>
      </c>
      <c r="X349" s="796">
        <v>0</v>
      </c>
      <c r="Y349" s="796">
        <v>0</v>
      </c>
      <c r="Z349" s="796">
        <v>0</v>
      </c>
      <c r="AA349" s="796">
        <v>0</v>
      </c>
      <c r="AB349" s="796">
        <v>0</v>
      </c>
      <c r="AC349" s="796">
        <v>0</v>
      </c>
      <c r="AD349" s="796">
        <v>0</v>
      </c>
      <c r="AE349" s="796">
        <v>0</v>
      </c>
      <c r="AF349" s="796">
        <v>0</v>
      </c>
      <c r="AG349" s="796">
        <v>0</v>
      </c>
      <c r="AH349" s="796">
        <v>0</v>
      </c>
      <c r="AI349" s="796">
        <v>0</v>
      </c>
      <c r="AJ349" s="796">
        <v>0</v>
      </c>
      <c r="AK349" s="796">
        <v>0</v>
      </c>
      <c r="AL349" s="796">
        <v>0</v>
      </c>
      <c r="AM349" s="796">
        <v>0</v>
      </c>
      <c r="AN349" s="796">
        <v>0</v>
      </c>
      <c r="AO349" s="796">
        <v>0</v>
      </c>
      <c r="AP349" s="796">
        <v>0</v>
      </c>
      <c r="AQ349" s="796">
        <v>0</v>
      </c>
      <c r="AR349" s="796">
        <v>0</v>
      </c>
      <c r="AS349" s="796">
        <v>0</v>
      </c>
      <c r="AT349" s="796">
        <v>0</v>
      </c>
      <c r="AU349" s="796">
        <v>0</v>
      </c>
      <c r="AV349" s="796">
        <v>0</v>
      </c>
      <c r="AW349" s="796">
        <v>0</v>
      </c>
      <c r="AX349" s="796">
        <v>0</v>
      </c>
      <c r="AY349" s="810">
        <v>53477.41</v>
      </c>
      <c r="AZ349" s="796">
        <v>0</v>
      </c>
      <c r="BA349" s="796">
        <v>0</v>
      </c>
      <c r="BB349" s="796">
        <v>0</v>
      </c>
      <c r="BC349" s="796">
        <v>0</v>
      </c>
      <c r="BD349" s="796">
        <v>0</v>
      </c>
      <c r="BE349" s="796">
        <v>0</v>
      </c>
      <c r="BF349" s="796">
        <v>0</v>
      </c>
      <c r="BG349" s="796">
        <v>0</v>
      </c>
      <c r="BH349" s="796">
        <v>0</v>
      </c>
      <c r="BI349" s="796">
        <v>0</v>
      </c>
      <c r="BJ349" s="796">
        <v>0</v>
      </c>
      <c r="BK349" s="796">
        <v>0</v>
      </c>
      <c r="BL349" s="796">
        <v>0</v>
      </c>
      <c r="BM349" s="796">
        <v>0</v>
      </c>
      <c r="BN349" s="796">
        <v>0</v>
      </c>
      <c r="BO349" s="796">
        <v>0</v>
      </c>
      <c r="BP349" s="796">
        <v>0</v>
      </c>
      <c r="BQ349" s="796">
        <v>0</v>
      </c>
      <c r="BR349" s="796">
        <v>0</v>
      </c>
      <c r="BS349" s="796">
        <v>0</v>
      </c>
      <c r="BT349" s="796">
        <v>0</v>
      </c>
      <c r="BU349" s="796">
        <v>0</v>
      </c>
      <c r="BV349" s="796">
        <v>0</v>
      </c>
    </row>
    <row r="350" spans="2:74">
      <c r="B350" s="795" t="s">
        <v>568</v>
      </c>
      <c r="C350" s="795" t="s">
        <v>567</v>
      </c>
      <c r="D350" s="795"/>
      <c r="E350" s="796"/>
      <c r="F350" s="799"/>
      <c r="G350" s="799"/>
      <c r="H350" s="799"/>
      <c r="I350" s="799"/>
      <c r="J350" s="799"/>
      <c r="K350" s="799"/>
      <c r="L350" s="799">
        <f t="shared" si="10"/>
        <v>331</v>
      </c>
      <c r="M350" s="799"/>
      <c r="N350" s="595"/>
      <c r="O350" s="794">
        <v>0</v>
      </c>
      <c r="P350" s="794">
        <v>0</v>
      </c>
      <c r="Q350" s="794">
        <v>0</v>
      </c>
      <c r="R350" s="794">
        <v>0</v>
      </c>
      <c r="S350" s="796">
        <v>0</v>
      </c>
      <c r="T350" s="796">
        <v>0</v>
      </c>
      <c r="U350" s="796">
        <v>0</v>
      </c>
      <c r="V350" s="796">
        <v>0</v>
      </c>
      <c r="W350" s="796">
        <v>0</v>
      </c>
      <c r="X350" s="796">
        <v>0</v>
      </c>
      <c r="Y350" s="796">
        <v>0</v>
      </c>
      <c r="Z350" s="796">
        <v>0</v>
      </c>
      <c r="AA350" s="796">
        <v>0</v>
      </c>
      <c r="AB350" s="796">
        <v>0</v>
      </c>
      <c r="AC350" s="796">
        <v>0</v>
      </c>
      <c r="AD350" s="796">
        <v>0</v>
      </c>
      <c r="AE350" s="796">
        <v>0</v>
      </c>
      <c r="AF350" s="796">
        <v>0</v>
      </c>
      <c r="AG350" s="796">
        <v>0</v>
      </c>
      <c r="AH350" s="796">
        <v>0</v>
      </c>
      <c r="AI350" s="796">
        <v>0</v>
      </c>
      <c r="AJ350" s="796">
        <v>0</v>
      </c>
      <c r="AK350" s="796">
        <v>0</v>
      </c>
      <c r="AL350" s="796">
        <v>0</v>
      </c>
      <c r="AM350" s="796">
        <v>0</v>
      </c>
      <c r="AN350" s="796">
        <v>0</v>
      </c>
      <c r="AO350" s="796">
        <v>0</v>
      </c>
      <c r="AP350" s="796">
        <v>0</v>
      </c>
      <c r="AQ350" s="796">
        <v>0</v>
      </c>
      <c r="AR350" s="796">
        <v>0</v>
      </c>
      <c r="AS350" s="796">
        <v>0</v>
      </c>
      <c r="AT350" s="796">
        <v>0</v>
      </c>
      <c r="AU350" s="796">
        <v>0</v>
      </c>
      <c r="AV350" s="796">
        <v>0</v>
      </c>
      <c r="AW350" s="796">
        <v>0</v>
      </c>
      <c r="AX350" s="796">
        <v>0</v>
      </c>
      <c r="AY350" s="810">
        <v>174750.82</v>
      </c>
      <c r="AZ350" s="796">
        <v>127586.03</v>
      </c>
      <c r="BA350" s="796">
        <v>136754.96</v>
      </c>
      <c r="BB350" s="796">
        <v>153384.21</v>
      </c>
      <c r="BC350" s="796">
        <v>197373.44</v>
      </c>
      <c r="BD350" s="796">
        <v>110210.15</v>
      </c>
      <c r="BE350" s="796">
        <v>0</v>
      </c>
      <c r="BF350" s="796">
        <v>0</v>
      </c>
      <c r="BG350" s="796">
        <v>0</v>
      </c>
      <c r="BH350" s="796">
        <v>0</v>
      </c>
      <c r="BI350" s="796">
        <v>472287.14</v>
      </c>
      <c r="BJ350" s="796">
        <v>0</v>
      </c>
      <c r="BK350" s="796">
        <v>82019.67</v>
      </c>
      <c r="BL350" s="796">
        <v>0</v>
      </c>
      <c r="BM350" s="796">
        <v>0</v>
      </c>
      <c r="BN350" s="796">
        <v>0</v>
      </c>
      <c r="BO350" s="796">
        <v>0</v>
      </c>
      <c r="BP350" s="796">
        <v>0</v>
      </c>
      <c r="BQ350" s="796">
        <v>0</v>
      </c>
      <c r="BR350" s="796">
        <v>0</v>
      </c>
      <c r="BS350" s="796">
        <v>0</v>
      </c>
      <c r="BT350" s="796">
        <v>0</v>
      </c>
      <c r="BU350" s="796">
        <v>0</v>
      </c>
      <c r="BV350" s="796">
        <v>0</v>
      </c>
    </row>
    <row r="351" spans="2:74">
      <c r="B351" s="795" t="s">
        <v>3256</v>
      </c>
      <c r="C351" s="795" t="s">
        <v>3257</v>
      </c>
      <c r="D351" s="795"/>
      <c r="E351" s="796"/>
      <c r="F351" s="799"/>
      <c r="G351" s="799"/>
      <c r="H351" s="799"/>
      <c r="I351" s="799"/>
      <c r="J351" s="799"/>
      <c r="K351" s="799"/>
      <c r="L351" s="799">
        <f t="shared" si="10"/>
        <v>331</v>
      </c>
      <c r="M351" s="799"/>
      <c r="N351" s="595"/>
      <c r="O351" s="794">
        <v>0</v>
      </c>
      <c r="P351" s="794">
        <v>0</v>
      </c>
      <c r="Q351" s="794">
        <v>0</v>
      </c>
      <c r="R351" s="794">
        <v>0</v>
      </c>
      <c r="S351" s="796">
        <v>0</v>
      </c>
      <c r="T351" s="796">
        <v>0</v>
      </c>
      <c r="U351" s="796">
        <v>0</v>
      </c>
      <c r="V351" s="796">
        <v>0</v>
      </c>
      <c r="W351" s="796">
        <v>0</v>
      </c>
      <c r="X351" s="796">
        <v>0</v>
      </c>
      <c r="Y351" s="796">
        <v>0</v>
      </c>
      <c r="Z351" s="796">
        <v>0</v>
      </c>
      <c r="AA351" s="796">
        <v>0</v>
      </c>
      <c r="AB351" s="796">
        <v>0</v>
      </c>
      <c r="AC351" s="796">
        <v>0</v>
      </c>
      <c r="AD351" s="796">
        <v>0</v>
      </c>
      <c r="AE351" s="796">
        <v>0</v>
      </c>
      <c r="AF351" s="796">
        <v>0</v>
      </c>
      <c r="AG351" s="796">
        <v>0</v>
      </c>
      <c r="AH351" s="796">
        <v>0</v>
      </c>
      <c r="AI351" s="796">
        <v>0</v>
      </c>
      <c r="AJ351" s="796">
        <v>0</v>
      </c>
      <c r="AK351" s="796">
        <v>0</v>
      </c>
      <c r="AL351" s="796">
        <v>0</v>
      </c>
      <c r="AM351" s="796">
        <v>0</v>
      </c>
      <c r="AN351" s="796">
        <v>0</v>
      </c>
      <c r="AO351" s="796">
        <v>0</v>
      </c>
      <c r="AP351" s="796">
        <v>0</v>
      </c>
      <c r="AQ351" s="796">
        <v>0</v>
      </c>
      <c r="AR351" s="796">
        <v>0</v>
      </c>
      <c r="AS351" s="796">
        <v>0</v>
      </c>
      <c r="AT351" s="796">
        <v>0</v>
      </c>
      <c r="AU351" s="796">
        <v>0</v>
      </c>
      <c r="AV351" s="796">
        <v>0</v>
      </c>
      <c r="AW351" s="796">
        <v>0</v>
      </c>
      <c r="AX351" s="796">
        <v>0</v>
      </c>
      <c r="AY351" s="810">
        <v>87242</v>
      </c>
      <c r="AZ351" s="796">
        <v>0</v>
      </c>
      <c r="BA351" s="796">
        <v>0</v>
      </c>
      <c r="BB351" s="796">
        <v>0</v>
      </c>
      <c r="BC351" s="796">
        <v>0</v>
      </c>
      <c r="BD351" s="796">
        <v>0</v>
      </c>
      <c r="BE351" s="796">
        <v>0</v>
      </c>
      <c r="BF351" s="796">
        <v>0</v>
      </c>
      <c r="BG351" s="796">
        <v>0</v>
      </c>
      <c r="BH351" s="796">
        <v>0</v>
      </c>
      <c r="BI351" s="796">
        <v>0</v>
      </c>
      <c r="BJ351" s="796">
        <v>0</v>
      </c>
      <c r="BK351" s="796">
        <v>0</v>
      </c>
      <c r="BL351" s="796">
        <v>0</v>
      </c>
      <c r="BM351" s="796">
        <v>0</v>
      </c>
      <c r="BN351" s="796">
        <v>0</v>
      </c>
      <c r="BO351" s="796">
        <v>0</v>
      </c>
      <c r="BP351" s="796">
        <v>0</v>
      </c>
      <c r="BQ351" s="796">
        <v>0</v>
      </c>
      <c r="BR351" s="796">
        <v>0</v>
      </c>
      <c r="BS351" s="796">
        <v>0</v>
      </c>
      <c r="BT351" s="796">
        <v>0</v>
      </c>
      <c r="BU351" s="796">
        <v>0</v>
      </c>
      <c r="BV351" s="796">
        <v>0</v>
      </c>
    </row>
    <row r="352" spans="2:74">
      <c r="B352" s="795" t="s">
        <v>3258</v>
      </c>
      <c r="C352" s="795" t="s">
        <v>640</v>
      </c>
      <c r="D352" s="795"/>
      <c r="E352" s="796"/>
      <c r="F352" s="799"/>
      <c r="G352" s="799"/>
      <c r="H352" s="799"/>
      <c r="I352" s="799"/>
      <c r="J352" s="799"/>
      <c r="K352" s="799"/>
      <c r="L352" s="799">
        <f t="shared" si="10"/>
        <v>331</v>
      </c>
      <c r="M352" s="799"/>
      <c r="N352" s="595"/>
      <c r="O352" s="794">
        <v>0</v>
      </c>
      <c r="P352" s="794">
        <v>0</v>
      </c>
      <c r="Q352" s="794">
        <v>0</v>
      </c>
      <c r="R352" s="794">
        <v>0</v>
      </c>
      <c r="S352" s="796">
        <v>0</v>
      </c>
      <c r="T352" s="796">
        <v>0</v>
      </c>
      <c r="U352" s="796">
        <v>0</v>
      </c>
      <c r="V352" s="796">
        <v>0</v>
      </c>
      <c r="W352" s="796">
        <v>0</v>
      </c>
      <c r="X352" s="796">
        <v>0</v>
      </c>
      <c r="Y352" s="796">
        <v>0</v>
      </c>
      <c r="Z352" s="796">
        <v>0</v>
      </c>
      <c r="AA352" s="796">
        <v>0</v>
      </c>
      <c r="AB352" s="796">
        <v>0</v>
      </c>
      <c r="AC352" s="796">
        <v>0</v>
      </c>
      <c r="AD352" s="796">
        <v>0</v>
      </c>
      <c r="AE352" s="796">
        <v>0</v>
      </c>
      <c r="AF352" s="796">
        <v>0</v>
      </c>
      <c r="AG352" s="796">
        <v>0</v>
      </c>
      <c r="AH352" s="796">
        <v>0</v>
      </c>
      <c r="AI352" s="796">
        <v>0</v>
      </c>
      <c r="AJ352" s="796">
        <v>0</v>
      </c>
      <c r="AK352" s="796">
        <v>0</v>
      </c>
      <c r="AL352" s="796">
        <v>0</v>
      </c>
      <c r="AM352" s="796">
        <v>0</v>
      </c>
      <c r="AN352" s="796">
        <v>0</v>
      </c>
      <c r="AO352" s="796">
        <v>0</v>
      </c>
      <c r="AP352" s="796">
        <v>0</v>
      </c>
      <c r="AQ352" s="796">
        <v>0</v>
      </c>
      <c r="AR352" s="796">
        <v>0</v>
      </c>
      <c r="AS352" s="796">
        <v>0</v>
      </c>
      <c r="AT352" s="796">
        <v>0</v>
      </c>
      <c r="AU352" s="796">
        <v>0</v>
      </c>
      <c r="AV352" s="796">
        <v>0</v>
      </c>
      <c r="AW352" s="796">
        <v>0</v>
      </c>
      <c r="AX352" s="796">
        <v>0</v>
      </c>
      <c r="AY352" s="810">
        <v>6025</v>
      </c>
      <c r="AZ352" s="796">
        <v>0</v>
      </c>
      <c r="BA352" s="796">
        <v>1100</v>
      </c>
      <c r="BB352" s="796">
        <v>0</v>
      </c>
      <c r="BC352" s="796">
        <v>6122.14</v>
      </c>
      <c r="BD352" s="796">
        <v>33631.96</v>
      </c>
      <c r="BE352" s="796">
        <v>57751.62</v>
      </c>
      <c r="BF352" s="796">
        <v>35812.720000000001</v>
      </c>
      <c r="BG352" s="796">
        <v>68012.039999999994</v>
      </c>
      <c r="BH352" s="796">
        <v>64884.17</v>
      </c>
      <c r="BI352" s="796">
        <v>59614.13</v>
      </c>
      <c r="BJ352" s="796">
        <v>64004.89</v>
      </c>
      <c r="BK352" s="796">
        <v>0</v>
      </c>
      <c r="BL352" s="796">
        <v>163316.01</v>
      </c>
      <c r="BM352" s="796">
        <v>0</v>
      </c>
      <c r="BN352" s="796">
        <v>0</v>
      </c>
      <c r="BO352" s="796">
        <v>0</v>
      </c>
      <c r="BP352" s="796">
        <v>0</v>
      </c>
      <c r="BQ352" s="796">
        <v>0</v>
      </c>
      <c r="BR352" s="796">
        <v>112481.66</v>
      </c>
      <c r="BS352" s="796">
        <v>0</v>
      </c>
      <c r="BT352" s="796">
        <v>0</v>
      </c>
      <c r="BU352" s="796">
        <v>0</v>
      </c>
      <c r="BV352" s="796">
        <v>0</v>
      </c>
    </row>
    <row r="353" spans="2:74">
      <c r="B353" s="795" t="s">
        <v>855</v>
      </c>
      <c r="C353" s="795" t="s">
        <v>3259</v>
      </c>
      <c r="D353" s="795"/>
      <c r="E353" s="796"/>
      <c r="F353" s="799"/>
      <c r="G353" s="799"/>
      <c r="H353" s="799"/>
      <c r="I353" s="799"/>
      <c r="J353" s="799"/>
      <c r="K353" s="799"/>
      <c r="L353" s="799">
        <f t="shared" si="10"/>
        <v>331</v>
      </c>
      <c r="M353" s="799"/>
      <c r="N353" s="595"/>
      <c r="O353" s="794">
        <v>0</v>
      </c>
      <c r="P353" s="794">
        <v>0</v>
      </c>
      <c r="Q353" s="794">
        <v>0</v>
      </c>
      <c r="R353" s="794">
        <v>0</v>
      </c>
      <c r="S353" s="796">
        <v>0</v>
      </c>
      <c r="T353" s="796">
        <v>0</v>
      </c>
      <c r="U353" s="796">
        <v>0</v>
      </c>
      <c r="V353" s="796">
        <v>0</v>
      </c>
      <c r="W353" s="796">
        <v>0</v>
      </c>
      <c r="X353" s="796">
        <v>0</v>
      </c>
      <c r="Y353" s="796">
        <v>0</v>
      </c>
      <c r="Z353" s="796">
        <v>0</v>
      </c>
      <c r="AA353" s="796">
        <v>0</v>
      </c>
      <c r="AB353" s="796">
        <v>0</v>
      </c>
      <c r="AC353" s="796">
        <v>0</v>
      </c>
      <c r="AD353" s="796">
        <v>0</v>
      </c>
      <c r="AE353" s="796">
        <v>0</v>
      </c>
      <c r="AF353" s="796">
        <v>0</v>
      </c>
      <c r="AG353" s="796">
        <v>0</v>
      </c>
      <c r="AH353" s="796">
        <v>0</v>
      </c>
      <c r="AI353" s="796">
        <v>0</v>
      </c>
      <c r="AJ353" s="796">
        <v>0</v>
      </c>
      <c r="AK353" s="796">
        <v>0</v>
      </c>
      <c r="AL353" s="796">
        <v>0</v>
      </c>
      <c r="AM353" s="796">
        <v>0</v>
      </c>
      <c r="AN353" s="796">
        <v>0</v>
      </c>
      <c r="AO353" s="796">
        <v>0</v>
      </c>
      <c r="AP353" s="796">
        <v>0</v>
      </c>
      <c r="AQ353" s="796">
        <v>0</v>
      </c>
      <c r="AR353" s="796">
        <v>0</v>
      </c>
      <c r="AS353" s="796">
        <v>0</v>
      </c>
      <c r="AT353" s="796">
        <v>0</v>
      </c>
      <c r="AU353" s="796">
        <v>0</v>
      </c>
      <c r="AV353" s="796">
        <v>0</v>
      </c>
      <c r="AW353" s="796">
        <v>0</v>
      </c>
      <c r="AX353" s="796">
        <v>0</v>
      </c>
      <c r="AY353" s="810">
        <v>11074.88</v>
      </c>
      <c r="AZ353" s="796">
        <v>63256.68</v>
      </c>
      <c r="BA353" s="796">
        <v>24163.8</v>
      </c>
      <c r="BB353" s="796">
        <v>0</v>
      </c>
      <c r="BC353" s="796">
        <v>0</v>
      </c>
      <c r="BD353" s="796">
        <v>0</v>
      </c>
      <c r="BE353" s="796">
        <v>0</v>
      </c>
      <c r="BF353" s="796">
        <v>0</v>
      </c>
      <c r="BG353" s="796">
        <v>0</v>
      </c>
      <c r="BH353" s="796">
        <v>0</v>
      </c>
      <c r="BI353" s="796">
        <v>0</v>
      </c>
      <c r="BJ353" s="796">
        <v>0</v>
      </c>
      <c r="BK353" s="796">
        <v>0</v>
      </c>
      <c r="BL353" s="796">
        <v>0</v>
      </c>
      <c r="BM353" s="796">
        <v>0</v>
      </c>
      <c r="BN353" s="796">
        <v>62868.58</v>
      </c>
      <c r="BO353" s="796">
        <v>79926.38</v>
      </c>
      <c r="BP353" s="796">
        <v>15632.02</v>
      </c>
      <c r="BQ353" s="796">
        <v>57245.95</v>
      </c>
      <c r="BR353" s="796">
        <v>0</v>
      </c>
      <c r="BS353" s="796">
        <v>0</v>
      </c>
      <c r="BT353" s="796">
        <v>0</v>
      </c>
      <c r="BU353" s="796">
        <v>83050</v>
      </c>
      <c r="BV353" s="796">
        <v>35050</v>
      </c>
    </row>
    <row r="354" spans="2:74">
      <c r="B354" s="795" t="s">
        <v>3260</v>
      </c>
      <c r="C354" s="795" t="s">
        <v>3259</v>
      </c>
      <c r="D354" s="795"/>
      <c r="E354" s="796"/>
      <c r="F354" s="799"/>
      <c r="G354" s="799"/>
      <c r="H354" s="799"/>
      <c r="I354" s="799"/>
      <c r="J354" s="799"/>
      <c r="K354" s="799"/>
      <c r="L354" s="799">
        <f t="shared" si="10"/>
        <v>331</v>
      </c>
      <c r="M354" s="799"/>
      <c r="N354" s="595"/>
      <c r="O354" s="794">
        <v>0</v>
      </c>
      <c r="P354" s="794">
        <v>0</v>
      </c>
      <c r="Q354" s="794">
        <v>0</v>
      </c>
      <c r="R354" s="794">
        <v>0</v>
      </c>
      <c r="S354" s="796">
        <v>0</v>
      </c>
      <c r="T354" s="796">
        <v>0</v>
      </c>
      <c r="U354" s="796">
        <v>0</v>
      </c>
      <c r="V354" s="796">
        <v>0</v>
      </c>
      <c r="W354" s="796">
        <v>0</v>
      </c>
      <c r="X354" s="796">
        <v>0</v>
      </c>
      <c r="Y354" s="796">
        <v>0</v>
      </c>
      <c r="Z354" s="796">
        <v>0</v>
      </c>
      <c r="AA354" s="796">
        <v>0</v>
      </c>
      <c r="AB354" s="796">
        <v>0</v>
      </c>
      <c r="AC354" s="796">
        <v>0</v>
      </c>
      <c r="AD354" s="796">
        <v>0</v>
      </c>
      <c r="AE354" s="796">
        <v>0</v>
      </c>
      <c r="AF354" s="796">
        <v>0</v>
      </c>
      <c r="AG354" s="796">
        <v>0</v>
      </c>
      <c r="AH354" s="796">
        <v>0</v>
      </c>
      <c r="AI354" s="796">
        <v>0</v>
      </c>
      <c r="AJ354" s="796">
        <v>0</v>
      </c>
      <c r="AK354" s="796">
        <v>0</v>
      </c>
      <c r="AL354" s="796">
        <v>0</v>
      </c>
      <c r="AM354" s="796">
        <v>0</v>
      </c>
      <c r="AN354" s="796">
        <v>0</v>
      </c>
      <c r="AO354" s="796">
        <v>0</v>
      </c>
      <c r="AP354" s="796">
        <v>0</v>
      </c>
      <c r="AQ354" s="796">
        <v>0</v>
      </c>
      <c r="AR354" s="796">
        <v>0</v>
      </c>
      <c r="AS354" s="796">
        <v>0</v>
      </c>
      <c r="AT354" s="796">
        <v>0</v>
      </c>
      <c r="AU354" s="796">
        <v>0</v>
      </c>
      <c r="AV354" s="796">
        <v>0</v>
      </c>
      <c r="AW354" s="796">
        <v>0</v>
      </c>
      <c r="AX354" s="796">
        <v>0</v>
      </c>
      <c r="AY354" s="810">
        <v>24504</v>
      </c>
      <c r="AZ354" s="796">
        <v>0</v>
      </c>
      <c r="BA354" s="796">
        <v>0</v>
      </c>
      <c r="BB354" s="796">
        <v>0</v>
      </c>
      <c r="BC354" s="796">
        <v>0</v>
      </c>
      <c r="BD354" s="796">
        <v>0</v>
      </c>
      <c r="BE354" s="796">
        <v>0</v>
      </c>
      <c r="BF354" s="796">
        <v>0</v>
      </c>
      <c r="BG354" s="796">
        <v>0</v>
      </c>
      <c r="BH354" s="796">
        <v>0</v>
      </c>
      <c r="BI354" s="796">
        <v>0</v>
      </c>
      <c r="BJ354" s="796">
        <v>0</v>
      </c>
      <c r="BK354" s="796">
        <v>0</v>
      </c>
      <c r="BL354" s="796">
        <v>0</v>
      </c>
      <c r="BM354" s="796">
        <v>0</v>
      </c>
      <c r="BN354" s="796">
        <v>0</v>
      </c>
      <c r="BO354" s="796">
        <v>0</v>
      </c>
      <c r="BP354" s="796">
        <v>0</v>
      </c>
      <c r="BQ354" s="796">
        <v>0</v>
      </c>
      <c r="BR354" s="796">
        <v>0</v>
      </c>
      <c r="BS354" s="796">
        <v>0</v>
      </c>
      <c r="BT354" s="796">
        <v>0</v>
      </c>
      <c r="BU354" s="796">
        <v>0</v>
      </c>
      <c r="BV354" s="796">
        <v>0</v>
      </c>
    </row>
    <row r="355" spans="2:74">
      <c r="B355" s="795" t="s">
        <v>3242</v>
      </c>
      <c r="C355" s="795" t="s">
        <v>534</v>
      </c>
      <c r="D355" s="795"/>
      <c r="E355" s="796"/>
      <c r="F355" s="799"/>
      <c r="G355" s="799"/>
      <c r="H355" s="799"/>
      <c r="I355" s="799"/>
      <c r="J355" s="799"/>
      <c r="K355" s="799"/>
      <c r="L355" s="799">
        <f t="shared" si="10"/>
        <v>331</v>
      </c>
      <c r="M355" s="799"/>
      <c r="N355" s="595"/>
      <c r="O355" s="794">
        <v>0</v>
      </c>
      <c r="P355" s="794">
        <v>0</v>
      </c>
      <c r="Q355" s="794">
        <v>0</v>
      </c>
      <c r="R355" s="794">
        <v>0</v>
      </c>
      <c r="S355" s="796">
        <v>0</v>
      </c>
      <c r="T355" s="796">
        <v>0</v>
      </c>
      <c r="U355" s="796">
        <v>0</v>
      </c>
      <c r="V355" s="796">
        <v>0</v>
      </c>
      <c r="W355" s="796">
        <v>0</v>
      </c>
      <c r="X355" s="796">
        <v>0</v>
      </c>
      <c r="Y355" s="796">
        <v>0</v>
      </c>
      <c r="Z355" s="796">
        <v>0</v>
      </c>
      <c r="AA355" s="796">
        <v>0</v>
      </c>
      <c r="AB355" s="796">
        <v>0</v>
      </c>
      <c r="AC355" s="796">
        <v>0</v>
      </c>
      <c r="AD355" s="796">
        <v>0</v>
      </c>
      <c r="AE355" s="796">
        <v>0</v>
      </c>
      <c r="AF355" s="796">
        <v>0</v>
      </c>
      <c r="AG355" s="796">
        <v>0</v>
      </c>
      <c r="AH355" s="796">
        <v>0</v>
      </c>
      <c r="AI355" s="796">
        <v>0</v>
      </c>
      <c r="AJ355" s="796">
        <v>0</v>
      </c>
      <c r="AK355" s="796">
        <v>0</v>
      </c>
      <c r="AL355" s="796">
        <v>0</v>
      </c>
      <c r="AM355" s="796">
        <v>0</v>
      </c>
      <c r="AN355" s="796">
        <v>0</v>
      </c>
      <c r="AO355" s="796">
        <v>0</v>
      </c>
      <c r="AP355" s="796">
        <v>0</v>
      </c>
      <c r="AQ355" s="796">
        <v>0</v>
      </c>
      <c r="AR355" s="796">
        <v>0</v>
      </c>
      <c r="AS355" s="796">
        <v>0</v>
      </c>
      <c r="AT355" s="796">
        <v>0</v>
      </c>
      <c r="AU355" s="796">
        <v>0</v>
      </c>
      <c r="AV355" s="796">
        <v>0</v>
      </c>
      <c r="AW355" s="796">
        <v>0</v>
      </c>
      <c r="AX355" s="796">
        <v>0</v>
      </c>
      <c r="AY355" s="810">
        <v>41750</v>
      </c>
      <c r="AZ355" s="796">
        <v>0</v>
      </c>
      <c r="BA355" s="796">
        <v>0</v>
      </c>
      <c r="BB355" s="796">
        <v>0</v>
      </c>
      <c r="BC355" s="796">
        <v>0</v>
      </c>
      <c r="BD355" s="796">
        <v>0</v>
      </c>
      <c r="BE355" s="796">
        <v>0</v>
      </c>
      <c r="BF355" s="796">
        <v>0</v>
      </c>
      <c r="BG355" s="796">
        <v>0</v>
      </c>
      <c r="BH355" s="796">
        <v>0</v>
      </c>
      <c r="BI355" s="796">
        <v>0</v>
      </c>
      <c r="BJ355" s="796">
        <v>0</v>
      </c>
      <c r="BK355" s="796">
        <v>0</v>
      </c>
      <c r="BL355" s="796">
        <v>0</v>
      </c>
      <c r="BM355" s="796">
        <v>0</v>
      </c>
      <c r="BN355" s="796">
        <v>0</v>
      </c>
      <c r="BO355" s="796">
        <v>0</v>
      </c>
      <c r="BP355" s="796">
        <v>0</v>
      </c>
      <c r="BQ355" s="796">
        <v>0</v>
      </c>
      <c r="BR355" s="796">
        <v>0</v>
      </c>
      <c r="BS355" s="796">
        <v>0</v>
      </c>
      <c r="BT355" s="796">
        <v>0</v>
      </c>
      <c r="BU355" s="796">
        <v>0</v>
      </c>
      <c r="BV355" s="796">
        <v>0</v>
      </c>
    </row>
    <row r="356" spans="2:74">
      <c r="B356" s="795" t="s">
        <v>3261</v>
      </c>
      <c r="C356" s="795" t="s">
        <v>3262</v>
      </c>
      <c r="D356" s="795"/>
      <c r="E356" s="796"/>
      <c r="F356" s="799"/>
      <c r="G356" s="799"/>
      <c r="H356" s="799"/>
      <c r="I356" s="799"/>
      <c r="J356" s="799"/>
      <c r="K356" s="799"/>
      <c r="L356" s="799">
        <f t="shared" si="10"/>
        <v>331</v>
      </c>
      <c r="M356" s="799"/>
      <c r="N356" s="595"/>
      <c r="O356" s="794">
        <v>0</v>
      </c>
      <c r="P356" s="794">
        <v>0</v>
      </c>
      <c r="Q356" s="794">
        <v>0</v>
      </c>
      <c r="R356" s="794">
        <v>0</v>
      </c>
      <c r="S356" s="796">
        <v>0</v>
      </c>
      <c r="T356" s="796">
        <v>0</v>
      </c>
      <c r="U356" s="796">
        <v>0</v>
      </c>
      <c r="V356" s="796">
        <v>0</v>
      </c>
      <c r="W356" s="796">
        <v>0</v>
      </c>
      <c r="X356" s="796">
        <v>0</v>
      </c>
      <c r="Y356" s="796">
        <v>0</v>
      </c>
      <c r="Z356" s="796">
        <v>0</v>
      </c>
      <c r="AA356" s="796">
        <v>0</v>
      </c>
      <c r="AB356" s="796">
        <v>0</v>
      </c>
      <c r="AC356" s="796">
        <v>0</v>
      </c>
      <c r="AD356" s="796">
        <v>0</v>
      </c>
      <c r="AE356" s="796">
        <v>0</v>
      </c>
      <c r="AF356" s="796">
        <v>0</v>
      </c>
      <c r="AG356" s="796">
        <v>0</v>
      </c>
      <c r="AH356" s="796">
        <v>0</v>
      </c>
      <c r="AI356" s="796">
        <v>0</v>
      </c>
      <c r="AJ356" s="796">
        <v>0</v>
      </c>
      <c r="AK356" s="796">
        <v>0</v>
      </c>
      <c r="AL356" s="796">
        <v>0</v>
      </c>
      <c r="AM356" s="796">
        <v>0</v>
      </c>
      <c r="AN356" s="796">
        <v>0</v>
      </c>
      <c r="AO356" s="796">
        <v>0</v>
      </c>
      <c r="AP356" s="796">
        <v>0</v>
      </c>
      <c r="AQ356" s="796">
        <v>0</v>
      </c>
      <c r="AR356" s="796">
        <v>0</v>
      </c>
      <c r="AS356" s="796">
        <v>0</v>
      </c>
      <c r="AT356" s="796">
        <v>0</v>
      </c>
      <c r="AU356" s="796">
        <v>0</v>
      </c>
      <c r="AV356" s="796">
        <v>0</v>
      </c>
      <c r="AW356" s="796">
        <v>0</v>
      </c>
      <c r="AX356" s="796">
        <v>0</v>
      </c>
      <c r="AY356" s="796">
        <v>0</v>
      </c>
      <c r="AZ356" s="810">
        <v>40624.36</v>
      </c>
      <c r="BA356" s="796">
        <v>93917.440000000002</v>
      </c>
      <c r="BB356" s="796">
        <v>85219.48</v>
      </c>
      <c r="BC356" s="796">
        <v>59406.18</v>
      </c>
      <c r="BD356" s="796">
        <v>121876.08</v>
      </c>
      <c r="BE356" s="796">
        <v>14298</v>
      </c>
      <c r="BF356" s="796">
        <v>0</v>
      </c>
      <c r="BG356" s="796">
        <v>0</v>
      </c>
      <c r="BH356" s="796">
        <v>0</v>
      </c>
      <c r="BI356" s="796">
        <v>24660</v>
      </c>
      <c r="BJ356" s="796">
        <v>0</v>
      </c>
      <c r="BK356" s="796">
        <v>0</v>
      </c>
      <c r="BL356" s="796">
        <v>0</v>
      </c>
      <c r="BM356" s="796">
        <v>0</v>
      </c>
      <c r="BN356" s="796">
        <v>0</v>
      </c>
      <c r="BO356" s="796">
        <v>0</v>
      </c>
      <c r="BP356" s="796">
        <v>0</v>
      </c>
      <c r="BQ356" s="796">
        <v>0</v>
      </c>
      <c r="BR356" s="796">
        <v>0</v>
      </c>
      <c r="BS356" s="796">
        <v>26400</v>
      </c>
      <c r="BT356" s="796">
        <v>0</v>
      </c>
      <c r="BU356" s="796">
        <v>0</v>
      </c>
      <c r="BV356" s="796">
        <v>0</v>
      </c>
    </row>
    <row r="357" spans="2:74">
      <c r="B357" s="795" t="s">
        <v>3263</v>
      </c>
      <c r="C357" s="795" t="s">
        <v>486</v>
      </c>
      <c r="D357" s="795"/>
      <c r="E357" s="796"/>
      <c r="F357" s="799"/>
      <c r="G357" s="799"/>
      <c r="H357" s="799"/>
      <c r="I357" s="799"/>
      <c r="J357" s="799"/>
      <c r="K357" s="799"/>
      <c r="L357" s="799">
        <f t="shared" si="10"/>
        <v>331</v>
      </c>
      <c r="M357" s="799"/>
      <c r="N357" s="595"/>
      <c r="O357" s="794">
        <v>0</v>
      </c>
      <c r="P357" s="794">
        <v>0</v>
      </c>
      <c r="Q357" s="794">
        <v>0</v>
      </c>
      <c r="R357" s="794">
        <v>0</v>
      </c>
      <c r="S357" s="796">
        <v>0</v>
      </c>
      <c r="T357" s="796">
        <v>0</v>
      </c>
      <c r="U357" s="796">
        <v>0</v>
      </c>
      <c r="V357" s="796">
        <v>0</v>
      </c>
      <c r="W357" s="796">
        <v>0</v>
      </c>
      <c r="X357" s="796">
        <v>0</v>
      </c>
      <c r="Y357" s="796">
        <v>0</v>
      </c>
      <c r="Z357" s="796">
        <v>0</v>
      </c>
      <c r="AA357" s="796">
        <v>0</v>
      </c>
      <c r="AB357" s="796">
        <v>0</v>
      </c>
      <c r="AC357" s="796">
        <v>0</v>
      </c>
      <c r="AD357" s="796">
        <v>0</v>
      </c>
      <c r="AE357" s="796">
        <v>0</v>
      </c>
      <c r="AF357" s="796">
        <v>0</v>
      </c>
      <c r="AG357" s="796">
        <v>0</v>
      </c>
      <c r="AH357" s="796">
        <v>0</v>
      </c>
      <c r="AI357" s="796">
        <v>0</v>
      </c>
      <c r="AJ357" s="796">
        <v>0</v>
      </c>
      <c r="AK357" s="796">
        <v>0</v>
      </c>
      <c r="AL357" s="796">
        <v>0</v>
      </c>
      <c r="AM357" s="796">
        <v>0</v>
      </c>
      <c r="AN357" s="796">
        <v>0</v>
      </c>
      <c r="AO357" s="796">
        <v>0</v>
      </c>
      <c r="AP357" s="796">
        <v>0</v>
      </c>
      <c r="AQ357" s="796">
        <v>0</v>
      </c>
      <c r="AR357" s="796">
        <v>0</v>
      </c>
      <c r="AS357" s="796">
        <v>0</v>
      </c>
      <c r="AT357" s="796">
        <v>0</v>
      </c>
      <c r="AU357" s="796">
        <v>0</v>
      </c>
      <c r="AV357" s="796">
        <v>0</v>
      </c>
      <c r="AW357" s="796">
        <v>0</v>
      </c>
      <c r="AX357" s="796">
        <v>0</v>
      </c>
      <c r="AY357" s="796">
        <v>0</v>
      </c>
      <c r="AZ357" s="810">
        <v>25313.439999999999</v>
      </c>
      <c r="BA357" s="796">
        <v>59183.15</v>
      </c>
      <c r="BB357" s="796">
        <v>0</v>
      </c>
      <c r="BC357" s="796">
        <v>80194.070000000007</v>
      </c>
      <c r="BD357" s="796">
        <v>2141.13</v>
      </c>
      <c r="BE357" s="796">
        <v>0</v>
      </c>
      <c r="BF357" s="796">
        <v>0</v>
      </c>
      <c r="BG357" s="796">
        <v>0</v>
      </c>
      <c r="BH357" s="796">
        <v>0</v>
      </c>
      <c r="BI357" s="796">
        <v>0</v>
      </c>
      <c r="BJ357" s="796">
        <v>0</v>
      </c>
      <c r="BK357" s="796">
        <v>0</v>
      </c>
      <c r="BL357" s="796">
        <v>0</v>
      </c>
      <c r="BM357" s="796">
        <v>0</v>
      </c>
      <c r="BN357" s="796">
        <v>0</v>
      </c>
      <c r="BO357" s="796">
        <v>0</v>
      </c>
      <c r="BP357" s="796">
        <v>0</v>
      </c>
      <c r="BQ357" s="796">
        <v>0</v>
      </c>
      <c r="BR357" s="796">
        <v>0</v>
      </c>
      <c r="BS357" s="796">
        <v>0</v>
      </c>
      <c r="BT357" s="796">
        <v>0</v>
      </c>
      <c r="BU357" s="796">
        <v>0</v>
      </c>
      <c r="BV357" s="796">
        <v>0</v>
      </c>
    </row>
    <row r="358" spans="2:74">
      <c r="B358" s="795" t="s">
        <v>3264</v>
      </c>
      <c r="C358" s="795" t="s">
        <v>3265</v>
      </c>
      <c r="D358" s="795"/>
      <c r="E358" s="796"/>
      <c r="F358" s="799"/>
      <c r="G358" s="799"/>
      <c r="H358" s="799"/>
      <c r="I358" s="799"/>
      <c r="J358" s="799"/>
      <c r="K358" s="799"/>
      <c r="L358" s="799">
        <f t="shared" si="10"/>
        <v>331</v>
      </c>
      <c r="M358" s="799"/>
      <c r="N358" s="595"/>
      <c r="O358" s="794">
        <v>0</v>
      </c>
      <c r="P358" s="794">
        <v>0</v>
      </c>
      <c r="Q358" s="794">
        <v>0</v>
      </c>
      <c r="R358" s="794">
        <v>0</v>
      </c>
      <c r="S358" s="796">
        <v>0</v>
      </c>
      <c r="T358" s="796">
        <v>0</v>
      </c>
      <c r="U358" s="796">
        <v>0</v>
      </c>
      <c r="V358" s="796">
        <v>0</v>
      </c>
      <c r="W358" s="796">
        <v>0</v>
      </c>
      <c r="X358" s="796">
        <v>0</v>
      </c>
      <c r="Y358" s="796">
        <v>0</v>
      </c>
      <c r="Z358" s="796">
        <v>0</v>
      </c>
      <c r="AA358" s="796">
        <v>0</v>
      </c>
      <c r="AB358" s="796">
        <v>0</v>
      </c>
      <c r="AC358" s="796">
        <v>0</v>
      </c>
      <c r="AD358" s="796">
        <v>0</v>
      </c>
      <c r="AE358" s="796">
        <v>0</v>
      </c>
      <c r="AF358" s="796">
        <v>0</v>
      </c>
      <c r="AG358" s="796">
        <v>0</v>
      </c>
      <c r="AH358" s="796">
        <v>0</v>
      </c>
      <c r="AI358" s="796">
        <v>0</v>
      </c>
      <c r="AJ358" s="796">
        <v>0</v>
      </c>
      <c r="AK358" s="796">
        <v>0</v>
      </c>
      <c r="AL358" s="796">
        <v>0</v>
      </c>
      <c r="AM358" s="796">
        <v>0</v>
      </c>
      <c r="AN358" s="796">
        <v>0</v>
      </c>
      <c r="AO358" s="796">
        <v>0</v>
      </c>
      <c r="AP358" s="796">
        <v>0</v>
      </c>
      <c r="AQ358" s="796">
        <v>0</v>
      </c>
      <c r="AR358" s="796">
        <v>0</v>
      </c>
      <c r="AS358" s="796">
        <v>0</v>
      </c>
      <c r="AT358" s="796">
        <v>0</v>
      </c>
      <c r="AU358" s="796">
        <v>0</v>
      </c>
      <c r="AV358" s="796">
        <v>0</v>
      </c>
      <c r="AW358" s="796">
        <v>0</v>
      </c>
      <c r="AX358" s="796">
        <v>0</v>
      </c>
      <c r="AY358" s="796">
        <v>0</v>
      </c>
      <c r="AZ358" s="810">
        <v>86820.3</v>
      </c>
      <c r="BA358" s="796">
        <v>66161.679999999993</v>
      </c>
      <c r="BB358" s="796">
        <v>0</v>
      </c>
      <c r="BC358" s="796">
        <v>0</v>
      </c>
      <c r="BD358" s="796">
        <v>0</v>
      </c>
      <c r="BE358" s="796">
        <v>0</v>
      </c>
      <c r="BF358" s="796">
        <v>0</v>
      </c>
      <c r="BG358" s="796">
        <v>0</v>
      </c>
      <c r="BH358" s="796">
        <v>0</v>
      </c>
      <c r="BI358" s="796">
        <v>0</v>
      </c>
      <c r="BJ358" s="796">
        <v>0</v>
      </c>
      <c r="BK358" s="796">
        <v>0</v>
      </c>
      <c r="BL358" s="796">
        <v>0</v>
      </c>
      <c r="BM358" s="796">
        <v>0</v>
      </c>
      <c r="BN358" s="796">
        <v>0</v>
      </c>
      <c r="BO358" s="796">
        <v>0</v>
      </c>
      <c r="BP358" s="796">
        <v>0</v>
      </c>
      <c r="BQ358" s="796">
        <v>0</v>
      </c>
      <c r="BR358" s="796">
        <v>0</v>
      </c>
      <c r="BS358" s="796">
        <v>0</v>
      </c>
      <c r="BT358" s="796">
        <v>0</v>
      </c>
      <c r="BU358" s="796">
        <v>0</v>
      </c>
      <c r="BV358" s="796">
        <v>0</v>
      </c>
    </row>
    <row r="359" spans="2:74">
      <c r="B359" s="795" t="s">
        <v>3266</v>
      </c>
      <c r="C359" s="795" t="s">
        <v>3267</v>
      </c>
      <c r="D359" s="795"/>
      <c r="E359" s="796"/>
      <c r="F359" s="799"/>
      <c r="G359" s="799"/>
      <c r="H359" s="799"/>
      <c r="I359" s="799"/>
      <c r="J359" s="799"/>
      <c r="K359" s="799"/>
      <c r="L359" s="799">
        <f t="shared" si="10"/>
        <v>331</v>
      </c>
      <c r="M359" s="799"/>
      <c r="N359" s="595"/>
      <c r="O359" s="794">
        <v>0</v>
      </c>
      <c r="P359" s="794">
        <v>0</v>
      </c>
      <c r="Q359" s="794">
        <v>0</v>
      </c>
      <c r="R359" s="794">
        <v>0</v>
      </c>
      <c r="S359" s="796">
        <v>0</v>
      </c>
      <c r="T359" s="796">
        <v>0</v>
      </c>
      <c r="U359" s="796">
        <v>0</v>
      </c>
      <c r="V359" s="796">
        <v>0</v>
      </c>
      <c r="W359" s="796">
        <v>0</v>
      </c>
      <c r="X359" s="796">
        <v>0</v>
      </c>
      <c r="Y359" s="796">
        <v>0</v>
      </c>
      <c r="Z359" s="796">
        <v>0</v>
      </c>
      <c r="AA359" s="796">
        <v>0</v>
      </c>
      <c r="AB359" s="796">
        <v>0</v>
      </c>
      <c r="AC359" s="796">
        <v>0</v>
      </c>
      <c r="AD359" s="796">
        <v>0</v>
      </c>
      <c r="AE359" s="796">
        <v>0</v>
      </c>
      <c r="AF359" s="796">
        <v>0</v>
      </c>
      <c r="AG359" s="796">
        <v>0</v>
      </c>
      <c r="AH359" s="796">
        <v>0</v>
      </c>
      <c r="AI359" s="796">
        <v>0</v>
      </c>
      <c r="AJ359" s="796">
        <v>0</v>
      </c>
      <c r="AK359" s="796">
        <v>0</v>
      </c>
      <c r="AL359" s="796">
        <v>0</v>
      </c>
      <c r="AM359" s="796">
        <v>0</v>
      </c>
      <c r="AN359" s="796">
        <v>0</v>
      </c>
      <c r="AO359" s="796">
        <v>0</v>
      </c>
      <c r="AP359" s="796">
        <v>0</v>
      </c>
      <c r="AQ359" s="796">
        <v>0</v>
      </c>
      <c r="AR359" s="796">
        <v>0</v>
      </c>
      <c r="AS359" s="796">
        <v>0</v>
      </c>
      <c r="AT359" s="796">
        <v>0</v>
      </c>
      <c r="AU359" s="796">
        <v>0</v>
      </c>
      <c r="AV359" s="796">
        <v>0</v>
      </c>
      <c r="AW359" s="796">
        <v>0</v>
      </c>
      <c r="AX359" s="796">
        <v>0</v>
      </c>
      <c r="AY359" s="796">
        <v>0</v>
      </c>
      <c r="AZ359" s="810">
        <v>52000</v>
      </c>
      <c r="BA359" s="796">
        <v>23490.52</v>
      </c>
      <c r="BB359" s="796">
        <v>95718</v>
      </c>
      <c r="BC359" s="796">
        <v>33271.839999999997</v>
      </c>
      <c r="BD359" s="796">
        <v>2000</v>
      </c>
      <c r="BE359" s="796">
        <v>0</v>
      </c>
      <c r="BF359" s="796">
        <v>0</v>
      </c>
      <c r="BG359" s="796">
        <v>0</v>
      </c>
      <c r="BH359" s="796">
        <v>0</v>
      </c>
      <c r="BI359" s="796">
        <v>0</v>
      </c>
      <c r="BJ359" s="796">
        <v>0</v>
      </c>
      <c r="BK359" s="796">
        <v>0</v>
      </c>
      <c r="BL359" s="796">
        <v>0</v>
      </c>
      <c r="BM359" s="796">
        <v>0</v>
      </c>
      <c r="BN359" s="796">
        <v>0</v>
      </c>
      <c r="BO359" s="796">
        <v>0</v>
      </c>
      <c r="BP359" s="796">
        <v>0</v>
      </c>
      <c r="BQ359" s="796">
        <v>0</v>
      </c>
      <c r="BR359" s="796">
        <v>0</v>
      </c>
      <c r="BS359" s="796">
        <v>0</v>
      </c>
      <c r="BT359" s="796">
        <v>0</v>
      </c>
      <c r="BU359" s="796">
        <v>0</v>
      </c>
      <c r="BV359" s="796">
        <v>0</v>
      </c>
    </row>
    <row r="360" spans="2:74">
      <c r="B360" s="795" t="s">
        <v>3268</v>
      </c>
      <c r="C360" s="795" t="s">
        <v>3269</v>
      </c>
      <c r="D360" s="795"/>
      <c r="E360" s="796"/>
      <c r="F360" s="799"/>
      <c r="G360" s="799"/>
      <c r="H360" s="799"/>
      <c r="I360" s="799"/>
      <c r="J360" s="799"/>
      <c r="K360" s="799"/>
      <c r="L360" s="799">
        <f t="shared" si="10"/>
        <v>331</v>
      </c>
      <c r="M360" s="799"/>
      <c r="N360" s="595"/>
      <c r="O360" s="794">
        <v>0</v>
      </c>
      <c r="P360" s="794">
        <v>0</v>
      </c>
      <c r="Q360" s="794">
        <v>0</v>
      </c>
      <c r="R360" s="794">
        <v>0</v>
      </c>
      <c r="S360" s="796">
        <v>0</v>
      </c>
      <c r="T360" s="796">
        <v>0</v>
      </c>
      <c r="U360" s="796">
        <v>0</v>
      </c>
      <c r="V360" s="796">
        <v>0</v>
      </c>
      <c r="W360" s="796">
        <v>0</v>
      </c>
      <c r="X360" s="796">
        <v>0</v>
      </c>
      <c r="Y360" s="796">
        <v>0</v>
      </c>
      <c r="Z360" s="796">
        <v>0</v>
      </c>
      <c r="AA360" s="796">
        <v>0</v>
      </c>
      <c r="AB360" s="796">
        <v>0</v>
      </c>
      <c r="AC360" s="796">
        <v>0</v>
      </c>
      <c r="AD360" s="796">
        <v>0</v>
      </c>
      <c r="AE360" s="796">
        <v>0</v>
      </c>
      <c r="AF360" s="796">
        <v>0</v>
      </c>
      <c r="AG360" s="796">
        <v>0</v>
      </c>
      <c r="AH360" s="796">
        <v>0</v>
      </c>
      <c r="AI360" s="796">
        <v>0</v>
      </c>
      <c r="AJ360" s="796">
        <v>0</v>
      </c>
      <c r="AK360" s="796">
        <v>0</v>
      </c>
      <c r="AL360" s="796">
        <v>0</v>
      </c>
      <c r="AM360" s="796">
        <v>0</v>
      </c>
      <c r="AN360" s="796">
        <v>0</v>
      </c>
      <c r="AO360" s="796">
        <v>0</v>
      </c>
      <c r="AP360" s="796">
        <v>0</v>
      </c>
      <c r="AQ360" s="796">
        <v>0</v>
      </c>
      <c r="AR360" s="796">
        <v>0</v>
      </c>
      <c r="AS360" s="796">
        <v>0</v>
      </c>
      <c r="AT360" s="796">
        <v>0</v>
      </c>
      <c r="AU360" s="796">
        <v>0</v>
      </c>
      <c r="AV360" s="796">
        <v>0</v>
      </c>
      <c r="AW360" s="796">
        <v>0</v>
      </c>
      <c r="AX360" s="796">
        <v>0</v>
      </c>
      <c r="AY360" s="796">
        <v>0</v>
      </c>
      <c r="AZ360" s="810">
        <v>6672.09</v>
      </c>
      <c r="BA360" s="796">
        <v>0</v>
      </c>
      <c r="BB360" s="796">
        <v>0</v>
      </c>
      <c r="BC360" s="796">
        <v>0</v>
      </c>
      <c r="BD360" s="796">
        <v>0</v>
      </c>
      <c r="BE360" s="796">
        <v>0</v>
      </c>
      <c r="BF360" s="796">
        <v>0</v>
      </c>
      <c r="BG360" s="796">
        <v>0</v>
      </c>
      <c r="BH360" s="796">
        <v>0</v>
      </c>
      <c r="BI360" s="796">
        <v>0</v>
      </c>
      <c r="BJ360" s="796">
        <v>0</v>
      </c>
      <c r="BK360" s="796">
        <v>0</v>
      </c>
      <c r="BL360" s="796">
        <v>0</v>
      </c>
      <c r="BM360" s="796">
        <v>0</v>
      </c>
      <c r="BN360" s="796">
        <v>0</v>
      </c>
      <c r="BO360" s="796">
        <v>0</v>
      </c>
      <c r="BP360" s="796">
        <v>0</v>
      </c>
      <c r="BQ360" s="796">
        <v>0</v>
      </c>
      <c r="BR360" s="796">
        <v>0</v>
      </c>
      <c r="BS360" s="796">
        <v>0</v>
      </c>
      <c r="BT360" s="796">
        <v>0</v>
      </c>
      <c r="BU360" s="796">
        <v>0</v>
      </c>
      <c r="BV360" s="796">
        <v>0</v>
      </c>
    </row>
    <row r="361" spans="2:74">
      <c r="B361" s="795" t="s">
        <v>3270</v>
      </c>
      <c r="C361" s="795" t="s">
        <v>3271</v>
      </c>
      <c r="D361" s="795"/>
      <c r="E361" s="796"/>
      <c r="F361" s="799"/>
      <c r="G361" s="799"/>
      <c r="H361" s="799"/>
      <c r="I361" s="799"/>
      <c r="J361" s="799"/>
      <c r="K361" s="799"/>
      <c r="L361" s="799">
        <f t="shared" si="10"/>
        <v>331</v>
      </c>
      <c r="M361" s="799"/>
      <c r="N361" s="595"/>
      <c r="O361" s="794">
        <v>0</v>
      </c>
      <c r="P361" s="794">
        <v>0</v>
      </c>
      <c r="Q361" s="794">
        <v>0</v>
      </c>
      <c r="R361" s="794">
        <v>0</v>
      </c>
      <c r="S361" s="796">
        <v>0</v>
      </c>
      <c r="T361" s="796">
        <v>0</v>
      </c>
      <c r="U361" s="796">
        <v>0</v>
      </c>
      <c r="V361" s="796">
        <v>0</v>
      </c>
      <c r="W361" s="796">
        <v>0</v>
      </c>
      <c r="X361" s="796">
        <v>0</v>
      </c>
      <c r="Y361" s="796">
        <v>0</v>
      </c>
      <c r="Z361" s="796">
        <v>0</v>
      </c>
      <c r="AA361" s="796">
        <v>0</v>
      </c>
      <c r="AB361" s="796">
        <v>0</v>
      </c>
      <c r="AC361" s="796">
        <v>0</v>
      </c>
      <c r="AD361" s="796">
        <v>0</v>
      </c>
      <c r="AE361" s="796">
        <v>0</v>
      </c>
      <c r="AF361" s="796">
        <v>0</v>
      </c>
      <c r="AG361" s="796">
        <v>0</v>
      </c>
      <c r="AH361" s="796">
        <v>0</v>
      </c>
      <c r="AI361" s="796">
        <v>0</v>
      </c>
      <c r="AJ361" s="796">
        <v>0</v>
      </c>
      <c r="AK361" s="796">
        <v>0</v>
      </c>
      <c r="AL361" s="796">
        <v>0</v>
      </c>
      <c r="AM361" s="796">
        <v>0</v>
      </c>
      <c r="AN361" s="796">
        <v>0</v>
      </c>
      <c r="AO361" s="796">
        <v>0</v>
      </c>
      <c r="AP361" s="796">
        <v>0</v>
      </c>
      <c r="AQ361" s="796">
        <v>0</v>
      </c>
      <c r="AR361" s="796">
        <v>0</v>
      </c>
      <c r="AS361" s="796">
        <v>0</v>
      </c>
      <c r="AT361" s="796">
        <v>0</v>
      </c>
      <c r="AU361" s="796">
        <v>0</v>
      </c>
      <c r="AV361" s="796">
        <v>0</v>
      </c>
      <c r="AW361" s="796">
        <v>0</v>
      </c>
      <c r="AX361" s="796">
        <v>0</v>
      </c>
      <c r="AY361" s="796">
        <v>0</v>
      </c>
      <c r="AZ361" s="796">
        <v>0</v>
      </c>
      <c r="BA361" s="810">
        <v>65687.98</v>
      </c>
      <c r="BB361" s="796">
        <v>127331.56</v>
      </c>
      <c r="BC361" s="796">
        <v>0</v>
      </c>
      <c r="BD361" s="796">
        <v>0</v>
      </c>
      <c r="BE361" s="796">
        <v>0</v>
      </c>
      <c r="BF361" s="796">
        <v>0</v>
      </c>
      <c r="BG361" s="796">
        <v>0</v>
      </c>
      <c r="BH361" s="796">
        <v>0</v>
      </c>
      <c r="BI361" s="796">
        <v>0</v>
      </c>
      <c r="BJ361" s="796">
        <v>53705.95</v>
      </c>
      <c r="BK361" s="796">
        <v>0</v>
      </c>
      <c r="BL361" s="796">
        <v>0</v>
      </c>
      <c r="BM361" s="796">
        <v>0</v>
      </c>
      <c r="BN361" s="796">
        <v>0</v>
      </c>
      <c r="BO361" s="796">
        <v>0</v>
      </c>
      <c r="BP361" s="796">
        <v>0</v>
      </c>
      <c r="BQ361" s="796">
        <v>0</v>
      </c>
      <c r="BR361" s="796">
        <v>0</v>
      </c>
      <c r="BS361" s="796">
        <v>0</v>
      </c>
      <c r="BT361" s="796">
        <v>0</v>
      </c>
      <c r="BU361" s="796">
        <v>0</v>
      </c>
      <c r="BV361" s="796">
        <v>0</v>
      </c>
    </row>
    <row r="362" spans="2:74">
      <c r="B362" s="795" t="s">
        <v>3272</v>
      </c>
      <c r="C362" s="795" t="s">
        <v>3273</v>
      </c>
      <c r="D362" s="795"/>
      <c r="E362" s="796"/>
      <c r="F362" s="799"/>
      <c r="G362" s="799"/>
      <c r="H362" s="799"/>
      <c r="I362" s="799"/>
      <c r="J362" s="799"/>
      <c r="K362" s="799"/>
      <c r="L362" s="799">
        <f t="shared" si="10"/>
        <v>331</v>
      </c>
      <c r="M362" s="799"/>
      <c r="N362" s="595"/>
      <c r="O362" s="794">
        <v>0</v>
      </c>
      <c r="P362" s="794">
        <v>0</v>
      </c>
      <c r="Q362" s="794">
        <v>0</v>
      </c>
      <c r="R362" s="794">
        <v>0</v>
      </c>
      <c r="S362" s="796">
        <v>0</v>
      </c>
      <c r="T362" s="796">
        <v>0</v>
      </c>
      <c r="U362" s="796">
        <v>0</v>
      </c>
      <c r="V362" s="796">
        <v>0</v>
      </c>
      <c r="W362" s="796">
        <v>0</v>
      </c>
      <c r="X362" s="796">
        <v>0</v>
      </c>
      <c r="Y362" s="796">
        <v>0</v>
      </c>
      <c r="Z362" s="796">
        <v>0</v>
      </c>
      <c r="AA362" s="796">
        <v>0</v>
      </c>
      <c r="AB362" s="796">
        <v>0</v>
      </c>
      <c r="AC362" s="796">
        <v>0</v>
      </c>
      <c r="AD362" s="796">
        <v>0</v>
      </c>
      <c r="AE362" s="796">
        <v>0</v>
      </c>
      <c r="AF362" s="796">
        <v>0</v>
      </c>
      <c r="AG362" s="796">
        <v>0</v>
      </c>
      <c r="AH362" s="796">
        <v>0</v>
      </c>
      <c r="AI362" s="796">
        <v>0</v>
      </c>
      <c r="AJ362" s="796">
        <v>0</v>
      </c>
      <c r="AK362" s="796">
        <v>0</v>
      </c>
      <c r="AL362" s="796">
        <v>0</v>
      </c>
      <c r="AM362" s="796">
        <v>0</v>
      </c>
      <c r="AN362" s="796">
        <v>0</v>
      </c>
      <c r="AO362" s="796">
        <v>0</v>
      </c>
      <c r="AP362" s="796">
        <v>0</v>
      </c>
      <c r="AQ362" s="796">
        <v>0</v>
      </c>
      <c r="AR362" s="796">
        <v>0</v>
      </c>
      <c r="AS362" s="796">
        <v>0</v>
      </c>
      <c r="AT362" s="796">
        <v>0</v>
      </c>
      <c r="AU362" s="796">
        <v>0</v>
      </c>
      <c r="AV362" s="796">
        <v>0</v>
      </c>
      <c r="AW362" s="796">
        <v>0</v>
      </c>
      <c r="AX362" s="796">
        <v>0</v>
      </c>
      <c r="AY362" s="796">
        <v>0</v>
      </c>
      <c r="AZ362" s="796">
        <v>0</v>
      </c>
      <c r="BA362" s="810">
        <v>8755.5499999999993</v>
      </c>
      <c r="BB362" s="796">
        <v>0</v>
      </c>
      <c r="BC362" s="796">
        <v>0</v>
      </c>
      <c r="BD362" s="796">
        <v>0</v>
      </c>
      <c r="BE362" s="796">
        <v>0</v>
      </c>
      <c r="BF362" s="796">
        <v>0</v>
      </c>
      <c r="BG362" s="796">
        <v>0</v>
      </c>
      <c r="BH362" s="796">
        <v>0</v>
      </c>
      <c r="BI362" s="796">
        <v>0</v>
      </c>
      <c r="BJ362" s="796">
        <v>0</v>
      </c>
      <c r="BK362" s="796">
        <v>0</v>
      </c>
      <c r="BL362" s="796">
        <v>0</v>
      </c>
      <c r="BM362" s="796">
        <v>0</v>
      </c>
      <c r="BN362" s="796">
        <v>0</v>
      </c>
      <c r="BO362" s="796">
        <v>0</v>
      </c>
      <c r="BP362" s="796">
        <v>0</v>
      </c>
      <c r="BQ362" s="796">
        <v>0</v>
      </c>
      <c r="BR362" s="796">
        <v>0</v>
      </c>
      <c r="BS362" s="796">
        <v>0</v>
      </c>
      <c r="BT362" s="796">
        <v>0</v>
      </c>
      <c r="BU362" s="796">
        <v>0</v>
      </c>
      <c r="BV362" s="796">
        <v>0</v>
      </c>
    </row>
    <row r="363" spans="2:74">
      <c r="B363" s="795" t="s">
        <v>3274</v>
      </c>
      <c r="C363" s="795" t="s">
        <v>3275</v>
      </c>
      <c r="D363" s="795"/>
      <c r="E363" s="796"/>
      <c r="F363" s="799"/>
      <c r="G363" s="799"/>
      <c r="H363" s="799"/>
      <c r="I363" s="799"/>
      <c r="J363" s="799"/>
      <c r="K363" s="799"/>
      <c r="L363" s="799">
        <f t="shared" si="10"/>
        <v>331</v>
      </c>
      <c r="M363" s="799"/>
      <c r="N363" s="595"/>
      <c r="O363" s="794">
        <v>0</v>
      </c>
      <c r="P363" s="794">
        <v>0</v>
      </c>
      <c r="Q363" s="794">
        <v>0</v>
      </c>
      <c r="R363" s="794">
        <v>0</v>
      </c>
      <c r="S363" s="796">
        <v>0</v>
      </c>
      <c r="T363" s="796">
        <v>0</v>
      </c>
      <c r="U363" s="796">
        <v>0</v>
      </c>
      <c r="V363" s="796">
        <v>0</v>
      </c>
      <c r="W363" s="796">
        <v>0</v>
      </c>
      <c r="X363" s="796">
        <v>0</v>
      </c>
      <c r="Y363" s="796">
        <v>0</v>
      </c>
      <c r="Z363" s="796">
        <v>0</v>
      </c>
      <c r="AA363" s="796">
        <v>0</v>
      </c>
      <c r="AB363" s="796">
        <v>0</v>
      </c>
      <c r="AC363" s="796">
        <v>0</v>
      </c>
      <c r="AD363" s="796">
        <v>0</v>
      </c>
      <c r="AE363" s="796">
        <v>0</v>
      </c>
      <c r="AF363" s="796">
        <v>0</v>
      </c>
      <c r="AG363" s="796">
        <v>0</v>
      </c>
      <c r="AH363" s="796">
        <v>0</v>
      </c>
      <c r="AI363" s="796">
        <v>0</v>
      </c>
      <c r="AJ363" s="796">
        <v>0</v>
      </c>
      <c r="AK363" s="796">
        <v>0</v>
      </c>
      <c r="AL363" s="796">
        <v>0</v>
      </c>
      <c r="AM363" s="796">
        <v>0</v>
      </c>
      <c r="AN363" s="796">
        <v>0</v>
      </c>
      <c r="AO363" s="796">
        <v>0</v>
      </c>
      <c r="AP363" s="796">
        <v>0</v>
      </c>
      <c r="AQ363" s="796">
        <v>0</v>
      </c>
      <c r="AR363" s="796">
        <v>0</v>
      </c>
      <c r="AS363" s="796">
        <v>0</v>
      </c>
      <c r="AT363" s="796">
        <v>0</v>
      </c>
      <c r="AU363" s="796">
        <v>0</v>
      </c>
      <c r="AV363" s="796">
        <v>0</v>
      </c>
      <c r="AW363" s="796">
        <v>0</v>
      </c>
      <c r="AX363" s="796">
        <v>0</v>
      </c>
      <c r="AY363" s="796">
        <v>0</v>
      </c>
      <c r="AZ363" s="796">
        <v>0</v>
      </c>
      <c r="BA363" s="810">
        <v>63898.47</v>
      </c>
      <c r="BB363" s="796">
        <v>78784.52</v>
      </c>
      <c r="BC363" s="796">
        <v>0</v>
      </c>
      <c r="BD363" s="796">
        <v>0</v>
      </c>
      <c r="BE363" s="796">
        <v>0</v>
      </c>
      <c r="BF363" s="796">
        <v>50745.03</v>
      </c>
      <c r="BG363" s="796">
        <v>0</v>
      </c>
      <c r="BH363" s="796">
        <v>0</v>
      </c>
      <c r="BI363" s="796">
        <v>0</v>
      </c>
      <c r="BJ363" s="796">
        <v>0</v>
      </c>
      <c r="BK363" s="796">
        <v>0</v>
      </c>
      <c r="BL363" s="796">
        <v>0</v>
      </c>
      <c r="BM363" s="796">
        <v>0</v>
      </c>
      <c r="BN363" s="796">
        <v>0</v>
      </c>
      <c r="BO363" s="796">
        <v>0</v>
      </c>
      <c r="BP363" s="796">
        <v>0</v>
      </c>
      <c r="BQ363" s="796">
        <v>0</v>
      </c>
      <c r="BR363" s="796">
        <v>0</v>
      </c>
      <c r="BS363" s="796">
        <v>0</v>
      </c>
      <c r="BT363" s="796">
        <v>0</v>
      </c>
      <c r="BU363" s="796">
        <v>0</v>
      </c>
      <c r="BV363" s="796">
        <v>0</v>
      </c>
    </row>
    <row r="364" spans="2:74">
      <c r="B364" s="795" t="s">
        <v>3276</v>
      </c>
      <c r="C364" s="795" t="s">
        <v>3277</v>
      </c>
      <c r="D364" s="795"/>
      <c r="E364" s="796"/>
      <c r="F364" s="799"/>
      <c r="G364" s="799"/>
      <c r="H364" s="799"/>
      <c r="I364" s="799"/>
      <c r="J364" s="799"/>
      <c r="K364" s="799"/>
      <c r="L364" s="799">
        <f t="shared" si="10"/>
        <v>331</v>
      </c>
      <c r="M364" s="799"/>
      <c r="N364" s="595"/>
      <c r="O364" s="794">
        <v>0</v>
      </c>
      <c r="P364" s="794">
        <v>0</v>
      </c>
      <c r="Q364" s="794">
        <v>0</v>
      </c>
      <c r="R364" s="794">
        <v>0</v>
      </c>
      <c r="S364" s="796">
        <v>0</v>
      </c>
      <c r="T364" s="796">
        <v>0</v>
      </c>
      <c r="U364" s="796">
        <v>0</v>
      </c>
      <c r="V364" s="796">
        <v>0</v>
      </c>
      <c r="W364" s="796">
        <v>0</v>
      </c>
      <c r="X364" s="796">
        <v>0</v>
      </c>
      <c r="Y364" s="796">
        <v>0</v>
      </c>
      <c r="Z364" s="796">
        <v>0</v>
      </c>
      <c r="AA364" s="796">
        <v>0</v>
      </c>
      <c r="AB364" s="796">
        <v>0</v>
      </c>
      <c r="AC364" s="796">
        <v>0</v>
      </c>
      <c r="AD364" s="796">
        <v>0</v>
      </c>
      <c r="AE364" s="796">
        <v>0</v>
      </c>
      <c r="AF364" s="796">
        <v>0</v>
      </c>
      <c r="AG364" s="796">
        <v>0</v>
      </c>
      <c r="AH364" s="796">
        <v>0</v>
      </c>
      <c r="AI364" s="796">
        <v>0</v>
      </c>
      <c r="AJ364" s="796">
        <v>0</v>
      </c>
      <c r="AK364" s="796">
        <v>0</v>
      </c>
      <c r="AL364" s="796">
        <v>0</v>
      </c>
      <c r="AM364" s="796">
        <v>0</v>
      </c>
      <c r="AN364" s="796">
        <v>0</v>
      </c>
      <c r="AO364" s="796">
        <v>0</v>
      </c>
      <c r="AP364" s="796">
        <v>0</v>
      </c>
      <c r="AQ364" s="796">
        <v>0</v>
      </c>
      <c r="AR364" s="796">
        <v>0</v>
      </c>
      <c r="AS364" s="796">
        <v>0</v>
      </c>
      <c r="AT364" s="796">
        <v>0</v>
      </c>
      <c r="AU364" s="796">
        <v>0</v>
      </c>
      <c r="AV364" s="796">
        <v>0</v>
      </c>
      <c r="AW364" s="796">
        <v>0</v>
      </c>
      <c r="AX364" s="796">
        <v>0</v>
      </c>
      <c r="AY364" s="796">
        <v>0</v>
      </c>
      <c r="AZ364" s="796">
        <v>0</v>
      </c>
      <c r="BA364" s="810">
        <v>26886.67</v>
      </c>
      <c r="BB364" s="796">
        <v>39367.14</v>
      </c>
      <c r="BC364" s="796">
        <v>9880</v>
      </c>
      <c r="BD364" s="796">
        <v>0</v>
      </c>
      <c r="BE364" s="796">
        <v>0</v>
      </c>
      <c r="BF364" s="796">
        <v>0</v>
      </c>
      <c r="BG364" s="796">
        <v>0</v>
      </c>
      <c r="BH364" s="796">
        <v>0</v>
      </c>
      <c r="BI364" s="796">
        <v>0</v>
      </c>
      <c r="BJ364" s="796">
        <v>0</v>
      </c>
      <c r="BK364" s="796">
        <v>0</v>
      </c>
      <c r="BL364" s="796">
        <v>0</v>
      </c>
      <c r="BM364" s="796">
        <v>0</v>
      </c>
      <c r="BN364" s="796">
        <v>0</v>
      </c>
      <c r="BO364" s="796">
        <v>0</v>
      </c>
      <c r="BP364" s="796">
        <v>0</v>
      </c>
      <c r="BQ364" s="796">
        <v>0</v>
      </c>
      <c r="BR364" s="796">
        <v>0</v>
      </c>
      <c r="BS364" s="796">
        <v>0</v>
      </c>
      <c r="BT364" s="796">
        <v>0</v>
      </c>
      <c r="BU364" s="796">
        <v>0</v>
      </c>
      <c r="BV364" s="796">
        <v>0</v>
      </c>
    </row>
    <row r="365" spans="2:74">
      <c r="B365" s="795" t="s">
        <v>3279</v>
      </c>
      <c r="C365" s="795" t="s">
        <v>3280</v>
      </c>
      <c r="D365" s="795"/>
      <c r="E365" s="796"/>
      <c r="F365" s="799"/>
      <c r="G365" s="799"/>
      <c r="H365" s="799"/>
      <c r="I365" s="799"/>
      <c r="J365" s="799"/>
      <c r="K365" s="799"/>
      <c r="L365" s="799">
        <f t="shared" si="10"/>
        <v>331</v>
      </c>
      <c r="M365" s="799"/>
      <c r="N365" s="595"/>
      <c r="O365" s="794">
        <v>0</v>
      </c>
      <c r="P365" s="794">
        <v>0</v>
      </c>
      <c r="Q365" s="794">
        <v>0</v>
      </c>
      <c r="R365" s="794">
        <v>0</v>
      </c>
      <c r="S365" s="796">
        <v>0</v>
      </c>
      <c r="T365" s="796">
        <v>0</v>
      </c>
      <c r="U365" s="796">
        <v>0</v>
      </c>
      <c r="V365" s="796">
        <v>0</v>
      </c>
      <c r="W365" s="796">
        <v>0</v>
      </c>
      <c r="X365" s="796">
        <v>0</v>
      </c>
      <c r="Y365" s="796">
        <v>0</v>
      </c>
      <c r="Z365" s="796">
        <v>0</v>
      </c>
      <c r="AA365" s="796">
        <v>0</v>
      </c>
      <c r="AB365" s="796">
        <v>0</v>
      </c>
      <c r="AC365" s="796">
        <v>0</v>
      </c>
      <c r="AD365" s="796">
        <v>0</v>
      </c>
      <c r="AE365" s="796">
        <v>0</v>
      </c>
      <c r="AF365" s="796">
        <v>0</v>
      </c>
      <c r="AG365" s="796">
        <v>0</v>
      </c>
      <c r="AH365" s="796">
        <v>0</v>
      </c>
      <c r="AI365" s="796">
        <v>0</v>
      </c>
      <c r="AJ365" s="796">
        <v>0</v>
      </c>
      <c r="AK365" s="796">
        <v>0</v>
      </c>
      <c r="AL365" s="796">
        <v>0</v>
      </c>
      <c r="AM365" s="796">
        <v>0</v>
      </c>
      <c r="AN365" s="796">
        <v>0</v>
      </c>
      <c r="AO365" s="796">
        <v>0</v>
      </c>
      <c r="AP365" s="796">
        <v>0</v>
      </c>
      <c r="AQ365" s="796">
        <v>0</v>
      </c>
      <c r="AR365" s="796">
        <v>0</v>
      </c>
      <c r="AS365" s="796">
        <v>0</v>
      </c>
      <c r="AT365" s="796">
        <v>0</v>
      </c>
      <c r="AU365" s="796">
        <v>0</v>
      </c>
      <c r="AV365" s="796">
        <v>0</v>
      </c>
      <c r="AW365" s="796">
        <v>0</v>
      </c>
      <c r="AX365" s="796">
        <v>0</v>
      </c>
      <c r="AY365" s="796">
        <v>0</v>
      </c>
      <c r="AZ365" s="796">
        <v>0</v>
      </c>
      <c r="BA365" s="796">
        <v>0</v>
      </c>
      <c r="BB365" s="810">
        <v>2229.2800000000002</v>
      </c>
      <c r="BC365" s="796">
        <v>0</v>
      </c>
      <c r="BD365" s="796">
        <v>0</v>
      </c>
      <c r="BE365" s="796">
        <v>0</v>
      </c>
      <c r="BF365" s="796">
        <v>0</v>
      </c>
      <c r="BG365" s="796">
        <v>0</v>
      </c>
      <c r="BH365" s="796">
        <v>0</v>
      </c>
      <c r="BI365" s="796">
        <v>0</v>
      </c>
      <c r="BJ365" s="796">
        <v>0</v>
      </c>
      <c r="BK365" s="796">
        <v>0</v>
      </c>
      <c r="BL365" s="796">
        <v>0</v>
      </c>
      <c r="BM365" s="796">
        <v>0</v>
      </c>
      <c r="BN365" s="796">
        <v>0</v>
      </c>
      <c r="BO365" s="796">
        <v>0</v>
      </c>
      <c r="BP365" s="796">
        <v>0</v>
      </c>
      <c r="BQ365" s="796">
        <v>0</v>
      </c>
      <c r="BR365" s="796">
        <v>0</v>
      </c>
      <c r="BS365" s="796">
        <v>0</v>
      </c>
      <c r="BT365" s="796">
        <v>0</v>
      </c>
      <c r="BU365" s="796">
        <v>0</v>
      </c>
      <c r="BV365" s="796">
        <v>0</v>
      </c>
    </row>
    <row r="366" spans="2:74">
      <c r="B366" s="795" t="s">
        <v>3281</v>
      </c>
      <c r="C366" s="795" t="s">
        <v>486</v>
      </c>
      <c r="D366" s="795"/>
      <c r="E366" s="796"/>
      <c r="F366" s="799"/>
      <c r="G366" s="799"/>
      <c r="H366" s="799"/>
      <c r="I366" s="799"/>
      <c r="J366" s="799"/>
      <c r="K366" s="799"/>
      <c r="L366" s="799">
        <f t="shared" si="10"/>
        <v>331</v>
      </c>
      <c r="M366" s="799"/>
      <c r="N366" s="595"/>
      <c r="O366" s="794">
        <v>0</v>
      </c>
      <c r="P366" s="794">
        <v>0</v>
      </c>
      <c r="Q366" s="794">
        <v>0</v>
      </c>
      <c r="R366" s="794">
        <v>0</v>
      </c>
      <c r="S366" s="796">
        <v>0</v>
      </c>
      <c r="T366" s="796">
        <v>0</v>
      </c>
      <c r="U366" s="796">
        <v>0</v>
      </c>
      <c r="V366" s="796">
        <v>0</v>
      </c>
      <c r="W366" s="796">
        <v>0</v>
      </c>
      <c r="X366" s="796">
        <v>0</v>
      </c>
      <c r="Y366" s="796">
        <v>0</v>
      </c>
      <c r="Z366" s="796">
        <v>0</v>
      </c>
      <c r="AA366" s="796">
        <v>0</v>
      </c>
      <c r="AB366" s="796">
        <v>0</v>
      </c>
      <c r="AC366" s="796">
        <v>0</v>
      </c>
      <c r="AD366" s="796">
        <v>0</v>
      </c>
      <c r="AE366" s="796">
        <v>0</v>
      </c>
      <c r="AF366" s="796">
        <v>0</v>
      </c>
      <c r="AG366" s="796">
        <v>0</v>
      </c>
      <c r="AH366" s="796">
        <v>0</v>
      </c>
      <c r="AI366" s="796">
        <v>0</v>
      </c>
      <c r="AJ366" s="796">
        <v>0</v>
      </c>
      <c r="AK366" s="796">
        <v>0</v>
      </c>
      <c r="AL366" s="796">
        <v>0</v>
      </c>
      <c r="AM366" s="796">
        <v>0</v>
      </c>
      <c r="AN366" s="796">
        <v>0</v>
      </c>
      <c r="AO366" s="796">
        <v>0</v>
      </c>
      <c r="AP366" s="796">
        <v>0</v>
      </c>
      <c r="AQ366" s="796">
        <v>0</v>
      </c>
      <c r="AR366" s="796">
        <v>0</v>
      </c>
      <c r="AS366" s="796">
        <v>0</v>
      </c>
      <c r="AT366" s="796">
        <v>0</v>
      </c>
      <c r="AU366" s="796">
        <v>0</v>
      </c>
      <c r="AV366" s="796">
        <v>0</v>
      </c>
      <c r="AW366" s="796">
        <v>0</v>
      </c>
      <c r="AX366" s="796">
        <v>0</v>
      </c>
      <c r="AY366" s="796">
        <v>0</v>
      </c>
      <c r="AZ366" s="796">
        <v>0</v>
      </c>
      <c r="BA366" s="796">
        <v>0</v>
      </c>
      <c r="BB366" s="810">
        <v>18600</v>
      </c>
      <c r="BC366" s="796">
        <v>0</v>
      </c>
      <c r="BD366" s="796">
        <v>0</v>
      </c>
      <c r="BE366" s="796">
        <v>0</v>
      </c>
      <c r="BF366" s="796">
        <v>0</v>
      </c>
      <c r="BG366" s="796">
        <v>0</v>
      </c>
      <c r="BH366" s="796">
        <v>0</v>
      </c>
      <c r="BI366" s="796">
        <v>0</v>
      </c>
      <c r="BJ366" s="796">
        <v>0</v>
      </c>
      <c r="BK366" s="796">
        <v>0</v>
      </c>
      <c r="BL366" s="796">
        <v>0</v>
      </c>
      <c r="BM366" s="796">
        <v>0</v>
      </c>
      <c r="BN366" s="796">
        <v>0</v>
      </c>
      <c r="BO366" s="796">
        <v>0</v>
      </c>
      <c r="BP366" s="796">
        <v>0</v>
      </c>
      <c r="BQ366" s="796">
        <v>0</v>
      </c>
      <c r="BR366" s="796">
        <v>0</v>
      </c>
      <c r="BS366" s="796">
        <v>0</v>
      </c>
      <c r="BT366" s="796">
        <v>0</v>
      </c>
      <c r="BU366" s="796">
        <v>0</v>
      </c>
      <c r="BV366" s="796">
        <v>0</v>
      </c>
    </row>
    <row r="367" spans="2:74">
      <c r="B367" s="795" t="s">
        <v>3278</v>
      </c>
      <c r="C367" s="795" t="s">
        <v>535</v>
      </c>
      <c r="D367" s="795"/>
      <c r="E367" s="796"/>
      <c r="F367" s="799"/>
      <c r="G367" s="799"/>
      <c r="H367" s="799"/>
      <c r="I367" s="799"/>
      <c r="J367" s="799"/>
      <c r="K367" s="799"/>
      <c r="L367" s="799">
        <f t="shared" si="10"/>
        <v>331</v>
      </c>
      <c r="M367" s="799"/>
      <c r="N367" s="595"/>
      <c r="O367" s="794">
        <v>0</v>
      </c>
      <c r="P367" s="794">
        <v>0</v>
      </c>
      <c r="Q367" s="794">
        <v>0</v>
      </c>
      <c r="R367" s="794">
        <v>0</v>
      </c>
      <c r="S367" s="796">
        <v>0</v>
      </c>
      <c r="T367" s="796">
        <v>0</v>
      </c>
      <c r="U367" s="796">
        <v>0</v>
      </c>
      <c r="V367" s="796">
        <v>0</v>
      </c>
      <c r="W367" s="796">
        <v>0</v>
      </c>
      <c r="X367" s="796">
        <v>0</v>
      </c>
      <c r="Y367" s="796">
        <v>0</v>
      </c>
      <c r="Z367" s="796">
        <v>0</v>
      </c>
      <c r="AA367" s="796">
        <v>0</v>
      </c>
      <c r="AB367" s="796">
        <v>0</v>
      </c>
      <c r="AC367" s="796">
        <v>0</v>
      </c>
      <c r="AD367" s="796">
        <v>0</v>
      </c>
      <c r="AE367" s="796">
        <v>0</v>
      </c>
      <c r="AF367" s="796">
        <v>0</v>
      </c>
      <c r="AG367" s="796">
        <v>0</v>
      </c>
      <c r="AH367" s="796">
        <v>0</v>
      </c>
      <c r="AI367" s="796">
        <v>0</v>
      </c>
      <c r="AJ367" s="796">
        <v>0</v>
      </c>
      <c r="AK367" s="796">
        <v>0</v>
      </c>
      <c r="AL367" s="796">
        <v>0</v>
      </c>
      <c r="AM367" s="796">
        <v>0</v>
      </c>
      <c r="AN367" s="796">
        <v>0</v>
      </c>
      <c r="AO367" s="796">
        <v>0</v>
      </c>
      <c r="AP367" s="796">
        <v>0</v>
      </c>
      <c r="AQ367" s="796">
        <v>0</v>
      </c>
      <c r="AR367" s="796">
        <v>0</v>
      </c>
      <c r="AS367" s="796">
        <v>0</v>
      </c>
      <c r="AT367" s="796">
        <v>0</v>
      </c>
      <c r="AU367" s="796">
        <v>0</v>
      </c>
      <c r="AV367" s="796">
        <v>0</v>
      </c>
      <c r="AW367" s="796">
        <v>0</v>
      </c>
      <c r="AX367" s="796">
        <v>0</v>
      </c>
      <c r="AY367" s="796">
        <v>0</v>
      </c>
      <c r="AZ367" s="796">
        <v>0</v>
      </c>
      <c r="BA367" s="796">
        <v>0</v>
      </c>
      <c r="BB367" s="810">
        <v>5382</v>
      </c>
      <c r="BC367" s="796">
        <v>0</v>
      </c>
      <c r="BD367" s="796">
        <v>61786.9</v>
      </c>
      <c r="BE367" s="796">
        <v>0</v>
      </c>
      <c r="BF367" s="796">
        <v>0</v>
      </c>
      <c r="BG367" s="796">
        <v>17895</v>
      </c>
      <c r="BH367" s="796">
        <v>5750</v>
      </c>
      <c r="BI367" s="796">
        <v>0</v>
      </c>
      <c r="BJ367" s="796">
        <v>0</v>
      </c>
      <c r="BK367" s="796">
        <v>0</v>
      </c>
      <c r="BL367" s="796">
        <v>0</v>
      </c>
      <c r="BM367" s="796">
        <v>0</v>
      </c>
      <c r="BN367" s="796">
        <v>0</v>
      </c>
      <c r="BO367" s="796">
        <v>0</v>
      </c>
      <c r="BP367" s="796">
        <v>0</v>
      </c>
      <c r="BQ367" s="796">
        <v>0</v>
      </c>
      <c r="BR367" s="796">
        <v>0</v>
      </c>
      <c r="BS367" s="796">
        <v>0</v>
      </c>
      <c r="BT367" s="796">
        <v>0</v>
      </c>
      <c r="BU367" s="796">
        <v>0</v>
      </c>
      <c r="BV367" s="796">
        <v>0</v>
      </c>
    </row>
    <row r="368" spans="2:74">
      <c r="B368" s="795" t="s">
        <v>3284</v>
      </c>
      <c r="C368" s="795" t="s">
        <v>3285</v>
      </c>
      <c r="D368" s="795"/>
      <c r="E368" s="796"/>
      <c r="F368" s="799"/>
      <c r="G368" s="799"/>
      <c r="H368" s="799"/>
      <c r="I368" s="799"/>
      <c r="J368" s="799"/>
      <c r="K368" s="799"/>
      <c r="L368" s="799">
        <f t="shared" si="10"/>
        <v>331</v>
      </c>
      <c r="M368" s="799"/>
      <c r="N368" s="595"/>
      <c r="O368" s="794">
        <v>0</v>
      </c>
      <c r="P368" s="794">
        <v>0</v>
      </c>
      <c r="Q368" s="794">
        <v>0</v>
      </c>
      <c r="R368" s="794">
        <v>0</v>
      </c>
      <c r="S368" s="796">
        <v>0</v>
      </c>
      <c r="T368" s="796">
        <v>0</v>
      </c>
      <c r="U368" s="796">
        <v>0</v>
      </c>
      <c r="V368" s="796">
        <v>0</v>
      </c>
      <c r="W368" s="796">
        <v>0</v>
      </c>
      <c r="X368" s="796">
        <v>0</v>
      </c>
      <c r="Y368" s="796">
        <v>0</v>
      </c>
      <c r="Z368" s="796">
        <v>0</v>
      </c>
      <c r="AA368" s="796">
        <v>0</v>
      </c>
      <c r="AB368" s="796">
        <v>0</v>
      </c>
      <c r="AC368" s="796">
        <v>0</v>
      </c>
      <c r="AD368" s="796">
        <v>0</v>
      </c>
      <c r="AE368" s="796">
        <v>0</v>
      </c>
      <c r="AF368" s="796">
        <v>0</v>
      </c>
      <c r="AG368" s="796">
        <v>0</v>
      </c>
      <c r="AH368" s="796">
        <v>0</v>
      </c>
      <c r="AI368" s="796">
        <v>0</v>
      </c>
      <c r="AJ368" s="796">
        <v>0</v>
      </c>
      <c r="AK368" s="796">
        <v>0</v>
      </c>
      <c r="AL368" s="796">
        <v>0</v>
      </c>
      <c r="AM368" s="796">
        <v>0</v>
      </c>
      <c r="AN368" s="796">
        <v>0</v>
      </c>
      <c r="AO368" s="796">
        <v>0</v>
      </c>
      <c r="AP368" s="796">
        <v>0</v>
      </c>
      <c r="AQ368" s="796">
        <v>0</v>
      </c>
      <c r="AR368" s="796">
        <v>0</v>
      </c>
      <c r="AS368" s="796">
        <v>0</v>
      </c>
      <c r="AT368" s="796">
        <v>0</v>
      </c>
      <c r="AU368" s="796">
        <v>0</v>
      </c>
      <c r="AV368" s="796">
        <v>0</v>
      </c>
      <c r="AW368" s="796">
        <v>0</v>
      </c>
      <c r="AX368" s="796">
        <v>0</v>
      </c>
      <c r="AY368" s="796">
        <v>0</v>
      </c>
      <c r="AZ368" s="796">
        <v>0</v>
      </c>
      <c r="BA368" s="796">
        <v>0</v>
      </c>
      <c r="BB368" s="810">
        <v>175739.4</v>
      </c>
      <c r="BC368" s="796">
        <v>0</v>
      </c>
      <c r="BD368" s="796">
        <v>0</v>
      </c>
      <c r="BE368" s="796">
        <v>0</v>
      </c>
      <c r="BF368" s="796">
        <v>0</v>
      </c>
      <c r="BG368" s="796">
        <v>0</v>
      </c>
      <c r="BH368" s="796">
        <v>0</v>
      </c>
      <c r="BI368" s="796">
        <v>0</v>
      </c>
      <c r="BJ368" s="796">
        <v>0</v>
      </c>
      <c r="BK368" s="796">
        <v>0</v>
      </c>
      <c r="BL368" s="796">
        <v>0</v>
      </c>
      <c r="BM368" s="796">
        <v>0</v>
      </c>
      <c r="BN368" s="796">
        <v>0</v>
      </c>
      <c r="BO368" s="796">
        <v>0</v>
      </c>
      <c r="BP368" s="796">
        <v>0</v>
      </c>
      <c r="BQ368" s="796">
        <v>0</v>
      </c>
      <c r="BR368" s="796">
        <v>0</v>
      </c>
      <c r="BS368" s="796">
        <v>0</v>
      </c>
      <c r="BT368" s="796">
        <v>0</v>
      </c>
      <c r="BU368" s="796">
        <v>0</v>
      </c>
      <c r="BV368" s="796">
        <v>0</v>
      </c>
    </row>
    <row r="369" spans="2:74">
      <c r="B369" s="795" t="s">
        <v>3286</v>
      </c>
      <c r="C369" s="795" t="s">
        <v>3287</v>
      </c>
      <c r="D369" s="795"/>
      <c r="E369" s="796"/>
      <c r="F369" s="799"/>
      <c r="G369" s="799"/>
      <c r="H369" s="799"/>
      <c r="I369" s="799"/>
      <c r="J369" s="799"/>
      <c r="K369" s="799"/>
      <c r="L369" s="799">
        <f t="shared" si="10"/>
        <v>331</v>
      </c>
      <c r="M369" s="799"/>
      <c r="N369" s="595"/>
      <c r="O369" s="794">
        <v>0</v>
      </c>
      <c r="P369" s="794">
        <v>0</v>
      </c>
      <c r="Q369" s="794">
        <v>0</v>
      </c>
      <c r="R369" s="794">
        <v>0</v>
      </c>
      <c r="S369" s="796">
        <v>0</v>
      </c>
      <c r="T369" s="796">
        <v>0</v>
      </c>
      <c r="U369" s="796">
        <v>0</v>
      </c>
      <c r="V369" s="796">
        <v>0</v>
      </c>
      <c r="W369" s="796">
        <v>0</v>
      </c>
      <c r="X369" s="796">
        <v>0</v>
      </c>
      <c r="Y369" s="796">
        <v>0</v>
      </c>
      <c r="Z369" s="796">
        <v>0</v>
      </c>
      <c r="AA369" s="796">
        <v>0</v>
      </c>
      <c r="AB369" s="796">
        <v>0</v>
      </c>
      <c r="AC369" s="796">
        <v>0</v>
      </c>
      <c r="AD369" s="796">
        <v>0</v>
      </c>
      <c r="AE369" s="796">
        <v>0</v>
      </c>
      <c r="AF369" s="796">
        <v>0</v>
      </c>
      <c r="AG369" s="796">
        <v>0</v>
      </c>
      <c r="AH369" s="796">
        <v>0</v>
      </c>
      <c r="AI369" s="796">
        <v>0</v>
      </c>
      <c r="AJ369" s="796">
        <v>0</v>
      </c>
      <c r="AK369" s="796">
        <v>0</v>
      </c>
      <c r="AL369" s="796">
        <v>0</v>
      </c>
      <c r="AM369" s="796">
        <v>0</v>
      </c>
      <c r="AN369" s="796">
        <v>0</v>
      </c>
      <c r="AO369" s="796">
        <v>0</v>
      </c>
      <c r="AP369" s="796">
        <v>0</v>
      </c>
      <c r="AQ369" s="796">
        <v>0</v>
      </c>
      <c r="AR369" s="796">
        <v>0</v>
      </c>
      <c r="AS369" s="796">
        <v>0</v>
      </c>
      <c r="AT369" s="796">
        <v>0</v>
      </c>
      <c r="AU369" s="796">
        <v>0</v>
      </c>
      <c r="AV369" s="796">
        <v>0</v>
      </c>
      <c r="AW369" s="796">
        <v>0</v>
      </c>
      <c r="AX369" s="796">
        <v>0</v>
      </c>
      <c r="AY369" s="796">
        <v>0</v>
      </c>
      <c r="AZ369" s="796">
        <v>0</v>
      </c>
      <c r="BA369" s="796">
        <v>0</v>
      </c>
      <c r="BB369" s="810">
        <v>5916</v>
      </c>
      <c r="BC369" s="796">
        <v>50198.2</v>
      </c>
      <c r="BD369" s="796">
        <v>0</v>
      </c>
      <c r="BE369" s="796">
        <v>0</v>
      </c>
      <c r="BF369" s="796">
        <v>0</v>
      </c>
      <c r="BG369" s="796">
        <v>0</v>
      </c>
      <c r="BH369" s="796">
        <v>0</v>
      </c>
      <c r="BI369" s="796">
        <v>0</v>
      </c>
      <c r="BJ369" s="796">
        <v>0</v>
      </c>
      <c r="BK369" s="796">
        <v>0</v>
      </c>
      <c r="BL369" s="796">
        <v>0</v>
      </c>
      <c r="BM369" s="796">
        <v>0</v>
      </c>
      <c r="BN369" s="796">
        <v>0</v>
      </c>
      <c r="BO369" s="796">
        <v>0</v>
      </c>
      <c r="BP369" s="796">
        <v>0</v>
      </c>
      <c r="BQ369" s="796">
        <v>0</v>
      </c>
      <c r="BR369" s="796">
        <v>0</v>
      </c>
      <c r="BS369" s="796">
        <v>0</v>
      </c>
      <c r="BT369" s="796">
        <v>0</v>
      </c>
      <c r="BU369" s="796">
        <v>0</v>
      </c>
      <c r="BV369" s="796">
        <v>0</v>
      </c>
    </row>
    <row r="370" spans="2:74">
      <c r="B370" s="795" t="s">
        <v>3291</v>
      </c>
      <c r="C370" s="795" t="s">
        <v>3146</v>
      </c>
      <c r="D370" s="795"/>
      <c r="E370" s="796"/>
      <c r="F370" s="799"/>
      <c r="G370" s="799"/>
      <c r="H370" s="799"/>
      <c r="I370" s="799"/>
      <c r="J370" s="799"/>
      <c r="K370" s="799"/>
      <c r="L370" s="799">
        <f t="shared" si="10"/>
        <v>331</v>
      </c>
      <c r="M370" s="799"/>
      <c r="N370" s="595"/>
      <c r="O370" s="794">
        <v>0</v>
      </c>
      <c r="P370" s="794">
        <v>0</v>
      </c>
      <c r="Q370" s="794">
        <v>0</v>
      </c>
      <c r="R370" s="794">
        <v>0</v>
      </c>
      <c r="S370" s="796">
        <v>0</v>
      </c>
      <c r="T370" s="796">
        <v>0</v>
      </c>
      <c r="U370" s="796">
        <v>0</v>
      </c>
      <c r="V370" s="796">
        <v>0</v>
      </c>
      <c r="W370" s="796">
        <v>0</v>
      </c>
      <c r="X370" s="796">
        <v>0</v>
      </c>
      <c r="Y370" s="796">
        <v>0</v>
      </c>
      <c r="Z370" s="796">
        <v>0</v>
      </c>
      <c r="AA370" s="796">
        <v>0</v>
      </c>
      <c r="AB370" s="796">
        <v>0</v>
      </c>
      <c r="AC370" s="796">
        <v>0</v>
      </c>
      <c r="AD370" s="796">
        <v>0</v>
      </c>
      <c r="AE370" s="796">
        <v>0</v>
      </c>
      <c r="AF370" s="796">
        <v>0</v>
      </c>
      <c r="AG370" s="796">
        <v>0</v>
      </c>
      <c r="AH370" s="796">
        <v>0</v>
      </c>
      <c r="AI370" s="796">
        <v>0</v>
      </c>
      <c r="AJ370" s="796">
        <v>0</v>
      </c>
      <c r="AK370" s="796">
        <v>0</v>
      </c>
      <c r="AL370" s="796">
        <v>0</v>
      </c>
      <c r="AM370" s="796">
        <v>0</v>
      </c>
      <c r="AN370" s="796">
        <v>0</v>
      </c>
      <c r="AO370" s="796">
        <v>0</v>
      </c>
      <c r="AP370" s="796">
        <v>0</v>
      </c>
      <c r="AQ370" s="796">
        <v>0</v>
      </c>
      <c r="AR370" s="796">
        <v>0</v>
      </c>
      <c r="AS370" s="796">
        <v>0</v>
      </c>
      <c r="AT370" s="796">
        <v>0</v>
      </c>
      <c r="AU370" s="796">
        <v>0</v>
      </c>
      <c r="AV370" s="796">
        <v>0</v>
      </c>
      <c r="AW370" s="796">
        <v>0</v>
      </c>
      <c r="AX370" s="796">
        <v>0</v>
      </c>
      <c r="AY370" s="796">
        <v>0</v>
      </c>
      <c r="AZ370" s="796">
        <v>0</v>
      </c>
      <c r="BA370" s="796">
        <v>0</v>
      </c>
      <c r="BB370" s="810">
        <v>7125</v>
      </c>
      <c r="BC370" s="796">
        <v>112256.48</v>
      </c>
      <c r="BD370" s="796">
        <v>139690.85999999999</v>
      </c>
      <c r="BE370" s="796">
        <v>169176.41999999998</v>
      </c>
      <c r="BF370" s="796">
        <v>154110.14000000001</v>
      </c>
      <c r="BG370" s="796">
        <v>279394.88</v>
      </c>
      <c r="BH370" s="796">
        <v>280616.84000000003</v>
      </c>
      <c r="BI370" s="796">
        <v>154606</v>
      </c>
      <c r="BJ370" s="796">
        <v>69203.320000000007</v>
      </c>
      <c r="BK370" s="796">
        <v>141134.92000000001</v>
      </c>
      <c r="BL370" s="796">
        <v>11250</v>
      </c>
      <c r="BM370" s="796">
        <v>14171</v>
      </c>
      <c r="BN370" s="796">
        <v>49827.97</v>
      </c>
      <c r="BO370" s="796">
        <v>0</v>
      </c>
      <c r="BP370" s="796">
        <v>0</v>
      </c>
      <c r="BQ370" s="796">
        <v>0</v>
      </c>
      <c r="BR370" s="796">
        <v>0</v>
      </c>
      <c r="BS370" s="796">
        <v>0</v>
      </c>
      <c r="BT370" s="796">
        <v>24270</v>
      </c>
      <c r="BU370" s="796">
        <v>37348.26</v>
      </c>
      <c r="BV370" s="796">
        <v>0</v>
      </c>
    </row>
    <row r="371" spans="2:74">
      <c r="B371" s="795" t="s">
        <v>3290</v>
      </c>
      <c r="C371" s="795" t="s">
        <v>3269</v>
      </c>
      <c r="D371" s="795"/>
      <c r="E371" s="796"/>
      <c r="F371" s="799"/>
      <c r="G371" s="799"/>
      <c r="H371" s="799"/>
      <c r="I371" s="799"/>
      <c r="J371" s="799"/>
      <c r="K371" s="799"/>
      <c r="L371" s="799">
        <f t="shared" si="10"/>
        <v>331</v>
      </c>
      <c r="M371" s="799"/>
      <c r="N371" s="595"/>
      <c r="O371" s="794">
        <v>0</v>
      </c>
      <c r="P371" s="794">
        <v>0</v>
      </c>
      <c r="Q371" s="794">
        <v>0</v>
      </c>
      <c r="R371" s="794">
        <v>0</v>
      </c>
      <c r="S371" s="796">
        <v>0</v>
      </c>
      <c r="T371" s="796">
        <v>0</v>
      </c>
      <c r="U371" s="796">
        <v>0</v>
      </c>
      <c r="V371" s="796">
        <v>0</v>
      </c>
      <c r="W371" s="796">
        <v>0</v>
      </c>
      <c r="X371" s="796">
        <v>0</v>
      </c>
      <c r="Y371" s="796">
        <v>0</v>
      </c>
      <c r="Z371" s="796">
        <v>0</v>
      </c>
      <c r="AA371" s="796">
        <v>0</v>
      </c>
      <c r="AB371" s="796">
        <v>0</v>
      </c>
      <c r="AC371" s="796">
        <v>0</v>
      </c>
      <c r="AD371" s="796">
        <v>0</v>
      </c>
      <c r="AE371" s="796">
        <v>0</v>
      </c>
      <c r="AF371" s="796">
        <v>0</v>
      </c>
      <c r="AG371" s="796">
        <v>0</v>
      </c>
      <c r="AH371" s="796">
        <v>0</v>
      </c>
      <c r="AI371" s="796">
        <v>0</v>
      </c>
      <c r="AJ371" s="796">
        <v>0</v>
      </c>
      <c r="AK371" s="796">
        <v>0</v>
      </c>
      <c r="AL371" s="796">
        <v>0</v>
      </c>
      <c r="AM371" s="796">
        <v>0</v>
      </c>
      <c r="AN371" s="796">
        <v>0</v>
      </c>
      <c r="AO371" s="796">
        <v>0</v>
      </c>
      <c r="AP371" s="796">
        <v>0</v>
      </c>
      <c r="AQ371" s="796">
        <v>0</v>
      </c>
      <c r="AR371" s="796">
        <v>0</v>
      </c>
      <c r="AS371" s="796">
        <v>0</v>
      </c>
      <c r="AT371" s="796">
        <v>0</v>
      </c>
      <c r="AU371" s="796">
        <v>0</v>
      </c>
      <c r="AV371" s="796">
        <v>0</v>
      </c>
      <c r="AW371" s="796">
        <v>0</v>
      </c>
      <c r="AX371" s="796">
        <v>0</v>
      </c>
      <c r="AY371" s="796">
        <v>0</v>
      </c>
      <c r="AZ371" s="796">
        <v>0</v>
      </c>
      <c r="BA371" s="796">
        <v>0</v>
      </c>
      <c r="BB371" s="810">
        <v>25398.59</v>
      </c>
      <c r="BC371" s="796">
        <v>0</v>
      </c>
      <c r="BD371" s="796">
        <v>0</v>
      </c>
      <c r="BE371" s="796">
        <v>0</v>
      </c>
      <c r="BF371" s="796">
        <v>0</v>
      </c>
      <c r="BG371" s="796">
        <v>0</v>
      </c>
      <c r="BH371" s="796">
        <v>0</v>
      </c>
      <c r="BI371" s="796">
        <v>0</v>
      </c>
      <c r="BJ371" s="796">
        <v>0</v>
      </c>
      <c r="BK371" s="796">
        <v>0</v>
      </c>
      <c r="BL371" s="796">
        <v>0</v>
      </c>
      <c r="BM371" s="796">
        <v>0</v>
      </c>
      <c r="BN371" s="796">
        <v>0</v>
      </c>
      <c r="BO371" s="796">
        <v>0</v>
      </c>
      <c r="BP371" s="796">
        <v>0</v>
      </c>
      <c r="BQ371" s="796">
        <v>0</v>
      </c>
      <c r="BR371" s="796">
        <v>0</v>
      </c>
      <c r="BS371" s="796">
        <v>0</v>
      </c>
      <c r="BT371" s="796">
        <v>0</v>
      </c>
      <c r="BU371" s="796">
        <v>0</v>
      </c>
      <c r="BV371" s="796">
        <v>0</v>
      </c>
    </row>
    <row r="372" spans="2:74">
      <c r="B372" s="795" t="s">
        <v>505</v>
      </c>
      <c r="C372" s="795" t="s">
        <v>3253</v>
      </c>
      <c r="D372" s="795"/>
      <c r="E372" s="796"/>
      <c r="F372" s="799"/>
      <c r="G372" s="799"/>
      <c r="H372" s="799"/>
      <c r="I372" s="799"/>
      <c r="J372" s="799"/>
      <c r="K372" s="799"/>
      <c r="L372" s="799"/>
      <c r="M372" s="799"/>
      <c r="N372" s="595"/>
      <c r="O372" s="794">
        <v>0</v>
      </c>
      <c r="P372" s="794">
        <v>0</v>
      </c>
      <c r="Q372" s="794">
        <v>0</v>
      </c>
      <c r="R372" s="794">
        <v>0</v>
      </c>
      <c r="S372" s="796">
        <v>0</v>
      </c>
      <c r="T372" s="796">
        <v>0</v>
      </c>
      <c r="U372" s="796">
        <v>0</v>
      </c>
      <c r="V372" s="796">
        <v>0</v>
      </c>
      <c r="W372" s="796">
        <v>0</v>
      </c>
      <c r="X372" s="796">
        <v>0</v>
      </c>
      <c r="Y372" s="796">
        <v>0</v>
      </c>
      <c r="Z372" s="796">
        <v>0</v>
      </c>
      <c r="AA372" s="796">
        <v>0</v>
      </c>
      <c r="AB372" s="796">
        <v>0</v>
      </c>
      <c r="AC372" s="796">
        <v>0</v>
      </c>
      <c r="AD372" s="796">
        <v>0</v>
      </c>
      <c r="AE372" s="796">
        <v>0</v>
      </c>
      <c r="AF372" s="796">
        <v>0</v>
      </c>
      <c r="AG372" s="796">
        <v>0</v>
      </c>
      <c r="AH372" s="796">
        <v>0</v>
      </c>
      <c r="AI372" s="796">
        <v>0</v>
      </c>
      <c r="AJ372" s="796">
        <v>0</v>
      </c>
      <c r="AK372" s="796">
        <v>0</v>
      </c>
      <c r="AL372" s="796">
        <v>0</v>
      </c>
      <c r="AM372" s="796">
        <v>0</v>
      </c>
      <c r="AN372" s="796">
        <v>0</v>
      </c>
      <c r="AO372" s="796">
        <v>0</v>
      </c>
      <c r="AP372" s="796">
        <v>0</v>
      </c>
      <c r="AQ372" s="796">
        <v>0</v>
      </c>
      <c r="AR372" s="796">
        <v>0</v>
      </c>
      <c r="AS372" s="796">
        <v>0</v>
      </c>
      <c r="AT372" s="796">
        <v>0</v>
      </c>
      <c r="AU372" s="796">
        <v>0</v>
      </c>
      <c r="AV372" s="796">
        <v>0</v>
      </c>
      <c r="AW372" s="796">
        <v>0</v>
      </c>
      <c r="AX372" s="796">
        <v>0</v>
      </c>
      <c r="AY372" s="796">
        <v>0</v>
      </c>
      <c r="AZ372" s="796">
        <v>0</v>
      </c>
      <c r="BA372" s="796">
        <v>0</v>
      </c>
      <c r="BB372" s="796">
        <v>0</v>
      </c>
      <c r="BC372" s="810">
        <v>13948.93</v>
      </c>
      <c r="BD372" s="796">
        <v>0</v>
      </c>
      <c r="BE372" s="796">
        <v>0</v>
      </c>
      <c r="BF372" s="796">
        <v>0</v>
      </c>
      <c r="BG372" s="796">
        <v>0</v>
      </c>
      <c r="BH372" s="796">
        <v>0</v>
      </c>
      <c r="BI372" s="796">
        <v>0</v>
      </c>
      <c r="BJ372" s="796">
        <v>0</v>
      </c>
      <c r="BK372" s="796">
        <v>0</v>
      </c>
      <c r="BL372" s="796">
        <v>0</v>
      </c>
      <c r="BM372" s="796">
        <v>0</v>
      </c>
      <c r="BN372" s="796">
        <v>0</v>
      </c>
      <c r="BO372" s="796">
        <v>0</v>
      </c>
      <c r="BP372" s="796">
        <v>0</v>
      </c>
      <c r="BQ372" s="796">
        <v>0</v>
      </c>
      <c r="BR372" s="796">
        <v>0</v>
      </c>
      <c r="BS372" s="796">
        <v>0</v>
      </c>
      <c r="BT372" s="796">
        <v>0</v>
      </c>
      <c r="BU372" s="796">
        <v>0</v>
      </c>
      <c r="BV372" s="796">
        <v>0</v>
      </c>
    </row>
    <row r="373" spans="2:74">
      <c r="B373" s="795" t="s">
        <v>3282</v>
      </c>
      <c r="C373" s="795" t="s">
        <v>3283</v>
      </c>
      <c r="D373" s="795"/>
      <c r="E373" s="796"/>
      <c r="F373" s="799"/>
      <c r="G373" s="799"/>
      <c r="H373" s="799"/>
      <c r="I373" s="799"/>
      <c r="J373" s="799"/>
      <c r="K373" s="799"/>
      <c r="L373" s="799"/>
      <c r="M373" s="799"/>
      <c r="N373" s="595"/>
      <c r="O373" s="794">
        <v>0</v>
      </c>
      <c r="P373" s="794">
        <v>0</v>
      </c>
      <c r="Q373" s="794">
        <v>0</v>
      </c>
      <c r="R373" s="794">
        <v>0</v>
      </c>
      <c r="S373" s="796">
        <v>0</v>
      </c>
      <c r="T373" s="796">
        <v>0</v>
      </c>
      <c r="U373" s="796">
        <v>0</v>
      </c>
      <c r="V373" s="796">
        <v>0</v>
      </c>
      <c r="W373" s="796">
        <v>0</v>
      </c>
      <c r="X373" s="796">
        <v>0</v>
      </c>
      <c r="Y373" s="796">
        <v>0</v>
      </c>
      <c r="Z373" s="796">
        <v>0</v>
      </c>
      <c r="AA373" s="796">
        <v>0</v>
      </c>
      <c r="AB373" s="796">
        <v>0</v>
      </c>
      <c r="AC373" s="796">
        <v>0</v>
      </c>
      <c r="AD373" s="796">
        <v>0</v>
      </c>
      <c r="AE373" s="796">
        <v>0</v>
      </c>
      <c r="AF373" s="796">
        <v>0</v>
      </c>
      <c r="AG373" s="796">
        <v>0</v>
      </c>
      <c r="AH373" s="796">
        <v>0</v>
      </c>
      <c r="AI373" s="796">
        <v>0</v>
      </c>
      <c r="AJ373" s="796">
        <v>0</v>
      </c>
      <c r="AK373" s="796">
        <v>0</v>
      </c>
      <c r="AL373" s="796">
        <v>0</v>
      </c>
      <c r="AM373" s="796">
        <v>0</v>
      </c>
      <c r="AN373" s="796">
        <v>0</v>
      </c>
      <c r="AO373" s="796">
        <v>0</v>
      </c>
      <c r="AP373" s="796">
        <v>0</v>
      </c>
      <c r="AQ373" s="796">
        <v>0</v>
      </c>
      <c r="AR373" s="796">
        <v>0</v>
      </c>
      <c r="AS373" s="796">
        <v>0</v>
      </c>
      <c r="AT373" s="796">
        <v>0</v>
      </c>
      <c r="AU373" s="796">
        <v>0</v>
      </c>
      <c r="AV373" s="796">
        <v>0</v>
      </c>
      <c r="AW373" s="796">
        <v>0</v>
      </c>
      <c r="AX373" s="796">
        <v>0</v>
      </c>
      <c r="AY373" s="796">
        <v>0</v>
      </c>
      <c r="AZ373" s="796">
        <v>0</v>
      </c>
      <c r="BA373" s="796">
        <v>0</v>
      </c>
      <c r="BB373" s="796">
        <v>0</v>
      </c>
      <c r="BC373" s="810">
        <v>112585.78</v>
      </c>
      <c r="BD373" s="796">
        <v>112585.78</v>
      </c>
      <c r="BE373" s="796">
        <v>49046.22</v>
      </c>
      <c r="BF373" s="796">
        <v>0</v>
      </c>
      <c r="BG373" s="796">
        <v>10000</v>
      </c>
      <c r="BH373" s="796">
        <v>0</v>
      </c>
      <c r="BI373" s="796">
        <v>0</v>
      </c>
      <c r="BJ373" s="796">
        <v>0</v>
      </c>
      <c r="BK373" s="796">
        <v>0</v>
      </c>
      <c r="BL373" s="796">
        <v>0</v>
      </c>
      <c r="BM373" s="796">
        <v>0</v>
      </c>
      <c r="BN373" s="796">
        <v>0</v>
      </c>
      <c r="BO373" s="796">
        <v>0</v>
      </c>
      <c r="BP373" s="796">
        <v>0</v>
      </c>
      <c r="BQ373" s="796">
        <v>0</v>
      </c>
      <c r="BR373" s="796">
        <v>0</v>
      </c>
      <c r="BS373" s="796">
        <v>0</v>
      </c>
      <c r="BT373" s="796">
        <v>0</v>
      </c>
      <c r="BU373" s="796">
        <v>0</v>
      </c>
      <c r="BV373" s="796">
        <v>0</v>
      </c>
    </row>
    <row r="374" spans="2:74">
      <c r="B374" s="795" t="s">
        <v>572</v>
      </c>
      <c r="C374" s="795" t="s">
        <v>531</v>
      </c>
      <c r="D374" s="795"/>
      <c r="E374" s="796"/>
      <c r="F374" s="799"/>
      <c r="G374" s="799"/>
      <c r="H374" s="799"/>
      <c r="I374" s="799"/>
      <c r="J374" s="799"/>
      <c r="K374" s="799"/>
      <c r="L374" s="799"/>
      <c r="M374" s="799"/>
      <c r="N374" s="595"/>
      <c r="O374" s="794">
        <v>0</v>
      </c>
      <c r="P374" s="794">
        <v>0</v>
      </c>
      <c r="Q374" s="794">
        <v>0</v>
      </c>
      <c r="R374" s="794">
        <v>0</v>
      </c>
      <c r="S374" s="796">
        <v>0</v>
      </c>
      <c r="T374" s="796">
        <v>0</v>
      </c>
      <c r="U374" s="796">
        <v>0</v>
      </c>
      <c r="V374" s="796">
        <v>0</v>
      </c>
      <c r="W374" s="796">
        <v>0</v>
      </c>
      <c r="X374" s="796">
        <v>0</v>
      </c>
      <c r="Y374" s="796">
        <v>0</v>
      </c>
      <c r="Z374" s="796">
        <v>0</v>
      </c>
      <c r="AA374" s="796">
        <v>0</v>
      </c>
      <c r="AB374" s="796">
        <v>0</v>
      </c>
      <c r="AC374" s="796">
        <v>0</v>
      </c>
      <c r="AD374" s="796">
        <v>0</v>
      </c>
      <c r="AE374" s="796">
        <v>0</v>
      </c>
      <c r="AF374" s="796">
        <v>0</v>
      </c>
      <c r="AG374" s="796">
        <v>0</v>
      </c>
      <c r="AH374" s="796">
        <v>0</v>
      </c>
      <c r="AI374" s="796">
        <v>0</v>
      </c>
      <c r="AJ374" s="796">
        <v>0</v>
      </c>
      <c r="AK374" s="796">
        <v>0</v>
      </c>
      <c r="AL374" s="796">
        <v>0</v>
      </c>
      <c r="AM374" s="796">
        <v>0</v>
      </c>
      <c r="AN374" s="796">
        <v>0</v>
      </c>
      <c r="AO374" s="796">
        <v>0</v>
      </c>
      <c r="AP374" s="796">
        <v>0</v>
      </c>
      <c r="AQ374" s="796">
        <v>0</v>
      </c>
      <c r="AR374" s="796">
        <v>0</v>
      </c>
      <c r="AS374" s="796">
        <v>0</v>
      </c>
      <c r="AT374" s="796">
        <v>0</v>
      </c>
      <c r="AU374" s="796">
        <v>0</v>
      </c>
      <c r="AV374" s="796">
        <v>0</v>
      </c>
      <c r="AW374" s="796">
        <v>0</v>
      </c>
      <c r="AX374" s="796">
        <v>0</v>
      </c>
      <c r="AY374" s="796">
        <v>0</v>
      </c>
      <c r="AZ374" s="796">
        <v>0</v>
      </c>
      <c r="BA374" s="796">
        <v>0</v>
      </c>
      <c r="BB374" s="796">
        <v>0</v>
      </c>
      <c r="BC374" s="810">
        <v>94987.49</v>
      </c>
      <c r="BD374" s="796">
        <v>82342.17</v>
      </c>
      <c r="BE374" s="796">
        <v>244229.52</v>
      </c>
      <c r="BF374" s="796">
        <v>64017.37</v>
      </c>
      <c r="BG374" s="796">
        <v>80590.899999999994</v>
      </c>
      <c r="BH374" s="796">
        <v>100000</v>
      </c>
      <c r="BI374" s="796">
        <v>0</v>
      </c>
      <c r="BJ374" s="796">
        <v>60000</v>
      </c>
      <c r="BK374" s="796">
        <v>40000</v>
      </c>
      <c r="BL374" s="796">
        <v>0</v>
      </c>
      <c r="BM374" s="796">
        <v>0</v>
      </c>
      <c r="BN374" s="796">
        <v>0</v>
      </c>
      <c r="BO374" s="796">
        <v>0</v>
      </c>
      <c r="BP374" s="796">
        <v>0</v>
      </c>
      <c r="BQ374" s="796">
        <v>0</v>
      </c>
      <c r="BR374" s="796">
        <v>0</v>
      </c>
      <c r="BS374" s="796">
        <v>0</v>
      </c>
      <c r="BT374" s="796">
        <v>0</v>
      </c>
      <c r="BU374" s="796">
        <v>0</v>
      </c>
      <c r="BV374" s="796">
        <v>0</v>
      </c>
    </row>
    <row r="375" spans="2:74">
      <c r="B375" s="795" t="s">
        <v>3288</v>
      </c>
      <c r="C375" s="795" t="s">
        <v>3289</v>
      </c>
      <c r="D375" s="795"/>
      <c r="E375" s="796"/>
      <c r="F375" s="799"/>
      <c r="G375" s="799"/>
      <c r="H375" s="799"/>
      <c r="I375" s="799"/>
      <c r="J375" s="799"/>
      <c r="K375" s="799"/>
      <c r="L375" s="799"/>
      <c r="M375" s="799"/>
      <c r="N375" s="595"/>
      <c r="O375" s="794">
        <v>0</v>
      </c>
      <c r="P375" s="794">
        <v>0</v>
      </c>
      <c r="Q375" s="794">
        <v>0</v>
      </c>
      <c r="R375" s="794">
        <v>0</v>
      </c>
      <c r="S375" s="796">
        <v>0</v>
      </c>
      <c r="T375" s="796">
        <v>0</v>
      </c>
      <c r="U375" s="796">
        <v>0</v>
      </c>
      <c r="V375" s="796">
        <v>0</v>
      </c>
      <c r="W375" s="796">
        <v>0</v>
      </c>
      <c r="X375" s="796">
        <v>0</v>
      </c>
      <c r="Y375" s="796">
        <v>0</v>
      </c>
      <c r="Z375" s="796">
        <v>0</v>
      </c>
      <c r="AA375" s="796">
        <v>0</v>
      </c>
      <c r="AB375" s="796">
        <v>0</v>
      </c>
      <c r="AC375" s="796">
        <v>0</v>
      </c>
      <c r="AD375" s="796">
        <v>0</v>
      </c>
      <c r="AE375" s="796">
        <v>0</v>
      </c>
      <c r="AF375" s="796">
        <v>0</v>
      </c>
      <c r="AG375" s="796">
        <v>0</v>
      </c>
      <c r="AH375" s="796">
        <v>0</v>
      </c>
      <c r="AI375" s="796">
        <v>0</v>
      </c>
      <c r="AJ375" s="796">
        <v>0</v>
      </c>
      <c r="AK375" s="796">
        <v>0</v>
      </c>
      <c r="AL375" s="796">
        <v>0</v>
      </c>
      <c r="AM375" s="796">
        <v>0</v>
      </c>
      <c r="AN375" s="796">
        <v>0</v>
      </c>
      <c r="AO375" s="796">
        <v>0</v>
      </c>
      <c r="AP375" s="796">
        <v>0</v>
      </c>
      <c r="AQ375" s="796">
        <v>0</v>
      </c>
      <c r="AR375" s="796">
        <v>0</v>
      </c>
      <c r="AS375" s="796">
        <v>0</v>
      </c>
      <c r="AT375" s="796">
        <v>0</v>
      </c>
      <c r="AU375" s="796">
        <v>0</v>
      </c>
      <c r="AV375" s="796">
        <v>0</v>
      </c>
      <c r="AW375" s="796">
        <v>0</v>
      </c>
      <c r="AX375" s="796">
        <v>0</v>
      </c>
      <c r="AY375" s="796">
        <v>0</v>
      </c>
      <c r="AZ375" s="796">
        <v>0</v>
      </c>
      <c r="BA375" s="796">
        <v>0</v>
      </c>
      <c r="BB375" s="796">
        <v>0</v>
      </c>
      <c r="BC375" s="810">
        <v>57712.93</v>
      </c>
      <c r="BD375" s="796">
        <v>0</v>
      </c>
      <c r="BE375" s="796">
        <v>0</v>
      </c>
      <c r="BF375" s="796">
        <v>0</v>
      </c>
      <c r="BG375" s="796">
        <v>0</v>
      </c>
      <c r="BH375" s="796">
        <v>0</v>
      </c>
      <c r="BI375" s="796">
        <v>0</v>
      </c>
      <c r="BJ375" s="796">
        <v>0</v>
      </c>
      <c r="BK375" s="796">
        <v>0</v>
      </c>
      <c r="BL375" s="796">
        <v>0</v>
      </c>
      <c r="BM375" s="796">
        <v>0</v>
      </c>
      <c r="BN375" s="796">
        <v>0</v>
      </c>
      <c r="BO375" s="796">
        <v>0</v>
      </c>
      <c r="BP375" s="796">
        <v>0</v>
      </c>
      <c r="BQ375" s="796">
        <v>0</v>
      </c>
      <c r="BR375" s="796">
        <v>0</v>
      </c>
      <c r="BS375" s="796">
        <v>0</v>
      </c>
      <c r="BT375" s="796">
        <v>0</v>
      </c>
      <c r="BU375" s="796">
        <v>0</v>
      </c>
      <c r="BV375" s="796">
        <v>0</v>
      </c>
    </row>
    <row r="376" spans="2:74">
      <c r="B376" s="795" t="s">
        <v>532</v>
      </c>
      <c r="C376" s="795" t="s">
        <v>531</v>
      </c>
      <c r="D376" s="795"/>
      <c r="E376" s="796"/>
      <c r="F376" s="799"/>
      <c r="G376" s="799"/>
      <c r="H376" s="799"/>
      <c r="I376" s="799"/>
      <c r="J376" s="799"/>
      <c r="K376" s="799"/>
      <c r="L376" s="799"/>
      <c r="M376" s="799"/>
      <c r="N376" s="595"/>
      <c r="O376" s="794">
        <v>0</v>
      </c>
      <c r="P376" s="794">
        <v>0</v>
      </c>
      <c r="Q376" s="794">
        <v>0</v>
      </c>
      <c r="R376" s="794">
        <v>0</v>
      </c>
      <c r="S376" s="796">
        <v>0</v>
      </c>
      <c r="T376" s="796">
        <v>0</v>
      </c>
      <c r="U376" s="796">
        <v>0</v>
      </c>
      <c r="V376" s="796">
        <v>0</v>
      </c>
      <c r="W376" s="796">
        <v>0</v>
      </c>
      <c r="X376" s="796">
        <v>0</v>
      </c>
      <c r="Y376" s="796">
        <v>0</v>
      </c>
      <c r="Z376" s="796">
        <v>0</v>
      </c>
      <c r="AA376" s="796">
        <v>0</v>
      </c>
      <c r="AB376" s="796">
        <v>0</v>
      </c>
      <c r="AC376" s="796">
        <v>0</v>
      </c>
      <c r="AD376" s="796">
        <v>0</v>
      </c>
      <c r="AE376" s="796">
        <v>0</v>
      </c>
      <c r="AF376" s="796">
        <v>0</v>
      </c>
      <c r="AG376" s="796">
        <v>0</v>
      </c>
      <c r="AH376" s="796">
        <v>0</v>
      </c>
      <c r="AI376" s="796">
        <v>0</v>
      </c>
      <c r="AJ376" s="796">
        <v>0</v>
      </c>
      <c r="AK376" s="796">
        <v>0</v>
      </c>
      <c r="AL376" s="796">
        <v>0</v>
      </c>
      <c r="AM376" s="796">
        <v>0</v>
      </c>
      <c r="AN376" s="796">
        <v>0</v>
      </c>
      <c r="AO376" s="796">
        <v>0</v>
      </c>
      <c r="AP376" s="796">
        <v>0</v>
      </c>
      <c r="AQ376" s="796">
        <v>0</v>
      </c>
      <c r="AR376" s="796">
        <v>0</v>
      </c>
      <c r="AS376" s="796">
        <v>0</v>
      </c>
      <c r="AT376" s="796">
        <v>0</v>
      </c>
      <c r="AU376" s="796">
        <v>0</v>
      </c>
      <c r="AV376" s="796">
        <v>0</v>
      </c>
      <c r="AW376" s="796">
        <v>0</v>
      </c>
      <c r="AX376" s="796">
        <v>0</v>
      </c>
      <c r="AY376" s="796">
        <v>0</v>
      </c>
      <c r="AZ376" s="796">
        <v>0</v>
      </c>
      <c r="BA376" s="796">
        <v>0</v>
      </c>
      <c r="BB376" s="796">
        <v>0</v>
      </c>
      <c r="BC376" s="810">
        <v>111407.5</v>
      </c>
      <c r="BD376" s="796">
        <v>161603.96</v>
      </c>
      <c r="BE376" s="796">
        <v>162622.94</v>
      </c>
      <c r="BF376" s="796">
        <v>84949.56</v>
      </c>
      <c r="BG376" s="796">
        <v>6214.69</v>
      </c>
      <c r="BH376" s="796">
        <v>14300</v>
      </c>
      <c r="BI376" s="796">
        <v>0</v>
      </c>
      <c r="BJ376" s="796">
        <v>0</v>
      </c>
      <c r="BK376" s="796">
        <v>9116.39</v>
      </c>
      <c r="BL376" s="796">
        <v>7552.75</v>
      </c>
      <c r="BM376" s="796">
        <v>0</v>
      </c>
      <c r="BN376" s="796">
        <v>43082.43</v>
      </c>
      <c r="BO376" s="796">
        <v>66702.350000000006</v>
      </c>
      <c r="BP376" s="796">
        <v>41852</v>
      </c>
      <c r="BQ376" s="796">
        <v>54525.74</v>
      </c>
      <c r="BR376" s="796">
        <v>26445.08</v>
      </c>
      <c r="BS376" s="796">
        <v>111456.38</v>
      </c>
      <c r="BT376" s="796">
        <v>0</v>
      </c>
      <c r="BU376" s="796">
        <v>0</v>
      </c>
      <c r="BV376" s="796">
        <v>0</v>
      </c>
    </row>
    <row r="377" spans="2:74">
      <c r="B377" s="795" t="s">
        <v>3293</v>
      </c>
      <c r="C377" s="795" t="s">
        <v>3294</v>
      </c>
      <c r="D377" s="795"/>
      <c r="E377" s="796"/>
      <c r="F377" s="799"/>
      <c r="G377" s="799"/>
      <c r="H377" s="799"/>
      <c r="I377" s="799"/>
      <c r="J377" s="799"/>
      <c r="K377" s="799"/>
      <c r="L377" s="799"/>
      <c r="M377" s="799"/>
      <c r="N377" s="595"/>
      <c r="O377" s="794">
        <v>0</v>
      </c>
      <c r="P377" s="794">
        <v>0</v>
      </c>
      <c r="Q377" s="794">
        <v>0</v>
      </c>
      <c r="R377" s="794">
        <v>0</v>
      </c>
      <c r="S377" s="796">
        <v>0</v>
      </c>
      <c r="T377" s="796">
        <v>0</v>
      </c>
      <c r="U377" s="796">
        <v>0</v>
      </c>
      <c r="V377" s="796">
        <v>0</v>
      </c>
      <c r="W377" s="796">
        <v>0</v>
      </c>
      <c r="X377" s="796">
        <v>0</v>
      </c>
      <c r="Y377" s="796">
        <v>0</v>
      </c>
      <c r="Z377" s="796">
        <v>0</v>
      </c>
      <c r="AA377" s="796">
        <v>0</v>
      </c>
      <c r="AB377" s="796">
        <v>0</v>
      </c>
      <c r="AC377" s="796">
        <v>0</v>
      </c>
      <c r="AD377" s="796">
        <v>0</v>
      </c>
      <c r="AE377" s="796">
        <v>0</v>
      </c>
      <c r="AF377" s="796">
        <v>0</v>
      </c>
      <c r="AG377" s="796">
        <v>0</v>
      </c>
      <c r="AH377" s="796">
        <v>0</v>
      </c>
      <c r="AI377" s="796">
        <v>0</v>
      </c>
      <c r="AJ377" s="796">
        <v>0</v>
      </c>
      <c r="AK377" s="796">
        <v>0</v>
      </c>
      <c r="AL377" s="796">
        <v>0</v>
      </c>
      <c r="AM377" s="796">
        <v>0</v>
      </c>
      <c r="AN377" s="796">
        <v>0</v>
      </c>
      <c r="AO377" s="796">
        <v>0</v>
      </c>
      <c r="AP377" s="796">
        <v>0</v>
      </c>
      <c r="AQ377" s="796">
        <v>0</v>
      </c>
      <c r="AR377" s="796">
        <v>0</v>
      </c>
      <c r="AS377" s="796">
        <v>0</v>
      </c>
      <c r="AT377" s="796">
        <v>0</v>
      </c>
      <c r="AU377" s="796">
        <v>0</v>
      </c>
      <c r="AV377" s="796">
        <v>0</v>
      </c>
      <c r="AW377" s="796">
        <v>0</v>
      </c>
      <c r="AX377" s="796">
        <v>0</v>
      </c>
      <c r="AY377" s="796">
        <v>0</v>
      </c>
      <c r="AZ377" s="796">
        <v>0</v>
      </c>
      <c r="BA377" s="796">
        <v>0</v>
      </c>
      <c r="BB377" s="796">
        <v>0</v>
      </c>
      <c r="BC377" s="810">
        <v>50000</v>
      </c>
      <c r="BD377" s="796">
        <v>0</v>
      </c>
      <c r="BE377" s="796">
        <v>0</v>
      </c>
      <c r="BF377" s="796">
        <v>0</v>
      </c>
      <c r="BG377" s="796">
        <v>0</v>
      </c>
      <c r="BH377" s="796">
        <v>0</v>
      </c>
      <c r="BI377" s="796">
        <v>0</v>
      </c>
      <c r="BJ377" s="796">
        <v>0</v>
      </c>
      <c r="BK377" s="796">
        <v>0</v>
      </c>
      <c r="BL377" s="796">
        <v>0</v>
      </c>
      <c r="BM377" s="796">
        <v>0</v>
      </c>
      <c r="BN377" s="796">
        <v>0</v>
      </c>
      <c r="BO377" s="796">
        <v>0</v>
      </c>
      <c r="BP377" s="796">
        <v>0</v>
      </c>
      <c r="BQ377" s="796">
        <v>0</v>
      </c>
      <c r="BR377" s="796">
        <v>0</v>
      </c>
      <c r="BS377" s="796">
        <v>0</v>
      </c>
      <c r="BT377" s="796">
        <v>0</v>
      </c>
      <c r="BU377" s="796">
        <v>0</v>
      </c>
      <c r="BV377" s="796">
        <v>0</v>
      </c>
    </row>
    <row r="378" spans="2:74">
      <c r="B378" s="795" t="s">
        <v>3295</v>
      </c>
      <c r="C378" s="795" t="s">
        <v>3296</v>
      </c>
      <c r="D378" s="795"/>
      <c r="E378" s="796"/>
      <c r="F378" s="799"/>
      <c r="G378" s="799"/>
      <c r="H378" s="799"/>
      <c r="I378" s="799"/>
      <c r="J378" s="799"/>
      <c r="K378" s="799"/>
      <c r="L378" s="799"/>
      <c r="M378" s="799"/>
      <c r="N378" s="595"/>
      <c r="O378" s="794">
        <v>0</v>
      </c>
      <c r="P378" s="794">
        <v>0</v>
      </c>
      <c r="Q378" s="794">
        <v>0</v>
      </c>
      <c r="R378" s="794">
        <v>0</v>
      </c>
      <c r="S378" s="796">
        <v>0</v>
      </c>
      <c r="T378" s="796">
        <v>0</v>
      </c>
      <c r="U378" s="796">
        <v>0</v>
      </c>
      <c r="V378" s="796">
        <v>0</v>
      </c>
      <c r="W378" s="796">
        <v>0</v>
      </c>
      <c r="X378" s="796">
        <v>0</v>
      </c>
      <c r="Y378" s="796">
        <v>0</v>
      </c>
      <c r="Z378" s="796">
        <v>0</v>
      </c>
      <c r="AA378" s="796">
        <v>0</v>
      </c>
      <c r="AB378" s="796">
        <v>0</v>
      </c>
      <c r="AC378" s="796">
        <v>0</v>
      </c>
      <c r="AD378" s="796">
        <v>0</v>
      </c>
      <c r="AE378" s="796">
        <v>0</v>
      </c>
      <c r="AF378" s="796">
        <v>0</v>
      </c>
      <c r="AG378" s="796">
        <v>0</v>
      </c>
      <c r="AH378" s="796">
        <v>0</v>
      </c>
      <c r="AI378" s="796">
        <v>0</v>
      </c>
      <c r="AJ378" s="796">
        <v>0</v>
      </c>
      <c r="AK378" s="796">
        <v>0</v>
      </c>
      <c r="AL378" s="796">
        <v>0</v>
      </c>
      <c r="AM378" s="796">
        <v>0</v>
      </c>
      <c r="AN378" s="796">
        <v>0</v>
      </c>
      <c r="AO378" s="796">
        <v>0</v>
      </c>
      <c r="AP378" s="796">
        <v>0</v>
      </c>
      <c r="AQ378" s="796">
        <v>0</v>
      </c>
      <c r="AR378" s="796">
        <v>0</v>
      </c>
      <c r="AS378" s="796">
        <v>0</v>
      </c>
      <c r="AT378" s="796">
        <v>0</v>
      </c>
      <c r="AU378" s="796">
        <v>0</v>
      </c>
      <c r="AV378" s="796">
        <v>0</v>
      </c>
      <c r="AW378" s="796">
        <v>0</v>
      </c>
      <c r="AX378" s="796">
        <v>0</v>
      </c>
      <c r="AY378" s="796">
        <v>0</v>
      </c>
      <c r="AZ378" s="796">
        <v>0</v>
      </c>
      <c r="BA378" s="796">
        <v>0</v>
      </c>
      <c r="BB378" s="796">
        <v>0</v>
      </c>
      <c r="BC378" s="810">
        <v>59271.12</v>
      </c>
      <c r="BD378" s="796">
        <v>38165.620000000003</v>
      </c>
      <c r="BE378" s="796">
        <v>0</v>
      </c>
      <c r="BF378" s="796">
        <v>0</v>
      </c>
      <c r="BG378" s="796">
        <v>10000</v>
      </c>
      <c r="BH378" s="796">
        <v>0</v>
      </c>
      <c r="BI378" s="796">
        <v>0</v>
      </c>
      <c r="BJ378" s="796">
        <v>0</v>
      </c>
      <c r="BK378" s="796">
        <v>0</v>
      </c>
      <c r="BL378" s="796">
        <v>0</v>
      </c>
      <c r="BM378" s="796">
        <v>0</v>
      </c>
      <c r="BN378" s="796">
        <v>0</v>
      </c>
      <c r="BO378" s="796">
        <v>0</v>
      </c>
      <c r="BP378" s="796">
        <v>0</v>
      </c>
      <c r="BQ378" s="796">
        <v>0</v>
      </c>
      <c r="BR378" s="796">
        <v>0</v>
      </c>
      <c r="BS378" s="796">
        <v>0</v>
      </c>
      <c r="BT378" s="796">
        <v>0</v>
      </c>
      <c r="BU378" s="796">
        <v>0</v>
      </c>
      <c r="BV378" s="796">
        <v>0</v>
      </c>
    </row>
    <row r="379" spans="2:74">
      <c r="B379" s="795" t="s">
        <v>636</v>
      </c>
      <c r="C379" s="795" t="s">
        <v>3052</v>
      </c>
      <c r="D379" s="795"/>
      <c r="E379" s="796"/>
      <c r="F379" s="799"/>
      <c r="G379" s="799"/>
      <c r="H379" s="799"/>
      <c r="I379" s="799"/>
      <c r="J379" s="799"/>
      <c r="K379" s="799"/>
      <c r="L379" s="799"/>
      <c r="M379" s="799"/>
      <c r="N379" s="595"/>
      <c r="O379" s="794">
        <v>0</v>
      </c>
      <c r="P379" s="794">
        <v>0</v>
      </c>
      <c r="Q379" s="794">
        <v>0</v>
      </c>
      <c r="R379" s="794">
        <v>0</v>
      </c>
      <c r="S379" s="796">
        <v>0</v>
      </c>
      <c r="T379" s="796">
        <v>0</v>
      </c>
      <c r="U379" s="796">
        <v>0</v>
      </c>
      <c r="V379" s="796">
        <v>0</v>
      </c>
      <c r="W379" s="796">
        <v>0</v>
      </c>
      <c r="X379" s="796">
        <v>0</v>
      </c>
      <c r="Y379" s="796">
        <v>0</v>
      </c>
      <c r="Z379" s="796">
        <v>0</v>
      </c>
      <c r="AA379" s="796">
        <v>0</v>
      </c>
      <c r="AB379" s="796">
        <v>0</v>
      </c>
      <c r="AC379" s="796">
        <v>0</v>
      </c>
      <c r="AD379" s="796">
        <v>0</v>
      </c>
      <c r="AE379" s="796">
        <v>0</v>
      </c>
      <c r="AF379" s="796">
        <v>0</v>
      </c>
      <c r="AG379" s="796">
        <v>0</v>
      </c>
      <c r="AH379" s="796">
        <v>0</v>
      </c>
      <c r="AI379" s="796">
        <v>0</v>
      </c>
      <c r="AJ379" s="796">
        <v>0</v>
      </c>
      <c r="AK379" s="796">
        <v>0</v>
      </c>
      <c r="AL379" s="796">
        <v>0</v>
      </c>
      <c r="AM379" s="796">
        <v>0</v>
      </c>
      <c r="AN379" s="796">
        <v>0</v>
      </c>
      <c r="AO379" s="796">
        <v>0</v>
      </c>
      <c r="AP379" s="796">
        <v>0</v>
      </c>
      <c r="AQ379" s="796">
        <v>0</v>
      </c>
      <c r="AR379" s="796">
        <v>0</v>
      </c>
      <c r="AS379" s="796">
        <v>0</v>
      </c>
      <c r="AT379" s="796">
        <v>0</v>
      </c>
      <c r="AU379" s="796">
        <v>0</v>
      </c>
      <c r="AV379" s="796">
        <v>0</v>
      </c>
      <c r="AW379" s="796">
        <v>0</v>
      </c>
      <c r="AX379" s="796">
        <v>0</v>
      </c>
      <c r="AY379" s="796">
        <v>0</v>
      </c>
      <c r="AZ379" s="796">
        <v>0</v>
      </c>
      <c r="BA379" s="796">
        <v>0</v>
      </c>
      <c r="BB379" s="796">
        <v>0</v>
      </c>
      <c r="BC379" s="810">
        <v>15000</v>
      </c>
      <c r="BD379" s="796">
        <v>20173.439999999999</v>
      </c>
      <c r="BE379" s="796">
        <v>82558.12</v>
      </c>
      <c r="BF379" s="796">
        <v>116418.96</v>
      </c>
      <c r="BG379" s="796">
        <v>52914.74</v>
      </c>
      <c r="BH379" s="796">
        <v>24934.74</v>
      </c>
      <c r="BI379" s="796">
        <v>0</v>
      </c>
      <c r="BJ379" s="796">
        <v>0</v>
      </c>
      <c r="BK379" s="796">
        <v>0</v>
      </c>
      <c r="BL379" s="796">
        <v>0</v>
      </c>
      <c r="BM379" s="796">
        <v>0</v>
      </c>
      <c r="BN379" s="796">
        <v>0</v>
      </c>
      <c r="BO379" s="796">
        <v>0</v>
      </c>
      <c r="BP379" s="796">
        <v>0</v>
      </c>
      <c r="BQ379" s="796">
        <v>0</v>
      </c>
      <c r="BR379" s="796">
        <v>0</v>
      </c>
      <c r="BS379" s="796">
        <v>0</v>
      </c>
      <c r="BT379" s="796">
        <v>0</v>
      </c>
      <c r="BU379" s="796">
        <v>0</v>
      </c>
      <c r="BV379" s="796">
        <v>0</v>
      </c>
    </row>
    <row r="380" spans="2:74">
      <c r="B380" s="795" t="s">
        <v>3297</v>
      </c>
      <c r="C380" s="795" t="s">
        <v>2823</v>
      </c>
      <c r="D380" s="795"/>
      <c r="E380" s="796"/>
      <c r="F380" s="799"/>
      <c r="G380" s="799"/>
      <c r="H380" s="799"/>
      <c r="I380" s="799"/>
      <c r="J380" s="799"/>
      <c r="K380" s="799"/>
      <c r="L380" s="799"/>
      <c r="M380" s="799"/>
      <c r="N380" s="595"/>
      <c r="O380" s="794">
        <v>0</v>
      </c>
      <c r="P380" s="794">
        <v>0</v>
      </c>
      <c r="Q380" s="794">
        <v>0</v>
      </c>
      <c r="R380" s="794">
        <v>0</v>
      </c>
      <c r="S380" s="796">
        <v>0</v>
      </c>
      <c r="T380" s="796">
        <v>0</v>
      </c>
      <c r="U380" s="796">
        <v>0</v>
      </c>
      <c r="V380" s="796">
        <v>0</v>
      </c>
      <c r="W380" s="796">
        <v>0</v>
      </c>
      <c r="X380" s="796">
        <v>0</v>
      </c>
      <c r="Y380" s="796">
        <v>0</v>
      </c>
      <c r="Z380" s="796">
        <v>0</v>
      </c>
      <c r="AA380" s="796">
        <v>0</v>
      </c>
      <c r="AB380" s="796">
        <v>0</v>
      </c>
      <c r="AC380" s="796">
        <v>0</v>
      </c>
      <c r="AD380" s="796">
        <v>0</v>
      </c>
      <c r="AE380" s="796">
        <v>0</v>
      </c>
      <c r="AF380" s="796">
        <v>0</v>
      </c>
      <c r="AG380" s="796">
        <v>0</v>
      </c>
      <c r="AH380" s="796">
        <v>0</v>
      </c>
      <c r="AI380" s="796">
        <v>0</v>
      </c>
      <c r="AJ380" s="796">
        <v>0</v>
      </c>
      <c r="AK380" s="796">
        <v>0</v>
      </c>
      <c r="AL380" s="796">
        <v>0</v>
      </c>
      <c r="AM380" s="796">
        <v>0</v>
      </c>
      <c r="AN380" s="796">
        <v>0</v>
      </c>
      <c r="AO380" s="796">
        <v>0</v>
      </c>
      <c r="AP380" s="796">
        <v>0</v>
      </c>
      <c r="AQ380" s="796">
        <v>0</v>
      </c>
      <c r="AR380" s="796">
        <v>0</v>
      </c>
      <c r="AS380" s="796">
        <v>0</v>
      </c>
      <c r="AT380" s="796">
        <v>0</v>
      </c>
      <c r="AU380" s="796">
        <v>0</v>
      </c>
      <c r="AV380" s="796">
        <v>0</v>
      </c>
      <c r="AW380" s="796">
        <v>0</v>
      </c>
      <c r="AX380" s="796">
        <v>0</v>
      </c>
      <c r="AY380" s="796">
        <v>0</v>
      </c>
      <c r="AZ380" s="796">
        <v>0</v>
      </c>
      <c r="BA380" s="796">
        <v>0</v>
      </c>
      <c r="BB380" s="796">
        <v>0</v>
      </c>
      <c r="BC380" s="810">
        <v>16110</v>
      </c>
      <c r="BD380" s="796">
        <v>17410</v>
      </c>
      <c r="BE380" s="796">
        <v>0</v>
      </c>
      <c r="BF380" s="796">
        <v>0</v>
      </c>
      <c r="BG380" s="796">
        <v>0</v>
      </c>
      <c r="BH380" s="796">
        <v>0</v>
      </c>
      <c r="BI380" s="796">
        <v>0</v>
      </c>
      <c r="BJ380" s="796">
        <v>0</v>
      </c>
      <c r="BK380" s="796">
        <v>0</v>
      </c>
      <c r="BL380" s="796">
        <v>0</v>
      </c>
      <c r="BM380" s="796">
        <v>0</v>
      </c>
      <c r="BN380" s="796">
        <v>0</v>
      </c>
      <c r="BO380" s="796">
        <v>0</v>
      </c>
      <c r="BP380" s="796">
        <v>0</v>
      </c>
      <c r="BQ380" s="796">
        <v>0</v>
      </c>
      <c r="BR380" s="796">
        <v>0</v>
      </c>
      <c r="BS380" s="796">
        <v>0</v>
      </c>
      <c r="BT380" s="796">
        <v>0</v>
      </c>
      <c r="BU380" s="796">
        <v>0</v>
      </c>
      <c r="BV380" s="796">
        <v>0</v>
      </c>
    </row>
    <row r="381" spans="2:74">
      <c r="B381" s="795" t="s">
        <v>3292</v>
      </c>
      <c r="C381" s="795" t="s">
        <v>481</v>
      </c>
      <c r="D381" s="795"/>
      <c r="E381" s="796"/>
      <c r="F381" s="799"/>
      <c r="G381" s="799"/>
      <c r="H381" s="799"/>
      <c r="I381" s="799"/>
      <c r="J381" s="799"/>
      <c r="K381" s="799"/>
      <c r="L381" s="799"/>
      <c r="M381" s="799"/>
      <c r="N381" s="595"/>
      <c r="O381" s="794">
        <v>0</v>
      </c>
      <c r="P381" s="794">
        <v>0</v>
      </c>
      <c r="Q381" s="794">
        <v>0</v>
      </c>
      <c r="R381" s="794">
        <v>0</v>
      </c>
      <c r="S381" s="796">
        <v>0</v>
      </c>
      <c r="T381" s="796">
        <v>0</v>
      </c>
      <c r="U381" s="796">
        <v>0</v>
      </c>
      <c r="V381" s="796">
        <v>0</v>
      </c>
      <c r="W381" s="796">
        <v>0</v>
      </c>
      <c r="X381" s="796">
        <v>0</v>
      </c>
      <c r="Y381" s="796">
        <v>0</v>
      </c>
      <c r="Z381" s="796">
        <v>0</v>
      </c>
      <c r="AA381" s="796">
        <v>0</v>
      </c>
      <c r="AB381" s="796">
        <v>0</v>
      </c>
      <c r="AC381" s="796">
        <v>0</v>
      </c>
      <c r="AD381" s="796">
        <v>0</v>
      </c>
      <c r="AE381" s="796">
        <v>0</v>
      </c>
      <c r="AF381" s="796">
        <v>0</v>
      </c>
      <c r="AG381" s="796">
        <v>0</v>
      </c>
      <c r="AH381" s="796">
        <v>0</v>
      </c>
      <c r="AI381" s="796">
        <v>0</v>
      </c>
      <c r="AJ381" s="796">
        <v>0</v>
      </c>
      <c r="AK381" s="796">
        <v>0</v>
      </c>
      <c r="AL381" s="796">
        <v>0</v>
      </c>
      <c r="AM381" s="796">
        <v>0</v>
      </c>
      <c r="AN381" s="796">
        <v>0</v>
      </c>
      <c r="AO381" s="796">
        <v>0</v>
      </c>
      <c r="AP381" s="796">
        <v>0</v>
      </c>
      <c r="AQ381" s="796">
        <v>0</v>
      </c>
      <c r="AR381" s="796">
        <v>0</v>
      </c>
      <c r="AS381" s="796">
        <v>0</v>
      </c>
      <c r="AT381" s="796">
        <v>0</v>
      </c>
      <c r="AU381" s="796">
        <v>0</v>
      </c>
      <c r="AV381" s="796">
        <v>0</v>
      </c>
      <c r="AW381" s="796">
        <v>0</v>
      </c>
      <c r="AX381" s="796">
        <v>0</v>
      </c>
      <c r="AY381" s="796">
        <v>0</v>
      </c>
      <c r="AZ381" s="796">
        <v>0</v>
      </c>
      <c r="BA381" s="796">
        <v>0</v>
      </c>
      <c r="BB381" s="796">
        <v>0</v>
      </c>
      <c r="BC381" s="810">
        <v>78940</v>
      </c>
      <c r="BD381" s="796">
        <v>0</v>
      </c>
      <c r="BE381" s="796">
        <v>0</v>
      </c>
      <c r="BF381" s="796">
        <v>0</v>
      </c>
      <c r="BG381" s="796">
        <v>0</v>
      </c>
      <c r="BH381" s="796">
        <v>0</v>
      </c>
      <c r="BI381" s="796">
        <v>0</v>
      </c>
      <c r="BJ381" s="796">
        <v>0</v>
      </c>
      <c r="BK381" s="796">
        <v>0</v>
      </c>
      <c r="BL381" s="796">
        <v>0</v>
      </c>
      <c r="BM381" s="796">
        <v>0</v>
      </c>
      <c r="BN381" s="796">
        <v>0</v>
      </c>
      <c r="BO381" s="796">
        <v>0</v>
      </c>
      <c r="BP381" s="796">
        <v>0</v>
      </c>
      <c r="BQ381" s="796">
        <v>0</v>
      </c>
      <c r="BR381" s="796">
        <v>0</v>
      </c>
      <c r="BS381" s="796">
        <v>0</v>
      </c>
      <c r="BT381" s="796">
        <v>0</v>
      </c>
      <c r="BU381" s="796">
        <v>0</v>
      </c>
      <c r="BV381" s="796">
        <v>0</v>
      </c>
    </row>
    <row r="382" spans="2:74">
      <c r="B382" s="795" t="s">
        <v>3298</v>
      </c>
      <c r="C382" s="795" t="s">
        <v>3216</v>
      </c>
      <c r="D382" s="795"/>
      <c r="E382" s="796"/>
      <c r="F382" s="799"/>
      <c r="G382" s="799"/>
      <c r="H382" s="799"/>
      <c r="I382" s="799"/>
      <c r="J382" s="799"/>
      <c r="K382" s="799"/>
      <c r="L382" s="799"/>
      <c r="M382" s="799"/>
      <c r="N382" s="595"/>
      <c r="O382" s="794">
        <v>0</v>
      </c>
      <c r="P382" s="794">
        <v>0</v>
      </c>
      <c r="Q382" s="794">
        <v>0</v>
      </c>
      <c r="R382" s="794">
        <v>0</v>
      </c>
      <c r="S382" s="796">
        <v>0</v>
      </c>
      <c r="T382" s="796">
        <v>0</v>
      </c>
      <c r="U382" s="796">
        <v>0</v>
      </c>
      <c r="V382" s="796">
        <v>0</v>
      </c>
      <c r="W382" s="796">
        <v>0</v>
      </c>
      <c r="X382" s="796">
        <v>0</v>
      </c>
      <c r="Y382" s="796">
        <v>0</v>
      </c>
      <c r="Z382" s="796">
        <v>0</v>
      </c>
      <c r="AA382" s="796">
        <v>0</v>
      </c>
      <c r="AB382" s="796">
        <v>0</v>
      </c>
      <c r="AC382" s="796">
        <v>0</v>
      </c>
      <c r="AD382" s="796">
        <v>0</v>
      </c>
      <c r="AE382" s="796">
        <v>0</v>
      </c>
      <c r="AF382" s="796">
        <v>0</v>
      </c>
      <c r="AG382" s="796">
        <v>0</v>
      </c>
      <c r="AH382" s="796">
        <v>0</v>
      </c>
      <c r="AI382" s="796">
        <v>0</v>
      </c>
      <c r="AJ382" s="796">
        <v>0</v>
      </c>
      <c r="AK382" s="796">
        <v>0</v>
      </c>
      <c r="AL382" s="796">
        <v>0</v>
      </c>
      <c r="AM382" s="796">
        <v>0</v>
      </c>
      <c r="AN382" s="796">
        <v>0</v>
      </c>
      <c r="AO382" s="796">
        <v>0</v>
      </c>
      <c r="AP382" s="796">
        <v>0</v>
      </c>
      <c r="AQ382" s="796">
        <v>0</v>
      </c>
      <c r="AR382" s="796">
        <v>0</v>
      </c>
      <c r="AS382" s="796">
        <v>0</v>
      </c>
      <c r="AT382" s="796">
        <v>0</v>
      </c>
      <c r="AU382" s="796">
        <v>0</v>
      </c>
      <c r="AV382" s="796">
        <v>0</v>
      </c>
      <c r="AW382" s="796">
        <v>0</v>
      </c>
      <c r="AX382" s="796">
        <v>0</v>
      </c>
      <c r="AY382" s="796">
        <v>0</v>
      </c>
      <c r="AZ382" s="796">
        <v>0</v>
      </c>
      <c r="BA382" s="796">
        <v>0</v>
      </c>
      <c r="BB382" s="796">
        <v>0</v>
      </c>
      <c r="BC382" s="796">
        <v>0</v>
      </c>
      <c r="BD382" s="810">
        <v>28290.5</v>
      </c>
      <c r="BE382" s="796">
        <v>6868</v>
      </c>
      <c r="BF382" s="796">
        <v>0</v>
      </c>
      <c r="BG382" s="796">
        <v>0</v>
      </c>
      <c r="BH382" s="796">
        <v>102689</v>
      </c>
      <c r="BI382" s="796">
        <v>0</v>
      </c>
      <c r="BJ382" s="796">
        <v>0</v>
      </c>
      <c r="BK382" s="796">
        <v>0</v>
      </c>
      <c r="BL382" s="796">
        <v>0</v>
      </c>
      <c r="BM382" s="796">
        <v>0</v>
      </c>
      <c r="BN382" s="796">
        <v>0</v>
      </c>
      <c r="BO382" s="796">
        <v>0</v>
      </c>
      <c r="BP382" s="796">
        <v>0</v>
      </c>
      <c r="BQ382" s="796">
        <v>0</v>
      </c>
      <c r="BR382" s="796">
        <v>0</v>
      </c>
      <c r="BS382" s="796">
        <v>0</v>
      </c>
      <c r="BT382" s="796">
        <v>0</v>
      </c>
      <c r="BU382" s="796">
        <v>0</v>
      </c>
      <c r="BV382" s="796">
        <v>0</v>
      </c>
    </row>
    <row r="383" spans="2:74">
      <c r="B383" s="795" t="s">
        <v>817</v>
      </c>
      <c r="C383" s="795" t="s">
        <v>3299</v>
      </c>
      <c r="D383" s="795"/>
      <c r="E383" s="796"/>
      <c r="F383" s="799"/>
      <c r="G383" s="799"/>
      <c r="H383" s="799"/>
      <c r="I383" s="799"/>
      <c r="J383" s="799"/>
      <c r="K383" s="799"/>
      <c r="L383" s="799"/>
      <c r="M383" s="799"/>
      <c r="N383" s="595"/>
      <c r="O383" s="794">
        <v>0</v>
      </c>
      <c r="P383" s="794">
        <v>0</v>
      </c>
      <c r="Q383" s="794">
        <v>0</v>
      </c>
      <c r="R383" s="794">
        <v>0</v>
      </c>
      <c r="S383" s="796">
        <v>0</v>
      </c>
      <c r="T383" s="796">
        <v>0</v>
      </c>
      <c r="U383" s="796">
        <v>0</v>
      </c>
      <c r="V383" s="796">
        <v>0</v>
      </c>
      <c r="W383" s="796">
        <v>0</v>
      </c>
      <c r="X383" s="796">
        <v>0</v>
      </c>
      <c r="Y383" s="796">
        <v>0</v>
      </c>
      <c r="Z383" s="796">
        <v>0</v>
      </c>
      <c r="AA383" s="796">
        <v>0</v>
      </c>
      <c r="AB383" s="796">
        <v>0</v>
      </c>
      <c r="AC383" s="796">
        <v>0</v>
      </c>
      <c r="AD383" s="796">
        <v>0</v>
      </c>
      <c r="AE383" s="796">
        <v>0</v>
      </c>
      <c r="AF383" s="796">
        <v>0</v>
      </c>
      <c r="AG383" s="796">
        <v>0</v>
      </c>
      <c r="AH383" s="796">
        <v>0</v>
      </c>
      <c r="AI383" s="796">
        <v>0</v>
      </c>
      <c r="AJ383" s="796">
        <v>0</v>
      </c>
      <c r="AK383" s="796">
        <v>0</v>
      </c>
      <c r="AL383" s="796">
        <v>0</v>
      </c>
      <c r="AM383" s="796">
        <v>0</v>
      </c>
      <c r="AN383" s="796">
        <v>0</v>
      </c>
      <c r="AO383" s="796">
        <v>0</v>
      </c>
      <c r="AP383" s="796">
        <v>0</v>
      </c>
      <c r="AQ383" s="796">
        <v>0</v>
      </c>
      <c r="AR383" s="796">
        <v>0</v>
      </c>
      <c r="AS383" s="796">
        <v>0</v>
      </c>
      <c r="AT383" s="796">
        <v>0</v>
      </c>
      <c r="AU383" s="796">
        <v>0</v>
      </c>
      <c r="AV383" s="796">
        <v>0</v>
      </c>
      <c r="AW383" s="796">
        <v>0</v>
      </c>
      <c r="AX383" s="796">
        <v>0</v>
      </c>
      <c r="AY383" s="796">
        <v>0</v>
      </c>
      <c r="AZ383" s="796">
        <v>0</v>
      </c>
      <c r="BA383" s="796">
        <v>0</v>
      </c>
      <c r="BB383" s="796">
        <v>0</v>
      </c>
      <c r="BC383" s="796">
        <v>0</v>
      </c>
      <c r="BD383" s="810">
        <v>101660.34</v>
      </c>
      <c r="BE383" s="796">
        <v>278506.45</v>
      </c>
      <c r="BF383" s="796">
        <v>299165.06</v>
      </c>
      <c r="BG383" s="796">
        <v>442319.64</v>
      </c>
      <c r="BH383" s="796">
        <v>376094.24</v>
      </c>
      <c r="BI383" s="796">
        <v>203797.54</v>
      </c>
      <c r="BJ383" s="796">
        <v>146102.47</v>
      </c>
      <c r="BK383" s="796">
        <v>199649.33</v>
      </c>
      <c r="BL383" s="796">
        <v>137851.49</v>
      </c>
      <c r="BM383" s="796">
        <v>209514.03</v>
      </c>
      <c r="BN383" s="796">
        <v>207805.35</v>
      </c>
      <c r="BO383" s="796">
        <v>72520.289999999994</v>
      </c>
      <c r="BP383" s="796">
        <v>88054.399999999994</v>
      </c>
      <c r="BQ383" s="796">
        <v>44299.62</v>
      </c>
      <c r="BR383" s="796">
        <v>34566.61</v>
      </c>
      <c r="BS383" s="796">
        <v>155490.29</v>
      </c>
      <c r="BT383" s="796">
        <v>100726.76</v>
      </c>
      <c r="BU383" s="796">
        <v>325454.90000000002</v>
      </c>
      <c r="BV383" s="796">
        <v>188042.01</v>
      </c>
    </row>
    <row r="384" spans="2:74">
      <c r="B384" s="795" t="s">
        <v>843</v>
      </c>
      <c r="C384" s="795" t="s">
        <v>3300</v>
      </c>
      <c r="D384" s="795"/>
      <c r="E384" s="796"/>
      <c r="F384" s="799"/>
      <c r="G384" s="799"/>
      <c r="H384" s="799"/>
      <c r="I384" s="799"/>
      <c r="J384" s="799"/>
      <c r="K384" s="799"/>
      <c r="L384" s="799"/>
      <c r="M384" s="799"/>
      <c r="N384" s="595"/>
      <c r="O384" s="794">
        <v>0</v>
      </c>
      <c r="P384" s="794">
        <v>0</v>
      </c>
      <c r="Q384" s="794">
        <v>0</v>
      </c>
      <c r="R384" s="794">
        <v>0</v>
      </c>
      <c r="S384" s="796">
        <v>0</v>
      </c>
      <c r="T384" s="796">
        <v>0</v>
      </c>
      <c r="U384" s="796">
        <v>0</v>
      </c>
      <c r="V384" s="796">
        <v>0</v>
      </c>
      <c r="W384" s="796">
        <v>0</v>
      </c>
      <c r="X384" s="796">
        <v>0</v>
      </c>
      <c r="Y384" s="796">
        <v>0</v>
      </c>
      <c r="Z384" s="796">
        <v>0</v>
      </c>
      <c r="AA384" s="796">
        <v>0</v>
      </c>
      <c r="AB384" s="796">
        <v>0</v>
      </c>
      <c r="AC384" s="796">
        <v>0</v>
      </c>
      <c r="AD384" s="796">
        <v>0</v>
      </c>
      <c r="AE384" s="796">
        <v>0</v>
      </c>
      <c r="AF384" s="796">
        <v>0</v>
      </c>
      <c r="AG384" s="796">
        <v>0</v>
      </c>
      <c r="AH384" s="796">
        <v>0</v>
      </c>
      <c r="AI384" s="796">
        <v>0</v>
      </c>
      <c r="AJ384" s="796">
        <v>0</v>
      </c>
      <c r="AK384" s="796">
        <v>0</v>
      </c>
      <c r="AL384" s="796">
        <v>0</v>
      </c>
      <c r="AM384" s="796">
        <v>0</v>
      </c>
      <c r="AN384" s="796">
        <v>0</v>
      </c>
      <c r="AO384" s="796">
        <v>0</v>
      </c>
      <c r="AP384" s="796">
        <v>0</v>
      </c>
      <c r="AQ384" s="796">
        <v>0</v>
      </c>
      <c r="AR384" s="796">
        <v>0</v>
      </c>
      <c r="AS384" s="796">
        <v>0</v>
      </c>
      <c r="AT384" s="796">
        <v>0</v>
      </c>
      <c r="AU384" s="796">
        <v>0</v>
      </c>
      <c r="AV384" s="796">
        <v>0</v>
      </c>
      <c r="AW384" s="796">
        <v>0</v>
      </c>
      <c r="AX384" s="796">
        <v>0</v>
      </c>
      <c r="AY384" s="796">
        <v>0</v>
      </c>
      <c r="AZ384" s="796">
        <v>0</v>
      </c>
      <c r="BA384" s="796">
        <v>0</v>
      </c>
      <c r="BB384" s="796">
        <v>0</v>
      </c>
      <c r="BC384" s="796">
        <v>0</v>
      </c>
      <c r="BD384" s="810">
        <v>37666.5</v>
      </c>
      <c r="BE384" s="796">
        <v>80266.27</v>
      </c>
      <c r="BF384" s="796">
        <v>48985.13</v>
      </c>
      <c r="BG384" s="796">
        <v>84391.5</v>
      </c>
      <c r="BH384" s="796">
        <v>101149.12</v>
      </c>
      <c r="BI384" s="796">
        <v>67941.86</v>
      </c>
      <c r="BJ384" s="796">
        <v>76581.279999999999</v>
      </c>
      <c r="BK384" s="796">
        <v>106456.71</v>
      </c>
      <c r="BL384" s="796">
        <v>66738.509999999995</v>
      </c>
      <c r="BM384" s="796">
        <v>99544.88</v>
      </c>
      <c r="BN384" s="796">
        <v>22352.12</v>
      </c>
      <c r="BO384" s="796">
        <v>0</v>
      </c>
      <c r="BP384" s="796">
        <v>0</v>
      </c>
      <c r="BQ384" s="796">
        <v>13808.33</v>
      </c>
      <c r="BR384" s="796">
        <v>28555.17</v>
      </c>
      <c r="BS384" s="796">
        <v>66572.77</v>
      </c>
      <c r="BT384" s="796">
        <v>190412.69</v>
      </c>
      <c r="BU384" s="796">
        <v>94228.98</v>
      </c>
      <c r="BV384" s="796">
        <v>51323.32</v>
      </c>
    </row>
    <row r="385" spans="2:74">
      <c r="B385" s="795" t="s">
        <v>813</v>
      </c>
      <c r="C385" s="795" t="s">
        <v>698</v>
      </c>
      <c r="D385" s="795"/>
      <c r="E385" s="796"/>
      <c r="F385" s="799"/>
      <c r="G385" s="799"/>
      <c r="H385" s="799"/>
      <c r="I385" s="799"/>
      <c r="J385" s="799"/>
      <c r="K385" s="799"/>
      <c r="L385" s="799"/>
      <c r="M385" s="799"/>
      <c r="N385" s="595"/>
      <c r="O385" s="794">
        <v>0</v>
      </c>
      <c r="P385" s="794">
        <v>0</v>
      </c>
      <c r="Q385" s="794">
        <v>0</v>
      </c>
      <c r="R385" s="794">
        <v>0</v>
      </c>
      <c r="S385" s="796">
        <v>0</v>
      </c>
      <c r="T385" s="796">
        <v>0</v>
      </c>
      <c r="U385" s="796">
        <v>0</v>
      </c>
      <c r="V385" s="796">
        <v>0</v>
      </c>
      <c r="W385" s="796">
        <v>0</v>
      </c>
      <c r="X385" s="796">
        <v>0</v>
      </c>
      <c r="Y385" s="796">
        <v>0</v>
      </c>
      <c r="Z385" s="796">
        <v>0</v>
      </c>
      <c r="AA385" s="796">
        <v>0</v>
      </c>
      <c r="AB385" s="796">
        <v>0</v>
      </c>
      <c r="AC385" s="796">
        <v>0</v>
      </c>
      <c r="AD385" s="796">
        <v>0</v>
      </c>
      <c r="AE385" s="796">
        <v>0</v>
      </c>
      <c r="AF385" s="796">
        <v>0</v>
      </c>
      <c r="AG385" s="796">
        <v>0</v>
      </c>
      <c r="AH385" s="796">
        <v>0</v>
      </c>
      <c r="AI385" s="796">
        <v>0</v>
      </c>
      <c r="AJ385" s="796">
        <v>0</v>
      </c>
      <c r="AK385" s="796">
        <v>0</v>
      </c>
      <c r="AL385" s="796">
        <v>0</v>
      </c>
      <c r="AM385" s="796">
        <v>0</v>
      </c>
      <c r="AN385" s="796">
        <v>0</v>
      </c>
      <c r="AO385" s="796">
        <v>0</v>
      </c>
      <c r="AP385" s="796">
        <v>0</v>
      </c>
      <c r="AQ385" s="796">
        <v>0</v>
      </c>
      <c r="AR385" s="796">
        <v>0</v>
      </c>
      <c r="AS385" s="796">
        <v>0</v>
      </c>
      <c r="AT385" s="796">
        <v>0</v>
      </c>
      <c r="AU385" s="796">
        <v>0</v>
      </c>
      <c r="AV385" s="796">
        <v>0</v>
      </c>
      <c r="AW385" s="796">
        <v>0</v>
      </c>
      <c r="AX385" s="796">
        <v>0</v>
      </c>
      <c r="AY385" s="796">
        <v>0</v>
      </c>
      <c r="AZ385" s="796">
        <v>0</v>
      </c>
      <c r="BA385" s="796">
        <v>0</v>
      </c>
      <c r="BB385" s="796">
        <v>0</v>
      </c>
      <c r="BC385" s="796">
        <v>0</v>
      </c>
      <c r="BD385" s="810">
        <v>100554.18</v>
      </c>
      <c r="BE385" s="796">
        <v>168264.03</v>
      </c>
      <c r="BF385" s="796">
        <v>96005.03</v>
      </c>
      <c r="BG385" s="796">
        <v>59075.63</v>
      </c>
      <c r="BH385" s="796">
        <v>185632</v>
      </c>
      <c r="BI385" s="796">
        <v>470661.12</v>
      </c>
      <c r="BJ385" s="796">
        <v>0</v>
      </c>
      <c r="BK385" s="796">
        <v>0</v>
      </c>
      <c r="BL385" s="796">
        <v>58850</v>
      </c>
      <c r="BM385" s="796">
        <v>23406.3</v>
      </c>
      <c r="BN385" s="796">
        <v>0</v>
      </c>
      <c r="BO385" s="796">
        <v>0</v>
      </c>
      <c r="BP385" s="796">
        <v>28571</v>
      </c>
      <c r="BQ385" s="796">
        <v>2500</v>
      </c>
      <c r="BR385" s="796">
        <v>47470.89</v>
      </c>
      <c r="BS385" s="796">
        <v>105075.45</v>
      </c>
      <c r="BT385" s="796">
        <v>204214.83</v>
      </c>
      <c r="BU385" s="796">
        <v>128651.52499999999</v>
      </c>
      <c r="BV385" s="796">
        <v>54930.96</v>
      </c>
    </row>
    <row r="386" spans="2:74">
      <c r="B386" s="795" t="s">
        <v>3301</v>
      </c>
      <c r="C386" s="795" t="s">
        <v>535</v>
      </c>
      <c r="D386" s="795"/>
      <c r="E386" s="796"/>
      <c r="F386" s="799"/>
      <c r="G386" s="799"/>
      <c r="H386" s="799"/>
      <c r="I386" s="799"/>
      <c r="J386" s="799"/>
      <c r="K386" s="799"/>
      <c r="L386" s="799"/>
      <c r="M386" s="799"/>
      <c r="N386" s="595"/>
      <c r="O386" s="794">
        <v>0</v>
      </c>
      <c r="P386" s="794">
        <v>0</v>
      </c>
      <c r="Q386" s="794">
        <v>0</v>
      </c>
      <c r="R386" s="794">
        <v>0</v>
      </c>
      <c r="S386" s="796">
        <v>0</v>
      </c>
      <c r="T386" s="796">
        <v>0</v>
      </c>
      <c r="U386" s="796">
        <v>0</v>
      </c>
      <c r="V386" s="796">
        <v>0</v>
      </c>
      <c r="W386" s="796">
        <v>0</v>
      </c>
      <c r="X386" s="796">
        <v>0</v>
      </c>
      <c r="Y386" s="796">
        <v>0</v>
      </c>
      <c r="Z386" s="796">
        <v>0</v>
      </c>
      <c r="AA386" s="796">
        <v>0</v>
      </c>
      <c r="AB386" s="796">
        <v>0</v>
      </c>
      <c r="AC386" s="796">
        <v>0</v>
      </c>
      <c r="AD386" s="796">
        <v>0</v>
      </c>
      <c r="AE386" s="796">
        <v>0</v>
      </c>
      <c r="AF386" s="796">
        <v>0</v>
      </c>
      <c r="AG386" s="796">
        <v>0</v>
      </c>
      <c r="AH386" s="796">
        <v>0</v>
      </c>
      <c r="AI386" s="796">
        <v>0</v>
      </c>
      <c r="AJ386" s="796">
        <v>0</v>
      </c>
      <c r="AK386" s="796">
        <v>0</v>
      </c>
      <c r="AL386" s="796">
        <v>0</v>
      </c>
      <c r="AM386" s="796">
        <v>0</v>
      </c>
      <c r="AN386" s="796">
        <v>0</v>
      </c>
      <c r="AO386" s="796">
        <v>0</v>
      </c>
      <c r="AP386" s="796">
        <v>0</v>
      </c>
      <c r="AQ386" s="796">
        <v>0</v>
      </c>
      <c r="AR386" s="796">
        <v>0</v>
      </c>
      <c r="AS386" s="796">
        <v>0</v>
      </c>
      <c r="AT386" s="796">
        <v>0</v>
      </c>
      <c r="AU386" s="796">
        <v>0</v>
      </c>
      <c r="AV386" s="796">
        <v>0</v>
      </c>
      <c r="AW386" s="796">
        <v>0</v>
      </c>
      <c r="AX386" s="796">
        <v>0</v>
      </c>
      <c r="AY386" s="796">
        <v>0</v>
      </c>
      <c r="AZ386" s="796">
        <v>0</v>
      </c>
      <c r="BA386" s="796">
        <v>0</v>
      </c>
      <c r="BB386" s="796">
        <v>0</v>
      </c>
      <c r="BC386" s="796">
        <v>0</v>
      </c>
      <c r="BD386" s="810">
        <v>24594</v>
      </c>
      <c r="BE386" s="796">
        <v>161378</v>
      </c>
      <c r="BF386" s="796">
        <v>138797.35999999999</v>
      </c>
      <c r="BG386" s="796">
        <v>225216.01</v>
      </c>
      <c r="BH386" s="796">
        <v>0</v>
      </c>
      <c r="BI386" s="796">
        <v>35000</v>
      </c>
      <c r="BJ386" s="796">
        <v>57200</v>
      </c>
      <c r="BK386" s="796">
        <v>13000</v>
      </c>
      <c r="BL386" s="796">
        <v>0</v>
      </c>
      <c r="BM386" s="796">
        <v>38300</v>
      </c>
      <c r="BN386" s="796">
        <v>35900</v>
      </c>
      <c r="BO386" s="796">
        <v>0</v>
      </c>
      <c r="BP386" s="796">
        <v>0</v>
      </c>
      <c r="BQ386" s="796">
        <v>0</v>
      </c>
      <c r="BR386" s="796">
        <v>0</v>
      </c>
      <c r="BS386" s="796">
        <v>0</v>
      </c>
      <c r="BT386" s="796">
        <v>0</v>
      </c>
      <c r="BU386" s="796">
        <v>0</v>
      </c>
      <c r="BV386" s="796">
        <v>0</v>
      </c>
    </row>
    <row r="387" spans="2:74">
      <c r="B387" s="795" t="s">
        <v>3302</v>
      </c>
      <c r="C387" s="795" t="s">
        <v>3269</v>
      </c>
      <c r="D387" s="795"/>
      <c r="E387" s="796"/>
      <c r="F387" s="799"/>
      <c r="G387" s="799"/>
      <c r="H387" s="799"/>
      <c r="I387" s="799"/>
      <c r="J387" s="799"/>
      <c r="K387" s="799"/>
      <c r="L387" s="799"/>
      <c r="M387" s="799"/>
      <c r="N387" s="595"/>
      <c r="O387" s="794">
        <v>0</v>
      </c>
      <c r="P387" s="794">
        <v>0</v>
      </c>
      <c r="Q387" s="794">
        <v>0</v>
      </c>
      <c r="R387" s="794">
        <v>0</v>
      </c>
      <c r="S387" s="796">
        <v>0</v>
      </c>
      <c r="T387" s="796">
        <v>0</v>
      </c>
      <c r="U387" s="796">
        <v>0</v>
      </c>
      <c r="V387" s="796">
        <v>0</v>
      </c>
      <c r="W387" s="796">
        <v>0</v>
      </c>
      <c r="X387" s="796">
        <v>0</v>
      </c>
      <c r="Y387" s="796">
        <v>0</v>
      </c>
      <c r="Z387" s="796">
        <v>0</v>
      </c>
      <c r="AA387" s="796">
        <v>0</v>
      </c>
      <c r="AB387" s="796">
        <v>0</v>
      </c>
      <c r="AC387" s="796">
        <v>0</v>
      </c>
      <c r="AD387" s="796">
        <v>0</v>
      </c>
      <c r="AE387" s="796">
        <v>0</v>
      </c>
      <c r="AF387" s="796">
        <v>0</v>
      </c>
      <c r="AG387" s="796">
        <v>0</v>
      </c>
      <c r="AH387" s="796">
        <v>0</v>
      </c>
      <c r="AI387" s="796">
        <v>0</v>
      </c>
      <c r="AJ387" s="796">
        <v>0</v>
      </c>
      <c r="AK387" s="796">
        <v>0</v>
      </c>
      <c r="AL387" s="796">
        <v>0</v>
      </c>
      <c r="AM387" s="796">
        <v>0</v>
      </c>
      <c r="AN387" s="796">
        <v>0</v>
      </c>
      <c r="AO387" s="796">
        <v>0</v>
      </c>
      <c r="AP387" s="796">
        <v>0</v>
      </c>
      <c r="AQ387" s="796">
        <v>0</v>
      </c>
      <c r="AR387" s="796">
        <v>0</v>
      </c>
      <c r="AS387" s="796">
        <v>0</v>
      </c>
      <c r="AT387" s="796">
        <v>0</v>
      </c>
      <c r="AU387" s="796">
        <v>0</v>
      </c>
      <c r="AV387" s="796">
        <v>0</v>
      </c>
      <c r="AW387" s="796">
        <v>0</v>
      </c>
      <c r="AX387" s="796">
        <v>0</v>
      </c>
      <c r="AY387" s="796">
        <v>0</v>
      </c>
      <c r="AZ387" s="796">
        <v>0</v>
      </c>
      <c r="BA387" s="796">
        <v>0</v>
      </c>
      <c r="BB387" s="796">
        <v>0</v>
      </c>
      <c r="BC387" s="796">
        <v>0</v>
      </c>
      <c r="BD387" s="810">
        <v>80000</v>
      </c>
      <c r="BE387" s="796">
        <v>70175</v>
      </c>
      <c r="BF387" s="796">
        <v>0</v>
      </c>
      <c r="BG387" s="796">
        <v>0</v>
      </c>
      <c r="BH387" s="796">
        <v>0</v>
      </c>
      <c r="BI387" s="796">
        <v>0</v>
      </c>
      <c r="BJ387" s="796">
        <v>0</v>
      </c>
      <c r="BK387" s="796">
        <v>0</v>
      </c>
      <c r="BL387" s="796">
        <v>0</v>
      </c>
      <c r="BM387" s="796">
        <v>0</v>
      </c>
      <c r="BN387" s="796">
        <v>0</v>
      </c>
      <c r="BO387" s="796">
        <v>0</v>
      </c>
      <c r="BP387" s="796">
        <v>0</v>
      </c>
      <c r="BQ387" s="796">
        <v>0</v>
      </c>
      <c r="BR387" s="796">
        <v>0</v>
      </c>
      <c r="BS387" s="796">
        <v>0</v>
      </c>
      <c r="BT387" s="796">
        <v>0</v>
      </c>
      <c r="BU387" s="796">
        <v>0</v>
      </c>
      <c r="BV387" s="796">
        <v>0</v>
      </c>
    </row>
    <row r="388" spans="2:74">
      <c r="B388" s="795" t="s">
        <v>608</v>
      </c>
      <c r="C388" s="795" t="s">
        <v>3303</v>
      </c>
      <c r="D388" s="795"/>
      <c r="E388" s="796"/>
      <c r="F388" s="799"/>
      <c r="G388" s="799"/>
      <c r="H388" s="799"/>
      <c r="I388" s="799"/>
      <c r="J388" s="799"/>
      <c r="K388" s="799"/>
      <c r="L388" s="799"/>
      <c r="M388" s="799"/>
      <c r="N388" s="595"/>
      <c r="O388" s="794">
        <v>0</v>
      </c>
      <c r="P388" s="794">
        <v>0</v>
      </c>
      <c r="Q388" s="794">
        <v>0</v>
      </c>
      <c r="R388" s="794">
        <v>0</v>
      </c>
      <c r="S388" s="796">
        <v>0</v>
      </c>
      <c r="T388" s="796">
        <v>0</v>
      </c>
      <c r="U388" s="796">
        <v>0</v>
      </c>
      <c r="V388" s="796">
        <v>0</v>
      </c>
      <c r="W388" s="796">
        <v>0</v>
      </c>
      <c r="X388" s="796">
        <v>0</v>
      </c>
      <c r="Y388" s="796">
        <v>0</v>
      </c>
      <c r="Z388" s="796">
        <v>0</v>
      </c>
      <c r="AA388" s="796">
        <v>0</v>
      </c>
      <c r="AB388" s="796">
        <v>0</v>
      </c>
      <c r="AC388" s="796">
        <v>0</v>
      </c>
      <c r="AD388" s="796">
        <v>0</v>
      </c>
      <c r="AE388" s="796">
        <v>0</v>
      </c>
      <c r="AF388" s="796">
        <v>0</v>
      </c>
      <c r="AG388" s="796">
        <v>0</v>
      </c>
      <c r="AH388" s="796">
        <v>0</v>
      </c>
      <c r="AI388" s="796">
        <v>0</v>
      </c>
      <c r="AJ388" s="796">
        <v>0</v>
      </c>
      <c r="AK388" s="796">
        <v>0</v>
      </c>
      <c r="AL388" s="796">
        <v>0</v>
      </c>
      <c r="AM388" s="796">
        <v>0</v>
      </c>
      <c r="AN388" s="796">
        <v>0</v>
      </c>
      <c r="AO388" s="796">
        <v>0</v>
      </c>
      <c r="AP388" s="796">
        <v>0</v>
      </c>
      <c r="AQ388" s="796">
        <v>0</v>
      </c>
      <c r="AR388" s="796">
        <v>0</v>
      </c>
      <c r="AS388" s="796">
        <v>0</v>
      </c>
      <c r="AT388" s="796">
        <v>0</v>
      </c>
      <c r="AU388" s="796">
        <v>0</v>
      </c>
      <c r="AV388" s="796">
        <v>0</v>
      </c>
      <c r="AW388" s="796">
        <v>0</v>
      </c>
      <c r="AX388" s="796">
        <v>0</v>
      </c>
      <c r="AY388" s="796">
        <v>0</v>
      </c>
      <c r="AZ388" s="796">
        <v>0</v>
      </c>
      <c r="BA388" s="796">
        <v>0</v>
      </c>
      <c r="BB388" s="796">
        <v>0</v>
      </c>
      <c r="BC388" s="796">
        <v>0</v>
      </c>
      <c r="BD388" s="810">
        <v>138301.07</v>
      </c>
      <c r="BE388" s="796">
        <v>50789.31</v>
      </c>
      <c r="BF388" s="796">
        <v>0</v>
      </c>
      <c r="BG388" s="796">
        <v>71484.84</v>
      </c>
      <c r="BH388" s="796">
        <v>0</v>
      </c>
      <c r="BI388" s="796">
        <v>0</v>
      </c>
      <c r="BJ388" s="796">
        <v>0</v>
      </c>
      <c r="BK388" s="796">
        <v>0</v>
      </c>
      <c r="BL388" s="796">
        <v>0</v>
      </c>
      <c r="BM388" s="796">
        <v>38570.39</v>
      </c>
      <c r="BN388" s="796">
        <v>107809.11</v>
      </c>
      <c r="BO388" s="796">
        <v>0</v>
      </c>
      <c r="BP388" s="796">
        <v>0</v>
      </c>
      <c r="BQ388" s="796">
        <v>0</v>
      </c>
      <c r="BR388" s="796">
        <v>0</v>
      </c>
      <c r="BS388" s="796">
        <v>0</v>
      </c>
      <c r="BT388" s="796">
        <v>0</v>
      </c>
      <c r="BU388" s="796">
        <v>0</v>
      </c>
      <c r="BV388" s="796">
        <v>0</v>
      </c>
    </row>
    <row r="389" spans="2:74">
      <c r="B389" s="795" t="s">
        <v>3304</v>
      </c>
      <c r="C389" s="795" t="s">
        <v>2743</v>
      </c>
      <c r="D389" s="795"/>
      <c r="E389" s="796"/>
      <c r="F389" s="799"/>
      <c r="G389" s="799"/>
      <c r="H389" s="799"/>
      <c r="I389" s="799"/>
      <c r="J389" s="799"/>
      <c r="K389" s="799"/>
      <c r="L389" s="799"/>
      <c r="M389" s="799"/>
      <c r="N389" s="595"/>
      <c r="O389" s="794">
        <v>0</v>
      </c>
      <c r="P389" s="794">
        <v>0</v>
      </c>
      <c r="Q389" s="794">
        <v>0</v>
      </c>
      <c r="R389" s="794">
        <v>0</v>
      </c>
      <c r="S389" s="796">
        <v>0</v>
      </c>
      <c r="T389" s="796">
        <v>0</v>
      </c>
      <c r="U389" s="796">
        <v>0</v>
      </c>
      <c r="V389" s="796">
        <v>0</v>
      </c>
      <c r="W389" s="796">
        <v>0</v>
      </c>
      <c r="X389" s="796">
        <v>0</v>
      </c>
      <c r="Y389" s="796">
        <v>0</v>
      </c>
      <c r="Z389" s="796">
        <v>0</v>
      </c>
      <c r="AA389" s="796">
        <v>0</v>
      </c>
      <c r="AB389" s="796">
        <v>0</v>
      </c>
      <c r="AC389" s="796">
        <v>0</v>
      </c>
      <c r="AD389" s="796">
        <v>0</v>
      </c>
      <c r="AE389" s="796">
        <v>0</v>
      </c>
      <c r="AF389" s="796">
        <v>0</v>
      </c>
      <c r="AG389" s="796">
        <v>0</v>
      </c>
      <c r="AH389" s="796">
        <v>0</v>
      </c>
      <c r="AI389" s="796">
        <v>0</v>
      </c>
      <c r="AJ389" s="796">
        <v>0</v>
      </c>
      <c r="AK389" s="796">
        <v>0</v>
      </c>
      <c r="AL389" s="796">
        <v>0</v>
      </c>
      <c r="AM389" s="796">
        <v>0</v>
      </c>
      <c r="AN389" s="796">
        <v>0</v>
      </c>
      <c r="AO389" s="796">
        <v>0</v>
      </c>
      <c r="AP389" s="796">
        <v>0</v>
      </c>
      <c r="AQ389" s="796">
        <v>0</v>
      </c>
      <c r="AR389" s="796">
        <v>0</v>
      </c>
      <c r="AS389" s="796">
        <v>0</v>
      </c>
      <c r="AT389" s="796">
        <v>0</v>
      </c>
      <c r="AU389" s="796">
        <v>0</v>
      </c>
      <c r="AV389" s="796">
        <v>0</v>
      </c>
      <c r="AW389" s="796">
        <v>0</v>
      </c>
      <c r="AX389" s="796">
        <v>0</v>
      </c>
      <c r="AY389" s="796">
        <v>0</v>
      </c>
      <c r="AZ389" s="796">
        <v>0</v>
      </c>
      <c r="BA389" s="796">
        <v>0</v>
      </c>
      <c r="BB389" s="796">
        <v>0</v>
      </c>
      <c r="BC389" s="796">
        <v>0</v>
      </c>
      <c r="BD389" s="810">
        <v>29862.78</v>
      </c>
      <c r="BE389" s="796">
        <v>101909.96</v>
      </c>
      <c r="BF389" s="796">
        <v>24400.97</v>
      </c>
      <c r="BG389" s="796">
        <v>68524.27</v>
      </c>
      <c r="BH389" s="796">
        <v>70608.490000000005</v>
      </c>
      <c r="BI389" s="796">
        <v>0</v>
      </c>
      <c r="BJ389" s="796">
        <v>0</v>
      </c>
      <c r="BK389" s="796">
        <v>0</v>
      </c>
      <c r="BL389" s="796">
        <v>0</v>
      </c>
      <c r="BM389" s="796">
        <v>0</v>
      </c>
      <c r="BN389" s="796">
        <v>0</v>
      </c>
      <c r="BO389" s="796">
        <v>0</v>
      </c>
      <c r="BP389" s="796">
        <v>0</v>
      </c>
      <c r="BQ389" s="796">
        <v>0</v>
      </c>
      <c r="BR389" s="796">
        <v>0</v>
      </c>
      <c r="BS389" s="796">
        <v>0</v>
      </c>
      <c r="BT389" s="796">
        <v>0</v>
      </c>
      <c r="BU389" s="796">
        <v>0</v>
      </c>
      <c r="BV389" s="796">
        <v>0</v>
      </c>
    </row>
    <row r="390" spans="2:74">
      <c r="B390" s="795" t="s">
        <v>3305</v>
      </c>
      <c r="C390" s="795" t="s">
        <v>604</v>
      </c>
      <c r="D390" s="795"/>
      <c r="E390" s="796"/>
      <c r="F390" s="799"/>
      <c r="G390" s="799"/>
      <c r="H390" s="799"/>
      <c r="I390" s="799"/>
      <c r="J390" s="799"/>
      <c r="K390" s="799"/>
      <c r="L390" s="799"/>
      <c r="M390" s="799"/>
      <c r="N390" s="595"/>
      <c r="O390" s="794">
        <v>0</v>
      </c>
      <c r="P390" s="794">
        <v>0</v>
      </c>
      <c r="Q390" s="794">
        <v>0</v>
      </c>
      <c r="R390" s="794">
        <v>0</v>
      </c>
      <c r="S390" s="796">
        <v>0</v>
      </c>
      <c r="T390" s="796">
        <v>0</v>
      </c>
      <c r="U390" s="796">
        <v>0</v>
      </c>
      <c r="V390" s="796">
        <v>0</v>
      </c>
      <c r="W390" s="796">
        <v>0</v>
      </c>
      <c r="X390" s="796">
        <v>0</v>
      </c>
      <c r="Y390" s="796">
        <v>0</v>
      </c>
      <c r="Z390" s="796">
        <v>0</v>
      </c>
      <c r="AA390" s="796">
        <v>0</v>
      </c>
      <c r="AB390" s="796">
        <v>0</v>
      </c>
      <c r="AC390" s="796">
        <v>0</v>
      </c>
      <c r="AD390" s="796">
        <v>0</v>
      </c>
      <c r="AE390" s="796">
        <v>0</v>
      </c>
      <c r="AF390" s="796">
        <v>0</v>
      </c>
      <c r="AG390" s="796">
        <v>0</v>
      </c>
      <c r="AH390" s="796">
        <v>0</v>
      </c>
      <c r="AI390" s="796">
        <v>0</v>
      </c>
      <c r="AJ390" s="796">
        <v>0</v>
      </c>
      <c r="AK390" s="796">
        <v>0</v>
      </c>
      <c r="AL390" s="796">
        <v>0</v>
      </c>
      <c r="AM390" s="796">
        <v>0</v>
      </c>
      <c r="AN390" s="796">
        <v>0</v>
      </c>
      <c r="AO390" s="796">
        <v>0</v>
      </c>
      <c r="AP390" s="796">
        <v>0</v>
      </c>
      <c r="AQ390" s="796">
        <v>0</v>
      </c>
      <c r="AR390" s="796">
        <v>0</v>
      </c>
      <c r="AS390" s="796">
        <v>0</v>
      </c>
      <c r="AT390" s="796">
        <v>0</v>
      </c>
      <c r="AU390" s="796">
        <v>0</v>
      </c>
      <c r="AV390" s="796">
        <v>0</v>
      </c>
      <c r="AW390" s="796">
        <v>0</v>
      </c>
      <c r="AX390" s="796">
        <v>0</v>
      </c>
      <c r="AY390" s="796">
        <v>0</v>
      </c>
      <c r="AZ390" s="796">
        <v>0</v>
      </c>
      <c r="BA390" s="796">
        <v>0</v>
      </c>
      <c r="BB390" s="796">
        <v>0</v>
      </c>
      <c r="BC390" s="796">
        <v>0</v>
      </c>
      <c r="BD390" s="810">
        <v>32291.86</v>
      </c>
      <c r="BE390" s="796">
        <v>18997.2</v>
      </c>
      <c r="BF390" s="796">
        <v>0</v>
      </c>
      <c r="BG390" s="796">
        <v>0</v>
      </c>
      <c r="BH390" s="796">
        <v>0</v>
      </c>
      <c r="BI390" s="796">
        <v>0</v>
      </c>
      <c r="BJ390" s="796">
        <v>0</v>
      </c>
      <c r="BK390" s="796">
        <v>0</v>
      </c>
      <c r="BL390" s="796">
        <v>0</v>
      </c>
      <c r="BM390" s="796">
        <v>0</v>
      </c>
      <c r="BN390" s="796">
        <v>0</v>
      </c>
      <c r="BO390" s="796">
        <v>0</v>
      </c>
      <c r="BP390" s="796">
        <v>0</v>
      </c>
      <c r="BQ390" s="796">
        <v>0</v>
      </c>
      <c r="BR390" s="796">
        <v>0</v>
      </c>
      <c r="BS390" s="796">
        <v>0</v>
      </c>
      <c r="BT390" s="796">
        <v>0</v>
      </c>
      <c r="BU390" s="796">
        <v>0</v>
      </c>
      <c r="BV390" s="796">
        <v>0</v>
      </c>
    </row>
    <row r="391" spans="2:74">
      <c r="B391" s="795" t="s">
        <v>3306</v>
      </c>
      <c r="C391" s="795" t="s">
        <v>3307</v>
      </c>
      <c r="D391" s="795"/>
      <c r="E391" s="796"/>
      <c r="F391" s="799"/>
      <c r="G391" s="799"/>
      <c r="H391" s="799"/>
      <c r="I391" s="799"/>
      <c r="J391" s="799"/>
      <c r="K391" s="799"/>
      <c r="L391" s="799"/>
      <c r="M391" s="799"/>
      <c r="N391" s="595"/>
      <c r="O391" s="794">
        <v>0</v>
      </c>
      <c r="P391" s="794">
        <v>0</v>
      </c>
      <c r="Q391" s="794">
        <v>0</v>
      </c>
      <c r="R391" s="794">
        <v>0</v>
      </c>
      <c r="S391" s="796">
        <v>0</v>
      </c>
      <c r="T391" s="796">
        <v>0</v>
      </c>
      <c r="U391" s="796">
        <v>0</v>
      </c>
      <c r="V391" s="796">
        <v>0</v>
      </c>
      <c r="W391" s="796">
        <v>0</v>
      </c>
      <c r="X391" s="796">
        <v>0</v>
      </c>
      <c r="Y391" s="796">
        <v>0</v>
      </c>
      <c r="Z391" s="796">
        <v>0</v>
      </c>
      <c r="AA391" s="796">
        <v>0</v>
      </c>
      <c r="AB391" s="796">
        <v>0</v>
      </c>
      <c r="AC391" s="796">
        <v>0</v>
      </c>
      <c r="AD391" s="796">
        <v>0</v>
      </c>
      <c r="AE391" s="796">
        <v>0</v>
      </c>
      <c r="AF391" s="796">
        <v>0</v>
      </c>
      <c r="AG391" s="796">
        <v>0</v>
      </c>
      <c r="AH391" s="796">
        <v>0</v>
      </c>
      <c r="AI391" s="796">
        <v>0</v>
      </c>
      <c r="AJ391" s="796">
        <v>0</v>
      </c>
      <c r="AK391" s="796">
        <v>0</v>
      </c>
      <c r="AL391" s="796">
        <v>0</v>
      </c>
      <c r="AM391" s="796">
        <v>0</v>
      </c>
      <c r="AN391" s="796">
        <v>0</v>
      </c>
      <c r="AO391" s="796">
        <v>0</v>
      </c>
      <c r="AP391" s="796">
        <v>0</v>
      </c>
      <c r="AQ391" s="796">
        <v>0</v>
      </c>
      <c r="AR391" s="796">
        <v>0</v>
      </c>
      <c r="AS391" s="796">
        <v>0</v>
      </c>
      <c r="AT391" s="796">
        <v>0</v>
      </c>
      <c r="AU391" s="796">
        <v>0</v>
      </c>
      <c r="AV391" s="796">
        <v>0</v>
      </c>
      <c r="AW391" s="796">
        <v>0</v>
      </c>
      <c r="AX391" s="796">
        <v>0</v>
      </c>
      <c r="AY391" s="796">
        <v>0</v>
      </c>
      <c r="AZ391" s="796">
        <v>0</v>
      </c>
      <c r="BA391" s="796">
        <v>0</v>
      </c>
      <c r="BB391" s="796">
        <v>0</v>
      </c>
      <c r="BC391" s="796">
        <v>0</v>
      </c>
      <c r="BD391" s="810">
        <v>12060.2</v>
      </c>
      <c r="BE391" s="796">
        <v>0</v>
      </c>
      <c r="BF391" s="796">
        <v>0</v>
      </c>
      <c r="BG391" s="796">
        <v>0</v>
      </c>
      <c r="BH391" s="796">
        <v>0</v>
      </c>
      <c r="BI391" s="796">
        <v>0</v>
      </c>
      <c r="BJ391" s="796">
        <v>0</v>
      </c>
      <c r="BK391" s="796">
        <v>0</v>
      </c>
      <c r="BL391" s="796">
        <v>0</v>
      </c>
      <c r="BM391" s="796">
        <v>0</v>
      </c>
      <c r="BN391" s="796">
        <v>0</v>
      </c>
      <c r="BO391" s="796">
        <v>0</v>
      </c>
      <c r="BP391" s="796">
        <v>0</v>
      </c>
      <c r="BQ391" s="796">
        <v>0</v>
      </c>
      <c r="BR391" s="796">
        <v>0</v>
      </c>
      <c r="BS391" s="796">
        <v>0</v>
      </c>
      <c r="BT391" s="796">
        <v>0</v>
      </c>
      <c r="BU391" s="796">
        <v>0</v>
      </c>
      <c r="BV391" s="796">
        <v>0</v>
      </c>
    </row>
    <row r="392" spans="2:74">
      <c r="B392" s="795" t="s">
        <v>3308</v>
      </c>
      <c r="C392" s="795" t="s">
        <v>3309</v>
      </c>
      <c r="D392" s="795"/>
      <c r="E392" s="796"/>
      <c r="F392" s="799"/>
      <c r="G392" s="799"/>
      <c r="H392" s="799"/>
      <c r="I392" s="799"/>
      <c r="J392" s="799"/>
      <c r="K392" s="799"/>
      <c r="L392" s="799"/>
      <c r="M392" s="799"/>
      <c r="N392" s="595"/>
      <c r="O392" s="794">
        <v>0</v>
      </c>
      <c r="P392" s="794">
        <v>0</v>
      </c>
      <c r="Q392" s="794">
        <v>0</v>
      </c>
      <c r="R392" s="794">
        <v>0</v>
      </c>
      <c r="S392" s="796">
        <v>0</v>
      </c>
      <c r="T392" s="796">
        <v>0</v>
      </c>
      <c r="U392" s="796">
        <v>0</v>
      </c>
      <c r="V392" s="796">
        <v>0</v>
      </c>
      <c r="W392" s="796">
        <v>0</v>
      </c>
      <c r="X392" s="796">
        <v>0</v>
      </c>
      <c r="Y392" s="796">
        <v>0</v>
      </c>
      <c r="Z392" s="796">
        <v>0</v>
      </c>
      <c r="AA392" s="796">
        <v>0</v>
      </c>
      <c r="AB392" s="796">
        <v>0</v>
      </c>
      <c r="AC392" s="796">
        <v>0</v>
      </c>
      <c r="AD392" s="796">
        <v>0</v>
      </c>
      <c r="AE392" s="796">
        <v>0</v>
      </c>
      <c r="AF392" s="796">
        <v>0</v>
      </c>
      <c r="AG392" s="796">
        <v>0</v>
      </c>
      <c r="AH392" s="796">
        <v>0</v>
      </c>
      <c r="AI392" s="796">
        <v>0</v>
      </c>
      <c r="AJ392" s="796">
        <v>0</v>
      </c>
      <c r="AK392" s="796">
        <v>0</v>
      </c>
      <c r="AL392" s="796">
        <v>0</v>
      </c>
      <c r="AM392" s="796">
        <v>0</v>
      </c>
      <c r="AN392" s="796">
        <v>0</v>
      </c>
      <c r="AO392" s="796">
        <v>0</v>
      </c>
      <c r="AP392" s="796">
        <v>0</v>
      </c>
      <c r="AQ392" s="796">
        <v>0</v>
      </c>
      <c r="AR392" s="796">
        <v>0</v>
      </c>
      <c r="AS392" s="796">
        <v>0</v>
      </c>
      <c r="AT392" s="796">
        <v>0</v>
      </c>
      <c r="AU392" s="796">
        <v>0</v>
      </c>
      <c r="AV392" s="796">
        <v>0</v>
      </c>
      <c r="AW392" s="796">
        <v>0</v>
      </c>
      <c r="AX392" s="796">
        <v>0</v>
      </c>
      <c r="AY392" s="796">
        <v>0</v>
      </c>
      <c r="AZ392" s="796">
        <v>0</v>
      </c>
      <c r="BA392" s="796">
        <v>0</v>
      </c>
      <c r="BB392" s="796">
        <v>0</v>
      </c>
      <c r="BC392" s="796">
        <v>0</v>
      </c>
      <c r="BD392" s="810">
        <v>102717.13</v>
      </c>
      <c r="BE392" s="796">
        <v>0</v>
      </c>
      <c r="BF392" s="796">
        <v>0</v>
      </c>
      <c r="BG392" s="796">
        <v>0</v>
      </c>
      <c r="BH392" s="796">
        <v>0</v>
      </c>
      <c r="BI392" s="796">
        <v>0</v>
      </c>
      <c r="BJ392" s="796">
        <v>0</v>
      </c>
      <c r="BK392" s="796">
        <v>0</v>
      </c>
      <c r="BL392" s="796">
        <v>0</v>
      </c>
      <c r="BM392" s="796">
        <v>0</v>
      </c>
      <c r="BN392" s="796">
        <v>0</v>
      </c>
      <c r="BO392" s="796">
        <v>0</v>
      </c>
      <c r="BP392" s="796">
        <v>0</v>
      </c>
      <c r="BQ392" s="796">
        <v>0</v>
      </c>
      <c r="BR392" s="796">
        <v>0</v>
      </c>
      <c r="BS392" s="796">
        <v>0</v>
      </c>
      <c r="BT392" s="796">
        <v>0</v>
      </c>
      <c r="BU392" s="796">
        <v>0</v>
      </c>
      <c r="BV392" s="796">
        <v>0</v>
      </c>
    </row>
    <row r="393" spans="2:74">
      <c r="B393" s="795" t="s">
        <v>533</v>
      </c>
      <c r="C393" s="795" t="s">
        <v>534</v>
      </c>
      <c r="D393" s="795"/>
      <c r="E393" s="796"/>
      <c r="F393" s="799"/>
      <c r="G393" s="799"/>
      <c r="H393" s="799"/>
      <c r="I393" s="799"/>
      <c r="J393" s="799"/>
      <c r="K393" s="799"/>
      <c r="L393" s="799"/>
      <c r="M393" s="799"/>
      <c r="N393" s="595"/>
      <c r="O393" s="794">
        <v>0</v>
      </c>
      <c r="P393" s="794">
        <v>0</v>
      </c>
      <c r="Q393" s="794">
        <v>0</v>
      </c>
      <c r="R393" s="794">
        <v>0</v>
      </c>
      <c r="S393" s="796">
        <v>0</v>
      </c>
      <c r="T393" s="796">
        <v>0</v>
      </c>
      <c r="U393" s="796">
        <v>0</v>
      </c>
      <c r="V393" s="796">
        <v>0</v>
      </c>
      <c r="W393" s="796">
        <v>0</v>
      </c>
      <c r="X393" s="796">
        <v>0</v>
      </c>
      <c r="Y393" s="796">
        <v>0</v>
      </c>
      <c r="Z393" s="796">
        <v>0</v>
      </c>
      <c r="AA393" s="796">
        <v>0</v>
      </c>
      <c r="AB393" s="796">
        <v>0</v>
      </c>
      <c r="AC393" s="796">
        <v>0</v>
      </c>
      <c r="AD393" s="796">
        <v>0</v>
      </c>
      <c r="AE393" s="796">
        <v>0</v>
      </c>
      <c r="AF393" s="796">
        <v>0</v>
      </c>
      <c r="AG393" s="796">
        <v>0</v>
      </c>
      <c r="AH393" s="796">
        <v>0</v>
      </c>
      <c r="AI393" s="796">
        <v>0</v>
      </c>
      <c r="AJ393" s="796">
        <v>0</v>
      </c>
      <c r="AK393" s="796">
        <v>0</v>
      </c>
      <c r="AL393" s="796">
        <v>0</v>
      </c>
      <c r="AM393" s="796">
        <v>0</v>
      </c>
      <c r="AN393" s="796">
        <v>0</v>
      </c>
      <c r="AO393" s="796">
        <v>0</v>
      </c>
      <c r="AP393" s="796">
        <v>0</v>
      </c>
      <c r="AQ393" s="796">
        <v>0</v>
      </c>
      <c r="AR393" s="796">
        <v>0</v>
      </c>
      <c r="AS393" s="796">
        <v>0</v>
      </c>
      <c r="AT393" s="796">
        <v>0</v>
      </c>
      <c r="AU393" s="796">
        <v>0</v>
      </c>
      <c r="AV393" s="796">
        <v>0</v>
      </c>
      <c r="AW393" s="796">
        <v>0</v>
      </c>
      <c r="AX393" s="796">
        <v>0</v>
      </c>
      <c r="AY393" s="796">
        <v>0</v>
      </c>
      <c r="AZ393" s="796">
        <v>0</v>
      </c>
      <c r="BA393" s="796">
        <v>0</v>
      </c>
      <c r="BB393" s="796">
        <v>0</v>
      </c>
      <c r="BC393" s="796">
        <v>0</v>
      </c>
      <c r="BD393" s="796">
        <v>0</v>
      </c>
      <c r="BE393" s="810">
        <v>12742.22</v>
      </c>
      <c r="BF393" s="796">
        <v>13420.78</v>
      </c>
      <c r="BG393" s="796">
        <v>0</v>
      </c>
      <c r="BH393" s="796">
        <v>0</v>
      </c>
      <c r="BI393" s="796">
        <v>0</v>
      </c>
      <c r="BJ393" s="796">
        <v>28100.74</v>
      </c>
      <c r="BK393" s="796">
        <v>131241.14000000001</v>
      </c>
      <c r="BL393" s="796">
        <v>87973.45</v>
      </c>
      <c r="BM393" s="796">
        <v>41295.32</v>
      </c>
      <c r="BN393" s="796">
        <v>0</v>
      </c>
      <c r="BO393" s="796">
        <v>35000</v>
      </c>
      <c r="BP393" s="796">
        <v>44178.64</v>
      </c>
      <c r="BQ393" s="796">
        <v>16028.97</v>
      </c>
      <c r="BR393" s="796">
        <v>0</v>
      </c>
      <c r="BS393" s="796">
        <v>0</v>
      </c>
      <c r="BT393" s="796">
        <v>0</v>
      </c>
      <c r="BU393" s="796">
        <v>0</v>
      </c>
      <c r="BV393" s="796">
        <v>0</v>
      </c>
    </row>
    <row r="394" spans="2:74">
      <c r="B394" s="795" t="s">
        <v>3313</v>
      </c>
      <c r="C394" s="795" t="s">
        <v>3269</v>
      </c>
      <c r="D394" s="795"/>
      <c r="E394" s="796"/>
      <c r="F394" s="799"/>
      <c r="G394" s="799"/>
      <c r="H394" s="799"/>
      <c r="I394" s="799"/>
      <c r="J394" s="799"/>
      <c r="K394" s="799"/>
      <c r="L394" s="799"/>
      <c r="M394" s="799"/>
      <c r="N394" s="595"/>
      <c r="O394" s="794">
        <v>0</v>
      </c>
      <c r="P394" s="794">
        <v>0</v>
      </c>
      <c r="Q394" s="794">
        <v>0</v>
      </c>
      <c r="R394" s="794">
        <v>0</v>
      </c>
      <c r="S394" s="796">
        <v>0</v>
      </c>
      <c r="T394" s="796">
        <v>0</v>
      </c>
      <c r="U394" s="796">
        <v>0</v>
      </c>
      <c r="V394" s="796">
        <v>0</v>
      </c>
      <c r="W394" s="796">
        <v>0</v>
      </c>
      <c r="X394" s="796">
        <v>0</v>
      </c>
      <c r="Y394" s="796">
        <v>0</v>
      </c>
      <c r="Z394" s="796">
        <v>0</v>
      </c>
      <c r="AA394" s="796">
        <v>0</v>
      </c>
      <c r="AB394" s="796">
        <v>0</v>
      </c>
      <c r="AC394" s="796">
        <v>0</v>
      </c>
      <c r="AD394" s="796">
        <v>0</v>
      </c>
      <c r="AE394" s="796">
        <v>0</v>
      </c>
      <c r="AF394" s="796">
        <v>0</v>
      </c>
      <c r="AG394" s="796">
        <v>0</v>
      </c>
      <c r="AH394" s="796">
        <v>0</v>
      </c>
      <c r="AI394" s="796">
        <v>0</v>
      </c>
      <c r="AJ394" s="796">
        <v>0</v>
      </c>
      <c r="AK394" s="796">
        <v>0</v>
      </c>
      <c r="AL394" s="796">
        <v>0</v>
      </c>
      <c r="AM394" s="796">
        <v>0</v>
      </c>
      <c r="AN394" s="796">
        <v>0</v>
      </c>
      <c r="AO394" s="796">
        <v>0</v>
      </c>
      <c r="AP394" s="796">
        <v>0</v>
      </c>
      <c r="AQ394" s="796">
        <v>0</v>
      </c>
      <c r="AR394" s="796">
        <v>0</v>
      </c>
      <c r="AS394" s="796">
        <v>0</v>
      </c>
      <c r="AT394" s="796">
        <v>0</v>
      </c>
      <c r="AU394" s="796">
        <v>0</v>
      </c>
      <c r="AV394" s="796">
        <v>0</v>
      </c>
      <c r="AW394" s="796">
        <v>0</v>
      </c>
      <c r="AX394" s="796">
        <v>0</v>
      </c>
      <c r="AY394" s="796">
        <v>0</v>
      </c>
      <c r="AZ394" s="796">
        <v>0</v>
      </c>
      <c r="BA394" s="796">
        <v>0</v>
      </c>
      <c r="BB394" s="796">
        <v>0</v>
      </c>
      <c r="BC394" s="796">
        <v>0</v>
      </c>
      <c r="BD394" s="796">
        <v>0</v>
      </c>
      <c r="BE394" s="810">
        <v>22300</v>
      </c>
      <c r="BF394" s="796">
        <v>0</v>
      </c>
      <c r="BG394" s="796">
        <v>0</v>
      </c>
      <c r="BH394" s="796">
        <v>0</v>
      </c>
      <c r="BI394" s="796">
        <v>0</v>
      </c>
      <c r="BJ394" s="796">
        <v>0</v>
      </c>
      <c r="BK394" s="796">
        <v>0</v>
      </c>
      <c r="BL394" s="796">
        <v>0</v>
      </c>
      <c r="BM394" s="796">
        <v>0</v>
      </c>
      <c r="BN394" s="796">
        <v>0</v>
      </c>
      <c r="BO394" s="796">
        <v>0</v>
      </c>
      <c r="BP394" s="796">
        <v>0</v>
      </c>
      <c r="BQ394" s="796">
        <v>0</v>
      </c>
      <c r="BR394" s="796">
        <v>0</v>
      </c>
      <c r="BS394" s="796">
        <v>0</v>
      </c>
      <c r="BT394" s="796">
        <v>0</v>
      </c>
      <c r="BU394" s="796">
        <v>0</v>
      </c>
      <c r="BV394" s="796">
        <v>0</v>
      </c>
    </row>
    <row r="395" spans="2:74">
      <c r="B395" s="795" t="s">
        <v>3314</v>
      </c>
      <c r="C395" s="795" t="s">
        <v>3315</v>
      </c>
      <c r="D395" s="795"/>
      <c r="E395" s="796"/>
      <c r="F395" s="799"/>
      <c r="G395" s="799"/>
      <c r="H395" s="799"/>
      <c r="I395" s="799"/>
      <c r="J395" s="799"/>
      <c r="K395" s="799"/>
      <c r="L395" s="799"/>
      <c r="M395" s="799"/>
      <c r="N395" s="595"/>
      <c r="O395" s="794">
        <v>0</v>
      </c>
      <c r="P395" s="794">
        <v>0</v>
      </c>
      <c r="Q395" s="794">
        <v>0</v>
      </c>
      <c r="R395" s="794">
        <v>0</v>
      </c>
      <c r="S395" s="796">
        <v>0</v>
      </c>
      <c r="T395" s="796">
        <v>0</v>
      </c>
      <c r="U395" s="796">
        <v>0</v>
      </c>
      <c r="V395" s="796">
        <v>0</v>
      </c>
      <c r="W395" s="796">
        <v>0</v>
      </c>
      <c r="X395" s="796">
        <v>0</v>
      </c>
      <c r="Y395" s="796">
        <v>0</v>
      </c>
      <c r="Z395" s="796">
        <v>0</v>
      </c>
      <c r="AA395" s="796">
        <v>0</v>
      </c>
      <c r="AB395" s="796">
        <v>0</v>
      </c>
      <c r="AC395" s="796">
        <v>0</v>
      </c>
      <c r="AD395" s="796">
        <v>0</v>
      </c>
      <c r="AE395" s="796">
        <v>0</v>
      </c>
      <c r="AF395" s="796">
        <v>0</v>
      </c>
      <c r="AG395" s="796">
        <v>0</v>
      </c>
      <c r="AH395" s="796">
        <v>0</v>
      </c>
      <c r="AI395" s="796">
        <v>0</v>
      </c>
      <c r="AJ395" s="796">
        <v>0</v>
      </c>
      <c r="AK395" s="796">
        <v>0</v>
      </c>
      <c r="AL395" s="796">
        <v>0</v>
      </c>
      <c r="AM395" s="796">
        <v>0</v>
      </c>
      <c r="AN395" s="796">
        <v>0</v>
      </c>
      <c r="AO395" s="796">
        <v>0</v>
      </c>
      <c r="AP395" s="796">
        <v>0</v>
      </c>
      <c r="AQ395" s="796">
        <v>0</v>
      </c>
      <c r="AR395" s="796">
        <v>0</v>
      </c>
      <c r="AS395" s="796">
        <v>0</v>
      </c>
      <c r="AT395" s="796">
        <v>0</v>
      </c>
      <c r="AU395" s="796">
        <v>0</v>
      </c>
      <c r="AV395" s="796">
        <v>0</v>
      </c>
      <c r="AW395" s="796">
        <v>0</v>
      </c>
      <c r="AX395" s="796">
        <v>0</v>
      </c>
      <c r="AY395" s="796">
        <v>0</v>
      </c>
      <c r="AZ395" s="796">
        <v>0</v>
      </c>
      <c r="BA395" s="796">
        <v>0</v>
      </c>
      <c r="BB395" s="796">
        <v>0</v>
      </c>
      <c r="BC395" s="796">
        <v>0</v>
      </c>
      <c r="BD395" s="796">
        <v>0</v>
      </c>
      <c r="BE395" s="796">
        <v>0</v>
      </c>
      <c r="BF395" s="810">
        <v>20776.12</v>
      </c>
      <c r="BG395" s="796">
        <v>22071.31</v>
      </c>
      <c r="BH395" s="796">
        <v>11987.1</v>
      </c>
      <c r="BI395" s="796">
        <v>555.75</v>
      </c>
      <c r="BJ395" s="796">
        <v>12833.17</v>
      </c>
      <c r="BK395" s="796">
        <v>0</v>
      </c>
      <c r="BL395" s="796">
        <v>0</v>
      </c>
      <c r="BM395" s="796">
        <v>0</v>
      </c>
      <c r="BN395" s="796">
        <v>0</v>
      </c>
      <c r="BO395" s="796">
        <v>0</v>
      </c>
      <c r="BP395" s="796">
        <v>0</v>
      </c>
      <c r="BQ395" s="796">
        <v>0</v>
      </c>
      <c r="BR395" s="796">
        <v>0</v>
      </c>
      <c r="BS395" s="796">
        <v>0</v>
      </c>
      <c r="BT395" s="796">
        <v>0</v>
      </c>
      <c r="BU395" s="796">
        <v>0</v>
      </c>
      <c r="BV395" s="796">
        <v>0</v>
      </c>
    </row>
    <row r="396" spans="2:74">
      <c r="B396" s="795" t="s">
        <v>3317</v>
      </c>
      <c r="C396" s="795" t="s">
        <v>3318</v>
      </c>
      <c r="D396" s="795"/>
      <c r="E396" s="796"/>
      <c r="F396" s="799"/>
      <c r="G396" s="799"/>
      <c r="H396" s="799"/>
      <c r="I396" s="799"/>
      <c r="J396" s="799"/>
      <c r="K396" s="799"/>
      <c r="L396" s="799"/>
      <c r="M396" s="799"/>
      <c r="N396" s="595"/>
      <c r="O396" s="794">
        <v>0</v>
      </c>
      <c r="P396" s="794">
        <v>0</v>
      </c>
      <c r="Q396" s="794">
        <v>0</v>
      </c>
      <c r="R396" s="794">
        <v>0</v>
      </c>
      <c r="S396" s="796">
        <v>0</v>
      </c>
      <c r="T396" s="796">
        <v>0</v>
      </c>
      <c r="U396" s="796">
        <v>0</v>
      </c>
      <c r="V396" s="796">
        <v>0</v>
      </c>
      <c r="W396" s="796">
        <v>0</v>
      </c>
      <c r="X396" s="796">
        <v>0</v>
      </c>
      <c r="Y396" s="796">
        <v>0</v>
      </c>
      <c r="Z396" s="796">
        <v>0</v>
      </c>
      <c r="AA396" s="796">
        <v>0</v>
      </c>
      <c r="AB396" s="796">
        <v>0</v>
      </c>
      <c r="AC396" s="796">
        <v>0</v>
      </c>
      <c r="AD396" s="796">
        <v>0</v>
      </c>
      <c r="AE396" s="796">
        <v>0</v>
      </c>
      <c r="AF396" s="796">
        <v>0</v>
      </c>
      <c r="AG396" s="796">
        <v>0</v>
      </c>
      <c r="AH396" s="796">
        <v>0</v>
      </c>
      <c r="AI396" s="796">
        <v>0</v>
      </c>
      <c r="AJ396" s="796">
        <v>0</v>
      </c>
      <c r="AK396" s="796">
        <v>0</v>
      </c>
      <c r="AL396" s="796">
        <v>0</v>
      </c>
      <c r="AM396" s="796">
        <v>0</v>
      </c>
      <c r="AN396" s="796">
        <v>0</v>
      </c>
      <c r="AO396" s="796">
        <v>0</v>
      </c>
      <c r="AP396" s="796">
        <v>0</v>
      </c>
      <c r="AQ396" s="796">
        <v>0</v>
      </c>
      <c r="AR396" s="796">
        <v>0</v>
      </c>
      <c r="AS396" s="796">
        <v>0</v>
      </c>
      <c r="AT396" s="796">
        <v>0</v>
      </c>
      <c r="AU396" s="796">
        <v>0</v>
      </c>
      <c r="AV396" s="796">
        <v>0</v>
      </c>
      <c r="AW396" s="796">
        <v>0</v>
      </c>
      <c r="AX396" s="796">
        <v>0</v>
      </c>
      <c r="AY396" s="796">
        <v>0</v>
      </c>
      <c r="AZ396" s="796">
        <v>0</v>
      </c>
      <c r="BA396" s="796">
        <v>0</v>
      </c>
      <c r="BB396" s="796">
        <v>0</v>
      </c>
      <c r="BC396" s="796">
        <v>0</v>
      </c>
      <c r="BD396" s="796">
        <v>0</v>
      </c>
      <c r="BE396" s="796">
        <v>0</v>
      </c>
      <c r="BF396" s="796">
        <v>0</v>
      </c>
      <c r="BG396" s="810">
        <v>25755.41</v>
      </c>
      <c r="BH396" s="796">
        <v>30762.1</v>
      </c>
      <c r="BI396" s="796">
        <v>145455.97</v>
      </c>
      <c r="BJ396" s="796">
        <v>131293.59</v>
      </c>
      <c r="BK396" s="796">
        <v>25277.14</v>
      </c>
      <c r="BL396" s="796">
        <v>9687</v>
      </c>
      <c r="BM396" s="796">
        <v>0</v>
      </c>
      <c r="BN396" s="796">
        <v>0</v>
      </c>
      <c r="BO396" s="796">
        <v>151299.62</v>
      </c>
      <c r="BP396" s="796">
        <v>204541.04</v>
      </c>
      <c r="BQ396" s="796">
        <v>588129.52</v>
      </c>
      <c r="BR396" s="796">
        <v>307870.46000000002</v>
      </c>
      <c r="BS396" s="796">
        <v>413968.08</v>
      </c>
      <c r="BT396" s="796">
        <v>521323.1</v>
      </c>
      <c r="BU396" s="796">
        <v>490231.26</v>
      </c>
      <c r="BV396" s="796">
        <v>429880.83</v>
      </c>
    </row>
    <row r="397" spans="2:74">
      <c r="B397" s="795" t="s">
        <v>517</v>
      </c>
      <c r="C397" s="795" t="s">
        <v>3319</v>
      </c>
      <c r="D397" s="795"/>
      <c r="E397" s="796"/>
      <c r="F397" s="799"/>
      <c r="G397" s="799"/>
      <c r="H397" s="799"/>
      <c r="I397" s="799"/>
      <c r="J397" s="799"/>
      <c r="K397" s="799"/>
      <c r="L397" s="799"/>
      <c r="M397" s="799"/>
      <c r="N397" s="595"/>
      <c r="O397" s="794">
        <v>0</v>
      </c>
      <c r="P397" s="794">
        <v>0</v>
      </c>
      <c r="Q397" s="794">
        <v>0</v>
      </c>
      <c r="R397" s="794">
        <v>0</v>
      </c>
      <c r="S397" s="796">
        <v>0</v>
      </c>
      <c r="T397" s="796">
        <v>0</v>
      </c>
      <c r="U397" s="796">
        <v>0</v>
      </c>
      <c r="V397" s="796">
        <v>0</v>
      </c>
      <c r="W397" s="796">
        <v>0</v>
      </c>
      <c r="X397" s="796">
        <v>0</v>
      </c>
      <c r="Y397" s="796">
        <v>0</v>
      </c>
      <c r="Z397" s="796">
        <v>0</v>
      </c>
      <c r="AA397" s="796">
        <v>0</v>
      </c>
      <c r="AB397" s="796">
        <v>0</v>
      </c>
      <c r="AC397" s="796">
        <v>0</v>
      </c>
      <c r="AD397" s="796">
        <v>0</v>
      </c>
      <c r="AE397" s="796">
        <v>0</v>
      </c>
      <c r="AF397" s="796">
        <v>0</v>
      </c>
      <c r="AG397" s="796">
        <v>0</v>
      </c>
      <c r="AH397" s="796">
        <v>0</v>
      </c>
      <c r="AI397" s="796">
        <v>0</v>
      </c>
      <c r="AJ397" s="796">
        <v>0</v>
      </c>
      <c r="AK397" s="796">
        <v>0</v>
      </c>
      <c r="AL397" s="796">
        <v>0</v>
      </c>
      <c r="AM397" s="796">
        <v>0</v>
      </c>
      <c r="AN397" s="796">
        <v>0</v>
      </c>
      <c r="AO397" s="796">
        <v>0</v>
      </c>
      <c r="AP397" s="796">
        <v>0</v>
      </c>
      <c r="AQ397" s="796">
        <v>0</v>
      </c>
      <c r="AR397" s="796">
        <v>0</v>
      </c>
      <c r="AS397" s="796">
        <v>0</v>
      </c>
      <c r="AT397" s="796">
        <v>0</v>
      </c>
      <c r="AU397" s="796">
        <v>0</v>
      </c>
      <c r="AV397" s="796">
        <v>0</v>
      </c>
      <c r="AW397" s="796">
        <v>0</v>
      </c>
      <c r="AX397" s="796">
        <v>0</v>
      </c>
      <c r="AY397" s="796">
        <v>0</v>
      </c>
      <c r="AZ397" s="796">
        <v>0</v>
      </c>
      <c r="BA397" s="796">
        <v>0</v>
      </c>
      <c r="BB397" s="796">
        <v>0</v>
      </c>
      <c r="BC397" s="796">
        <v>0</v>
      </c>
      <c r="BD397" s="796">
        <v>0</v>
      </c>
      <c r="BE397" s="796">
        <v>0</v>
      </c>
      <c r="BF397" s="796">
        <v>0</v>
      </c>
      <c r="BG397" s="810">
        <v>10000</v>
      </c>
      <c r="BH397" s="796">
        <v>44577.5</v>
      </c>
      <c r="BI397" s="796">
        <v>0</v>
      </c>
      <c r="BJ397" s="796">
        <v>0</v>
      </c>
      <c r="BK397" s="796">
        <v>0</v>
      </c>
      <c r="BL397" s="796">
        <v>0</v>
      </c>
      <c r="BM397" s="796">
        <v>0</v>
      </c>
      <c r="BN397" s="796">
        <v>155000</v>
      </c>
      <c r="BO397" s="796">
        <v>144780</v>
      </c>
      <c r="BP397" s="796">
        <v>111292.5</v>
      </c>
      <c r="BQ397" s="796">
        <v>214605</v>
      </c>
      <c r="BR397" s="796">
        <v>118275</v>
      </c>
      <c r="BS397" s="796">
        <v>292695</v>
      </c>
      <c r="BT397" s="796">
        <v>200254.3</v>
      </c>
      <c r="BU397" s="796">
        <v>21732</v>
      </c>
      <c r="BV397" s="796">
        <v>1600</v>
      </c>
    </row>
    <row r="398" spans="2:74">
      <c r="B398" s="795" t="s">
        <v>3320</v>
      </c>
      <c r="C398" s="795" t="s">
        <v>481</v>
      </c>
      <c r="D398" s="795"/>
      <c r="E398" s="796"/>
      <c r="F398" s="799"/>
      <c r="G398" s="799"/>
      <c r="H398" s="799"/>
      <c r="I398" s="799"/>
      <c r="J398" s="799"/>
      <c r="K398" s="799"/>
      <c r="L398" s="799"/>
      <c r="M398" s="799"/>
      <c r="N398" s="595"/>
      <c r="O398" s="794">
        <v>0</v>
      </c>
      <c r="P398" s="794">
        <v>0</v>
      </c>
      <c r="Q398" s="794">
        <v>0</v>
      </c>
      <c r="R398" s="794">
        <v>0</v>
      </c>
      <c r="S398" s="796">
        <v>0</v>
      </c>
      <c r="T398" s="796">
        <v>0</v>
      </c>
      <c r="U398" s="796">
        <v>0</v>
      </c>
      <c r="V398" s="796">
        <v>0</v>
      </c>
      <c r="W398" s="796">
        <v>0</v>
      </c>
      <c r="X398" s="796">
        <v>0</v>
      </c>
      <c r="Y398" s="796">
        <v>0</v>
      </c>
      <c r="Z398" s="796">
        <v>0</v>
      </c>
      <c r="AA398" s="796">
        <v>0</v>
      </c>
      <c r="AB398" s="796">
        <v>0</v>
      </c>
      <c r="AC398" s="796">
        <v>0</v>
      </c>
      <c r="AD398" s="796">
        <v>0</v>
      </c>
      <c r="AE398" s="796">
        <v>0</v>
      </c>
      <c r="AF398" s="796">
        <v>0</v>
      </c>
      <c r="AG398" s="796">
        <v>0</v>
      </c>
      <c r="AH398" s="796">
        <v>0</v>
      </c>
      <c r="AI398" s="796">
        <v>0</v>
      </c>
      <c r="AJ398" s="796">
        <v>0</v>
      </c>
      <c r="AK398" s="796">
        <v>0</v>
      </c>
      <c r="AL398" s="796">
        <v>0</v>
      </c>
      <c r="AM398" s="796">
        <v>0</v>
      </c>
      <c r="AN398" s="796">
        <v>0</v>
      </c>
      <c r="AO398" s="796">
        <v>0</v>
      </c>
      <c r="AP398" s="796">
        <v>0</v>
      </c>
      <c r="AQ398" s="796">
        <v>0</v>
      </c>
      <c r="AR398" s="796">
        <v>0</v>
      </c>
      <c r="AS398" s="796">
        <v>0</v>
      </c>
      <c r="AT398" s="796">
        <v>0</v>
      </c>
      <c r="AU398" s="796">
        <v>0</v>
      </c>
      <c r="AV398" s="796">
        <v>0</v>
      </c>
      <c r="AW398" s="796">
        <v>0</v>
      </c>
      <c r="AX398" s="796">
        <v>0</v>
      </c>
      <c r="AY398" s="796">
        <v>0</v>
      </c>
      <c r="AZ398" s="796">
        <v>0</v>
      </c>
      <c r="BA398" s="796">
        <v>0</v>
      </c>
      <c r="BB398" s="796">
        <v>0</v>
      </c>
      <c r="BC398" s="796">
        <v>0</v>
      </c>
      <c r="BD398" s="796">
        <v>0</v>
      </c>
      <c r="BE398" s="796">
        <v>0</v>
      </c>
      <c r="BF398" s="796">
        <v>0</v>
      </c>
      <c r="BG398" s="810">
        <v>11236.56</v>
      </c>
      <c r="BH398" s="796">
        <v>0</v>
      </c>
      <c r="BI398" s="796">
        <v>0</v>
      </c>
      <c r="BJ398" s="796">
        <v>0</v>
      </c>
      <c r="BK398" s="796">
        <v>0</v>
      </c>
      <c r="BL398" s="796">
        <v>0</v>
      </c>
      <c r="BM398" s="796">
        <v>0</v>
      </c>
      <c r="BN398" s="796">
        <v>0</v>
      </c>
      <c r="BO398" s="796">
        <v>0</v>
      </c>
      <c r="BP398" s="796">
        <v>0</v>
      </c>
      <c r="BQ398" s="796">
        <v>0</v>
      </c>
      <c r="BR398" s="796">
        <v>0</v>
      </c>
      <c r="BS398" s="796">
        <v>0</v>
      </c>
      <c r="BT398" s="796">
        <v>0</v>
      </c>
      <c r="BU398" s="796">
        <v>0</v>
      </c>
      <c r="BV398" s="796">
        <v>0</v>
      </c>
    </row>
    <row r="399" spans="2:74">
      <c r="B399" s="795" t="s">
        <v>3321</v>
      </c>
      <c r="C399" s="795" t="s">
        <v>481</v>
      </c>
      <c r="D399" s="795"/>
      <c r="E399" s="796"/>
      <c r="F399" s="799"/>
      <c r="G399" s="799"/>
      <c r="H399" s="799"/>
      <c r="I399" s="799"/>
      <c r="J399" s="799"/>
      <c r="K399" s="799"/>
      <c r="L399" s="799"/>
      <c r="M399" s="799"/>
      <c r="N399" s="595"/>
      <c r="O399" s="794">
        <v>0</v>
      </c>
      <c r="P399" s="794">
        <v>0</v>
      </c>
      <c r="Q399" s="794">
        <v>0</v>
      </c>
      <c r="R399" s="794">
        <v>0</v>
      </c>
      <c r="S399" s="796">
        <v>0</v>
      </c>
      <c r="T399" s="796">
        <v>0</v>
      </c>
      <c r="U399" s="796">
        <v>0</v>
      </c>
      <c r="V399" s="796">
        <v>0</v>
      </c>
      <c r="W399" s="796">
        <v>0</v>
      </c>
      <c r="X399" s="796">
        <v>0</v>
      </c>
      <c r="Y399" s="796">
        <v>0</v>
      </c>
      <c r="Z399" s="796">
        <v>0</v>
      </c>
      <c r="AA399" s="796">
        <v>0</v>
      </c>
      <c r="AB399" s="796">
        <v>0</v>
      </c>
      <c r="AC399" s="796">
        <v>0</v>
      </c>
      <c r="AD399" s="796">
        <v>0</v>
      </c>
      <c r="AE399" s="796">
        <v>0</v>
      </c>
      <c r="AF399" s="796">
        <v>0</v>
      </c>
      <c r="AG399" s="796">
        <v>0</v>
      </c>
      <c r="AH399" s="796">
        <v>0</v>
      </c>
      <c r="AI399" s="796">
        <v>0</v>
      </c>
      <c r="AJ399" s="796">
        <v>0</v>
      </c>
      <c r="AK399" s="796">
        <v>0</v>
      </c>
      <c r="AL399" s="796">
        <v>0</v>
      </c>
      <c r="AM399" s="796">
        <v>0</v>
      </c>
      <c r="AN399" s="796">
        <v>0</v>
      </c>
      <c r="AO399" s="796">
        <v>0</v>
      </c>
      <c r="AP399" s="796">
        <v>0</v>
      </c>
      <c r="AQ399" s="796">
        <v>0</v>
      </c>
      <c r="AR399" s="796">
        <v>0</v>
      </c>
      <c r="AS399" s="796">
        <v>0</v>
      </c>
      <c r="AT399" s="796">
        <v>0</v>
      </c>
      <c r="AU399" s="796">
        <v>0</v>
      </c>
      <c r="AV399" s="796">
        <v>0</v>
      </c>
      <c r="AW399" s="796">
        <v>0</v>
      </c>
      <c r="AX399" s="796">
        <v>0</v>
      </c>
      <c r="AY399" s="796">
        <v>0</v>
      </c>
      <c r="AZ399" s="796">
        <v>0</v>
      </c>
      <c r="BA399" s="796">
        <v>0</v>
      </c>
      <c r="BB399" s="796">
        <v>0</v>
      </c>
      <c r="BC399" s="796">
        <v>0</v>
      </c>
      <c r="BD399" s="796">
        <v>0</v>
      </c>
      <c r="BE399" s="796">
        <v>0</v>
      </c>
      <c r="BF399" s="796">
        <v>0</v>
      </c>
      <c r="BG399" s="810">
        <v>30060.959999999999</v>
      </c>
      <c r="BH399" s="796">
        <v>0</v>
      </c>
      <c r="BI399" s="796">
        <v>13088.34</v>
      </c>
      <c r="BJ399" s="796">
        <v>12924</v>
      </c>
      <c r="BK399" s="796">
        <v>0</v>
      </c>
      <c r="BL399" s="796">
        <v>0</v>
      </c>
      <c r="BM399" s="796">
        <v>0</v>
      </c>
      <c r="BN399" s="796">
        <v>0</v>
      </c>
      <c r="BO399" s="796">
        <v>0</v>
      </c>
      <c r="BP399" s="796">
        <v>0</v>
      </c>
      <c r="BQ399" s="796">
        <v>0</v>
      </c>
      <c r="BR399" s="796">
        <v>0</v>
      </c>
      <c r="BS399" s="796">
        <v>0</v>
      </c>
      <c r="BT399" s="796">
        <v>0</v>
      </c>
      <c r="BU399" s="796">
        <v>0</v>
      </c>
      <c r="BV399" s="796">
        <v>0</v>
      </c>
    </row>
    <row r="400" spans="2:74">
      <c r="B400" s="795" t="s">
        <v>587</v>
      </c>
      <c r="C400" s="795" t="s">
        <v>586</v>
      </c>
      <c r="D400" s="795"/>
      <c r="E400" s="796"/>
      <c r="F400" s="799"/>
      <c r="G400" s="799"/>
      <c r="H400" s="799"/>
      <c r="I400" s="799"/>
      <c r="J400" s="799"/>
      <c r="K400" s="799"/>
      <c r="L400" s="799"/>
      <c r="M400" s="799"/>
      <c r="N400" s="595"/>
      <c r="O400" s="794">
        <v>0</v>
      </c>
      <c r="P400" s="794">
        <v>0</v>
      </c>
      <c r="Q400" s="794">
        <v>0</v>
      </c>
      <c r="R400" s="794">
        <v>0</v>
      </c>
      <c r="S400" s="796">
        <v>0</v>
      </c>
      <c r="T400" s="796">
        <v>0</v>
      </c>
      <c r="U400" s="796">
        <v>0</v>
      </c>
      <c r="V400" s="796">
        <v>0</v>
      </c>
      <c r="W400" s="796">
        <v>0</v>
      </c>
      <c r="X400" s="796">
        <v>0</v>
      </c>
      <c r="Y400" s="796">
        <v>0</v>
      </c>
      <c r="Z400" s="796">
        <v>0</v>
      </c>
      <c r="AA400" s="796">
        <v>0</v>
      </c>
      <c r="AB400" s="796">
        <v>0</v>
      </c>
      <c r="AC400" s="796">
        <v>0</v>
      </c>
      <c r="AD400" s="796">
        <v>0</v>
      </c>
      <c r="AE400" s="796">
        <v>0</v>
      </c>
      <c r="AF400" s="796">
        <v>0</v>
      </c>
      <c r="AG400" s="796">
        <v>0</v>
      </c>
      <c r="AH400" s="796">
        <v>0</v>
      </c>
      <c r="AI400" s="796">
        <v>0</v>
      </c>
      <c r="AJ400" s="796">
        <v>0</v>
      </c>
      <c r="AK400" s="796">
        <v>0</v>
      </c>
      <c r="AL400" s="796">
        <v>0</v>
      </c>
      <c r="AM400" s="796">
        <v>0</v>
      </c>
      <c r="AN400" s="796">
        <v>0</v>
      </c>
      <c r="AO400" s="796">
        <v>0</v>
      </c>
      <c r="AP400" s="796">
        <v>0</v>
      </c>
      <c r="AQ400" s="796">
        <v>0</v>
      </c>
      <c r="AR400" s="796">
        <v>0</v>
      </c>
      <c r="AS400" s="796">
        <v>0</v>
      </c>
      <c r="AT400" s="796">
        <v>0</v>
      </c>
      <c r="AU400" s="796">
        <v>0</v>
      </c>
      <c r="AV400" s="796">
        <v>0</v>
      </c>
      <c r="AW400" s="796">
        <v>0</v>
      </c>
      <c r="AX400" s="796">
        <v>0</v>
      </c>
      <c r="AY400" s="796">
        <v>0</v>
      </c>
      <c r="AZ400" s="796">
        <v>0</v>
      </c>
      <c r="BA400" s="796">
        <v>0</v>
      </c>
      <c r="BB400" s="796">
        <v>0</v>
      </c>
      <c r="BC400" s="796">
        <v>0</v>
      </c>
      <c r="BD400" s="796">
        <v>0</v>
      </c>
      <c r="BE400" s="796">
        <v>0</v>
      </c>
      <c r="BF400" s="796">
        <v>0</v>
      </c>
      <c r="BG400" s="810">
        <v>65218.33</v>
      </c>
      <c r="BH400" s="796">
        <v>3450</v>
      </c>
      <c r="BI400" s="796">
        <v>0</v>
      </c>
      <c r="BJ400" s="796">
        <v>0</v>
      </c>
      <c r="BK400" s="796">
        <v>0</v>
      </c>
      <c r="BL400" s="796">
        <v>13500</v>
      </c>
      <c r="BM400" s="796">
        <v>0</v>
      </c>
      <c r="BN400" s="796">
        <v>0</v>
      </c>
      <c r="BO400" s="796">
        <v>0</v>
      </c>
      <c r="BP400" s="796">
        <v>0</v>
      </c>
      <c r="BQ400" s="796">
        <v>0</v>
      </c>
      <c r="BR400" s="796">
        <v>0</v>
      </c>
      <c r="BS400" s="796">
        <v>0</v>
      </c>
      <c r="BT400" s="796">
        <v>0</v>
      </c>
      <c r="BU400" s="796">
        <v>0</v>
      </c>
      <c r="BV400" s="796">
        <v>0</v>
      </c>
    </row>
    <row r="401" spans="2:74">
      <c r="B401" s="795" t="s">
        <v>3322</v>
      </c>
      <c r="C401" s="795" t="s">
        <v>3323</v>
      </c>
      <c r="D401" s="795"/>
      <c r="E401" s="796"/>
      <c r="F401" s="799"/>
      <c r="G401" s="799"/>
      <c r="H401" s="799"/>
      <c r="I401" s="799"/>
      <c r="J401" s="799"/>
      <c r="K401" s="799"/>
      <c r="L401" s="799"/>
      <c r="M401" s="799"/>
      <c r="N401" s="595"/>
      <c r="O401" s="794">
        <v>0</v>
      </c>
      <c r="P401" s="794">
        <v>0</v>
      </c>
      <c r="Q401" s="794">
        <v>0</v>
      </c>
      <c r="R401" s="794">
        <v>0</v>
      </c>
      <c r="S401" s="796">
        <v>0</v>
      </c>
      <c r="T401" s="796">
        <v>0</v>
      </c>
      <c r="U401" s="796">
        <v>0</v>
      </c>
      <c r="V401" s="796">
        <v>0</v>
      </c>
      <c r="W401" s="796">
        <v>0</v>
      </c>
      <c r="X401" s="796">
        <v>0</v>
      </c>
      <c r="Y401" s="796">
        <v>0</v>
      </c>
      <c r="Z401" s="796">
        <v>0</v>
      </c>
      <c r="AA401" s="796">
        <v>0</v>
      </c>
      <c r="AB401" s="796">
        <v>0</v>
      </c>
      <c r="AC401" s="796">
        <v>0</v>
      </c>
      <c r="AD401" s="796">
        <v>0</v>
      </c>
      <c r="AE401" s="796">
        <v>0</v>
      </c>
      <c r="AF401" s="796">
        <v>0</v>
      </c>
      <c r="AG401" s="796">
        <v>0</v>
      </c>
      <c r="AH401" s="796">
        <v>0</v>
      </c>
      <c r="AI401" s="796">
        <v>0</v>
      </c>
      <c r="AJ401" s="796">
        <v>0</v>
      </c>
      <c r="AK401" s="796">
        <v>0</v>
      </c>
      <c r="AL401" s="796">
        <v>0</v>
      </c>
      <c r="AM401" s="796">
        <v>0</v>
      </c>
      <c r="AN401" s="796">
        <v>0</v>
      </c>
      <c r="AO401" s="796">
        <v>0</v>
      </c>
      <c r="AP401" s="796">
        <v>0</v>
      </c>
      <c r="AQ401" s="796">
        <v>0</v>
      </c>
      <c r="AR401" s="796">
        <v>0</v>
      </c>
      <c r="AS401" s="796">
        <v>0</v>
      </c>
      <c r="AT401" s="796">
        <v>0</v>
      </c>
      <c r="AU401" s="796">
        <v>0</v>
      </c>
      <c r="AV401" s="796">
        <v>0</v>
      </c>
      <c r="AW401" s="796">
        <v>0</v>
      </c>
      <c r="AX401" s="796">
        <v>0</v>
      </c>
      <c r="AY401" s="796">
        <v>0</v>
      </c>
      <c r="AZ401" s="796">
        <v>0</v>
      </c>
      <c r="BA401" s="796">
        <v>0</v>
      </c>
      <c r="BB401" s="796">
        <v>0</v>
      </c>
      <c r="BC401" s="796">
        <v>0</v>
      </c>
      <c r="BD401" s="796">
        <v>0</v>
      </c>
      <c r="BE401" s="796">
        <v>0</v>
      </c>
      <c r="BF401" s="796">
        <v>0</v>
      </c>
      <c r="BG401" s="810">
        <v>30000</v>
      </c>
      <c r="BH401" s="796">
        <v>68000</v>
      </c>
      <c r="BI401" s="796">
        <v>0</v>
      </c>
      <c r="BJ401" s="796">
        <v>0</v>
      </c>
      <c r="BK401" s="796">
        <v>0</v>
      </c>
      <c r="BL401" s="796">
        <v>0</v>
      </c>
      <c r="BM401" s="796">
        <v>0</v>
      </c>
      <c r="BN401" s="796">
        <v>0</v>
      </c>
      <c r="BO401" s="796">
        <v>0</v>
      </c>
      <c r="BP401" s="796">
        <v>0</v>
      </c>
      <c r="BQ401" s="796">
        <v>0</v>
      </c>
      <c r="BR401" s="796">
        <v>0</v>
      </c>
      <c r="BS401" s="796">
        <v>0</v>
      </c>
      <c r="BT401" s="796">
        <v>0</v>
      </c>
      <c r="BU401" s="796">
        <v>0</v>
      </c>
      <c r="BV401" s="796">
        <v>0</v>
      </c>
    </row>
    <row r="402" spans="2:74">
      <c r="B402" s="795" t="s">
        <v>3324</v>
      </c>
      <c r="C402" s="795" t="s">
        <v>534</v>
      </c>
      <c r="D402" s="795"/>
      <c r="E402" s="796"/>
      <c r="F402" s="799"/>
      <c r="G402" s="799"/>
      <c r="H402" s="799"/>
      <c r="I402" s="799"/>
      <c r="J402" s="799"/>
      <c r="K402" s="799"/>
      <c r="L402" s="799"/>
      <c r="M402" s="799"/>
      <c r="N402" s="595"/>
      <c r="O402" s="794">
        <v>0</v>
      </c>
      <c r="P402" s="794">
        <v>0</v>
      </c>
      <c r="Q402" s="794">
        <v>0</v>
      </c>
      <c r="R402" s="794">
        <v>0</v>
      </c>
      <c r="S402" s="796">
        <v>0</v>
      </c>
      <c r="T402" s="796">
        <v>0</v>
      </c>
      <c r="U402" s="796">
        <v>0</v>
      </c>
      <c r="V402" s="796">
        <v>0</v>
      </c>
      <c r="W402" s="796">
        <v>0</v>
      </c>
      <c r="X402" s="796">
        <v>0</v>
      </c>
      <c r="Y402" s="796">
        <v>0</v>
      </c>
      <c r="Z402" s="796">
        <v>0</v>
      </c>
      <c r="AA402" s="796">
        <v>0</v>
      </c>
      <c r="AB402" s="796">
        <v>0</v>
      </c>
      <c r="AC402" s="796">
        <v>0</v>
      </c>
      <c r="AD402" s="796">
        <v>0</v>
      </c>
      <c r="AE402" s="796">
        <v>0</v>
      </c>
      <c r="AF402" s="796">
        <v>0</v>
      </c>
      <c r="AG402" s="796">
        <v>0</v>
      </c>
      <c r="AH402" s="796">
        <v>0</v>
      </c>
      <c r="AI402" s="796">
        <v>0</v>
      </c>
      <c r="AJ402" s="796">
        <v>0</v>
      </c>
      <c r="AK402" s="796">
        <v>0</v>
      </c>
      <c r="AL402" s="796">
        <v>0</v>
      </c>
      <c r="AM402" s="796">
        <v>0</v>
      </c>
      <c r="AN402" s="796">
        <v>0</v>
      </c>
      <c r="AO402" s="796">
        <v>0</v>
      </c>
      <c r="AP402" s="796">
        <v>0</v>
      </c>
      <c r="AQ402" s="796">
        <v>0</v>
      </c>
      <c r="AR402" s="796">
        <v>0</v>
      </c>
      <c r="AS402" s="796">
        <v>0</v>
      </c>
      <c r="AT402" s="796">
        <v>0</v>
      </c>
      <c r="AU402" s="796">
        <v>0</v>
      </c>
      <c r="AV402" s="796">
        <v>0</v>
      </c>
      <c r="AW402" s="796">
        <v>0</v>
      </c>
      <c r="AX402" s="796">
        <v>0</v>
      </c>
      <c r="AY402" s="796">
        <v>0</v>
      </c>
      <c r="AZ402" s="796">
        <v>0</v>
      </c>
      <c r="BA402" s="796">
        <v>0</v>
      </c>
      <c r="BB402" s="796">
        <v>0</v>
      </c>
      <c r="BC402" s="796">
        <v>0</v>
      </c>
      <c r="BD402" s="796">
        <v>0</v>
      </c>
      <c r="BE402" s="796">
        <v>0</v>
      </c>
      <c r="BF402" s="796">
        <v>0</v>
      </c>
      <c r="BG402" s="810">
        <v>37027.040000000001</v>
      </c>
      <c r="BH402" s="796">
        <v>0</v>
      </c>
      <c r="BI402" s="796">
        <v>0</v>
      </c>
      <c r="BJ402" s="796">
        <v>0</v>
      </c>
      <c r="BK402" s="796">
        <v>0</v>
      </c>
      <c r="BL402" s="796">
        <v>0</v>
      </c>
      <c r="BM402" s="796">
        <v>27600.34</v>
      </c>
      <c r="BN402" s="796">
        <v>0</v>
      </c>
      <c r="BO402" s="796">
        <v>0</v>
      </c>
      <c r="BP402" s="796">
        <v>0</v>
      </c>
      <c r="BQ402" s="796">
        <v>0</v>
      </c>
      <c r="BR402" s="796">
        <v>0</v>
      </c>
      <c r="BS402" s="796">
        <v>0</v>
      </c>
      <c r="BT402" s="796">
        <v>0</v>
      </c>
      <c r="BU402" s="796">
        <v>17357</v>
      </c>
      <c r="BV402" s="796">
        <v>48547.08</v>
      </c>
    </row>
    <row r="403" spans="2:74">
      <c r="B403" s="795" t="s">
        <v>3325</v>
      </c>
      <c r="C403" s="795" t="s">
        <v>3326</v>
      </c>
      <c r="D403" s="795"/>
      <c r="E403" s="796"/>
      <c r="F403" s="799"/>
      <c r="G403" s="799"/>
      <c r="H403" s="799"/>
      <c r="I403" s="799"/>
      <c r="J403" s="799"/>
      <c r="K403" s="799"/>
      <c r="L403" s="799"/>
      <c r="M403" s="799"/>
      <c r="N403" s="595"/>
      <c r="O403" s="794">
        <v>0</v>
      </c>
      <c r="P403" s="794">
        <v>0</v>
      </c>
      <c r="Q403" s="794">
        <v>0</v>
      </c>
      <c r="R403" s="794">
        <v>0</v>
      </c>
      <c r="S403" s="796">
        <v>0</v>
      </c>
      <c r="T403" s="796">
        <v>0</v>
      </c>
      <c r="U403" s="796">
        <v>0</v>
      </c>
      <c r="V403" s="796">
        <v>0</v>
      </c>
      <c r="W403" s="796">
        <v>0</v>
      </c>
      <c r="X403" s="796">
        <v>0</v>
      </c>
      <c r="Y403" s="796">
        <v>0</v>
      </c>
      <c r="Z403" s="796">
        <v>0</v>
      </c>
      <c r="AA403" s="796">
        <v>0</v>
      </c>
      <c r="AB403" s="796">
        <v>0</v>
      </c>
      <c r="AC403" s="796">
        <v>0</v>
      </c>
      <c r="AD403" s="796">
        <v>0</v>
      </c>
      <c r="AE403" s="796">
        <v>0</v>
      </c>
      <c r="AF403" s="796">
        <v>0</v>
      </c>
      <c r="AG403" s="796">
        <v>0</v>
      </c>
      <c r="AH403" s="796">
        <v>0</v>
      </c>
      <c r="AI403" s="796">
        <v>0</v>
      </c>
      <c r="AJ403" s="796">
        <v>0</v>
      </c>
      <c r="AK403" s="796">
        <v>0</v>
      </c>
      <c r="AL403" s="796">
        <v>0</v>
      </c>
      <c r="AM403" s="796">
        <v>0</v>
      </c>
      <c r="AN403" s="796">
        <v>0</v>
      </c>
      <c r="AO403" s="796">
        <v>0</v>
      </c>
      <c r="AP403" s="796">
        <v>0</v>
      </c>
      <c r="AQ403" s="796">
        <v>0</v>
      </c>
      <c r="AR403" s="796">
        <v>0</v>
      </c>
      <c r="AS403" s="796">
        <v>0</v>
      </c>
      <c r="AT403" s="796">
        <v>0</v>
      </c>
      <c r="AU403" s="796">
        <v>0</v>
      </c>
      <c r="AV403" s="796">
        <v>0</v>
      </c>
      <c r="AW403" s="796">
        <v>0</v>
      </c>
      <c r="AX403" s="796">
        <v>0</v>
      </c>
      <c r="AY403" s="796">
        <v>0</v>
      </c>
      <c r="AZ403" s="796">
        <v>0</v>
      </c>
      <c r="BA403" s="796">
        <v>0</v>
      </c>
      <c r="BB403" s="796">
        <v>0</v>
      </c>
      <c r="BC403" s="796">
        <v>0</v>
      </c>
      <c r="BD403" s="796">
        <v>0</v>
      </c>
      <c r="BE403" s="796">
        <v>0</v>
      </c>
      <c r="BF403" s="796">
        <v>0</v>
      </c>
      <c r="BG403" s="810">
        <v>84328</v>
      </c>
      <c r="BH403" s="796">
        <v>0</v>
      </c>
      <c r="BI403" s="796">
        <v>0</v>
      </c>
      <c r="BJ403" s="796">
        <v>0</v>
      </c>
      <c r="BK403" s="796">
        <v>0</v>
      </c>
      <c r="BL403" s="796">
        <v>0</v>
      </c>
      <c r="BM403" s="796">
        <v>0</v>
      </c>
      <c r="BN403" s="796">
        <v>0</v>
      </c>
      <c r="BO403" s="796">
        <v>0</v>
      </c>
      <c r="BP403" s="796">
        <v>0</v>
      </c>
      <c r="BQ403" s="796">
        <v>0</v>
      </c>
      <c r="BR403" s="796">
        <v>0</v>
      </c>
      <c r="BS403" s="796">
        <v>0</v>
      </c>
      <c r="BT403" s="796">
        <v>0</v>
      </c>
      <c r="BU403" s="796">
        <v>0</v>
      </c>
      <c r="BV403" s="796">
        <v>0</v>
      </c>
    </row>
    <row r="404" spans="2:74">
      <c r="B404" s="795" t="s">
        <v>581</v>
      </c>
      <c r="C404" s="795" t="s">
        <v>3327</v>
      </c>
      <c r="D404" s="795"/>
      <c r="E404" s="796"/>
      <c r="F404" s="799"/>
      <c r="G404" s="799"/>
      <c r="H404" s="799"/>
      <c r="I404" s="799"/>
      <c r="J404" s="799"/>
      <c r="K404" s="799"/>
      <c r="L404" s="799"/>
      <c r="M404" s="799"/>
      <c r="N404" s="595"/>
      <c r="O404" s="794">
        <v>0</v>
      </c>
      <c r="P404" s="794">
        <v>0</v>
      </c>
      <c r="Q404" s="794">
        <v>0</v>
      </c>
      <c r="R404" s="794">
        <v>0</v>
      </c>
      <c r="S404" s="796">
        <v>0</v>
      </c>
      <c r="T404" s="796">
        <v>0</v>
      </c>
      <c r="U404" s="796">
        <v>0</v>
      </c>
      <c r="V404" s="796">
        <v>0</v>
      </c>
      <c r="W404" s="796">
        <v>0</v>
      </c>
      <c r="X404" s="796">
        <v>0</v>
      </c>
      <c r="Y404" s="796">
        <v>0</v>
      </c>
      <c r="Z404" s="796">
        <v>0</v>
      </c>
      <c r="AA404" s="796">
        <v>0</v>
      </c>
      <c r="AB404" s="796">
        <v>0</v>
      </c>
      <c r="AC404" s="796">
        <v>0</v>
      </c>
      <c r="AD404" s="796">
        <v>0</v>
      </c>
      <c r="AE404" s="796">
        <v>0</v>
      </c>
      <c r="AF404" s="796">
        <v>0</v>
      </c>
      <c r="AG404" s="796">
        <v>0</v>
      </c>
      <c r="AH404" s="796">
        <v>0</v>
      </c>
      <c r="AI404" s="796">
        <v>0</v>
      </c>
      <c r="AJ404" s="796">
        <v>0</v>
      </c>
      <c r="AK404" s="796">
        <v>0</v>
      </c>
      <c r="AL404" s="796">
        <v>0</v>
      </c>
      <c r="AM404" s="796">
        <v>0</v>
      </c>
      <c r="AN404" s="796">
        <v>0</v>
      </c>
      <c r="AO404" s="796">
        <v>0</v>
      </c>
      <c r="AP404" s="796">
        <v>0</v>
      </c>
      <c r="AQ404" s="796">
        <v>0</v>
      </c>
      <c r="AR404" s="796">
        <v>0</v>
      </c>
      <c r="AS404" s="796">
        <v>0</v>
      </c>
      <c r="AT404" s="796">
        <v>0</v>
      </c>
      <c r="AU404" s="796">
        <v>0</v>
      </c>
      <c r="AV404" s="796">
        <v>0</v>
      </c>
      <c r="AW404" s="796">
        <v>0</v>
      </c>
      <c r="AX404" s="796">
        <v>0</v>
      </c>
      <c r="AY404" s="796">
        <v>0</v>
      </c>
      <c r="AZ404" s="796">
        <v>0</v>
      </c>
      <c r="BA404" s="796">
        <v>0</v>
      </c>
      <c r="BB404" s="796">
        <v>0</v>
      </c>
      <c r="BC404" s="796">
        <v>0</v>
      </c>
      <c r="BD404" s="796">
        <v>0</v>
      </c>
      <c r="BE404" s="796">
        <v>0</v>
      </c>
      <c r="BF404" s="796">
        <v>0</v>
      </c>
      <c r="BG404" s="810">
        <v>50000</v>
      </c>
      <c r="BH404" s="796">
        <v>14650.78</v>
      </c>
      <c r="BI404" s="796">
        <v>75893.94</v>
      </c>
      <c r="BJ404" s="796">
        <v>64888.05</v>
      </c>
      <c r="BK404" s="796">
        <v>5000</v>
      </c>
      <c r="BL404" s="796">
        <v>14527.56</v>
      </c>
      <c r="BM404" s="796">
        <v>0</v>
      </c>
      <c r="BN404" s="796">
        <v>0</v>
      </c>
      <c r="BO404" s="796">
        <v>0</v>
      </c>
      <c r="BP404" s="796">
        <v>0</v>
      </c>
      <c r="BQ404" s="796">
        <v>0</v>
      </c>
      <c r="BR404" s="796">
        <v>0</v>
      </c>
      <c r="BS404" s="796">
        <v>0</v>
      </c>
      <c r="BT404" s="796">
        <v>0</v>
      </c>
      <c r="BU404" s="796">
        <v>0</v>
      </c>
      <c r="BV404" s="796">
        <v>0</v>
      </c>
    </row>
    <row r="405" spans="2:74">
      <c r="B405" s="795" t="s">
        <v>3311</v>
      </c>
      <c r="C405" s="795" t="s">
        <v>3312</v>
      </c>
      <c r="D405" s="795"/>
      <c r="E405" s="796"/>
      <c r="F405" s="799"/>
      <c r="G405" s="799"/>
      <c r="H405" s="799"/>
      <c r="I405" s="799"/>
      <c r="J405" s="799"/>
      <c r="K405" s="799"/>
      <c r="L405" s="799"/>
      <c r="M405" s="799"/>
      <c r="N405" s="595"/>
      <c r="O405" s="794">
        <v>0</v>
      </c>
      <c r="P405" s="794">
        <v>0</v>
      </c>
      <c r="Q405" s="794">
        <v>0</v>
      </c>
      <c r="R405" s="794">
        <v>0</v>
      </c>
      <c r="S405" s="796">
        <v>0</v>
      </c>
      <c r="T405" s="796">
        <v>0</v>
      </c>
      <c r="U405" s="796">
        <v>0</v>
      </c>
      <c r="V405" s="796">
        <v>0</v>
      </c>
      <c r="W405" s="796">
        <v>0</v>
      </c>
      <c r="X405" s="796">
        <v>0</v>
      </c>
      <c r="Y405" s="796">
        <v>0</v>
      </c>
      <c r="Z405" s="796">
        <v>0</v>
      </c>
      <c r="AA405" s="796">
        <v>0</v>
      </c>
      <c r="AB405" s="796">
        <v>0</v>
      </c>
      <c r="AC405" s="796">
        <v>0</v>
      </c>
      <c r="AD405" s="796">
        <v>0</v>
      </c>
      <c r="AE405" s="796">
        <v>0</v>
      </c>
      <c r="AF405" s="796">
        <v>0</v>
      </c>
      <c r="AG405" s="796">
        <v>0</v>
      </c>
      <c r="AH405" s="796">
        <v>0</v>
      </c>
      <c r="AI405" s="796">
        <v>0</v>
      </c>
      <c r="AJ405" s="796">
        <v>0</v>
      </c>
      <c r="AK405" s="796">
        <v>0</v>
      </c>
      <c r="AL405" s="796">
        <v>0</v>
      </c>
      <c r="AM405" s="796">
        <v>0</v>
      </c>
      <c r="AN405" s="796">
        <v>0</v>
      </c>
      <c r="AO405" s="796">
        <v>0</v>
      </c>
      <c r="AP405" s="796">
        <v>0</v>
      </c>
      <c r="AQ405" s="796">
        <v>0</v>
      </c>
      <c r="AR405" s="796">
        <v>0</v>
      </c>
      <c r="AS405" s="796">
        <v>0</v>
      </c>
      <c r="AT405" s="796">
        <v>0</v>
      </c>
      <c r="AU405" s="796">
        <v>0</v>
      </c>
      <c r="AV405" s="796">
        <v>0</v>
      </c>
      <c r="AW405" s="796">
        <v>0</v>
      </c>
      <c r="AX405" s="796">
        <v>0</v>
      </c>
      <c r="AY405" s="796">
        <v>0</v>
      </c>
      <c r="AZ405" s="796">
        <v>0</v>
      </c>
      <c r="BA405" s="796">
        <v>0</v>
      </c>
      <c r="BB405" s="796">
        <v>0</v>
      </c>
      <c r="BC405" s="796">
        <v>0</v>
      </c>
      <c r="BD405" s="796">
        <v>0</v>
      </c>
      <c r="BE405" s="796">
        <v>0</v>
      </c>
      <c r="BF405" s="796">
        <v>0</v>
      </c>
      <c r="BG405" s="796">
        <v>0</v>
      </c>
      <c r="BH405" s="810">
        <v>46000</v>
      </c>
      <c r="BI405" s="796">
        <v>0</v>
      </c>
      <c r="BJ405" s="796">
        <v>0</v>
      </c>
      <c r="BK405" s="796">
        <v>0</v>
      </c>
      <c r="BL405" s="796">
        <v>0</v>
      </c>
      <c r="BM405" s="796">
        <v>0</v>
      </c>
      <c r="BN405" s="796">
        <v>0</v>
      </c>
      <c r="BO405" s="796">
        <v>0</v>
      </c>
      <c r="BP405" s="796">
        <v>0</v>
      </c>
      <c r="BQ405" s="796">
        <v>0</v>
      </c>
      <c r="BR405" s="796">
        <v>0</v>
      </c>
      <c r="BS405" s="796">
        <v>0</v>
      </c>
      <c r="BT405" s="796">
        <v>0</v>
      </c>
      <c r="BU405" s="796">
        <v>0</v>
      </c>
      <c r="BV405" s="796">
        <v>0</v>
      </c>
    </row>
    <row r="406" spans="2:74">
      <c r="B406" s="795" t="s">
        <v>3328</v>
      </c>
      <c r="C406" s="795" t="s">
        <v>3326</v>
      </c>
      <c r="D406" s="795"/>
      <c r="E406" s="796"/>
      <c r="F406" s="799"/>
      <c r="G406" s="799"/>
      <c r="H406" s="799"/>
      <c r="I406" s="799"/>
      <c r="J406" s="799"/>
      <c r="K406" s="799"/>
      <c r="L406" s="799"/>
      <c r="M406" s="799"/>
      <c r="N406" s="595"/>
      <c r="O406" s="794">
        <v>0</v>
      </c>
      <c r="P406" s="794">
        <v>0</v>
      </c>
      <c r="Q406" s="794">
        <v>0</v>
      </c>
      <c r="R406" s="794">
        <v>0</v>
      </c>
      <c r="S406" s="796">
        <v>0</v>
      </c>
      <c r="T406" s="796">
        <v>0</v>
      </c>
      <c r="U406" s="796">
        <v>0</v>
      </c>
      <c r="V406" s="796">
        <v>0</v>
      </c>
      <c r="W406" s="796">
        <v>0</v>
      </c>
      <c r="X406" s="796">
        <v>0</v>
      </c>
      <c r="Y406" s="796">
        <v>0</v>
      </c>
      <c r="Z406" s="796">
        <v>0</v>
      </c>
      <c r="AA406" s="796">
        <v>0</v>
      </c>
      <c r="AB406" s="796">
        <v>0</v>
      </c>
      <c r="AC406" s="796">
        <v>0</v>
      </c>
      <c r="AD406" s="796">
        <v>0</v>
      </c>
      <c r="AE406" s="796">
        <v>0</v>
      </c>
      <c r="AF406" s="796">
        <v>0</v>
      </c>
      <c r="AG406" s="796">
        <v>0</v>
      </c>
      <c r="AH406" s="796">
        <v>0</v>
      </c>
      <c r="AI406" s="796">
        <v>0</v>
      </c>
      <c r="AJ406" s="796">
        <v>0</v>
      </c>
      <c r="AK406" s="796">
        <v>0</v>
      </c>
      <c r="AL406" s="796">
        <v>0</v>
      </c>
      <c r="AM406" s="796">
        <v>0</v>
      </c>
      <c r="AN406" s="796">
        <v>0</v>
      </c>
      <c r="AO406" s="796">
        <v>0</v>
      </c>
      <c r="AP406" s="796">
        <v>0</v>
      </c>
      <c r="AQ406" s="796">
        <v>0</v>
      </c>
      <c r="AR406" s="796">
        <v>0</v>
      </c>
      <c r="AS406" s="796">
        <v>0</v>
      </c>
      <c r="AT406" s="796">
        <v>0</v>
      </c>
      <c r="AU406" s="796">
        <v>0</v>
      </c>
      <c r="AV406" s="796">
        <v>0</v>
      </c>
      <c r="AW406" s="796">
        <v>0</v>
      </c>
      <c r="AX406" s="796">
        <v>0</v>
      </c>
      <c r="AY406" s="796">
        <v>0</v>
      </c>
      <c r="AZ406" s="796">
        <v>0</v>
      </c>
      <c r="BA406" s="796">
        <v>0</v>
      </c>
      <c r="BB406" s="796">
        <v>0</v>
      </c>
      <c r="BC406" s="796">
        <v>0</v>
      </c>
      <c r="BD406" s="796">
        <v>0</v>
      </c>
      <c r="BE406" s="796">
        <v>0</v>
      </c>
      <c r="BF406" s="796">
        <v>0</v>
      </c>
      <c r="BG406" s="796">
        <v>0</v>
      </c>
      <c r="BH406" s="810">
        <v>11815.05</v>
      </c>
      <c r="BI406" s="796">
        <v>21266.13</v>
      </c>
      <c r="BJ406" s="796">
        <v>8000</v>
      </c>
      <c r="BK406" s="796">
        <v>0</v>
      </c>
      <c r="BL406" s="796">
        <v>0</v>
      </c>
      <c r="BM406" s="796">
        <v>0</v>
      </c>
      <c r="BN406" s="796">
        <v>0</v>
      </c>
      <c r="BO406" s="796">
        <v>0</v>
      </c>
      <c r="BP406" s="796">
        <v>0</v>
      </c>
      <c r="BQ406" s="796">
        <v>0</v>
      </c>
      <c r="BR406" s="796">
        <v>0</v>
      </c>
      <c r="BS406" s="796">
        <v>0</v>
      </c>
      <c r="BT406" s="796">
        <v>0</v>
      </c>
      <c r="BU406" s="796">
        <v>0</v>
      </c>
      <c r="BV406" s="796">
        <v>0</v>
      </c>
    </row>
    <row r="407" spans="2:74">
      <c r="B407" s="795" t="s">
        <v>538</v>
      </c>
      <c r="C407" s="795" t="s">
        <v>537</v>
      </c>
      <c r="D407" s="795"/>
      <c r="E407" s="796"/>
      <c r="F407" s="799"/>
      <c r="G407" s="799"/>
      <c r="H407" s="799"/>
      <c r="I407" s="799"/>
      <c r="J407" s="799"/>
      <c r="K407" s="799"/>
      <c r="L407" s="799"/>
      <c r="M407" s="799"/>
      <c r="N407" s="595"/>
      <c r="O407" s="794">
        <v>0</v>
      </c>
      <c r="P407" s="794">
        <v>0</v>
      </c>
      <c r="Q407" s="794">
        <v>0</v>
      </c>
      <c r="R407" s="794">
        <v>0</v>
      </c>
      <c r="S407" s="796">
        <v>0</v>
      </c>
      <c r="T407" s="796">
        <v>0</v>
      </c>
      <c r="U407" s="796">
        <v>0</v>
      </c>
      <c r="V407" s="796">
        <v>0</v>
      </c>
      <c r="W407" s="796">
        <v>0</v>
      </c>
      <c r="X407" s="796">
        <v>0</v>
      </c>
      <c r="Y407" s="796">
        <v>0</v>
      </c>
      <c r="Z407" s="796">
        <v>0</v>
      </c>
      <c r="AA407" s="796">
        <v>0</v>
      </c>
      <c r="AB407" s="796">
        <v>0</v>
      </c>
      <c r="AC407" s="796">
        <v>0</v>
      </c>
      <c r="AD407" s="796">
        <v>0</v>
      </c>
      <c r="AE407" s="796">
        <v>0</v>
      </c>
      <c r="AF407" s="796">
        <v>0</v>
      </c>
      <c r="AG407" s="796">
        <v>0</v>
      </c>
      <c r="AH407" s="796">
        <v>0</v>
      </c>
      <c r="AI407" s="796">
        <v>0</v>
      </c>
      <c r="AJ407" s="796">
        <v>0</v>
      </c>
      <c r="AK407" s="796">
        <v>0</v>
      </c>
      <c r="AL407" s="796">
        <v>0</v>
      </c>
      <c r="AM407" s="796">
        <v>0</v>
      </c>
      <c r="AN407" s="796">
        <v>0</v>
      </c>
      <c r="AO407" s="796">
        <v>0</v>
      </c>
      <c r="AP407" s="796">
        <v>0</v>
      </c>
      <c r="AQ407" s="796">
        <v>0</v>
      </c>
      <c r="AR407" s="796">
        <v>0</v>
      </c>
      <c r="AS407" s="796">
        <v>0</v>
      </c>
      <c r="AT407" s="796">
        <v>0</v>
      </c>
      <c r="AU407" s="796">
        <v>0</v>
      </c>
      <c r="AV407" s="796">
        <v>0</v>
      </c>
      <c r="AW407" s="796">
        <v>0</v>
      </c>
      <c r="AX407" s="796">
        <v>0</v>
      </c>
      <c r="AY407" s="796">
        <v>0</v>
      </c>
      <c r="AZ407" s="796">
        <v>0</v>
      </c>
      <c r="BA407" s="796">
        <v>0</v>
      </c>
      <c r="BB407" s="796">
        <v>0</v>
      </c>
      <c r="BC407" s="796">
        <v>0</v>
      </c>
      <c r="BD407" s="796">
        <v>0</v>
      </c>
      <c r="BE407" s="796">
        <v>0</v>
      </c>
      <c r="BF407" s="796">
        <v>0</v>
      </c>
      <c r="BG407" s="796">
        <v>0</v>
      </c>
      <c r="BH407" s="810">
        <v>20100.099999999999</v>
      </c>
      <c r="BI407" s="796">
        <v>60749.75</v>
      </c>
      <c r="BJ407" s="796">
        <v>4000</v>
      </c>
      <c r="BK407" s="796">
        <v>0</v>
      </c>
      <c r="BL407" s="796">
        <v>0</v>
      </c>
      <c r="BM407" s="796">
        <v>0</v>
      </c>
      <c r="BN407" s="796">
        <v>0</v>
      </c>
      <c r="BO407" s="796">
        <v>0</v>
      </c>
      <c r="BP407" s="796">
        <v>0</v>
      </c>
      <c r="BQ407" s="796">
        <v>13145</v>
      </c>
      <c r="BR407" s="796">
        <v>27305</v>
      </c>
      <c r="BS407" s="796">
        <v>26590</v>
      </c>
      <c r="BT407" s="796">
        <v>0</v>
      </c>
      <c r="BU407" s="796">
        <v>0</v>
      </c>
      <c r="BV407" s="796">
        <v>0</v>
      </c>
    </row>
    <row r="408" spans="2:74">
      <c r="B408" s="795" t="s">
        <v>830</v>
      </c>
      <c r="C408" s="795" t="s">
        <v>3310</v>
      </c>
      <c r="D408" s="795"/>
      <c r="E408" s="796"/>
      <c r="F408" s="799"/>
      <c r="G408" s="799"/>
      <c r="H408" s="799"/>
      <c r="I408" s="799"/>
      <c r="J408" s="799"/>
      <c r="K408" s="799"/>
      <c r="L408" s="799"/>
      <c r="M408" s="799"/>
      <c r="N408" s="595"/>
      <c r="O408" s="794">
        <v>0</v>
      </c>
      <c r="P408" s="794">
        <v>0</v>
      </c>
      <c r="Q408" s="794">
        <v>0</v>
      </c>
      <c r="R408" s="794">
        <v>0</v>
      </c>
      <c r="S408" s="796">
        <v>0</v>
      </c>
      <c r="T408" s="796">
        <v>0</v>
      </c>
      <c r="U408" s="796">
        <v>0</v>
      </c>
      <c r="V408" s="796">
        <v>0</v>
      </c>
      <c r="W408" s="796">
        <v>0</v>
      </c>
      <c r="X408" s="796">
        <v>0</v>
      </c>
      <c r="Y408" s="796">
        <v>0</v>
      </c>
      <c r="Z408" s="796">
        <v>0</v>
      </c>
      <c r="AA408" s="796">
        <v>0</v>
      </c>
      <c r="AB408" s="796">
        <v>0</v>
      </c>
      <c r="AC408" s="796">
        <v>0</v>
      </c>
      <c r="AD408" s="796">
        <v>0</v>
      </c>
      <c r="AE408" s="796">
        <v>0</v>
      </c>
      <c r="AF408" s="796">
        <v>0</v>
      </c>
      <c r="AG408" s="796">
        <v>0</v>
      </c>
      <c r="AH408" s="796">
        <v>0</v>
      </c>
      <c r="AI408" s="796">
        <v>0</v>
      </c>
      <c r="AJ408" s="796">
        <v>0</v>
      </c>
      <c r="AK408" s="796">
        <v>0</v>
      </c>
      <c r="AL408" s="796">
        <v>0</v>
      </c>
      <c r="AM408" s="796">
        <v>0</v>
      </c>
      <c r="AN408" s="796">
        <v>0</v>
      </c>
      <c r="AO408" s="796">
        <v>0</v>
      </c>
      <c r="AP408" s="796">
        <v>0</v>
      </c>
      <c r="AQ408" s="796">
        <v>0</v>
      </c>
      <c r="AR408" s="796">
        <v>0</v>
      </c>
      <c r="AS408" s="796">
        <v>0</v>
      </c>
      <c r="AT408" s="796">
        <v>0</v>
      </c>
      <c r="AU408" s="796">
        <v>0</v>
      </c>
      <c r="AV408" s="796">
        <v>0</v>
      </c>
      <c r="AW408" s="796">
        <v>0</v>
      </c>
      <c r="AX408" s="796">
        <v>0</v>
      </c>
      <c r="AY408" s="796">
        <v>0</v>
      </c>
      <c r="AZ408" s="796">
        <v>0</v>
      </c>
      <c r="BA408" s="796">
        <v>0</v>
      </c>
      <c r="BB408" s="796">
        <v>0</v>
      </c>
      <c r="BC408" s="796">
        <v>0</v>
      </c>
      <c r="BD408" s="796">
        <v>0</v>
      </c>
      <c r="BE408" s="796">
        <v>0</v>
      </c>
      <c r="BF408" s="796">
        <v>0</v>
      </c>
      <c r="BG408" s="796">
        <v>0</v>
      </c>
      <c r="BH408" s="810">
        <v>14638.1</v>
      </c>
      <c r="BI408" s="796">
        <v>90881.46</v>
      </c>
      <c r="BJ408" s="796">
        <v>123476.88</v>
      </c>
      <c r="BK408" s="796">
        <v>96664.59</v>
      </c>
      <c r="BL408" s="796">
        <v>80215.149999999994</v>
      </c>
      <c r="BM408" s="796">
        <v>96256.35</v>
      </c>
      <c r="BN408" s="796">
        <v>68473.05</v>
      </c>
      <c r="BO408" s="796">
        <v>77907.259999999995</v>
      </c>
      <c r="BP408" s="796">
        <v>85817.69</v>
      </c>
      <c r="BQ408" s="796">
        <v>85817.69</v>
      </c>
      <c r="BR408" s="796">
        <v>20794.009999999998</v>
      </c>
      <c r="BS408" s="796">
        <v>46587.03</v>
      </c>
      <c r="BT408" s="796">
        <v>47063.11</v>
      </c>
      <c r="BU408" s="796">
        <v>38874.11</v>
      </c>
      <c r="BV408" s="796">
        <v>29164.53</v>
      </c>
    </row>
    <row r="409" spans="2:74">
      <c r="B409" s="795" t="s">
        <v>777</v>
      </c>
      <c r="C409" s="795" t="s">
        <v>3329</v>
      </c>
      <c r="D409" s="795"/>
      <c r="E409" s="796"/>
      <c r="F409" s="799"/>
      <c r="G409" s="799"/>
      <c r="H409" s="799"/>
      <c r="I409" s="799"/>
      <c r="J409" s="799"/>
      <c r="K409" s="799"/>
      <c r="L409" s="799"/>
      <c r="M409" s="799"/>
      <c r="N409" s="595"/>
      <c r="O409" s="794">
        <v>0</v>
      </c>
      <c r="P409" s="794">
        <v>0</v>
      </c>
      <c r="Q409" s="794">
        <v>0</v>
      </c>
      <c r="R409" s="794">
        <v>0</v>
      </c>
      <c r="S409" s="796">
        <v>0</v>
      </c>
      <c r="T409" s="796">
        <v>0</v>
      </c>
      <c r="U409" s="796">
        <v>0</v>
      </c>
      <c r="V409" s="796">
        <v>0</v>
      </c>
      <c r="W409" s="796">
        <v>0</v>
      </c>
      <c r="X409" s="796">
        <v>0</v>
      </c>
      <c r="Y409" s="796">
        <v>0</v>
      </c>
      <c r="Z409" s="796">
        <v>0</v>
      </c>
      <c r="AA409" s="796">
        <v>0</v>
      </c>
      <c r="AB409" s="796">
        <v>0</v>
      </c>
      <c r="AC409" s="796">
        <v>0</v>
      </c>
      <c r="AD409" s="796">
        <v>0</v>
      </c>
      <c r="AE409" s="796">
        <v>0</v>
      </c>
      <c r="AF409" s="796">
        <v>0</v>
      </c>
      <c r="AG409" s="796">
        <v>0</v>
      </c>
      <c r="AH409" s="796">
        <v>0</v>
      </c>
      <c r="AI409" s="796">
        <v>0</v>
      </c>
      <c r="AJ409" s="796">
        <v>0</v>
      </c>
      <c r="AK409" s="796">
        <v>0</v>
      </c>
      <c r="AL409" s="796">
        <v>0</v>
      </c>
      <c r="AM409" s="796">
        <v>0</v>
      </c>
      <c r="AN409" s="796">
        <v>0</v>
      </c>
      <c r="AO409" s="796">
        <v>0</v>
      </c>
      <c r="AP409" s="796">
        <v>0</v>
      </c>
      <c r="AQ409" s="796">
        <v>0</v>
      </c>
      <c r="AR409" s="796">
        <v>0</v>
      </c>
      <c r="AS409" s="796">
        <v>0</v>
      </c>
      <c r="AT409" s="796">
        <v>0</v>
      </c>
      <c r="AU409" s="796">
        <v>0</v>
      </c>
      <c r="AV409" s="796">
        <v>0</v>
      </c>
      <c r="AW409" s="796">
        <v>0</v>
      </c>
      <c r="AX409" s="796">
        <v>0</v>
      </c>
      <c r="AY409" s="796">
        <v>0</v>
      </c>
      <c r="AZ409" s="796">
        <v>0</v>
      </c>
      <c r="BA409" s="796">
        <v>0</v>
      </c>
      <c r="BB409" s="796">
        <v>0</v>
      </c>
      <c r="BC409" s="796">
        <v>0</v>
      </c>
      <c r="BD409" s="796">
        <v>0</v>
      </c>
      <c r="BE409" s="796">
        <v>0</v>
      </c>
      <c r="BF409" s="796">
        <v>0</v>
      </c>
      <c r="BG409" s="796">
        <v>0</v>
      </c>
      <c r="BH409" s="810">
        <v>66072.33</v>
      </c>
      <c r="BI409" s="796">
        <v>0</v>
      </c>
      <c r="BJ409" s="796">
        <v>113085.51</v>
      </c>
      <c r="BK409" s="796">
        <v>68374.899999999994</v>
      </c>
      <c r="BL409" s="796">
        <v>77196.81</v>
      </c>
      <c r="BM409" s="796">
        <v>36045.42</v>
      </c>
      <c r="BN409" s="796">
        <v>0</v>
      </c>
      <c r="BO409" s="796">
        <v>0</v>
      </c>
      <c r="BP409" s="796">
        <v>0</v>
      </c>
      <c r="BQ409" s="796">
        <v>31647.61</v>
      </c>
      <c r="BR409" s="796">
        <v>5937.57</v>
      </c>
      <c r="BS409" s="796">
        <v>45555.44</v>
      </c>
      <c r="BT409" s="796">
        <v>88573.88</v>
      </c>
      <c r="BU409" s="796">
        <v>26043.72</v>
      </c>
      <c r="BV409" s="796">
        <v>70000</v>
      </c>
    </row>
    <row r="410" spans="2:74">
      <c r="B410" s="795" t="s">
        <v>3330</v>
      </c>
      <c r="C410" s="795" t="s">
        <v>529</v>
      </c>
      <c r="D410" s="795"/>
      <c r="E410" s="796"/>
      <c r="F410" s="799"/>
      <c r="G410" s="799"/>
      <c r="H410" s="799"/>
      <c r="I410" s="799"/>
      <c r="J410" s="799"/>
      <c r="K410" s="799"/>
      <c r="L410" s="799"/>
      <c r="M410" s="799"/>
      <c r="N410" s="595"/>
      <c r="O410" s="794">
        <v>0</v>
      </c>
      <c r="P410" s="794">
        <v>0</v>
      </c>
      <c r="Q410" s="794">
        <v>0</v>
      </c>
      <c r="R410" s="794">
        <v>0</v>
      </c>
      <c r="S410" s="796">
        <v>0</v>
      </c>
      <c r="T410" s="796">
        <v>0</v>
      </c>
      <c r="U410" s="796">
        <v>0</v>
      </c>
      <c r="V410" s="796">
        <v>0</v>
      </c>
      <c r="W410" s="796">
        <v>0</v>
      </c>
      <c r="X410" s="796">
        <v>0</v>
      </c>
      <c r="Y410" s="796">
        <v>0</v>
      </c>
      <c r="Z410" s="796">
        <v>0</v>
      </c>
      <c r="AA410" s="796">
        <v>0</v>
      </c>
      <c r="AB410" s="796">
        <v>0</v>
      </c>
      <c r="AC410" s="796">
        <v>0</v>
      </c>
      <c r="AD410" s="796">
        <v>0</v>
      </c>
      <c r="AE410" s="796">
        <v>0</v>
      </c>
      <c r="AF410" s="796">
        <v>0</v>
      </c>
      <c r="AG410" s="796">
        <v>0</v>
      </c>
      <c r="AH410" s="796">
        <v>0</v>
      </c>
      <c r="AI410" s="796">
        <v>0</v>
      </c>
      <c r="AJ410" s="796">
        <v>0</v>
      </c>
      <c r="AK410" s="796">
        <v>0</v>
      </c>
      <c r="AL410" s="796">
        <v>0</v>
      </c>
      <c r="AM410" s="796">
        <v>0</v>
      </c>
      <c r="AN410" s="796">
        <v>0</v>
      </c>
      <c r="AO410" s="796">
        <v>0</v>
      </c>
      <c r="AP410" s="796">
        <v>0</v>
      </c>
      <c r="AQ410" s="796">
        <v>0</v>
      </c>
      <c r="AR410" s="796">
        <v>0</v>
      </c>
      <c r="AS410" s="796">
        <v>0</v>
      </c>
      <c r="AT410" s="796">
        <v>0</v>
      </c>
      <c r="AU410" s="796">
        <v>0</v>
      </c>
      <c r="AV410" s="796">
        <v>0</v>
      </c>
      <c r="AW410" s="796">
        <v>0</v>
      </c>
      <c r="AX410" s="796">
        <v>0</v>
      </c>
      <c r="AY410" s="796">
        <v>0</v>
      </c>
      <c r="AZ410" s="796">
        <v>0</v>
      </c>
      <c r="BA410" s="796">
        <v>0</v>
      </c>
      <c r="BB410" s="796">
        <v>0</v>
      </c>
      <c r="BC410" s="796">
        <v>0</v>
      </c>
      <c r="BD410" s="796">
        <v>0</v>
      </c>
      <c r="BE410" s="796">
        <v>0</v>
      </c>
      <c r="BF410" s="796">
        <v>0</v>
      </c>
      <c r="BG410" s="796">
        <v>0</v>
      </c>
      <c r="BH410" s="796">
        <v>0</v>
      </c>
      <c r="BI410" s="810">
        <v>41252.76</v>
      </c>
      <c r="BJ410" s="796">
        <v>32141.040000000001</v>
      </c>
      <c r="BK410" s="796">
        <v>0</v>
      </c>
      <c r="BL410" s="796">
        <v>0</v>
      </c>
      <c r="BM410" s="796">
        <v>0</v>
      </c>
      <c r="BN410" s="796">
        <v>0</v>
      </c>
      <c r="BO410" s="796">
        <v>0</v>
      </c>
      <c r="BP410" s="796">
        <v>0</v>
      </c>
      <c r="BQ410" s="796">
        <v>0</v>
      </c>
      <c r="BR410" s="796">
        <v>0</v>
      </c>
      <c r="BS410" s="796">
        <v>0</v>
      </c>
      <c r="BT410" s="796">
        <v>0</v>
      </c>
      <c r="BU410" s="796">
        <v>0</v>
      </c>
      <c r="BV410" s="796">
        <v>0</v>
      </c>
    </row>
    <row r="411" spans="2:74">
      <c r="B411" s="795" t="s">
        <v>3331</v>
      </c>
      <c r="C411" s="795" t="s">
        <v>604</v>
      </c>
      <c r="D411" s="795"/>
      <c r="E411" s="796"/>
      <c r="F411" s="799"/>
      <c r="G411" s="799"/>
      <c r="H411" s="799"/>
      <c r="I411" s="799"/>
      <c r="J411" s="799"/>
      <c r="K411" s="799"/>
      <c r="L411" s="799"/>
      <c r="M411" s="799"/>
      <c r="N411" s="595"/>
      <c r="O411" s="794">
        <v>0</v>
      </c>
      <c r="P411" s="794">
        <v>0</v>
      </c>
      <c r="Q411" s="794">
        <v>0</v>
      </c>
      <c r="R411" s="794">
        <v>0</v>
      </c>
      <c r="S411" s="796">
        <v>0</v>
      </c>
      <c r="T411" s="796">
        <v>0</v>
      </c>
      <c r="U411" s="796">
        <v>0</v>
      </c>
      <c r="V411" s="796">
        <v>0</v>
      </c>
      <c r="W411" s="796">
        <v>0</v>
      </c>
      <c r="X411" s="796">
        <v>0</v>
      </c>
      <c r="Y411" s="796">
        <v>0</v>
      </c>
      <c r="Z411" s="796">
        <v>0</v>
      </c>
      <c r="AA411" s="796">
        <v>0</v>
      </c>
      <c r="AB411" s="796">
        <v>0</v>
      </c>
      <c r="AC411" s="796">
        <v>0</v>
      </c>
      <c r="AD411" s="796">
        <v>0</v>
      </c>
      <c r="AE411" s="796">
        <v>0</v>
      </c>
      <c r="AF411" s="796">
        <v>0</v>
      </c>
      <c r="AG411" s="796">
        <v>0</v>
      </c>
      <c r="AH411" s="796">
        <v>0</v>
      </c>
      <c r="AI411" s="796">
        <v>0</v>
      </c>
      <c r="AJ411" s="796">
        <v>0</v>
      </c>
      <c r="AK411" s="796">
        <v>0</v>
      </c>
      <c r="AL411" s="796">
        <v>0</v>
      </c>
      <c r="AM411" s="796">
        <v>0</v>
      </c>
      <c r="AN411" s="796">
        <v>0</v>
      </c>
      <c r="AO411" s="796">
        <v>0</v>
      </c>
      <c r="AP411" s="796">
        <v>0</v>
      </c>
      <c r="AQ411" s="796">
        <v>0</v>
      </c>
      <c r="AR411" s="796">
        <v>0</v>
      </c>
      <c r="AS411" s="796">
        <v>0</v>
      </c>
      <c r="AT411" s="796">
        <v>0</v>
      </c>
      <c r="AU411" s="796">
        <v>0</v>
      </c>
      <c r="AV411" s="796">
        <v>0</v>
      </c>
      <c r="AW411" s="796">
        <v>0</v>
      </c>
      <c r="AX411" s="796">
        <v>0</v>
      </c>
      <c r="AY411" s="796">
        <v>0</v>
      </c>
      <c r="AZ411" s="796">
        <v>0</v>
      </c>
      <c r="BA411" s="796">
        <v>0</v>
      </c>
      <c r="BB411" s="796">
        <v>0</v>
      </c>
      <c r="BC411" s="796">
        <v>0</v>
      </c>
      <c r="BD411" s="796">
        <v>0</v>
      </c>
      <c r="BE411" s="796">
        <v>0</v>
      </c>
      <c r="BF411" s="796">
        <v>0</v>
      </c>
      <c r="BG411" s="796">
        <v>0</v>
      </c>
      <c r="BH411" s="796">
        <v>0</v>
      </c>
      <c r="BI411" s="810">
        <v>52782.79</v>
      </c>
      <c r="BJ411" s="796">
        <v>19499.7</v>
      </c>
      <c r="BK411" s="796">
        <v>0</v>
      </c>
      <c r="BL411" s="796">
        <v>0</v>
      </c>
      <c r="BM411" s="796">
        <v>0</v>
      </c>
      <c r="BN411" s="796">
        <v>0</v>
      </c>
      <c r="BO411" s="796">
        <v>0</v>
      </c>
      <c r="BP411" s="796">
        <v>0</v>
      </c>
      <c r="BQ411" s="796">
        <v>0</v>
      </c>
      <c r="BR411" s="796">
        <v>0</v>
      </c>
      <c r="BS411" s="796">
        <v>0</v>
      </c>
      <c r="BT411" s="796">
        <v>0</v>
      </c>
      <c r="BU411" s="796">
        <v>0</v>
      </c>
      <c r="BV411" s="796">
        <v>0</v>
      </c>
    </row>
    <row r="412" spans="2:74">
      <c r="B412" s="795" t="s">
        <v>3332</v>
      </c>
      <c r="C412" s="795" t="s">
        <v>3333</v>
      </c>
      <c r="D412" s="795"/>
      <c r="E412" s="796"/>
      <c r="F412" s="799"/>
      <c r="G412" s="799"/>
      <c r="H412" s="799"/>
      <c r="I412" s="799"/>
      <c r="J412" s="799"/>
      <c r="K412" s="799"/>
      <c r="L412" s="799"/>
      <c r="M412" s="799"/>
      <c r="N412" s="595"/>
      <c r="O412" s="794">
        <v>0</v>
      </c>
      <c r="P412" s="794">
        <v>0</v>
      </c>
      <c r="Q412" s="794">
        <v>0</v>
      </c>
      <c r="R412" s="794">
        <v>0</v>
      </c>
      <c r="S412" s="796">
        <v>0</v>
      </c>
      <c r="T412" s="796">
        <v>0</v>
      </c>
      <c r="U412" s="796">
        <v>0</v>
      </c>
      <c r="V412" s="796">
        <v>0</v>
      </c>
      <c r="W412" s="796">
        <v>0</v>
      </c>
      <c r="X412" s="796">
        <v>0</v>
      </c>
      <c r="Y412" s="796">
        <v>0</v>
      </c>
      <c r="Z412" s="796">
        <v>0</v>
      </c>
      <c r="AA412" s="796">
        <v>0</v>
      </c>
      <c r="AB412" s="796">
        <v>0</v>
      </c>
      <c r="AC412" s="796">
        <v>0</v>
      </c>
      <c r="AD412" s="796">
        <v>0</v>
      </c>
      <c r="AE412" s="796">
        <v>0</v>
      </c>
      <c r="AF412" s="796">
        <v>0</v>
      </c>
      <c r="AG412" s="796">
        <v>0</v>
      </c>
      <c r="AH412" s="796">
        <v>0</v>
      </c>
      <c r="AI412" s="796">
        <v>0</v>
      </c>
      <c r="AJ412" s="796">
        <v>0</v>
      </c>
      <c r="AK412" s="796">
        <v>0</v>
      </c>
      <c r="AL412" s="796">
        <v>0</v>
      </c>
      <c r="AM412" s="796">
        <v>0</v>
      </c>
      <c r="AN412" s="796">
        <v>0</v>
      </c>
      <c r="AO412" s="796">
        <v>0</v>
      </c>
      <c r="AP412" s="796">
        <v>0</v>
      </c>
      <c r="AQ412" s="796">
        <v>0</v>
      </c>
      <c r="AR412" s="796">
        <v>0</v>
      </c>
      <c r="AS412" s="796">
        <v>0</v>
      </c>
      <c r="AT412" s="796">
        <v>0</v>
      </c>
      <c r="AU412" s="796">
        <v>0</v>
      </c>
      <c r="AV412" s="796">
        <v>0</v>
      </c>
      <c r="AW412" s="796">
        <v>0</v>
      </c>
      <c r="AX412" s="796">
        <v>0</v>
      </c>
      <c r="AY412" s="796">
        <v>0</v>
      </c>
      <c r="AZ412" s="796">
        <v>0</v>
      </c>
      <c r="BA412" s="796">
        <v>0</v>
      </c>
      <c r="BB412" s="796">
        <v>0</v>
      </c>
      <c r="BC412" s="796">
        <v>0</v>
      </c>
      <c r="BD412" s="796">
        <v>0</v>
      </c>
      <c r="BE412" s="796">
        <v>0</v>
      </c>
      <c r="BF412" s="796">
        <v>0</v>
      </c>
      <c r="BG412" s="796">
        <v>0</v>
      </c>
      <c r="BH412" s="796">
        <v>0</v>
      </c>
      <c r="BI412" s="810">
        <v>10350</v>
      </c>
      <c r="BJ412" s="796">
        <v>38300</v>
      </c>
      <c r="BK412" s="796">
        <v>0</v>
      </c>
      <c r="BL412" s="796">
        <v>0</v>
      </c>
      <c r="BM412" s="796">
        <v>0</v>
      </c>
      <c r="BN412" s="796">
        <v>0</v>
      </c>
      <c r="BO412" s="796">
        <v>0</v>
      </c>
      <c r="BP412" s="796">
        <v>0</v>
      </c>
      <c r="BQ412" s="796">
        <v>0</v>
      </c>
      <c r="BR412" s="796">
        <v>0</v>
      </c>
      <c r="BS412" s="796">
        <v>0</v>
      </c>
      <c r="BT412" s="796">
        <v>0</v>
      </c>
      <c r="BU412" s="796">
        <v>0</v>
      </c>
      <c r="BV412" s="796">
        <v>0</v>
      </c>
    </row>
    <row r="413" spans="2:74">
      <c r="B413" s="795" t="s">
        <v>787</v>
      </c>
      <c r="C413" s="795" t="s">
        <v>534</v>
      </c>
      <c r="D413" s="795"/>
      <c r="E413" s="796"/>
      <c r="F413" s="799"/>
      <c r="G413" s="799"/>
      <c r="H413" s="799"/>
      <c r="I413" s="799"/>
      <c r="J413" s="799"/>
      <c r="K413" s="799"/>
      <c r="L413" s="799"/>
      <c r="M413" s="799"/>
      <c r="N413" s="595"/>
      <c r="O413" s="794">
        <v>0</v>
      </c>
      <c r="P413" s="794">
        <v>0</v>
      </c>
      <c r="Q413" s="794">
        <v>0</v>
      </c>
      <c r="R413" s="794">
        <v>0</v>
      </c>
      <c r="S413" s="796">
        <v>0</v>
      </c>
      <c r="T413" s="796">
        <v>0</v>
      </c>
      <c r="U413" s="796">
        <v>0</v>
      </c>
      <c r="V413" s="796">
        <v>0</v>
      </c>
      <c r="W413" s="796">
        <v>0</v>
      </c>
      <c r="X413" s="796">
        <v>0</v>
      </c>
      <c r="Y413" s="796">
        <v>0</v>
      </c>
      <c r="Z413" s="796">
        <v>0</v>
      </c>
      <c r="AA413" s="796">
        <v>0</v>
      </c>
      <c r="AB413" s="796">
        <v>0</v>
      </c>
      <c r="AC413" s="796">
        <v>0</v>
      </c>
      <c r="AD413" s="796">
        <v>0</v>
      </c>
      <c r="AE413" s="796">
        <v>0</v>
      </c>
      <c r="AF413" s="796">
        <v>0</v>
      </c>
      <c r="AG413" s="796">
        <v>0</v>
      </c>
      <c r="AH413" s="796">
        <v>0</v>
      </c>
      <c r="AI413" s="796">
        <v>0</v>
      </c>
      <c r="AJ413" s="796">
        <v>0</v>
      </c>
      <c r="AK413" s="796">
        <v>0</v>
      </c>
      <c r="AL413" s="796">
        <v>0</v>
      </c>
      <c r="AM413" s="796">
        <v>0</v>
      </c>
      <c r="AN413" s="796">
        <v>0</v>
      </c>
      <c r="AO413" s="796">
        <v>0</v>
      </c>
      <c r="AP413" s="796">
        <v>0</v>
      </c>
      <c r="AQ413" s="796">
        <v>0</v>
      </c>
      <c r="AR413" s="796">
        <v>0</v>
      </c>
      <c r="AS413" s="796">
        <v>0</v>
      </c>
      <c r="AT413" s="796">
        <v>0</v>
      </c>
      <c r="AU413" s="796">
        <v>0</v>
      </c>
      <c r="AV413" s="796">
        <v>0</v>
      </c>
      <c r="AW413" s="796">
        <v>0</v>
      </c>
      <c r="AX413" s="796">
        <v>0</v>
      </c>
      <c r="AY413" s="796">
        <v>0</v>
      </c>
      <c r="AZ413" s="796">
        <v>0</v>
      </c>
      <c r="BA413" s="796">
        <v>0</v>
      </c>
      <c r="BB413" s="796">
        <v>0</v>
      </c>
      <c r="BC413" s="796">
        <v>0</v>
      </c>
      <c r="BD413" s="796">
        <v>0</v>
      </c>
      <c r="BE413" s="796">
        <v>0</v>
      </c>
      <c r="BF413" s="796">
        <v>0</v>
      </c>
      <c r="BG413" s="796">
        <v>0</v>
      </c>
      <c r="BH413" s="796">
        <v>0</v>
      </c>
      <c r="BI413" s="810">
        <v>21324.28</v>
      </c>
      <c r="BJ413" s="796">
        <v>52815.56</v>
      </c>
      <c r="BK413" s="796">
        <v>0</v>
      </c>
      <c r="BL413" s="796">
        <v>16344.44</v>
      </c>
      <c r="BM413" s="796">
        <v>0</v>
      </c>
      <c r="BN413" s="796">
        <v>15000</v>
      </c>
      <c r="BO413" s="796">
        <v>0</v>
      </c>
      <c r="BP413" s="796">
        <v>0</v>
      </c>
      <c r="BQ413" s="796">
        <v>0</v>
      </c>
      <c r="BR413" s="796">
        <v>0</v>
      </c>
      <c r="BS413" s="796">
        <v>0</v>
      </c>
      <c r="BT413" s="796">
        <v>43800</v>
      </c>
      <c r="BU413" s="796">
        <v>0</v>
      </c>
      <c r="BV413" s="796">
        <v>0</v>
      </c>
    </row>
    <row r="414" spans="2:74">
      <c r="B414" s="795" t="s">
        <v>3334</v>
      </c>
      <c r="C414" s="795"/>
      <c r="D414" s="795"/>
      <c r="E414" s="796"/>
      <c r="F414" s="799"/>
      <c r="G414" s="799"/>
      <c r="H414" s="799"/>
      <c r="I414" s="799"/>
      <c r="J414" s="799"/>
      <c r="K414" s="799"/>
      <c r="L414" s="799"/>
      <c r="M414" s="799"/>
      <c r="N414" s="595"/>
      <c r="O414" s="794">
        <v>0</v>
      </c>
      <c r="P414" s="794">
        <v>0</v>
      </c>
      <c r="Q414" s="794">
        <v>0</v>
      </c>
      <c r="R414" s="794">
        <v>0</v>
      </c>
      <c r="S414" s="796">
        <v>0</v>
      </c>
      <c r="T414" s="796">
        <v>0</v>
      </c>
      <c r="U414" s="796">
        <v>0</v>
      </c>
      <c r="V414" s="796">
        <v>0</v>
      </c>
      <c r="W414" s="796">
        <v>0</v>
      </c>
      <c r="X414" s="796">
        <v>0</v>
      </c>
      <c r="Y414" s="796">
        <v>0</v>
      </c>
      <c r="Z414" s="796">
        <v>0</v>
      </c>
      <c r="AA414" s="796">
        <v>0</v>
      </c>
      <c r="AB414" s="796">
        <v>0</v>
      </c>
      <c r="AC414" s="796">
        <v>0</v>
      </c>
      <c r="AD414" s="796">
        <v>0</v>
      </c>
      <c r="AE414" s="796">
        <v>0</v>
      </c>
      <c r="AF414" s="796">
        <v>0</v>
      </c>
      <c r="AG414" s="796">
        <v>0</v>
      </c>
      <c r="AH414" s="796">
        <v>0</v>
      </c>
      <c r="AI414" s="796">
        <v>0</v>
      </c>
      <c r="AJ414" s="796">
        <v>0</v>
      </c>
      <c r="AK414" s="796">
        <v>0</v>
      </c>
      <c r="AL414" s="796">
        <v>0</v>
      </c>
      <c r="AM414" s="796">
        <v>0</v>
      </c>
      <c r="AN414" s="796">
        <v>0</v>
      </c>
      <c r="AO414" s="796">
        <v>0</v>
      </c>
      <c r="AP414" s="796">
        <v>0</v>
      </c>
      <c r="AQ414" s="796">
        <v>0</v>
      </c>
      <c r="AR414" s="796">
        <v>0</v>
      </c>
      <c r="AS414" s="796">
        <v>0</v>
      </c>
      <c r="AT414" s="796">
        <v>0</v>
      </c>
      <c r="AU414" s="796">
        <v>0</v>
      </c>
      <c r="AV414" s="796">
        <v>0</v>
      </c>
      <c r="AW414" s="796">
        <v>0</v>
      </c>
      <c r="AX414" s="796">
        <v>0</v>
      </c>
      <c r="AY414" s="796">
        <v>0</v>
      </c>
      <c r="AZ414" s="796">
        <v>0</v>
      </c>
      <c r="BA414" s="796">
        <v>0</v>
      </c>
      <c r="BB414" s="796">
        <v>0</v>
      </c>
      <c r="BC414" s="796">
        <v>0</v>
      </c>
      <c r="BD414" s="796">
        <v>0</v>
      </c>
      <c r="BE414" s="796">
        <v>0</v>
      </c>
      <c r="BF414" s="796">
        <v>0</v>
      </c>
      <c r="BG414" s="796">
        <v>0</v>
      </c>
      <c r="BH414" s="796">
        <v>0</v>
      </c>
      <c r="BI414" s="796">
        <v>0</v>
      </c>
      <c r="BJ414" s="796">
        <v>0</v>
      </c>
      <c r="BK414" s="796">
        <v>0</v>
      </c>
      <c r="BL414" s="796">
        <v>0</v>
      </c>
      <c r="BM414" s="796">
        <v>0</v>
      </c>
      <c r="BN414" s="796">
        <v>0</v>
      </c>
      <c r="BO414" s="796">
        <v>0</v>
      </c>
      <c r="BP414" s="796">
        <v>0</v>
      </c>
      <c r="BQ414" s="796">
        <v>0</v>
      </c>
      <c r="BR414" s="796">
        <v>0</v>
      </c>
      <c r="BS414" s="796">
        <v>0</v>
      </c>
      <c r="BT414" s="796">
        <v>0</v>
      </c>
      <c r="BU414" s="796">
        <v>0</v>
      </c>
      <c r="BV414" s="796">
        <v>0</v>
      </c>
    </row>
    <row r="415" spans="2:74">
      <c r="B415" s="795" t="s">
        <v>575</v>
      </c>
      <c r="C415" s="795" t="s">
        <v>574</v>
      </c>
      <c r="D415" s="795"/>
      <c r="E415" s="796"/>
      <c r="F415" s="799"/>
      <c r="G415" s="799"/>
      <c r="H415" s="799"/>
      <c r="I415" s="799"/>
      <c r="J415" s="799"/>
      <c r="K415" s="799"/>
      <c r="L415" s="799"/>
      <c r="M415" s="799"/>
      <c r="N415" s="595"/>
      <c r="O415" s="794">
        <v>0</v>
      </c>
      <c r="P415" s="794">
        <v>0</v>
      </c>
      <c r="Q415" s="794">
        <v>0</v>
      </c>
      <c r="R415" s="794">
        <v>0</v>
      </c>
      <c r="S415" s="796">
        <v>0</v>
      </c>
      <c r="T415" s="796">
        <v>0</v>
      </c>
      <c r="U415" s="796">
        <v>0</v>
      </c>
      <c r="V415" s="796">
        <v>0</v>
      </c>
      <c r="W415" s="796">
        <v>0</v>
      </c>
      <c r="X415" s="796">
        <v>0</v>
      </c>
      <c r="Y415" s="796">
        <v>0</v>
      </c>
      <c r="Z415" s="796">
        <v>0</v>
      </c>
      <c r="AA415" s="796">
        <v>0</v>
      </c>
      <c r="AB415" s="796">
        <v>0</v>
      </c>
      <c r="AC415" s="796">
        <v>0</v>
      </c>
      <c r="AD415" s="796">
        <v>0</v>
      </c>
      <c r="AE415" s="796">
        <v>0</v>
      </c>
      <c r="AF415" s="796">
        <v>0</v>
      </c>
      <c r="AG415" s="796">
        <v>0</v>
      </c>
      <c r="AH415" s="796">
        <v>0</v>
      </c>
      <c r="AI415" s="796">
        <v>0</v>
      </c>
      <c r="AJ415" s="796">
        <v>0</v>
      </c>
      <c r="AK415" s="796">
        <v>0</v>
      </c>
      <c r="AL415" s="796">
        <v>0</v>
      </c>
      <c r="AM415" s="796">
        <v>0</v>
      </c>
      <c r="AN415" s="796">
        <v>0</v>
      </c>
      <c r="AO415" s="796">
        <v>0</v>
      </c>
      <c r="AP415" s="796">
        <v>0</v>
      </c>
      <c r="AQ415" s="796">
        <v>0</v>
      </c>
      <c r="AR415" s="796">
        <v>0</v>
      </c>
      <c r="AS415" s="796">
        <v>0</v>
      </c>
      <c r="AT415" s="796">
        <v>0</v>
      </c>
      <c r="AU415" s="796">
        <v>0</v>
      </c>
      <c r="AV415" s="796">
        <v>0</v>
      </c>
      <c r="AW415" s="796">
        <v>0</v>
      </c>
      <c r="AX415" s="796">
        <v>0</v>
      </c>
      <c r="AY415" s="796">
        <v>0</v>
      </c>
      <c r="AZ415" s="796">
        <v>0</v>
      </c>
      <c r="BA415" s="796">
        <v>0</v>
      </c>
      <c r="BB415" s="796">
        <v>0</v>
      </c>
      <c r="BC415" s="796">
        <v>0</v>
      </c>
      <c r="BD415" s="796">
        <v>0</v>
      </c>
      <c r="BE415" s="796">
        <v>0</v>
      </c>
      <c r="BF415" s="796">
        <v>0</v>
      </c>
      <c r="BG415" s="796">
        <v>0</v>
      </c>
      <c r="BH415" s="796">
        <v>0</v>
      </c>
      <c r="BI415" s="796">
        <v>0</v>
      </c>
      <c r="BJ415" s="810">
        <v>80000</v>
      </c>
      <c r="BK415" s="796">
        <v>0</v>
      </c>
      <c r="BL415" s="796">
        <v>0</v>
      </c>
      <c r="BM415" s="796">
        <v>6200</v>
      </c>
      <c r="BN415" s="796">
        <v>0</v>
      </c>
      <c r="BO415" s="796">
        <v>0</v>
      </c>
      <c r="BP415" s="796">
        <v>60000</v>
      </c>
      <c r="BQ415" s="796">
        <v>0</v>
      </c>
      <c r="BR415" s="796">
        <v>0</v>
      </c>
      <c r="BS415" s="796">
        <v>0</v>
      </c>
      <c r="BT415" s="796">
        <v>0</v>
      </c>
      <c r="BU415" s="796">
        <v>0</v>
      </c>
      <c r="BV415" s="796">
        <v>0</v>
      </c>
    </row>
    <row r="416" spans="2:74">
      <c r="B416" s="795" t="s">
        <v>569</v>
      </c>
      <c r="C416" s="795" t="s">
        <v>529</v>
      </c>
      <c r="D416" s="795"/>
      <c r="E416" s="796"/>
      <c r="F416" s="799"/>
      <c r="G416" s="799"/>
      <c r="H416" s="799"/>
      <c r="I416" s="799"/>
      <c r="J416" s="799"/>
      <c r="K416" s="799"/>
      <c r="L416" s="799"/>
      <c r="M416" s="799"/>
      <c r="N416" s="595"/>
      <c r="O416" s="794">
        <v>0</v>
      </c>
      <c r="P416" s="794">
        <v>0</v>
      </c>
      <c r="Q416" s="794">
        <v>0</v>
      </c>
      <c r="R416" s="794">
        <v>0</v>
      </c>
      <c r="S416" s="796">
        <v>0</v>
      </c>
      <c r="T416" s="796">
        <v>0</v>
      </c>
      <c r="U416" s="796">
        <v>0</v>
      </c>
      <c r="V416" s="796">
        <v>0</v>
      </c>
      <c r="W416" s="796">
        <v>0</v>
      </c>
      <c r="X416" s="796">
        <v>0</v>
      </c>
      <c r="Y416" s="796">
        <v>0</v>
      </c>
      <c r="Z416" s="796">
        <v>0</v>
      </c>
      <c r="AA416" s="796">
        <v>0</v>
      </c>
      <c r="AB416" s="796">
        <v>0</v>
      </c>
      <c r="AC416" s="796">
        <v>0</v>
      </c>
      <c r="AD416" s="796">
        <v>0</v>
      </c>
      <c r="AE416" s="796">
        <v>0</v>
      </c>
      <c r="AF416" s="796">
        <v>0</v>
      </c>
      <c r="AG416" s="796">
        <v>0</v>
      </c>
      <c r="AH416" s="796">
        <v>0</v>
      </c>
      <c r="AI416" s="796">
        <v>0</v>
      </c>
      <c r="AJ416" s="796">
        <v>0</v>
      </c>
      <c r="AK416" s="796">
        <v>0</v>
      </c>
      <c r="AL416" s="796">
        <v>0</v>
      </c>
      <c r="AM416" s="796">
        <v>0</v>
      </c>
      <c r="AN416" s="796">
        <v>0</v>
      </c>
      <c r="AO416" s="796">
        <v>0</v>
      </c>
      <c r="AP416" s="796">
        <v>0</v>
      </c>
      <c r="AQ416" s="796">
        <v>0</v>
      </c>
      <c r="AR416" s="796">
        <v>0</v>
      </c>
      <c r="AS416" s="796">
        <v>0</v>
      </c>
      <c r="AT416" s="796">
        <v>0</v>
      </c>
      <c r="AU416" s="796">
        <v>0</v>
      </c>
      <c r="AV416" s="796">
        <v>0</v>
      </c>
      <c r="AW416" s="796">
        <v>0</v>
      </c>
      <c r="AX416" s="796">
        <v>0</v>
      </c>
      <c r="AY416" s="796">
        <v>0</v>
      </c>
      <c r="AZ416" s="796">
        <v>0</v>
      </c>
      <c r="BA416" s="796">
        <v>0</v>
      </c>
      <c r="BB416" s="796">
        <v>0</v>
      </c>
      <c r="BC416" s="796">
        <v>0</v>
      </c>
      <c r="BD416" s="796">
        <v>0</v>
      </c>
      <c r="BE416" s="796">
        <v>0</v>
      </c>
      <c r="BF416" s="796">
        <v>0</v>
      </c>
      <c r="BG416" s="796">
        <v>0</v>
      </c>
      <c r="BH416" s="796">
        <v>0</v>
      </c>
      <c r="BI416" s="796">
        <v>0</v>
      </c>
      <c r="BJ416" s="810">
        <v>72017.5</v>
      </c>
      <c r="BK416" s="796">
        <v>33648.300000000003</v>
      </c>
      <c r="BL416" s="796">
        <v>0</v>
      </c>
      <c r="BM416" s="796">
        <v>0</v>
      </c>
      <c r="BN416" s="796">
        <v>0</v>
      </c>
      <c r="BO416" s="796">
        <v>0</v>
      </c>
      <c r="BP416" s="796">
        <v>0</v>
      </c>
      <c r="BQ416" s="796">
        <v>0</v>
      </c>
      <c r="BR416" s="796">
        <v>0</v>
      </c>
      <c r="BS416" s="796">
        <v>0</v>
      </c>
      <c r="BT416" s="796">
        <v>0</v>
      </c>
      <c r="BU416" s="796">
        <v>0</v>
      </c>
      <c r="BV416" s="796">
        <v>0</v>
      </c>
    </row>
    <row r="417" spans="2:74">
      <c r="B417" s="795" t="s">
        <v>564</v>
      </c>
      <c r="C417" s="795" t="s">
        <v>481</v>
      </c>
      <c r="D417" s="795"/>
      <c r="E417" s="796"/>
      <c r="F417" s="799"/>
      <c r="G417" s="799"/>
      <c r="H417" s="799"/>
      <c r="I417" s="799"/>
      <c r="J417" s="799"/>
      <c r="K417" s="799"/>
      <c r="L417" s="799"/>
      <c r="M417" s="799"/>
      <c r="N417" s="595"/>
      <c r="O417" s="794">
        <v>0</v>
      </c>
      <c r="P417" s="794">
        <v>0</v>
      </c>
      <c r="Q417" s="794">
        <v>0</v>
      </c>
      <c r="R417" s="794">
        <v>0</v>
      </c>
      <c r="S417" s="796">
        <v>0</v>
      </c>
      <c r="T417" s="796">
        <v>0</v>
      </c>
      <c r="U417" s="796">
        <v>0</v>
      </c>
      <c r="V417" s="796">
        <v>0</v>
      </c>
      <c r="W417" s="796">
        <v>0</v>
      </c>
      <c r="X417" s="796">
        <v>0</v>
      </c>
      <c r="Y417" s="796">
        <v>0</v>
      </c>
      <c r="Z417" s="796">
        <v>0</v>
      </c>
      <c r="AA417" s="796">
        <v>0</v>
      </c>
      <c r="AB417" s="796">
        <v>0</v>
      </c>
      <c r="AC417" s="796">
        <v>0</v>
      </c>
      <c r="AD417" s="796">
        <v>0</v>
      </c>
      <c r="AE417" s="796">
        <v>0</v>
      </c>
      <c r="AF417" s="796">
        <v>0</v>
      </c>
      <c r="AG417" s="796">
        <v>0</v>
      </c>
      <c r="AH417" s="796">
        <v>0</v>
      </c>
      <c r="AI417" s="796">
        <v>0</v>
      </c>
      <c r="AJ417" s="796">
        <v>0</v>
      </c>
      <c r="AK417" s="796">
        <v>0</v>
      </c>
      <c r="AL417" s="796">
        <v>0</v>
      </c>
      <c r="AM417" s="796">
        <v>0</v>
      </c>
      <c r="AN417" s="796">
        <v>0</v>
      </c>
      <c r="AO417" s="796">
        <v>0</v>
      </c>
      <c r="AP417" s="796">
        <v>0</v>
      </c>
      <c r="AQ417" s="796">
        <v>0</v>
      </c>
      <c r="AR417" s="796">
        <v>0</v>
      </c>
      <c r="AS417" s="796">
        <v>0</v>
      </c>
      <c r="AT417" s="796">
        <v>0</v>
      </c>
      <c r="AU417" s="796">
        <v>0</v>
      </c>
      <c r="AV417" s="796">
        <v>0</v>
      </c>
      <c r="AW417" s="796">
        <v>0</v>
      </c>
      <c r="AX417" s="796">
        <v>0</v>
      </c>
      <c r="AY417" s="796">
        <v>0</v>
      </c>
      <c r="AZ417" s="796">
        <v>0</v>
      </c>
      <c r="BA417" s="796">
        <v>0</v>
      </c>
      <c r="BB417" s="796">
        <v>0</v>
      </c>
      <c r="BC417" s="796">
        <v>0</v>
      </c>
      <c r="BD417" s="796">
        <v>0</v>
      </c>
      <c r="BE417" s="796">
        <v>0</v>
      </c>
      <c r="BF417" s="796">
        <v>0</v>
      </c>
      <c r="BG417" s="796">
        <v>0</v>
      </c>
      <c r="BH417" s="796">
        <v>0</v>
      </c>
      <c r="BI417" s="796">
        <v>0</v>
      </c>
      <c r="BJ417" s="810">
        <v>24650.91</v>
      </c>
      <c r="BK417" s="796">
        <v>17498.490000000002</v>
      </c>
      <c r="BL417" s="796">
        <v>0</v>
      </c>
      <c r="BM417" s="796">
        <v>0</v>
      </c>
      <c r="BN417" s="796">
        <v>0</v>
      </c>
      <c r="BO417" s="796">
        <v>0</v>
      </c>
      <c r="BP417" s="796">
        <v>0</v>
      </c>
      <c r="BQ417" s="796">
        <v>0</v>
      </c>
      <c r="BR417" s="796">
        <v>0</v>
      </c>
      <c r="BS417" s="796">
        <v>0</v>
      </c>
      <c r="BT417" s="796">
        <v>0</v>
      </c>
      <c r="BU417" s="796">
        <v>0</v>
      </c>
      <c r="BV417" s="796">
        <v>0</v>
      </c>
    </row>
    <row r="418" spans="2:74">
      <c r="B418" s="795" t="s">
        <v>3335</v>
      </c>
      <c r="C418" s="795" t="s">
        <v>596</v>
      </c>
      <c r="D418" s="795"/>
      <c r="E418" s="796"/>
      <c r="F418" s="799"/>
      <c r="G418" s="799"/>
      <c r="H418" s="799"/>
      <c r="I418" s="799"/>
      <c r="J418" s="799"/>
      <c r="K418" s="799"/>
      <c r="L418" s="799"/>
      <c r="M418" s="799"/>
      <c r="N418" s="595"/>
      <c r="O418" s="794">
        <v>0</v>
      </c>
      <c r="P418" s="794">
        <v>0</v>
      </c>
      <c r="Q418" s="794">
        <v>0</v>
      </c>
      <c r="R418" s="794">
        <v>0</v>
      </c>
      <c r="S418" s="796">
        <v>0</v>
      </c>
      <c r="T418" s="796">
        <v>0</v>
      </c>
      <c r="U418" s="796">
        <v>0</v>
      </c>
      <c r="V418" s="796">
        <v>0</v>
      </c>
      <c r="W418" s="796">
        <v>0</v>
      </c>
      <c r="X418" s="796">
        <v>0</v>
      </c>
      <c r="Y418" s="796">
        <v>0</v>
      </c>
      <c r="Z418" s="796">
        <v>0</v>
      </c>
      <c r="AA418" s="796">
        <v>0</v>
      </c>
      <c r="AB418" s="796">
        <v>0</v>
      </c>
      <c r="AC418" s="796">
        <v>0</v>
      </c>
      <c r="AD418" s="796">
        <v>0</v>
      </c>
      <c r="AE418" s="796">
        <v>0</v>
      </c>
      <c r="AF418" s="796">
        <v>0</v>
      </c>
      <c r="AG418" s="796">
        <v>0</v>
      </c>
      <c r="AH418" s="796">
        <v>0</v>
      </c>
      <c r="AI418" s="796">
        <v>0</v>
      </c>
      <c r="AJ418" s="796">
        <v>0</v>
      </c>
      <c r="AK418" s="796">
        <v>0</v>
      </c>
      <c r="AL418" s="796">
        <v>0</v>
      </c>
      <c r="AM418" s="796">
        <v>0</v>
      </c>
      <c r="AN418" s="796">
        <v>0</v>
      </c>
      <c r="AO418" s="796">
        <v>0</v>
      </c>
      <c r="AP418" s="796">
        <v>0</v>
      </c>
      <c r="AQ418" s="796">
        <v>0</v>
      </c>
      <c r="AR418" s="796">
        <v>0</v>
      </c>
      <c r="AS418" s="796">
        <v>0</v>
      </c>
      <c r="AT418" s="796">
        <v>0</v>
      </c>
      <c r="AU418" s="796">
        <v>0</v>
      </c>
      <c r="AV418" s="796">
        <v>0</v>
      </c>
      <c r="AW418" s="796">
        <v>0</v>
      </c>
      <c r="AX418" s="796">
        <v>0</v>
      </c>
      <c r="AY418" s="796">
        <v>0</v>
      </c>
      <c r="AZ418" s="796">
        <v>0</v>
      </c>
      <c r="BA418" s="796">
        <v>0</v>
      </c>
      <c r="BB418" s="796">
        <v>0</v>
      </c>
      <c r="BC418" s="796">
        <v>0</v>
      </c>
      <c r="BD418" s="796">
        <v>0</v>
      </c>
      <c r="BE418" s="796">
        <v>0</v>
      </c>
      <c r="BF418" s="796">
        <v>0</v>
      </c>
      <c r="BG418" s="796">
        <v>0</v>
      </c>
      <c r="BH418" s="796">
        <v>0</v>
      </c>
      <c r="BI418" s="796">
        <v>0</v>
      </c>
      <c r="BJ418" s="810">
        <v>50000</v>
      </c>
      <c r="BK418" s="796">
        <v>62000</v>
      </c>
      <c r="BL418" s="796">
        <v>0</v>
      </c>
      <c r="BM418" s="796">
        <v>55000</v>
      </c>
      <c r="BN418" s="796">
        <v>0</v>
      </c>
      <c r="BO418" s="796">
        <v>0</v>
      </c>
      <c r="BP418" s="796">
        <v>0</v>
      </c>
      <c r="BQ418" s="796">
        <v>0</v>
      </c>
      <c r="BR418" s="796">
        <v>0</v>
      </c>
      <c r="BS418" s="796">
        <v>0</v>
      </c>
      <c r="BT418" s="796">
        <v>0</v>
      </c>
      <c r="BU418" s="796">
        <v>0</v>
      </c>
      <c r="BV418" s="796">
        <v>0</v>
      </c>
    </row>
    <row r="419" spans="2:74">
      <c r="B419" s="795" t="s">
        <v>3336</v>
      </c>
      <c r="C419" s="795" t="s">
        <v>584</v>
      </c>
      <c r="D419" s="795"/>
      <c r="E419" s="796"/>
      <c r="F419" s="799"/>
      <c r="G419" s="799"/>
      <c r="H419" s="799"/>
      <c r="I419" s="799"/>
      <c r="J419" s="799"/>
      <c r="K419" s="799"/>
      <c r="L419" s="799"/>
      <c r="M419" s="799"/>
      <c r="N419" s="595"/>
      <c r="O419" s="794">
        <v>0</v>
      </c>
      <c r="P419" s="794">
        <v>0</v>
      </c>
      <c r="Q419" s="794">
        <v>0</v>
      </c>
      <c r="R419" s="794">
        <v>0</v>
      </c>
      <c r="S419" s="796">
        <v>0</v>
      </c>
      <c r="T419" s="796">
        <v>0</v>
      </c>
      <c r="U419" s="796">
        <v>0</v>
      </c>
      <c r="V419" s="796">
        <v>0</v>
      </c>
      <c r="W419" s="796">
        <v>0</v>
      </c>
      <c r="X419" s="796">
        <v>0</v>
      </c>
      <c r="Y419" s="796">
        <v>0</v>
      </c>
      <c r="Z419" s="796">
        <v>0</v>
      </c>
      <c r="AA419" s="796">
        <v>0</v>
      </c>
      <c r="AB419" s="796">
        <v>0</v>
      </c>
      <c r="AC419" s="796">
        <v>0</v>
      </c>
      <c r="AD419" s="796">
        <v>0</v>
      </c>
      <c r="AE419" s="796">
        <v>0</v>
      </c>
      <c r="AF419" s="796">
        <v>0</v>
      </c>
      <c r="AG419" s="796">
        <v>0</v>
      </c>
      <c r="AH419" s="796">
        <v>0</v>
      </c>
      <c r="AI419" s="796">
        <v>0</v>
      </c>
      <c r="AJ419" s="796">
        <v>0</v>
      </c>
      <c r="AK419" s="796">
        <v>0</v>
      </c>
      <c r="AL419" s="796">
        <v>0</v>
      </c>
      <c r="AM419" s="796">
        <v>0</v>
      </c>
      <c r="AN419" s="796">
        <v>0</v>
      </c>
      <c r="AO419" s="796">
        <v>0</v>
      </c>
      <c r="AP419" s="796">
        <v>0</v>
      </c>
      <c r="AQ419" s="796">
        <v>0</v>
      </c>
      <c r="AR419" s="796">
        <v>0</v>
      </c>
      <c r="AS419" s="796">
        <v>0</v>
      </c>
      <c r="AT419" s="796">
        <v>0</v>
      </c>
      <c r="AU419" s="796">
        <v>0</v>
      </c>
      <c r="AV419" s="796">
        <v>0</v>
      </c>
      <c r="AW419" s="796">
        <v>0</v>
      </c>
      <c r="AX419" s="796">
        <v>0</v>
      </c>
      <c r="AY419" s="796">
        <v>0</v>
      </c>
      <c r="AZ419" s="796">
        <v>0</v>
      </c>
      <c r="BA419" s="796">
        <v>0</v>
      </c>
      <c r="BB419" s="796">
        <v>0</v>
      </c>
      <c r="BC419" s="796">
        <v>0</v>
      </c>
      <c r="BD419" s="796">
        <v>0</v>
      </c>
      <c r="BE419" s="796">
        <v>0</v>
      </c>
      <c r="BF419" s="796">
        <v>0</v>
      </c>
      <c r="BG419" s="796">
        <v>0</v>
      </c>
      <c r="BH419" s="796">
        <v>0</v>
      </c>
      <c r="BI419" s="796">
        <v>0</v>
      </c>
      <c r="BJ419" s="810">
        <v>90928.48</v>
      </c>
      <c r="BK419" s="796">
        <v>0</v>
      </c>
      <c r="BL419" s="796">
        <v>362160.32</v>
      </c>
      <c r="BM419" s="796">
        <v>0</v>
      </c>
      <c r="BN419" s="796">
        <v>0</v>
      </c>
      <c r="BO419" s="796">
        <v>0</v>
      </c>
      <c r="BP419" s="796">
        <v>0</v>
      </c>
      <c r="BQ419" s="796">
        <v>0</v>
      </c>
      <c r="BR419" s="796">
        <v>362160.32</v>
      </c>
      <c r="BS419" s="796">
        <v>0</v>
      </c>
      <c r="BT419" s="796">
        <v>0</v>
      </c>
      <c r="BU419" s="796">
        <v>0</v>
      </c>
      <c r="BV419" s="796">
        <v>0</v>
      </c>
    </row>
    <row r="420" spans="2:74">
      <c r="B420" s="795" t="s">
        <v>530</v>
      </c>
      <c r="C420" s="795" t="s">
        <v>529</v>
      </c>
      <c r="D420" s="795"/>
      <c r="E420" s="796"/>
      <c r="F420" s="799"/>
      <c r="G420" s="799"/>
      <c r="H420" s="799"/>
      <c r="I420" s="799"/>
      <c r="J420" s="799"/>
      <c r="K420" s="799"/>
      <c r="L420" s="799"/>
      <c r="M420" s="799"/>
      <c r="N420" s="595"/>
      <c r="O420" s="794">
        <v>0</v>
      </c>
      <c r="P420" s="794">
        <v>0</v>
      </c>
      <c r="Q420" s="794">
        <v>0</v>
      </c>
      <c r="R420" s="794">
        <v>0</v>
      </c>
      <c r="S420" s="796">
        <v>0</v>
      </c>
      <c r="T420" s="796">
        <v>0</v>
      </c>
      <c r="U420" s="796">
        <v>0</v>
      </c>
      <c r="V420" s="796">
        <v>0</v>
      </c>
      <c r="W420" s="796">
        <v>0</v>
      </c>
      <c r="X420" s="796">
        <v>0</v>
      </c>
      <c r="Y420" s="796">
        <v>0</v>
      </c>
      <c r="Z420" s="796">
        <v>0</v>
      </c>
      <c r="AA420" s="796">
        <v>0</v>
      </c>
      <c r="AB420" s="796">
        <v>0</v>
      </c>
      <c r="AC420" s="796">
        <v>0</v>
      </c>
      <c r="AD420" s="796">
        <v>0</v>
      </c>
      <c r="AE420" s="796">
        <v>0</v>
      </c>
      <c r="AF420" s="796">
        <v>0</v>
      </c>
      <c r="AG420" s="796">
        <v>0</v>
      </c>
      <c r="AH420" s="796">
        <v>0</v>
      </c>
      <c r="AI420" s="796">
        <v>0</v>
      </c>
      <c r="AJ420" s="796">
        <v>0</v>
      </c>
      <c r="AK420" s="796">
        <v>0</v>
      </c>
      <c r="AL420" s="796">
        <v>0</v>
      </c>
      <c r="AM420" s="796">
        <v>0</v>
      </c>
      <c r="AN420" s="796">
        <v>0</v>
      </c>
      <c r="AO420" s="796">
        <v>0</v>
      </c>
      <c r="AP420" s="796">
        <v>0</v>
      </c>
      <c r="AQ420" s="796">
        <v>0</v>
      </c>
      <c r="AR420" s="796">
        <v>0</v>
      </c>
      <c r="AS420" s="796">
        <v>0</v>
      </c>
      <c r="AT420" s="796">
        <v>0</v>
      </c>
      <c r="AU420" s="796">
        <v>0</v>
      </c>
      <c r="AV420" s="796">
        <v>0</v>
      </c>
      <c r="AW420" s="796">
        <v>0</v>
      </c>
      <c r="AX420" s="796">
        <v>0</v>
      </c>
      <c r="AY420" s="796">
        <v>0</v>
      </c>
      <c r="AZ420" s="796">
        <v>0</v>
      </c>
      <c r="BA420" s="796">
        <v>0</v>
      </c>
      <c r="BB420" s="796">
        <v>0</v>
      </c>
      <c r="BC420" s="796">
        <v>0</v>
      </c>
      <c r="BD420" s="796">
        <v>0</v>
      </c>
      <c r="BE420" s="796">
        <v>0</v>
      </c>
      <c r="BF420" s="796">
        <v>0</v>
      </c>
      <c r="BG420" s="796">
        <v>0</v>
      </c>
      <c r="BH420" s="796">
        <v>0</v>
      </c>
      <c r="BI420" s="796">
        <v>0</v>
      </c>
      <c r="BJ420" s="810">
        <v>32907.42</v>
      </c>
      <c r="BK420" s="796">
        <v>32709.5</v>
      </c>
      <c r="BL420" s="796">
        <v>0</v>
      </c>
      <c r="BM420" s="796">
        <v>0</v>
      </c>
      <c r="BN420" s="796">
        <v>46513.41</v>
      </c>
      <c r="BO420" s="796">
        <v>0</v>
      </c>
      <c r="BP420" s="796">
        <v>0</v>
      </c>
      <c r="BQ420" s="796">
        <v>64209.18</v>
      </c>
      <c r="BR420" s="796">
        <v>34879.1</v>
      </c>
      <c r="BS420" s="796">
        <v>25677.31</v>
      </c>
      <c r="BT420" s="796">
        <v>0</v>
      </c>
      <c r="BU420" s="796">
        <v>0</v>
      </c>
      <c r="BV420" s="796">
        <v>0</v>
      </c>
    </row>
    <row r="421" spans="2:74">
      <c r="B421" s="795" t="s">
        <v>3337</v>
      </c>
      <c r="C421" s="795" t="s">
        <v>658</v>
      </c>
      <c r="D421" s="795"/>
      <c r="E421" s="796"/>
      <c r="F421" s="799"/>
      <c r="G421" s="799"/>
      <c r="H421" s="799"/>
      <c r="I421" s="799"/>
      <c r="J421" s="799"/>
      <c r="K421" s="799"/>
      <c r="L421" s="799"/>
      <c r="M421" s="799"/>
      <c r="N421" s="595"/>
      <c r="O421" s="794">
        <v>0</v>
      </c>
      <c r="P421" s="794">
        <v>0</v>
      </c>
      <c r="Q421" s="794">
        <v>0</v>
      </c>
      <c r="R421" s="794">
        <v>0</v>
      </c>
      <c r="S421" s="796">
        <v>0</v>
      </c>
      <c r="T421" s="796">
        <v>0</v>
      </c>
      <c r="U421" s="796">
        <v>0</v>
      </c>
      <c r="V421" s="796">
        <v>0</v>
      </c>
      <c r="W421" s="796">
        <v>0</v>
      </c>
      <c r="X421" s="796">
        <v>0</v>
      </c>
      <c r="Y421" s="796">
        <v>0</v>
      </c>
      <c r="Z421" s="796">
        <v>0</v>
      </c>
      <c r="AA421" s="796">
        <v>0</v>
      </c>
      <c r="AB421" s="796">
        <v>0</v>
      </c>
      <c r="AC421" s="796">
        <v>0</v>
      </c>
      <c r="AD421" s="796">
        <v>0</v>
      </c>
      <c r="AE421" s="796">
        <v>0</v>
      </c>
      <c r="AF421" s="796">
        <v>0</v>
      </c>
      <c r="AG421" s="796">
        <v>0</v>
      </c>
      <c r="AH421" s="796">
        <v>0</v>
      </c>
      <c r="AI421" s="796">
        <v>0</v>
      </c>
      <c r="AJ421" s="796">
        <v>0</v>
      </c>
      <c r="AK421" s="796">
        <v>0</v>
      </c>
      <c r="AL421" s="796">
        <v>0</v>
      </c>
      <c r="AM421" s="796">
        <v>0</v>
      </c>
      <c r="AN421" s="796">
        <v>0</v>
      </c>
      <c r="AO421" s="796">
        <v>0</v>
      </c>
      <c r="AP421" s="796">
        <v>0</v>
      </c>
      <c r="AQ421" s="796">
        <v>0</v>
      </c>
      <c r="AR421" s="796">
        <v>0</v>
      </c>
      <c r="AS421" s="796">
        <v>0</v>
      </c>
      <c r="AT421" s="796">
        <v>0</v>
      </c>
      <c r="AU421" s="796">
        <v>0</v>
      </c>
      <c r="AV421" s="796">
        <v>0</v>
      </c>
      <c r="AW421" s="796">
        <v>0</v>
      </c>
      <c r="AX421" s="796">
        <v>0</v>
      </c>
      <c r="AY421" s="796">
        <v>0</v>
      </c>
      <c r="AZ421" s="796">
        <v>0</v>
      </c>
      <c r="BA421" s="796">
        <v>0</v>
      </c>
      <c r="BB421" s="796">
        <v>0</v>
      </c>
      <c r="BC421" s="796">
        <v>0</v>
      </c>
      <c r="BD421" s="796">
        <v>0</v>
      </c>
      <c r="BE421" s="796">
        <v>0</v>
      </c>
      <c r="BF421" s="796">
        <v>0</v>
      </c>
      <c r="BG421" s="796">
        <v>0</v>
      </c>
      <c r="BH421" s="796">
        <v>0</v>
      </c>
      <c r="BI421" s="796">
        <v>0</v>
      </c>
      <c r="BJ421" s="810">
        <v>24475.13</v>
      </c>
      <c r="BK421" s="796">
        <v>134688.82999999999</v>
      </c>
      <c r="BL421" s="796">
        <v>0</v>
      </c>
      <c r="BM421" s="796">
        <v>0</v>
      </c>
      <c r="BN421" s="796">
        <v>0</v>
      </c>
      <c r="BO421" s="796">
        <v>0</v>
      </c>
      <c r="BP421" s="796">
        <v>0</v>
      </c>
      <c r="BQ421" s="796">
        <v>0</v>
      </c>
      <c r="BR421" s="796">
        <v>0</v>
      </c>
      <c r="BS421" s="796">
        <v>0</v>
      </c>
      <c r="BT421" s="796">
        <v>0</v>
      </c>
      <c r="BU421" s="796">
        <v>0</v>
      </c>
      <c r="BV421" s="796">
        <v>0</v>
      </c>
    </row>
    <row r="422" spans="2:74">
      <c r="B422" s="795" t="s">
        <v>609</v>
      </c>
      <c r="C422" s="795" t="s">
        <v>481</v>
      </c>
      <c r="D422" s="795"/>
      <c r="E422" s="796"/>
      <c r="F422" s="799"/>
      <c r="G422" s="799"/>
      <c r="H422" s="799"/>
      <c r="I422" s="799"/>
      <c r="J422" s="799"/>
      <c r="K422" s="799"/>
      <c r="L422" s="799"/>
      <c r="M422" s="799"/>
      <c r="N422" s="595"/>
      <c r="O422" s="794">
        <v>0</v>
      </c>
      <c r="P422" s="794">
        <v>0</v>
      </c>
      <c r="Q422" s="794">
        <v>0</v>
      </c>
      <c r="R422" s="794">
        <v>0</v>
      </c>
      <c r="S422" s="796">
        <v>0</v>
      </c>
      <c r="T422" s="796">
        <v>0</v>
      </c>
      <c r="U422" s="796">
        <v>0</v>
      </c>
      <c r="V422" s="796">
        <v>0</v>
      </c>
      <c r="W422" s="796">
        <v>0</v>
      </c>
      <c r="X422" s="796">
        <v>0</v>
      </c>
      <c r="Y422" s="796">
        <v>0</v>
      </c>
      <c r="Z422" s="796">
        <v>0</v>
      </c>
      <c r="AA422" s="796">
        <v>0</v>
      </c>
      <c r="AB422" s="796">
        <v>0</v>
      </c>
      <c r="AC422" s="796">
        <v>0</v>
      </c>
      <c r="AD422" s="796">
        <v>0</v>
      </c>
      <c r="AE422" s="796">
        <v>0</v>
      </c>
      <c r="AF422" s="796">
        <v>0</v>
      </c>
      <c r="AG422" s="796">
        <v>0</v>
      </c>
      <c r="AH422" s="796">
        <v>0</v>
      </c>
      <c r="AI422" s="796">
        <v>0</v>
      </c>
      <c r="AJ422" s="796">
        <v>0</v>
      </c>
      <c r="AK422" s="796">
        <v>0</v>
      </c>
      <c r="AL422" s="796">
        <v>0</v>
      </c>
      <c r="AM422" s="796">
        <v>0</v>
      </c>
      <c r="AN422" s="796">
        <v>0</v>
      </c>
      <c r="AO422" s="796">
        <v>0</v>
      </c>
      <c r="AP422" s="796">
        <v>0</v>
      </c>
      <c r="AQ422" s="796">
        <v>0</v>
      </c>
      <c r="AR422" s="796">
        <v>0</v>
      </c>
      <c r="AS422" s="796">
        <v>0</v>
      </c>
      <c r="AT422" s="796">
        <v>0</v>
      </c>
      <c r="AU422" s="796">
        <v>0</v>
      </c>
      <c r="AV422" s="796">
        <v>0</v>
      </c>
      <c r="AW422" s="796">
        <v>0</v>
      </c>
      <c r="AX422" s="796">
        <v>0</v>
      </c>
      <c r="AY422" s="796">
        <v>0</v>
      </c>
      <c r="AZ422" s="796">
        <v>0</v>
      </c>
      <c r="BA422" s="796">
        <v>0</v>
      </c>
      <c r="BB422" s="796">
        <v>0</v>
      </c>
      <c r="BC422" s="796">
        <v>0</v>
      </c>
      <c r="BD422" s="796">
        <v>0</v>
      </c>
      <c r="BE422" s="796">
        <v>0</v>
      </c>
      <c r="BF422" s="796">
        <v>0</v>
      </c>
      <c r="BG422" s="796">
        <v>0</v>
      </c>
      <c r="BH422" s="796">
        <v>0</v>
      </c>
      <c r="BI422" s="796">
        <v>0</v>
      </c>
      <c r="BJ422" s="796">
        <v>0</v>
      </c>
      <c r="BK422" s="810">
        <v>14615.07</v>
      </c>
      <c r="BL422" s="796">
        <v>89244.800000000003</v>
      </c>
      <c r="BM422" s="796">
        <v>127404.2</v>
      </c>
      <c r="BN422" s="796">
        <v>54456.35</v>
      </c>
      <c r="BO422" s="796">
        <v>0</v>
      </c>
      <c r="BP422" s="796">
        <v>0</v>
      </c>
      <c r="BQ422" s="796">
        <v>0</v>
      </c>
      <c r="BR422" s="796">
        <v>0</v>
      </c>
      <c r="BS422" s="796">
        <v>0</v>
      </c>
      <c r="BT422" s="796">
        <v>0</v>
      </c>
      <c r="BU422" s="796">
        <v>0</v>
      </c>
      <c r="BV422" s="796">
        <v>0</v>
      </c>
    </row>
    <row r="423" spans="2:74">
      <c r="B423" s="795" t="s">
        <v>541</v>
      </c>
      <c r="C423" s="795" t="s">
        <v>540</v>
      </c>
      <c r="D423" s="795"/>
      <c r="E423" s="796"/>
      <c r="F423" s="799"/>
      <c r="G423" s="799"/>
      <c r="H423" s="799"/>
      <c r="I423" s="799"/>
      <c r="J423" s="799"/>
      <c r="K423" s="799"/>
      <c r="L423" s="799"/>
      <c r="M423" s="799"/>
      <c r="N423" s="595"/>
      <c r="O423" s="794">
        <v>0</v>
      </c>
      <c r="P423" s="794">
        <v>0</v>
      </c>
      <c r="Q423" s="794">
        <v>0</v>
      </c>
      <c r="R423" s="794">
        <v>0</v>
      </c>
      <c r="S423" s="796">
        <v>0</v>
      </c>
      <c r="T423" s="796">
        <v>0</v>
      </c>
      <c r="U423" s="796">
        <v>0</v>
      </c>
      <c r="V423" s="796">
        <v>0</v>
      </c>
      <c r="W423" s="796">
        <v>0</v>
      </c>
      <c r="X423" s="796">
        <v>0</v>
      </c>
      <c r="Y423" s="796">
        <v>0</v>
      </c>
      <c r="Z423" s="796">
        <v>0</v>
      </c>
      <c r="AA423" s="796">
        <v>0</v>
      </c>
      <c r="AB423" s="796">
        <v>0</v>
      </c>
      <c r="AC423" s="796">
        <v>0</v>
      </c>
      <c r="AD423" s="796">
        <v>0</v>
      </c>
      <c r="AE423" s="796">
        <v>0</v>
      </c>
      <c r="AF423" s="796">
        <v>0</v>
      </c>
      <c r="AG423" s="796">
        <v>0</v>
      </c>
      <c r="AH423" s="796">
        <v>0</v>
      </c>
      <c r="AI423" s="796">
        <v>0</v>
      </c>
      <c r="AJ423" s="796">
        <v>0</v>
      </c>
      <c r="AK423" s="796">
        <v>0</v>
      </c>
      <c r="AL423" s="796">
        <v>0</v>
      </c>
      <c r="AM423" s="796">
        <v>0</v>
      </c>
      <c r="AN423" s="796">
        <v>0</v>
      </c>
      <c r="AO423" s="796">
        <v>0</v>
      </c>
      <c r="AP423" s="796">
        <v>0</v>
      </c>
      <c r="AQ423" s="796">
        <v>0</v>
      </c>
      <c r="AR423" s="796">
        <v>0</v>
      </c>
      <c r="AS423" s="796">
        <v>0</v>
      </c>
      <c r="AT423" s="796">
        <v>0</v>
      </c>
      <c r="AU423" s="796">
        <v>0</v>
      </c>
      <c r="AV423" s="796">
        <v>0</v>
      </c>
      <c r="AW423" s="796">
        <v>0</v>
      </c>
      <c r="AX423" s="796">
        <v>0</v>
      </c>
      <c r="AY423" s="796">
        <v>0</v>
      </c>
      <c r="AZ423" s="796">
        <v>0</v>
      </c>
      <c r="BA423" s="796">
        <v>0</v>
      </c>
      <c r="BB423" s="796">
        <v>0</v>
      </c>
      <c r="BC423" s="796">
        <v>0</v>
      </c>
      <c r="BD423" s="796">
        <v>0</v>
      </c>
      <c r="BE423" s="796">
        <v>0</v>
      </c>
      <c r="BF423" s="796">
        <v>0</v>
      </c>
      <c r="BG423" s="796">
        <v>0</v>
      </c>
      <c r="BH423" s="796">
        <v>0</v>
      </c>
      <c r="BI423" s="796">
        <v>0</v>
      </c>
      <c r="BJ423" s="796">
        <v>0</v>
      </c>
      <c r="BK423" s="810">
        <v>47347.72</v>
      </c>
      <c r="BL423" s="796">
        <v>77308.38</v>
      </c>
      <c r="BM423" s="796">
        <v>42854.59</v>
      </c>
      <c r="BN423" s="796">
        <v>32630.11</v>
      </c>
      <c r="BO423" s="796">
        <v>0</v>
      </c>
      <c r="BP423" s="796">
        <v>0</v>
      </c>
      <c r="BQ423" s="796">
        <v>0</v>
      </c>
      <c r="BR423" s="796">
        <v>24673.83</v>
      </c>
      <c r="BS423" s="796">
        <v>22411.02</v>
      </c>
      <c r="BT423" s="796">
        <v>74692.66</v>
      </c>
      <c r="BU423" s="796">
        <v>70570.3</v>
      </c>
      <c r="BV423" s="796">
        <v>0</v>
      </c>
    </row>
    <row r="424" spans="2:74">
      <c r="B424" s="795" t="s">
        <v>605</v>
      </c>
      <c r="C424" s="795" t="s">
        <v>604</v>
      </c>
      <c r="D424" s="795"/>
      <c r="E424" s="796"/>
      <c r="F424" s="799"/>
      <c r="G424" s="799"/>
      <c r="H424" s="799"/>
      <c r="I424" s="799"/>
      <c r="J424" s="799"/>
      <c r="K424" s="799"/>
      <c r="L424" s="799"/>
      <c r="M424" s="799"/>
      <c r="N424" s="595"/>
      <c r="O424" s="794">
        <v>0</v>
      </c>
      <c r="P424" s="794">
        <v>0</v>
      </c>
      <c r="Q424" s="794">
        <v>0</v>
      </c>
      <c r="R424" s="794">
        <v>0</v>
      </c>
      <c r="S424" s="796">
        <v>0</v>
      </c>
      <c r="T424" s="796">
        <v>0</v>
      </c>
      <c r="U424" s="796">
        <v>0</v>
      </c>
      <c r="V424" s="796">
        <v>0</v>
      </c>
      <c r="W424" s="796">
        <v>0</v>
      </c>
      <c r="X424" s="796">
        <v>0</v>
      </c>
      <c r="Y424" s="796">
        <v>0</v>
      </c>
      <c r="Z424" s="796">
        <v>0</v>
      </c>
      <c r="AA424" s="796">
        <v>0</v>
      </c>
      <c r="AB424" s="796">
        <v>0</v>
      </c>
      <c r="AC424" s="796">
        <v>0</v>
      </c>
      <c r="AD424" s="796">
        <v>0</v>
      </c>
      <c r="AE424" s="796">
        <v>0</v>
      </c>
      <c r="AF424" s="796">
        <v>0</v>
      </c>
      <c r="AG424" s="796">
        <v>0</v>
      </c>
      <c r="AH424" s="796">
        <v>0</v>
      </c>
      <c r="AI424" s="796">
        <v>0</v>
      </c>
      <c r="AJ424" s="796">
        <v>0</v>
      </c>
      <c r="AK424" s="796">
        <v>0</v>
      </c>
      <c r="AL424" s="796">
        <v>0</v>
      </c>
      <c r="AM424" s="796">
        <v>0</v>
      </c>
      <c r="AN424" s="796">
        <v>0</v>
      </c>
      <c r="AO424" s="796">
        <v>0</v>
      </c>
      <c r="AP424" s="796">
        <v>0</v>
      </c>
      <c r="AQ424" s="796">
        <v>0</v>
      </c>
      <c r="AR424" s="796">
        <v>0</v>
      </c>
      <c r="AS424" s="796">
        <v>0</v>
      </c>
      <c r="AT424" s="796">
        <v>0</v>
      </c>
      <c r="AU424" s="796">
        <v>0</v>
      </c>
      <c r="AV424" s="796">
        <v>0</v>
      </c>
      <c r="AW424" s="796">
        <v>0</v>
      </c>
      <c r="AX424" s="796">
        <v>0</v>
      </c>
      <c r="AY424" s="796">
        <v>0</v>
      </c>
      <c r="AZ424" s="796">
        <v>0</v>
      </c>
      <c r="BA424" s="796">
        <v>0</v>
      </c>
      <c r="BB424" s="796">
        <v>0</v>
      </c>
      <c r="BC424" s="796">
        <v>0</v>
      </c>
      <c r="BD424" s="796">
        <v>0</v>
      </c>
      <c r="BE424" s="796">
        <v>0</v>
      </c>
      <c r="BF424" s="796">
        <v>0</v>
      </c>
      <c r="BG424" s="796">
        <v>0</v>
      </c>
      <c r="BH424" s="796">
        <v>0</v>
      </c>
      <c r="BI424" s="796">
        <v>0</v>
      </c>
      <c r="BJ424" s="796">
        <v>0</v>
      </c>
      <c r="BK424" s="810">
        <v>31663.279999999999</v>
      </c>
      <c r="BL424" s="796">
        <v>48805.66</v>
      </c>
      <c r="BM424" s="796">
        <v>31195.48</v>
      </c>
      <c r="BN424" s="796">
        <v>31132.22</v>
      </c>
      <c r="BO424" s="796">
        <v>0</v>
      </c>
      <c r="BP424" s="796">
        <v>0</v>
      </c>
      <c r="BQ424" s="796">
        <v>0</v>
      </c>
      <c r="BR424" s="796">
        <v>0</v>
      </c>
      <c r="BS424" s="796">
        <v>0</v>
      </c>
      <c r="BT424" s="796">
        <v>0</v>
      </c>
      <c r="BU424" s="796">
        <v>0</v>
      </c>
      <c r="BV424" s="796">
        <v>0</v>
      </c>
    </row>
    <row r="425" spans="2:74">
      <c r="B425" s="795" t="s">
        <v>3339</v>
      </c>
      <c r="C425" s="795" t="s">
        <v>3316</v>
      </c>
      <c r="D425" s="795"/>
      <c r="E425" s="796"/>
      <c r="F425" s="799"/>
      <c r="G425" s="799"/>
      <c r="H425" s="799"/>
      <c r="I425" s="799"/>
      <c r="J425" s="799"/>
      <c r="K425" s="799"/>
      <c r="L425" s="799"/>
      <c r="M425" s="799"/>
      <c r="N425" s="595"/>
      <c r="O425" s="794">
        <v>0</v>
      </c>
      <c r="P425" s="794">
        <v>0</v>
      </c>
      <c r="Q425" s="794">
        <v>0</v>
      </c>
      <c r="R425" s="794">
        <v>0</v>
      </c>
      <c r="S425" s="796">
        <v>0</v>
      </c>
      <c r="T425" s="796">
        <v>0</v>
      </c>
      <c r="U425" s="796">
        <v>0</v>
      </c>
      <c r="V425" s="796">
        <v>0</v>
      </c>
      <c r="W425" s="796">
        <v>0</v>
      </c>
      <c r="X425" s="796">
        <v>0</v>
      </c>
      <c r="Y425" s="796">
        <v>0</v>
      </c>
      <c r="Z425" s="796">
        <v>0</v>
      </c>
      <c r="AA425" s="796">
        <v>0</v>
      </c>
      <c r="AB425" s="796">
        <v>0</v>
      </c>
      <c r="AC425" s="796">
        <v>0</v>
      </c>
      <c r="AD425" s="796">
        <v>0</v>
      </c>
      <c r="AE425" s="796">
        <v>0</v>
      </c>
      <c r="AF425" s="796">
        <v>0</v>
      </c>
      <c r="AG425" s="796">
        <v>0</v>
      </c>
      <c r="AH425" s="796">
        <v>0</v>
      </c>
      <c r="AI425" s="796">
        <v>0</v>
      </c>
      <c r="AJ425" s="796">
        <v>0</v>
      </c>
      <c r="AK425" s="796">
        <v>0</v>
      </c>
      <c r="AL425" s="796">
        <v>0</v>
      </c>
      <c r="AM425" s="796">
        <v>0</v>
      </c>
      <c r="AN425" s="796">
        <v>0</v>
      </c>
      <c r="AO425" s="796">
        <v>0</v>
      </c>
      <c r="AP425" s="796">
        <v>0</v>
      </c>
      <c r="AQ425" s="796">
        <v>0</v>
      </c>
      <c r="AR425" s="796">
        <v>0</v>
      </c>
      <c r="AS425" s="796">
        <v>0</v>
      </c>
      <c r="AT425" s="796">
        <v>0</v>
      </c>
      <c r="AU425" s="796">
        <v>0</v>
      </c>
      <c r="AV425" s="796">
        <v>0</v>
      </c>
      <c r="AW425" s="796">
        <v>0</v>
      </c>
      <c r="AX425" s="796">
        <v>0</v>
      </c>
      <c r="AY425" s="796">
        <v>0</v>
      </c>
      <c r="AZ425" s="796">
        <v>0</v>
      </c>
      <c r="BA425" s="796">
        <v>0</v>
      </c>
      <c r="BB425" s="796">
        <v>0</v>
      </c>
      <c r="BC425" s="796">
        <v>0</v>
      </c>
      <c r="BD425" s="796">
        <v>0</v>
      </c>
      <c r="BE425" s="796">
        <v>0</v>
      </c>
      <c r="BF425" s="796">
        <v>0</v>
      </c>
      <c r="BG425" s="796">
        <v>0</v>
      </c>
      <c r="BH425" s="796">
        <v>0</v>
      </c>
      <c r="BI425" s="796">
        <v>0</v>
      </c>
      <c r="BJ425" s="796">
        <v>0</v>
      </c>
      <c r="BK425" s="796">
        <v>0</v>
      </c>
      <c r="BL425" s="810">
        <v>75662.929999999993</v>
      </c>
      <c r="BM425" s="796">
        <v>44340.63</v>
      </c>
      <c r="BN425" s="796">
        <v>0</v>
      </c>
      <c r="BO425" s="796">
        <v>0</v>
      </c>
      <c r="BP425" s="796">
        <v>20437.59</v>
      </c>
      <c r="BQ425" s="796">
        <v>0</v>
      </c>
      <c r="BR425" s="796">
        <v>0</v>
      </c>
      <c r="BS425" s="796">
        <v>0</v>
      </c>
      <c r="BT425" s="796">
        <v>0</v>
      </c>
      <c r="BU425" s="796">
        <v>0</v>
      </c>
      <c r="BV425" s="796">
        <v>0</v>
      </c>
    </row>
    <row r="426" spans="2:74">
      <c r="B426" s="795" t="s">
        <v>579</v>
      </c>
      <c r="C426" s="795" t="s">
        <v>578</v>
      </c>
      <c r="D426" s="795"/>
      <c r="E426" s="796"/>
      <c r="F426" s="799"/>
      <c r="G426" s="799"/>
      <c r="H426" s="799"/>
      <c r="I426" s="799"/>
      <c r="J426" s="799"/>
      <c r="K426" s="799"/>
      <c r="L426" s="799"/>
      <c r="M426" s="799"/>
      <c r="N426" s="595"/>
      <c r="O426" s="794">
        <v>0</v>
      </c>
      <c r="P426" s="794">
        <v>0</v>
      </c>
      <c r="Q426" s="794">
        <v>0</v>
      </c>
      <c r="R426" s="794">
        <v>0</v>
      </c>
      <c r="S426" s="796">
        <v>0</v>
      </c>
      <c r="T426" s="796">
        <v>0</v>
      </c>
      <c r="U426" s="796">
        <v>0</v>
      </c>
      <c r="V426" s="796">
        <v>0</v>
      </c>
      <c r="W426" s="796">
        <v>0</v>
      </c>
      <c r="X426" s="796">
        <v>0</v>
      </c>
      <c r="Y426" s="796">
        <v>0</v>
      </c>
      <c r="Z426" s="796">
        <v>0</v>
      </c>
      <c r="AA426" s="796">
        <v>0</v>
      </c>
      <c r="AB426" s="796">
        <v>0</v>
      </c>
      <c r="AC426" s="796">
        <v>0</v>
      </c>
      <c r="AD426" s="796">
        <v>0</v>
      </c>
      <c r="AE426" s="796">
        <v>0</v>
      </c>
      <c r="AF426" s="796">
        <v>0</v>
      </c>
      <c r="AG426" s="796">
        <v>0</v>
      </c>
      <c r="AH426" s="796">
        <v>0</v>
      </c>
      <c r="AI426" s="796">
        <v>0</v>
      </c>
      <c r="AJ426" s="796">
        <v>0</v>
      </c>
      <c r="AK426" s="796">
        <v>0</v>
      </c>
      <c r="AL426" s="796">
        <v>0</v>
      </c>
      <c r="AM426" s="796">
        <v>0</v>
      </c>
      <c r="AN426" s="796">
        <v>0</v>
      </c>
      <c r="AO426" s="796">
        <v>0</v>
      </c>
      <c r="AP426" s="796">
        <v>0</v>
      </c>
      <c r="AQ426" s="796">
        <v>0</v>
      </c>
      <c r="AR426" s="796">
        <v>0</v>
      </c>
      <c r="AS426" s="796">
        <v>0</v>
      </c>
      <c r="AT426" s="796">
        <v>0</v>
      </c>
      <c r="AU426" s="796">
        <v>0</v>
      </c>
      <c r="AV426" s="796">
        <v>0</v>
      </c>
      <c r="AW426" s="796">
        <v>0</v>
      </c>
      <c r="AX426" s="796">
        <v>0</v>
      </c>
      <c r="AY426" s="796">
        <v>0</v>
      </c>
      <c r="AZ426" s="796">
        <v>0</v>
      </c>
      <c r="BA426" s="796">
        <v>0</v>
      </c>
      <c r="BB426" s="796">
        <v>0</v>
      </c>
      <c r="BC426" s="796">
        <v>0</v>
      </c>
      <c r="BD426" s="796">
        <v>0</v>
      </c>
      <c r="BE426" s="796">
        <v>0</v>
      </c>
      <c r="BF426" s="796">
        <v>0</v>
      </c>
      <c r="BG426" s="796">
        <v>0</v>
      </c>
      <c r="BH426" s="796">
        <v>0</v>
      </c>
      <c r="BI426" s="796">
        <v>0</v>
      </c>
      <c r="BJ426" s="796">
        <v>0</v>
      </c>
      <c r="BK426" s="796">
        <v>0</v>
      </c>
      <c r="BL426" s="810">
        <v>54201.45</v>
      </c>
      <c r="BM426" s="796">
        <v>0</v>
      </c>
      <c r="BN426" s="796">
        <v>0</v>
      </c>
      <c r="BO426" s="796">
        <v>0</v>
      </c>
      <c r="BP426" s="796">
        <v>0</v>
      </c>
      <c r="BQ426" s="796">
        <v>0</v>
      </c>
      <c r="BR426" s="796">
        <v>0</v>
      </c>
      <c r="BS426" s="796">
        <v>0</v>
      </c>
      <c r="BT426" s="796">
        <v>0</v>
      </c>
      <c r="BU426" s="796">
        <v>0</v>
      </c>
      <c r="BV426" s="796">
        <v>0</v>
      </c>
    </row>
    <row r="427" spans="2:74">
      <c r="B427" s="795" t="s">
        <v>653</v>
      </c>
      <c r="C427" s="795" t="s">
        <v>652</v>
      </c>
      <c r="D427" s="795"/>
      <c r="E427" s="796"/>
      <c r="F427" s="799"/>
      <c r="G427" s="799"/>
      <c r="H427" s="799"/>
      <c r="I427" s="799"/>
      <c r="J427" s="799"/>
      <c r="K427" s="799"/>
      <c r="L427" s="799"/>
      <c r="M427" s="799"/>
      <c r="N427" s="595"/>
      <c r="O427" s="794">
        <v>0</v>
      </c>
      <c r="P427" s="794">
        <v>0</v>
      </c>
      <c r="Q427" s="794">
        <v>0</v>
      </c>
      <c r="R427" s="794">
        <v>0</v>
      </c>
      <c r="S427" s="796">
        <v>0</v>
      </c>
      <c r="T427" s="796">
        <v>0</v>
      </c>
      <c r="U427" s="796">
        <v>0</v>
      </c>
      <c r="V427" s="796">
        <v>0</v>
      </c>
      <c r="W427" s="796">
        <v>0</v>
      </c>
      <c r="X427" s="796">
        <v>0</v>
      </c>
      <c r="Y427" s="796">
        <v>0</v>
      </c>
      <c r="Z427" s="796">
        <v>0</v>
      </c>
      <c r="AA427" s="796">
        <v>0</v>
      </c>
      <c r="AB427" s="796">
        <v>0</v>
      </c>
      <c r="AC427" s="796">
        <v>0</v>
      </c>
      <c r="AD427" s="796">
        <v>0</v>
      </c>
      <c r="AE427" s="796">
        <v>0</v>
      </c>
      <c r="AF427" s="796">
        <v>0</v>
      </c>
      <c r="AG427" s="796">
        <v>0</v>
      </c>
      <c r="AH427" s="796">
        <v>0</v>
      </c>
      <c r="AI427" s="796">
        <v>0</v>
      </c>
      <c r="AJ427" s="796">
        <v>0</v>
      </c>
      <c r="AK427" s="796">
        <v>0</v>
      </c>
      <c r="AL427" s="796">
        <v>0</v>
      </c>
      <c r="AM427" s="796">
        <v>0</v>
      </c>
      <c r="AN427" s="796">
        <v>0</v>
      </c>
      <c r="AO427" s="796">
        <v>0</v>
      </c>
      <c r="AP427" s="796">
        <v>0</v>
      </c>
      <c r="AQ427" s="796">
        <v>0</v>
      </c>
      <c r="AR427" s="796">
        <v>0</v>
      </c>
      <c r="AS427" s="796">
        <v>0</v>
      </c>
      <c r="AT427" s="796">
        <v>0</v>
      </c>
      <c r="AU427" s="796">
        <v>0</v>
      </c>
      <c r="AV427" s="796">
        <v>0</v>
      </c>
      <c r="AW427" s="796">
        <v>0</v>
      </c>
      <c r="AX427" s="796">
        <v>0</v>
      </c>
      <c r="AY427" s="796">
        <v>0</v>
      </c>
      <c r="AZ427" s="796">
        <v>0</v>
      </c>
      <c r="BA427" s="796">
        <v>0</v>
      </c>
      <c r="BB427" s="796">
        <v>0</v>
      </c>
      <c r="BC427" s="796">
        <v>0</v>
      </c>
      <c r="BD427" s="796">
        <v>0</v>
      </c>
      <c r="BE427" s="796">
        <v>0</v>
      </c>
      <c r="BF427" s="796">
        <v>0</v>
      </c>
      <c r="BG427" s="796">
        <v>0</v>
      </c>
      <c r="BH427" s="796">
        <v>0</v>
      </c>
      <c r="BI427" s="796">
        <v>0</v>
      </c>
      <c r="BJ427" s="796">
        <v>0</v>
      </c>
      <c r="BK427" s="796">
        <v>0</v>
      </c>
      <c r="BL427" s="810">
        <v>31803.21</v>
      </c>
      <c r="BM427" s="796">
        <v>89407.26</v>
      </c>
      <c r="BN427" s="796">
        <v>37220.35</v>
      </c>
      <c r="BO427" s="796">
        <v>8802.16</v>
      </c>
      <c r="BP427" s="796">
        <v>0</v>
      </c>
      <c r="BQ427" s="796">
        <v>0</v>
      </c>
      <c r="BR427" s="796">
        <v>0</v>
      </c>
      <c r="BS427" s="796">
        <v>0</v>
      </c>
      <c r="BT427" s="796">
        <v>1964.6</v>
      </c>
      <c r="BU427" s="796">
        <v>0</v>
      </c>
      <c r="BV427" s="796">
        <v>0</v>
      </c>
    </row>
    <row r="428" spans="2:74">
      <c r="B428" s="795" t="s">
        <v>590</v>
      </c>
      <c r="C428" s="795" t="s">
        <v>589</v>
      </c>
      <c r="D428" s="795"/>
      <c r="E428" s="796"/>
      <c r="F428" s="799"/>
      <c r="G428" s="799"/>
      <c r="H428" s="799"/>
      <c r="I428" s="799"/>
      <c r="J428" s="799"/>
      <c r="K428" s="799"/>
      <c r="L428" s="799"/>
      <c r="M428" s="799"/>
      <c r="N428" s="595"/>
      <c r="O428" s="794">
        <v>0</v>
      </c>
      <c r="P428" s="794">
        <v>0</v>
      </c>
      <c r="Q428" s="794">
        <v>0</v>
      </c>
      <c r="R428" s="794">
        <v>0</v>
      </c>
      <c r="S428" s="796">
        <v>0</v>
      </c>
      <c r="T428" s="796">
        <v>0</v>
      </c>
      <c r="U428" s="796">
        <v>0</v>
      </c>
      <c r="V428" s="796">
        <v>0</v>
      </c>
      <c r="W428" s="796">
        <v>0</v>
      </c>
      <c r="X428" s="796">
        <v>0</v>
      </c>
      <c r="Y428" s="796">
        <v>0</v>
      </c>
      <c r="Z428" s="796">
        <v>0</v>
      </c>
      <c r="AA428" s="796">
        <v>0</v>
      </c>
      <c r="AB428" s="796">
        <v>0</v>
      </c>
      <c r="AC428" s="796">
        <v>0</v>
      </c>
      <c r="AD428" s="796">
        <v>0</v>
      </c>
      <c r="AE428" s="796">
        <v>0</v>
      </c>
      <c r="AF428" s="796">
        <v>0</v>
      </c>
      <c r="AG428" s="796">
        <v>0</v>
      </c>
      <c r="AH428" s="796">
        <v>0</v>
      </c>
      <c r="AI428" s="796">
        <v>0</v>
      </c>
      <c r="AJ428" s="796">
        <v>0</v>
      </c>
      <c r="AK428" s="796">
        <v>0</v>
      </c>
      <c r="AL428" s="796">
        <v>0</v>
      </c>
      <c r="AM428" s="796">
        <v>0</v>
      </c>
      <c r="AN428" s="796">
        <v>0</v>
      </c>
      <c r="AO428" s="796">
        <v>0</v>
      </c>
      <c r="AP428" s="796">
        <v>0</v>
      </c>
      <c r="AQ428" s="796">
        <v>0</v>
      </c>
      <c r="AR428" s="796">
        <v>0</v>
      </c>
      <c r="AS428" s="796">
        <v>0</v>
      </c>
      <c r="AT428" s="796">
        <v>0</v>
      </c>
      <c r="AU428" s="796">
        <v>0</v>
      </c>
      <c r="AV428" s="796">
        <v>0</v>
      </c>
      <c r="AW428" s="796">
        <v>0</v>
      </c>
      <c r="AX428" s="796">
        <v>0</v>
      </c>
      <c r="AY428" s="796">
        <v>0</v>
      </c>
      <c r="AZ428" s="796">
        <v>0</v>
      </c>
      <c r="BA428" s="796">
        <v>0</v>
      </c>
      <c r="BB428" s="796">
        <v>0</v>
      </c>
      <c r="BC428" s="796">
        <v>0</v>
      </c>
      <c r="BD428" s="796">
        <v>0</v>
      </c>
      <c r="BE428" s="796">
        <v>0</v>
      </c>
      <c r="BF428" s="796">
        <v>0</v>
      </c>
      <c r="BG428" s="796">
        <v>0</v>
      </c>
      <c r="BH428" s="796">
        <v>0</v>
      </c>
      <c r="BI428" s="796">
        <v>0</v>
      </c>
      <c r="BJ428" s="796">
        <v>0</v>
      </c>
      <c r="BK428" s="796">
        <v>0</v>
      </c>
      <c r="BL428" s="810">
        <v>35389.599999999999</v>
      </c>
      <c r="BM428" s="796">
        <v>32778.400000000001</v>
      </c>
      <c r="BN428" s="796">
        <v>0</v>
      </c>
      <c r="BO428" s="796">
        <v>0</v>
      </c>
      <c r="BP428" s="796">
        <v>0</v>
      </c>
      <c r="BQ428" s="796">
        <v>0</v>
      </c>
      <c r="BR428" s="796">
        <v>0</v>
      </c>
      <c r="BS428" s="796">
        <v>0</v>
      </c>
      <c r="BT428" s="796">
        <v>0</v>
      </c>
      <c r="BU428" s="796">
        <v>0</v>
      </c>
      <c r="BV428" s="796">
        <v>0</v>
      </c>
    </row>
    <row r="429" spans="2:74">
      <c r="B429" s="795" t="s">
        <v>3340</v>
      </c>
      <c r="C429" s="795" t="s">
        <v>3341</v>
      </c>
      <c r="D429" s="795"/>
      <c r="E429" s="796"/>
      <c r="F429" s="799"/>
      <c r="G429" s="799"/>
      <c r="H429" s="799"/>
      <c r="I429" s="799"/>
      <c r="J429" s="799"/>
      <c r="K429" s="799"/>
      <c r="L429" s="799"/>
      <c r="M429" s="799"/>
      <c r="N429" s="595"/>
      <c r="O429" s="794">
        <v>0</v>
      </c>
      <c r="P429" s="794">
        <v>0</v>
      </c>
      <c r="Q429" s="794">
        <v>0</v>
      </c>
      <c r="R429" s="794">
        <v>0</v>
      </c>
      <c r="S429" s="796">
        <v>0</v>
      </c>
      <c r="T429" s="796">
        <v>0</v>
      </c>
      <c r="U429" s="796">
        <v>0</v>
      </c>
      <c r="V429" s="796">
        <v>0</v>
      </c>
      <c r="W429" s="796">
        <v>0</v>
      </c>
      <c r="X429" s="796">
        <v>0</v>
      </c>
      <c r="Y429" s="796">
        <v>0</v>
      </c>
      <c r="Z429" s="796">
        <v>0</v>
      </c>
      <c r="AA429" s="796">
        <v>0</v>
      </c>
      <c r="AB429" s="796">
        <v>0</v>
      </c>
      <c r="AC429" s="796">
        <v>0</v>
      </c>
      <c r="AD429" s="796">
        <v>0</v>
      </c>
      <c r="AE429" s="796">
        <v>0</v>
      </c>
      <c r="AF429" s="796">
        <v>0</v>
      </c>
      <c r="AG429" s="796">
        <v>0</v>
      </c>
      <c r="AH429" s="796">
        <v>0</v>
      </c>
      <c r="AI429" s="796">
        <v>0</v>
      </c>
      <c r="AJ429" s="796">
        <v>0</v>
      </c>
      <c r="AK429" s="796">
        <v>0</v>
      </c>
      <c r="AL429" s="796">
        <v>0</v>
      </c>
      <c r="AM429" s="796">
        <v>0</v>
      </c>
      <c r="AN429" s="796">
        <v>0</v>
      </c>
      <c r="AO429" s="796">
        <v>0</v>
      </c>
      <c r="AP429" s="796">
        <v>0</v>
      </c>
      <c r="AQ429" s="796">
        <v>0</v>
      </c>
      <c r="AR429" s="796">
        <v>0</v>
      </c>
      <c r="AS429" s="796">
        <v>0</v>
      </c>
      <c r="AT429" s="796">
        <v>0</v>
      </c>
      <c r="AU429" s="796">
        <v>0</v>
      </c>
      <c r="AV429" s="796">
        <v>0</v>
      </c>
      <c r="AW429" s="796">
        <v>0</v>
      </c>
      <c r="AX429" s="796">
        <v>0</v>
      </c>
      <c r="AY429" s="796">
        <v>0</v>
      </c>
      <c r="AZ429" s="796">
        <v>0</v>
      </c>
      <c r="BA429" s="796">
        <v>0</v>
      </c>
      <c r="BB429" s="796">
        <v>0</v>
      </c>
      <c r="BC429" s="796">
        <v>0</v>
      </c>
      <c r="BD429" s="796">
        <v>0</v>
      </c>
      <c r="BE429" s="796">
        <v>0</v>
      </c>
      <c r="BF429" s="796">
        <v>0</v>
      </c>
      <c r="BG429" s="796">
        <v>0</v>
      </c>
      <c r="BH429" s="796">
        <v>0</v>
      </c>
      <c r="BI429" s="796">
        <v>0</v>
      </c>
      <c r="BJ429" s="796">
        <v>0</v>
      </c>
      <c r="BK429" s="796">
        <v>0</v>
      </c>
      <c r="BL429" s="810">
        <v>243931.74</v>
      </c>
      <c r="BM429" s="796">
        <v>124400.5</v>
      </c>
      <c r="BN429" s="796">
        <v>0</v>
      </c>
      <c r="BO429" s="796">
        <v>0</v>
      </c>
      <c r="BP429" s="796">
        <v>0</v>
      </c>
      <c r="BQ429" s="796">
        <v>0</v>
      </c>
      <c r="BR429" s="796">
        <v>0</v>
      </c>
      <c r="BS429" s="796">
        <v>0</v>
      </c>
      <c r="BT429" s="796">
        <v>0</v>
      </c>
      <c r="BU429" s="796">
        <v>0</v>
      </c>
      <c r="BV429" s="796">
        <v>0</v>
      </c>
    </row>
    <row r="430" spans="2:74">
      <c r="B430" s="795" t="s">
        <v>647</v>
      </c>
      <c r="C430" s="795" t="s">
        <v>3342</v>
      </c>
      <c r="D430" s="795"/>
      <c r="E430" s="796"/>
      <c r="F430" s="799"/>
      <c r="G430" s="799"/>
      <c r="H430" s="799"/>
      <c r="I430" s="799"/>
      <c r="J430" s="799"/>
      <c r="K430" s="799"/>
      <c r="L430" s="799"/>
      <c r="M430" s="799"/>
      <c r="N430" s="595"/>
      <c r="O430" s="794">
        <v>0</v>
      </c>
      <c r="P430" s="794">
        <v>0</v>
      </c>
      <c r="Q430" s="794">
        <v>0</v>
      </c>
      <c r="R430" s="794">
        <v>0</v>
      </c>
      <c r="S430" s="796">
        <v>0</v>
      </c>
      <c r="T430" s="796">
        <v>0</v>
      </c>
      <c r="U430" s="796">
        <v>0</v>
      </c>
      <c r="V430" s="796">
        <v>0</v>
      </c>
      <c r="W430" s="796">
        <v>0</v>
      </c>
      <c r="X430" s="796">
        <v>0</v>
      </c>
      <c r="Y430" s="796">
        <v>0</v>
      </c>
      <c r="Z430" s="796">
        <v>0</v>
      </c>
      <c r="AA430" s="796">
        <v>0</v>
      </c>
      <c r="AB430" s="796">
        <v>0</v>
      </c>
      <c r="AC430" s="796">
        <v>0</v>
      </c>
      <c r="AD430" s="796">
        <v>0</v>
      </c>
      <c r="AE430" s="796">
        <v>0</v>
      </c>
      <c r="AF430" s="796">
        <v>0</v>
      </c>
      <c r="AG430" s="796">
        <v>0</v>
      </c>
      <c r="AH430" s="796">
        <v>0</v>
      </c>
      <c r="AI430" s="796">
        <v>0</v>
      </c>
      <c r="AJ430" s="796">
        <v>0</v>
      </c>
      <c r="AK430" s="796">
        <v>0</v>
      </c>
      <c r="AL430" s="796">
        <v>0</v>
      </c>
      <c r="AM430" s="796">
        <v>0</v>
      </c>
      <c r="AN430" s="796">
        <v>0</v>
      </c>
      <c r="AO430" s="796">
        <v>0</v>
      </c>
      <c r="AP430" s="796">
        <v>0</v>
      </c>
      <c r="AQ430" s="796">
        <v>0</v>
      </c>
      <c r="AR430" s="796">
        <v>0</v>
      </c>
      <c r="AS430" s="796">
        <v>0</v>
      </c>
      <c r="AT430" s="796">
        <v>0</v>
      </c>
      <c r="AU430" s="796">
        <v>0</v>
      </c>
      <c r="AV430" s="796">
        <v>0</v>
      </c>
      <c r="AW430" s="796">
        <v>0</v>
      </c>
      <c r="AX430" s="796">
        <v>0</v>
      </c>
      <c r="AY430" s="796">
        <v>0</v>
      </c>
      <c r="AZ430" s="796">
        <v>0</v>
      </c>
      <c r="BA430" s="796">
        <v>0</v>
      </c>
      <c r="BB430" s="796">
        <v>0</v>
      </c>
      <c r="BC430" s="796">
        <v>0</v>
      </c>
      <c r="BD430" s="796">
        <v>0</v>
      </c>
      <c r="BE430" s="796">
        <v>0</v>
      </c>
      <c r="BF430" s="796">
        <v>0</v>
      </c>
      <c r="BG430" s="796">
        <v>0</v>
      </c>
      <c r="BH430" s="796">
        <v>0</v>
      </c>
      <c r="BI430" s="796">
        <v>0</v>
      </c>
      <c r="BJ430" s="796">
        <v>0</v>
      </c>
      <c r="BK430" s="796">
        <v>0</v>
      </c>
      <c r="BL430" s="796">
        <v>0</v>
      </c>
      <c r="BM430" s="810">
        <v>222246</v>
      </c>
      <c r="BN430" s="796">
        <v>52556</v>
      </c>
      <c r="BO430" s="796">
        <v>0</v>
      </c>
      <c r="BP430" s="796">
        <v>0</v>
      </c>
      <c r="BQ430" s="796">
        <v>0</v>
      </c>
      <c r="BR430" s="796">
        <v>0</v>
      </c>
      <c r="BS430" s="796">
        <v>0</v>
      </c>
      <c r="BT430" s="796">
        <v>0</v>
      </c>
      <c r="BU430" s="796">
        <v>0</v>
      </c>
      <c r="BV430" s="796">
        <v>0</v>
      </c>
    </row>
    <row r="431" spans="2:74">
      <c r="B431" s="795" t="s">
        <v>593</v>
      </c>
      <c r="C431" s="795" t="s">
        <v>592</v>
      </c>
      <c r="D431" s="795"/>
      <c r="E431" s="796"/>
      <c r="F431" s="799"/>
      <c r="G431" s="799"/>
      <c r="H431" s="799"/>
      <c r="I431" s="799"/>
      <c r="J431" s="799"/>
      <c r="K431" s="799"/>
      <c r="L431" s="799"/>
      <c r="M431" s="799"/>
      <c r="N431" s="595"/>
      <c r="O431" s="794">
        <v>0</v>
      </c>
      <c r="P431" s="794">
        <v>0</v>
      </c>
      <c r="Q431" s="794">
        <v>0</v>
      </c>
      <c r="R431" s="794">
        <v>0</v>
      </c>
      <c r="S431" s="796">
        <v>0</v>
      </c>
      <c r="T431" s="796">
        <v>0</v>
      </c>
      <c r="U431" s="796">
        <v>0</v>
      </c>
      <c r="V431" s="796">
        <v>0</v>
      </c>
      <c r="W431" s="796">
        <v>0</v>
      </c>
      <c r="X431" s="796">
        <v>0</v>
      </c>
      <c r="Y431" s="796">
        <v>0</v>
      </c>
      <c r="Z431" s="796">
        <v>0</v>
      </c>
      <c r="AA431" s="796">
        <v>0</v>
      </c>
      <c r="AB431" s="796">
        <v>0</v>
      </c>
      <c r="AC431" s="796">
        <v>0</v>
      </c>
      <c r="AD431" s="796">
        <v>0</v>
      </c>
      <c r="AE431" s="796">
        <v>0</v>
      </c>
      <c r="AF431" s="796">
        <v>0</v>
      </c>
      <c r="AG431" s="796">
        <v>0</v>
      </c>
      <c r="AH431" s="796">
        <v>0</v>
      </c>
      <c r="AI431" s="796">
        <v>0</v>
      </c>
      <c r="AJ431" s="796">
        <v>0</v>
      </c>
      <c r="AK431" s="796">
        <v>0</v>
      </c>
      <c r="AL431" s="796">
        <v>0</v>
      </c>
      <c r="AM431" s="796">
        <v>0</v>
      </c>
      <c r="AN431" s="796">
        <v>0</v>
      </c>
      <c r="AO431" s="796">
        <v>0</v>
      </c>
      <c r="AP431" s="796">
        <v>0</v>
      </c>
      <c r="AQ431" s="796">
        <v>0</v>
      </c>
      <c r="AR431" s="796">
        <v>0</v>
      </c>
      <c r="AS431" s="796">
        <v>0</v>
      </c>
      <c r="AT431" s="796">
        <v>0</v>
      </c>
      <c r="AU431" s="796">
        <v>0</v>
      </c>
      <c r="AV431" s="796">
        <v>0</v>
      </c>
      <c r="AW431" s="796">
        <v>0</v>
      </c>
      <c r="AX431" s="796">
        <v>0</v>
      </c>
      <c r="AY431" s="796">
        <v>0</v>
      </c>
      <c r="AZ431" s="796">
        <v>0</v>
      </c>
      <c r="BA431" s="796">
        <v>0</v>
      </c>
      <c r="BB431" s="796">
        <v>0</v>
      </c>
      <c r="BC431" s="796">
        <v>0</v>
      </c>
      <c r="BD431" s="796">
        <v>0</v>
      </c>
      <c r="BE431" s="796">
        <v>0</v>
      </c>
      <c r="BF431" s="796">
        <v>0</v>
      </c>
      <c r="BG431" s="796">
        <v>0</v>
      </c>
      <c r="BH431" s="796">
        <v>0</v>
      </c>
      <c r="BI431" s="796">
        <v>0</v>
      </c>
      <c r="BJ431" s="796">
        <v>0</v>
      </c>
      <c r="BK431" s="796">
        <v>0</v>
      </c>
      <c r="BL431" s="796">
        <v>0</v>
      </c>
      <c r="BM431" s="810">
        <v>24094.400000000001</v>
      </c>
      <c r="BN431" s="796">
        <v>0</v>
      </c>
      <c r="BO431" s="796">
        <v>0</v>
      </c>
      <c r="BP431" s="796">
        <v>0</v>
      </c>
      <c r="BQ431" s="796">
        <v>0</v>
      </c>
      <c r="BR431" s="796">
        <v>0</v>
      </c>
      <c r="BS431" s="796">
        <v>0</v>
      </c>
      <c r="BT431" s="796">
        <v>0</v>
      </c>
      <c r="BU431" s="796">
        <v>0</v>
      </c>
      <c r="BV431" s="796">
        <v>0</v>
      </c>
    </row>
    <row r="432" spans="2:74">
      <c r="B432" s="795" t="s">
        <v>789</v>
      </c>
      <c r="C432" s="795" t="s">
        <v>3343</v>
      </c>
      <c r="D432" s="795"/>
      <c r="E432" s="796"/>
      <c r="F432" s="799"/>
      <c r="G432" s="799"/>
      <c r="H432" s="799"/>
      <c r="I432" s="799"/>
      <c r="J432" s="799"/>
      <c r="K432" s="799"/>
      <c r="L432" s="799"/>
      <c r="M432" s="799"/>
      <c r="N432" s="595"/>
      <c r="O432" s="794">
        <v>0</v>
      </c>
      <c r="P432" s="794">
        <v>0</v>
      </c>
      <c r="Q432" s="794">
        <v>0</v>
      </c>
      <c r="R432" s="794">
        <v>0</v>
      </c>
      <c r="S432" s="796">
        <v>0</v>
      </c>
      <c r="T432" s="796">
        <v>0</v>
      </c>
      <c r="U432" s="796">
        <v>0</v>
      </c>
      <c r="V432" s="796">
        <v>0</v>
      </c>
      <c r="W432" s="796">
        <v>0</v>
      </c>
      <c r="X432" s="796">
        <v>0</v>
      </c>
      <c r="Y432" s="796">
        <v>0</v>
      </c>
      <c r="Z432" s="796">
        <v>0</v>
      </c>
      <c r="AA432" s="796">
        <v>0</v>
      </c>
      <c r="AB432" s="796">
        <v>0</v>
      </c>
      <c r="AC432" s="796">
        <v>0</v>
      </c>
      <c r="AD432" s="796">
        <v>0</v>
      </c>
      <c r="AE432" s="796">
        <v>0</v>
      </c>
      <c r="AF432" s="796">
        <v>0</v>
      </c>
      <c r="AG432" s="796">
        <v>0</v>
      </c>
      <c r="AH432" s="796">
        <v>0</v>
      </c>
      <c r="AI432" s="796">
        <v>0</v>
      </c>
      <c r="AJ432" s="796">
        <v>0</v>
      </c>
      <c r="AK432" s="796">
        <v>0</v>
      </c>
      <c r="AL432" s="796">
        <v>0</v>
      </c>
      <c r="AM432" s="796">
        <v>0</v>
      </c>
      <c r="AN432" s="796">
        <v>0</v>
      </c>
      <c r="AO432" s="796">
        <v>0</v>
      </c>
      <c r="AP432" s="796">
        <v>0</v>
      </c>
      <c r="AQ432" s="796">
        <v>0</v>
      </c>
      <c r="AR432" s="796">
        <v>0</v>
      </c>
      <c r="AS432" s="796">
        <v>0</v>
      </c>
      <c r="AT432" s="796">
        <v>0</v>
      </c>
      <c r="AU432" s="796">
        <v>0</v>
      </c>
      <c r="AV432" s="796">
        <v>0</v>
      </c>
      <c r="AW432" s="796">
        <v>0</v>
      </c>
      <c r="AX432" s="796">
        <v>0</v>
      </c>
      <c r="AY432" s="796">
        <v>0</v>
      </c>
      <c r="AZ432" s="796">
        <v>0</v>
      </c>
      <c r="BA432" s="796">
        <v>0</v>
      </c>
      <c r="BB432" s="796">
        <v>0</v>
      </c>
      <c r="BC432" s="796">
        <v>0</v>
      </c>
      <c r="BD432" s="796">
        <v>0</v>
      </c>
      <c r="BE432" s="796">
        <v>0</v>
      </c>
      <c r="BF432" s="796">
        <v>0</v>
      </c>
      <c r="BG432" s="796">
        <v>0</v>
      </c>
      <c r="BH432" s="796">
        <v>0</v>
      </c>
      <c r="BI432" s="796">
        <v>0</v>
      </c>
      <c r="BJ432" s="796">
        <v>0</v>
      </c>
      <c r="BK432" s="796">
        <v>0</v>
      </c>
      <c r="BL432" s="796">
        <v>0</v>
      </c>
      <c r="BM432" s="810">
        <v>36650</v>
      </c>
      <c r="BN432" s="796">
        <v>125700</v>
      </c>
      <c r="BO432" s="796">
        <v>5050</v>
      </c>
      <c r="BP432" s="796">
        <v>69750</v>
      </c>
      <c r="BQ432" s="796">
        <v>106700</v>
      </c>
      <c r="BR432" s="796">
        <v>76353</v>
      </c>
      <c r="BS432" s="796">
        <v>167812.89</v>
      </c>
      <c r="BT432" s="796">
        <v>102977.03</v>
      </c>
      <c r="BU432" s="796">
        <v>160902</v>
      </c>
      <c r="BV432" s="796">
        <v>191394</v>
      </c>
    </row>
    <row r="433" spans="2:74">
      <c r="B433" s="795" t="s">
        <v>655</v>
      </c>
      <c r="C433" s="795" t="s">
        <v>3344</v>
      </c>
      <c r="D433" s="795"/>
      <c r="E433" s="796"/>
      <c r="F433" s="799"/>
      <c r="G433" s="799"/>
      <c r="H433" s="799"/>
      <c r="I433" s="799"/>
      <c r="J433" s="799"/>
      <c r="K433" s="799"/>
      <c r="L433" s="799"/>
      <c r="M433" s="799"/>
      <c r="N433" s="595"/>
      <c r="O433" s="794">
        <v>0</v>
      </c>
      <c r="P433" s="794">
        <v>0</v>
      </c>
      <c r="Q433" s="794">
        <v>0</v>
      </c>
      <c r="R433" s="794">
        <v>0</v>
      </c>
      <c r="S433" s="796">
        <v>0</v>
      </c>
      <c r="T433" s="796">
        <v>0</v>
      </c>
      <c r="U433" s="796">
        <v>0</v>
      </c>
      <c r="V433" s="796">
        <v>0</v>
      </c>
      <c r="W433" s="796">
        <v>0</v>
      </c>
      <c r="X433" s="796">
        <v>0</v>
      </c>
      <c r="Y433" s="796">
        <v>0</v>
      </c>
      <c r="Z433" s="796">
        <v>0</v>
      </c>
      <c r="AA433" s="796">
        <v>0</v>
      </c>
      <c r="AB433" s="796">
        <v>0</v>
      </c>
      <c r="AC433" s="796">
        <v>0</v>
      </c>
      <c r="AD433" s="796">
        <v>0</v>
      </c>
      <c r="AE433" s="796">
        <v>0</v>
      </c>
      <c r="AF433" s="796">
        <v>0</v>
      </c>
      <c r="AG433" s="796">
        <v>0</v>
      </c>
      <c r="AH433" s="796">
        <v>0</v>
      </c>
      <c r="AI433" s="796">
        <v>0</v>
      </c>
      <c r="AJ433" s="796">
        <v>0</v>
      </c>
      <c r="AK433" s="796">
        <v>0</v>
      </c>
      <c r="AL433" s="796">
        <v>0</v>
      </c>
      <c r="AM433" s="796">
        <v>0</v>
      </c>
      <c r="AN433" s="796">
        <v>0</v>
      </c>
      <c r="AO433" s="796">
        <v>0</v>
      </c>
      <c r="AP433" s="796">
        <v>0</v>
      </c>
      <c r="AQ433" s="796">
        <v>0</v>
      </c>
      <c r="AR433" s="796">
        <v>0</v>
      </c>
      <c r="AS433" s="796">
        <v>0</v>
      </c>
      <c r="AT433" s="796">
        <v>0</v>
      </c>
      <c r="AU433" s="796">
        <v>0</v>
      </c>
      <c r="AV433" s="796">
        <v>0</v>
      </c>
      <c r="AW433" s="796">
        <v>0</v>
      </c>
      <c r="AX433" s="796">
        <v>0</v>
      </c>
      <c r="AY433" s="796">
        <v>0</v>
      </c>
      <c r="AZ433" s="796">
        <v>0</v>
      </c>
      <c r="BA433" s="796">
        <v>0</v>
      </c>
      <c r="BB433" s="796">
        <v>0</v>
      </c>
      <c r="BC433" s="796">
        <v>0</v>
      </c>
      <c r="BD433" s="796">
        <v>0</v>
      </c>
      <c r="BE433" s="796">
        <v>0</v>
      </c>
      <c r="BF433" s="796">
        <v>0</v>
      </c>
      <c r="BG433" s="796">
        <v>0</v>
      </c>
      <c r="BH433" s="796">
        <v>0</v>
      </c>
      <c r="BI433" s="796">
        <v>0</v>
      </c>
      <c r="BJ433" s="796">
        <v>0</v>
      </c>
      <c r="BK433" s="796">
        <v>0</v>
      </c>
      <c r="BL433" s="796">
        <v>0</v>
      </c>
      <c r="BM433" s="810">
        <v>45000</v>
      </c>
      <c r="BN433" s="796">
        <v>85000</v>
      </c>
      <c r="BO433" s="796">
        <v>0</v>
      </c>
      <c r="BP433" s="796">
        <v>47000</v>
      </c>
      <c r="BQ433" s="796">
        <v>0</v>
      </c>
      <c r="BR433" s="796">
        <v>0</v>
      </c>
      <c r="BS433" s="796">
        <v>0</v>
      </c>
      <c r="BT433" s="796">
        <v>0</v>
      </c>
      <c r="BU433" s="796">
        <v>0</v>
      </c>
      <c r="BV433" s="796">
        <v>0</v>
      </c>
    </row>
    <row r="434" spans="2:74">
      <c r="B434" s="795" t="s">
        <v>631</v>
      </c>
      <c r="C434" s="795" t="s">
        <v>3345</v>
      </c>
      <c r="D434" s="795"/>
      <c r="E434" s="796"/>
      <c r="F434" s="799"/>
      <c r="G434" s="799"/>
      <c r="H434" s="799"/>
      <c r="I434" s="799"/>
      <c r="J434" s="799"/>
      <c r="K434" s="799"/>
      <c r="L434" s="799"/>
      <c r="M434" s="799"/>
      <c r="N434" s="595"/>
      <c r="O434" s="794">
        <v>0</v>
      </c>
      <c r="P434" s="794">
        <v>0</v>
      </c>
      <c r="Q434" s="794">
        <v>0</v>
      </c>
      <c r="R434" s="794">
        <v>0</v>
      </c>
      <c r="S434" s="796">
        <v>0</v>
      </c>
      <c r="T434" s="796">
        <v>0</v>
      </c>
      <c r="U434" s="796">
        <v>0</v>
      </c>
      <c r="V434" s="796">
        <v>0</v>
      </c>
      <c r="W434" s="796">
        <v>0</v>
      </c>
      <c r="X434" s="796">
        <v>0</v>
      </c>
      <c r="Y434" s="796">
        <v>0</v>
      </c>
      <c r="Z434" s="796">
        <v>0</v>
      </c>
      <c r="AA434" s="796">
        <v>0</v>
      </c>
      <c r="AB434" s="796">
        <v>0</v>
      </c>
      <c r="AC434" s="796">
        <v>0</v>
      </c>
      <c r="AD434" s="796">
        <v>0</v>
      </c>
      <c r="AE434" s="796">
        <v>0</v>
      </c>
      <c r="AF434" s="796">
        <v>0</v>
      </c>
      <c r="AG434" s="796">
        <v>0</v>
      </c>
      <c r="AH434" s="796">
        <v>0</v>
      </c>
      <c r="AI434" s="796">
        <v>0</v>
      </c>
      <c r="AJ434" s="796">
        <v>0</v>
      </c>
      <c r="AK434" s="796">
        <v>0</v>
      </c>
      <c r="AL434" s="796">
        <v>0</v>
      </c>
      <c r="AM434" s="796">
        <v>0</v>
      </c>
      <c r="AN434" s="796">
        <v>0</v>
      </c>
      <c r="AO434" s="796">
        <v>0</v>
      </c>
      <c r="AP434" s="796">
        <v>0</v>
      </c>
      <c r="AQ434" s="796">
        <v>0</v>
      </c>
      <c r="AR434" s="796">
        <v>0</v>
      </c>
      <c r="AS434" s="796">
        <v>0</v>
      </c>
      <c r="AT434" s="796">
        <v>0</v>
      </c>
      <c r="AU434" s="796">
        <v>0</v>
      </c>
      <c r="AV434" s="796">
        <v>0</v>
      </c>
      <c r="AW434" s="796">
        <v>0</v>
      </c>
      <c r="AX434" s="796">
        <v>0</v>
      </c>
      <c r="AY434" s="796">
        <v>0</v>
      </c>
      <c r="AZ434" s="796">
        <v>0</v>
      </c>
      <c r="BA434" s="796">
        <v>0</v>
      </c>
      <c r="BB434" s="796">
        <v>0</v>
      </c>
      <c r="BC434" s="796">
        <v>0</v>
      </c>
      <c r="BD434" s="796">
        <v>0</v>
      </c>
      <c r="BE434" s="796">
        <v>0</v>
      </c>
      <c r="BF434" s="796">
        <v>0</v>
      </c>
      <c r="BG434" s="796">
        <v>0</v>
      </c>
      <c r="BH434" s="796">
        <v>0</v>
      </c>
      <c r="BI434" s="796">
        <v>0</v>
      </c>
      <c r="BJ434" s="796">
        <v>0</v>
      </c>
      <c r="BK434" s="796">
        <v>0</v>
      </c>
      <c r="BL434" s="796">
        <v>0</v>
      </c>
      <c r="BM434" s="810">
        <v>110888.66</v>
      </c>
      <c r="BN434" s="796">
        <v>78362.34</v>
      </c>
      <c r="BO434" s="796">
        <v>26833.33</v>
      </c>
      <c r="BP434" s="796">
        <v>0</v>
      </c>
      <c r="BQ434" s="796">
        <v>0</v>
      </c>
      <c r="BR434" s="796">
        <v>0</v>
      </c>
      <c r="BS434" s="796">
        <v>0</v>
      </c>
      <c r="BT434" s="796">
        <v>0</v>
      </c>
      <c r="BU434" s="796">
        <v>0</v>
      </c>
      <c r="BV434" s="796">
        <v>0</v>
      </c>
    </row>
    <row r="435" spans="2:74">
      <c r="B435" s="795" t="s">
        <v>806</v>
      </c>
      <c r="C435" s="795" t="s">
        <v>619</v>
      </c>
      <c r="D435" s="795"/>
      <c r="E435" s="796"/>
      <c r="F435" s="799"/>
      <c r="G435" s="799"/>
      <c r="H435" s="799"/>
      <c r="I435" s="799"/>
      <c r="J435" s="799"/>
      <c r="K435" s="799"/>
      <c r="L435" s="799"/>
      <c r="M435" s="799"/>
      <c r="N435" s="595"/>
      <c r="O435" s="794">
        <v>0</v>
      </c>
      <c r="P435" s="794">
        <v>0</v>
      </c>
      <c r="Q435" s="794">
        <v>0</v>
      </c>
      <c r="R435" s="794">
        <v>0</v>
      </c>
      <c r="S435" s="796">
        <v>0</v>
      </c>
      <c r="T435" s="796">
        <v>0</v>
      </c>
      <c r="U435" s="796">
        <v>0</v>
      </c>
      <c r="V435" s="796">
        <v>0</v>
      </c>
      <c r="W435" s="796">
        <v>0</v>
      </c>
      <c r="X435" s="796">
        <v>0</v>
      </c>
      <c r="Y435" s="796">
        <v>0</v>
      </c>
      <c r="Z435" s="796">
        <v>0</v>
      </c>
      <c r="AA435" s="796">
        <v>0</v>
      </c>
      <c r="AB435" s="796">
        <v>0</v>
      </c>
      <c r="AC435" s="796">
        <v>0</v>
      </c>
      <c r="AD435" s="796">
        <v>0</v>
      </c>
      <c r="AE435" s="796">
        <v>0</v>
      </c>
      <c r="AF435" s="796">
        <v>0</v>
      </c>
      <c r="AG435" s="796">
        <v>0</v>
      </c>
      <c r="AH435" s="796">
        <v>0</v>
      </c>
      <c r="AI435" s="796">
        <v>0</v>
      </c>
      <c r="AJ435" s="796">
        <v>0</v>
      </c>
      <c r="AK435" s="796">
        <v>0</v>
      </c>
      <c r="AL435" s="796">
        <v>0</v>
      </c>
      <c r="AM435" s="796">
        <v>0</v>
      </c>
      <c r="AN435" s="796">
        <v>0</v>
      </c>
      <c r="AO435" s="796">
        <v>0</v>
      </c>
      <c r="AP435" s="796">
        <v>0</v>
      </c>
      <c r="AQ435" s="796">
        <v>0</v>
      </c>
      <c r="AR435" s="796">
        <v>0</v>
      </c>
      <c r="AS435" s="796">
        <v>0</v>
      </c>
      <c r="AT435" s="796">
        <v>0</v>
      </c>
      <c r="AU435" s="796">
        <v>0</v>
      </c>
      <c r="AV435" s="796">
        <v>0</v>
      </c>
      <c r="AW435" s="796">
        <v>0</v>
      </c>
      <c r="AX435" s="796">
        <v>0</v>
      </c>
      <c r="AY435" s="796">
        <v>0</v>
      </c>
      <c r="AZ435" s="796">
        <v>0</v>
      </c>
      <c r="BA435" s="796">
        <v>0</v>
      </c>
      <c r="BB435" s="796">
        <v>0</v>
      </c>
      <c r="BC435" s="796">
        <v>0</v>
      </c>
      <c r="BD435" s="796">
        <v>0</v>
      </c>
      <c r="BE435" s="796">
        <v>0</v>
      </c>
      <c r="BF435" s="796">
        <v>0</v>
      </c>
      <c r="BG435" s="796">
        <v>0</v>
      </c>
      <c r="BH435" s="796">
        <v>0</v>
      </c>
      <c r="BI435" s="796">
        <v>0</v>
      </c>
      <c r="BJ435" s="796">
        <v>0</v>
      </c>
      <c r="BK435" s="796">
        <v>0</v>
      </c>
      <c r="BL435" s="796">
        <v>0</v>
      </c>
      <c r="BM435" s="810">
        <v>130000</v>
      </c>
      <c r="BN435" s="796">
        <v>0</v>
      </c>
      <c r="BO435" s="796">
        <v>0</v>
      </c>
      <c r="BP435" s="796">
        <v>0</v>
      </c>
      <c r="BQ435" s="796">
        <v>35220.199999999997</v>
      </c>
      <c r="BR435" s="796">
        <v>60370.5</v>
      </c>
      <c r="BS435" s="796">
        <v>64841.4</v>
      </c>
      <c r="BT435" s="796">
        <v>75995.709999999992</v>
      </c>
      <c r="BU435" s="796">
        <v>77555.09</v>
      </c>
      <c r="BV435" s="796">
        <v>26553</v>
      </c>
    </row>
    <row r="436" spans="2:74">
      <c r="B436" s="795" t="s">
        <v>3347</v>
      </c>
      <c r="C436" s="795" t="s">
        <v>534</v>
      </c>
      <c r="D436" s="795"/>
      <c r="E436" s="796"/>
      <c r="F436" s="799"/>
      <c r="G436" s="799"/>
      <c r="H436" s="799"/>
      <c r="I436" s="799"/>
      <c r="J436" s="799"/>
      <c r="K436" s="799"/>
      <c r="L436" s="799"/>
      <c r="M436" s="799"/>
      <c r="N436" s="595"/>
      <c r="O436" s="794">
        <v>0</v>
      </c>
      <c r="P436" s="794">
        <v>0</v>
      </c>
      <c r="Q436" s="794">
        <v>0</v>
      </c>
      <c r="R436" s="794">
        <v>0</v>
      </c>
      <c r="S436" s="796">
        <v>0</v>
      </c>
      <c r="T436" s="796">
        <v>0</v>
      </c>
      <c r="U436" s="796">
        <v>0</v>
      </c>
      <c r="V436" s="796">
        <v>0</v>
      </c>
      <c r="W436" s="796">
        <v>0</v>
      </c>
      <c r="X436" s="796">
        <v>0</v>
      </c>
      <c r="Y436" s="796">
        <v>0</v>
      </c>
      <c r="Z436" s="796">
        <v>0</v>
      </c>
      <c r="AA436" s="796">
        <v>0</v>
      </c>
      <c r="AB436" s="796">
        <v>0</v>
      </c>
      <c r="AC436" s="796">
        <v>0</v>
      </c>
      <c r="AD436" s="796">
        <v>0</v>
      </c>
      <c r="AE436" s="796">
        <v>0</v>
      </c>
      <c r="AF436" s="796">
        <v>0</v>
      </c>
      <c r="AG436" s="796">
        <v>0</v>
      </c>
      <c r="AH436" s="796">
        <v>0</v>
      </c>
      <c r="AI436" s="796">
        <v>0</v>
      </c>
      <c r="AJ436" s="796">
        <v>0</v>
      </c>
      <c r="AK436" s="796">
        <v>0</v>
      </c>
      <c r="AL436" s="796">
        <v>0</v>
      </c>
      <c r="AM436" s="796">
        <v>0</v>
      </c>
      <c r="AN436" s="796">
        <v>0</v>
      </c>
      <c r="AO436" s="796">
        <v>0</v>
      </c>
      <c r="AP436" s="796">
        <v>0</v>
      </c>
      <c r="AQ436" s="796">
        <v>0</v>
      </c>
      <c r="AR436" s="796">
        <v>0</v>
      </c>
      <c r="AS436" s="796">
        <v>0</v>
      </c>
      <c r="AT436" s="796">
        <v>0</v>
      </c>
      <c r="AU436" s="796">
        <v>0</v>
      </c>
      <c r="AV436" s="796">
        <v>0</v>
      </c>
      <c r="AW436" s="796">
        <v>0</v>
      </c>
      <c r="AX436" s="796">
        <v>0</v>
      </c>
      <c r="AY436" s="796">
        <v>0</v>
      </c>
      <c r="AZ436" s="796">
        <v>0</v>
      </c>
      <c r="BA436" s="796">
        <v>0</v>
      </c>
      <c r="BB436" s="796">
        <v>0</v>
      </c>
      <c r="BC436" s="796">
        <v>0</v>
      </c>
      <c r="BD436" s="796">
        <v>0</v>
      </c>
      <c r="BE436" s="796">
        <v>0</v>
      </c>
      <c r="BF436" s="796">
        <v>0</v>
      </c>
      <c r="BG436" s="796">
        <v>0</v>
      </c>
      <c r="BH436" s="796">
        <v>0</v>
      </c>
      <c r="BI436" s="796">
        <v>0</v>
      </c>
      <c r="BJ436" s="796">
        <v>0</v>
      </c>
      <c r="BK436" s="796">
        <v>0</v>
      </c>
      <c r="BL436" s="796">
        <v>0</v>
      </c>
      <c r="BM436" s="796">
        <v>0</v>
      </c>
      <c r="BN436" s="810">
        <v>77790.86</v>
      </c>
      <c r="BO436" s="796">
        <v>0</v>
      </c>
      <c r="BP436" s="796">
        <v>0</v>
      </c>
      <c r="BQ436" s="796">
        <v>0</v>
      </c>
      <c r="BR436" s="796">
        <v>0</v>
      </c>
      <c r="BS436" s="796">
        <v>0</v>
      </c>
      <c r="BT436" s="796">
        <v>0</v>
      </c>
      <c r="BU436" s="796">
        <v>0</v>
      </c>
      <c r="BV436" s="796">
        <v>0</v>
      </c>
    </row>
    <row r="437" spans="2:74">
      <c r="B437" s="795" t="s">
        <v>3348</v>
      </c>
      <c r="C437" s="795" t="s">
        <v>642</v>
      </c>
      <c r="D437" s="795"/>
      <c r="E437" s="796"/>
      <c r="F437" s="799"/>
      <c r="G437" s="799"/>
      <c r="H437" s="799"/>
      <c r="I437" s="799"/>
      <c r="J437" s="799"/>
      <c r="K437" s="799"/>
      <c r="L437" s="799"/>
      <c r="M437" s="799"/>
      <c r="N437" s="595"/>
      <c r="O437" s="794">
        <v>0</v>
      </c>
      <c r="P437" s="794">
        <v>0</v>
      </c>
      <c r="Q437" s="794">
        <v>0</v>
      </c>
      <c r="R437" s="794">
        <v>0</v>
      </c>
      <c r="S437" s="796">
        <v>0</v>
      </c>
      <c r="T437" s="796">
        <v>0</v>
      </c>
      <c r="U437" s="796">
        <v>0</v>
      </c>
      <c r="V437" s="796">
        <v>0</v>
      </c>
      <c r="W437" s="796">
        <v>0</v>
      </c>
      <c r="X437" s="796">
        <v>0</v>
      </c>
      <c r="Y437" s="796">
        <v>0</v>
      </c>
      <c r="Z437" s="796">
        <v>0</v>
      </c>
      <c r="AA437" s="796">
        <v>0</v>
      </c>
      <c r="AB437" s="796">
        <v>0</v>
      </c>
      <c r="AC437" s="796">
        <v>0</v>
      </c>
      <c r="AD437" s="796">
        <v>0</v>
      </c>
      <c r="AE437" s="796">
        <v>0</v>
      </c>
      <c r="AF437" s="796">
        <v>0</v>
      </c>
      <c r="AG437" s="796">
        <v>0</v>
      </c>
      <c r="AH437" s="796">
        <v>0</v>
      </c>
      <c r="AI437" s="796">
        <v>0</v>
      </c>
      <c r="AJ437" s="796">
        <v>0</v>
      </c>
      <c r="AK437" s="796">
        <v>0</v>
      </c>
      <c r="AL437" s="796">
        <v>0</v>
      </c>
      <c r="AM437" s="796">
        <v>0</v>
      </c>
      <c r="AN437" s="796">
        <v>0</v>
      </c>
      <c r="AO437" s="796">
        <v>0</v>
      </c>
      <c r="AP437" s="796">
        <v>0</v>
      </c>
      <c r="AQ437" s="796">
        <v>0</v>
      </c>
      <c r="AR437" s="796">
        <v>0</v>
      </c>
      <c r="AS437" s="796">
        <v>0</v>
      </c>
      <c r="AT437" s="796">
        <v>0</v>
      </c>
      <c r="AU437" s="796">
        <v>0</v>
      </c>
      <c r="AV437" s="796">
        <v>0</v>
      </c>
      <c r="AW437" s="796">
        <v>0</v>
      </c>
      <c r="AX437" s="796">
        <v>0</v>
      </c>
      <c r="AY437" s="796">
        <v>0</v>
      </c>
      <c r="AZ437" s="796">
        <v>0</v>
      </c>
      <c r="BA437" s="796">
        <v>0</v>
      </c>
      <c r="BB437" s="796">
        <v>0</v>
      </c>
      <c r="BC437" s="796">
        <v>0</v>
      </c>
      <c r="BD437" s="796">
        <v>0</v>
      </c>
      <c r="BE437" s="796">
        <v>0</v>
      </c>
      <c r="BF437" s="796">
        <v>0</v>
      </c>
      <c r="BG437" s="796">
        <v>0</v>
      </c>
      <c r="BH437" s="796">
        <v>0</v>
      </c>
      <c r="BI437" s="796">
        <v>0</v>
      </c>
      <c r="BJ437" s="796">
        <v>0</v>
      </c>
      <c r="BK437" s="796">
        <v>0</v>
      </c>
      <c r="BL437" s="796">
        <v>0</v>
      </c>
      <c r="BM437" s="796">
        <v>0</v>
      </c>
      <c r="BN437" s="810">
        <v>84762.16</v>
      </c>
      <c r="BO437" s="796">
        <v>0</v>
      </c>
      <c r="BP437" s="796">
        <v>0</v>
      </c>
      <c r="BQ437" s="796">
        <v>0</v>
      </c>
      <c r="BR437" s="796">
        <v>0</v>
      </c>
      <c r="BS437" s="796">
        <v>0</v>
      </c>
      <c r="BT437" s="796">
        <v>0</v>
      </c>
      <c r="BU437" s="796">
        <v>0</v>
      </c>
      <c r="BV437" s="796">
        <v>0</v>
      </c>
    </row>
    <row r="438" spans="2:74">
      <c r="B438" s="795" t="s">
        <v>3429</v>
      </c>
      <c r="C438" s="795" t="s">
        <v>543</v>
      </c>
      <c r="D438" s="795"/>
      <c r="E438" s="796"/>
      <c r="F438" s="799"/>
      <c r="G438" s="799"/>
      <c r="H438" s="799"/>
      <c r="I438" s="799"/>
      <c r="J438" s="799"/>
      <c r="K438" s="799"/>
      <c r="L438" s="799"/>
      <c r="M438" s="799"/>
      <c r="N438" s="595"/>
      <c r="O438" s="794">
        <v>0</v>
      </c>
      <c r="P438" s="794">
        <v>0</v>
      </c>
      <c r="Q438" s="794">
        <v>0</v>
      </c>
      <c r="R438" s="794">
        <v>0</v>
      </c>
      <c r="S438" s="796">
        <v>0</v>
      </c>
      <c r="T438" s="796">
        <v>0</v>
      </c>
      <c r="U438" s="796">
        <v>0</v>
      </c>
      <c r="V438" s="796">
        <v>0</v>
      </c>
      <c r="W438" s="796">
        <v>0</v>
      </c>
      <c r="X438" s="796">
        <v>0</v>
      </c>
      <c r="Y438" s="796">
        <v>0</v>
      </c>
      <c r="Z438" s="796">
        <v>0</v>
      </c>
      <c r="AA438" s="796">
        <v>0</v>
      </c>
      <c r="AB438" s="796">
        <v>0</v>
      </c>
      <c r="AC438" s="796">
        <v>0</v>
      </c>
      <c r="AD438" s="796">
        <v>0</v>
      </c>
      <c r="AE438" s="796">
        <v>0</v>
      </c>
      <c r="AF438" s="796">
        <v>0</v>
      </c>
      <c r="AG438" s="796">
        <v>0</v>
      </c>
      <c r="AH438" s="796">
        <v>0</v>
      </c>
      <c r="AI438" s="796">
        <v>0</v>
      </c>
      <c r="AJ438" s="796">
        <v>0</v>
      </c>
      <c r="AK438" s="796">
        <v>0</v>
      </c>
      <c r="AL438" s="796">
        <v>0</v>
      </c>
      <c r="AM438" s="796">
        <v>0</v>
      </c>
      <c r="AN438" s="796">
        <v>0</v>
      </c>
      <c r="AO438" s="796">
        <v>0</v>
      </c>
      <c r="AP438" s="796">
        <v>0</v>
      </c>
      <c r="AQ438" s="796">
        <v>0</v>
      </c>
      <c r="AR438" s="796">
        <v>0</v>
      </c>
      <c r="AS438" s="796">
        <v>0</v>
      </c>
      <c r="AT438" s="796">
        <v>0</v>
      </c>
      <c r="AU438" s="796">
        <v>0</v>
      </c>
      <c r="AV438" s="796">
        <v>0</v>
      </c>
      <c r="AW438" s="796">
        <v>0</v>
      </c>
      <c r="AX438" s="796">
        <v>0</v>
      </c>
      <c r="AY438" s="796">
        <v>0</v>
      </c>
      <c r="AZ438" s="796">
        <v>0</v>
      </c>
      <c r="BA438" s="796">
        <v>0</v>
      </c>
      <c r="BB438" s="796">
        <v>0</v>
      </c>
      <c r="BC438" s="796">
        <v>0</v>
      </c>
      <c r="BD438" s="796">
        <v>0</v>
      </c>
      <c r="BE438" s="796">
        <v>0</v>
      </c>
      <c r="BF438" s="796">
        <v>0</v>
      </c>
      <c r="BG438" s="796">
        <v>0</v>
      </c>
      <c r="BH438" s="796">
        <v>0</v>
      </c>
      <c r="BI438" s="796">
        <v>0</v>
      </c>
      <c r="BJ438" s="796">
        <v>0</v>
      </c>
      <c r="BK438" s="796">
        <v>0</v>
      </c>
      <c r="BL438" s="796">
        <v>0</v>
      </c>
      <c r="BM438" s="796">
        <v>0</v>
      </c>
      <c r="BN438" s="810">
        <v>10518</v>
      </c>
      <c r="BO438" s="796">
        <v>44203.11</v>
      </c>
      <c r="BP438" s="796">
        <v>41778.839999999997</v>
      </c>
      <c r="BQ438" s="796">
        <v>1299.92</v>
      </c>
      <c r="BR438" s="796">
        <v>0</v>
      </c>
      <c r="BS438" s="796">
        <v>2998.72</v>
      </c>
      <c r="BT438" s="796">
        <v>0</v>
      </c>
      <c r="BU438" s="796">
        <v>0</v>
      </c>
      <c r="BV438" s="796">
        <v>0</v>
      </c>
    </row>
    <row r="439" spans="2:74">
      <c r="B439" s="795" t="s">
        <v>3346</v>
      </c>
      <c r="C439" s="795" t="s">
        <v>3101</v>
      </c>
      <c r="D439" s="795"/>
      <c r="E439" s="796"/>
      <c r="F439" s="799"/>
      <c r="G439" s="799"/>
      <c r="H439" s="799"/>
      <c r="I439" s="799"/>
      <c r="J439" s="799"/>
      <c r="K439" s="799"/>
      <c r="L439" s="799"/>
      <c r="M439" s="799"/>
      <c r="N439" s="595"/>
      <c r="O439" s="794">
        <v>0</v>
      </c>
      <c r="P439" s="794">
        <v>0</v>
      </c>
      <c r="Q439" s="794">
        <v>0</v>
      </c>
      <c r="R439" s="794">
        <v>0</v>
      </c>
      <c r="S439" s="796">
        <v>0</v>
      </c>
      <c r="T439" s="796">
        <v>0</v>
      </c>
      <c r="U439" s="796">
        <v>0</v>
      </c>
      <c r="V439" s="796">
        <v>0</v>
      </c>
      <c r="W439" s="796">
        <v>0</v>
      </c>
      <c r="X439" s="796">
        <v>0</v>
      </c>
      <c r="Y439" s="796">
        <v>0</v>
      </c>
      <c r="Z439" s="796">
        <v>0</v>
      </c>
      <c r="AA439" s="796">
        <v>0</v>
      </c>
      <c r="AB439" s="796">
        <v>0</v>
      </c>
      <c r="AC439" s="796">
        <v>0</v>
      </c>
      <c r="AD439" s="796">
        <v>0</v>
      </c>
      <c r="AE439" s="796">
        <v>0</v>
      </c>
      <c r="AF439" s="796">
        <v>0</v>
      </c>
      <c r="AG439" s="796">
        <v>0</v>
      </c>
      <c r="AH439" s="796">
        <v>0</v>
      </c>
      <c r="AI439" s="796">
        <v>0</v>
      </c>
      <c r="AJ439" s="796">
        <v>0</v>
      </c>
      <c r="AK439" s="796">
        <v>0</v>
      </c>
      <c r="AL439" s="796">
        <v>0</v>
      </c>
      <c r="AM439" s="796">
        <v>0</v>
      </c>
      <c r="AN439" s="796">
        <v>0</v>
      </c>
      <c r="AO439" s="796">
        <v>0</v>
      </c>
      <c r="AP439" s="796">
        <v>0</v>
      </c>
      <c r="AQ439" s="796">
        <v>0</v>
      </c>
      <c r="AR439" s="796">
        <v>0</v>
      </c>
      <c r="AS439" s="796">
        <v>0</v>
      </c>
      <c r="AT439" s="796">
        <v>0</v>
      </c>
      <c r="AU439" s="796">
        <v>0</v>
      </c>
      <c r="AV439" s="796">
        <v>0</v>
      </c>
      <c r="AW439" s="796">
        <v>0</v>
      </c>
      <c r="AX439" s="796">
        <v>0</v>
      </c>
      <c r="AY439" s="796">
        <v>0</v>
      </c>
      <c r="AZ439" s="796">
        <v>0</v>
      </c>
      <c r="BA439" s="796">
        <v>0</v>
      </c>
      <c r="BB439" s="796">
        <v>0</v>
      </c>
      <c r="BC439" s="796">
        <v>0</v>
      </c>
      <c r="BD439" s="796">
        <v>0</v>
      </c>
      <c r="BE439" s="796">
        <v>0</v>
      </c>
      <c r="BF439" s="796">
        <v>0</v>
      </c>
      <c r="BG439" s="796">
        <v>0</v>
      </c>
      <c r="BH439" s="796">
        <v>0</v>
      </c>
      <c r="BI439" s="796">
        <v>0</v>
      </c>
      <c r="BJ439" s="796">
        <v>0</v>
      </c>
      <c r="BK439" s="796">
        <v>0</v>
      </c>
      <c r="BL439" s="796">
        <v>0</v>
      </c>
      <c r="BM439" s="796">
        <v>0</v>
      </c>
      <c r="BN439" s="796">
        <v>0</v>
      </c>
      <c r="BO439" s="810">
        <v>156387.6</v>
      </c>
      <c r="BP439" s="796">
        <v>82264.11</v>
      </c>
      <c r="BQ439" s="796">
        <v>59260</v>
      </c>
      <c r="BR439" s="796">
        <v>0</v>
      </c>
      <c r="BS439" s="796">
        <v>0</v>
      </c>
      <c r="BT439" s="796">
        <v>0</v>
      </c>
      <c r="BU439" s="796">
        <v>0</v>
      </c>
      <c r="BV439" s="796">
        <v>0</v>
      </c>
    </row>
    <row r="440" spans="2:74">
      <c r="B440" s="795" t="s">
        <v>3349</v>
      </c>
      <c r="C440" s="795" t="s">
        <v>558</v>
      </c>
      <c r="D440" s="795"/>
      <c r="E440" s="796"/>
      <c r="F440" s="799"/>
      <c r="G440" s="799"/>
      <c r="H440" s="799"/>
      <c r="I440" s="799"/>
      <c r="J440" s="799"/>
      <c r="K440" s="799"/>
      <c r="L440" s="799"/>
      <c r="M440" s="799"/>
      <c r="N440" s="595"/>
      <c r="O440" s="794">
        <v>0</v>
      </c>
      <c r="P440" s="794">
        <v>0</v>
      </c>
      <c r="Q440" s="794">
        <v>0</v>
      </c>
      <c r="R440" s="794">
        <v>0</v>
      </c>
      <c r="S440" s="796">
        <v>0</v>
      </c>
      <c r="T440" s="796">
        <v>0</v>
      </c>
      <c r="U440" s="796">
        <v>0</v>
      </c>
      <c r="V440" s="796">
        <v>0</v>
      </c>
      <c r="W440" s="796">
        <v>0</v>
      </c>
      <c r="X440" s="796">
        <v>0</v>
      </c>
      <c r="Y440" s="796">
        <v>0</v>
      </c>
      <c r="Z440" s="796">
        <v>0</v>
      </c>
      <c r="AA440" s="796">
        <v>0</v>
      </c>
      <c r="AB440" s="796">
        <v>0</v>
      </c>
      <c r="AC440" s="796">
        <v>0</v>
      </c>
      <c r="AD440" s="796">
        <v>0</v>
      </c>
      <c r="AE440" s="796">
        <v>0</v>
      </c>
      <c r="AF440" s="796">
        <v>0</v>
      </c>
      <c r="AG440" s="796">
        <v>0</v>
      </c>
      <c r="AH440" s="796">
        <v>0</v>
      </c>
      <c r="AI440" s="796">
        <v>0</v>
      </c>
      <c r="AJ440" s="796">
        <v>0</v>
      </c>
      <c r="AK440" s="796">
        <v>0</v>
      </c>
      <c r="AL440" s="796">
        <v>0</v>
      </c>
      <c r="AM440" s="796">
        <v>0</v>
      </c>
      <c r="AN440" s="796">
        <v>0</v>
      </c>
      <c r="AO440" s="796">
        <v>0</v>
      </c>
      <c r="AP440" s="796">
        <v>0</v>
      </c>
      <c r="AQ440" s="796">
        <v>0</v>
      </c>
      <c r="AR440" s="796">
        <v>0</v>
      </c>
      <c r="AS440" s="796">
        <v>0</v>
      </c>
      <c r="AT440" s="796">
        <v>0</v>
      </c>
      <c r="AU440" s="796">
        <v>0</v>
      </c>
      <c r="AV440" s="796">
        <v>0</v>
      </c>
      <c r="AW440" s="796">
        <v>0</v>
      </c>
      <c r="AX440" s="796">
        <v>0</v>
      </c>
      <c r="AY440" s="796">
        <v>0</v>
      </c>
      <c r="AZ440" s="796">
        <v>0</v>
      </c>
      <c r="BA440" s="796">
        <v>0</v>
      </c>
      <c r="BB440" s="796">
        <v>0</v>
      </c>
      <c r="BC440" s="796">
        <v>0</v>
      </c>
      <c r="BD440" s="796">
        <v>0</v>
      </c>
      <c r="BE440" s="796">
        <v>0</v>
      </c>
      <c r="BF440" s="796">
        <v>0</v>
      </c>
      <c r="BG440" s="796">
        <v>0</v>
      </c>
      <c r="BH440" s="796">
        <v>0</v>
      </c>
      <c r="BI440" s="796">
        <v>0</v>
      </c>
      <c r="BJ440" s="796">
        <v>0</v>
      </c>
      <c r="BK440" s="796">
        <v>0</v>
      </c>
      <c r="BL440" s="796">
        <v>0</v>
      </c>
      <c r="BM440" s="796">
        <v>0</v>
      </c>
      <c r="BN440" s="796">
        <v>0</v>
      </c>
      <c r="BO440" s="810">
        <v>41437.06</v>
      </c>
      <c r="BP440" s="796">
        <v>72562.94</v>
      </c>
      <c r="BQ440" s="796">
        <v>0</v>
      </c>
      <c r="BR440" s="796">
        <v>0</v>
      </c>
      <c r="BS440" s="796">
        <v>0</v>
      </c>
      <c r="BT440" s="796">
        <v>0</v>
      </c>
      <c r="BU440" s="796">
        <v>0</v>
      </c>
      <c r="BV440" s="796">
        <v>0</v>
      </c>
    </row>
    <row r="441" spans="2:74">
      <c r="B441" s="795" t="s">
        <v>637</v>
      </c>
      <c r="C441" s="795" t="s">
        <v>481</v>
      </c>
      <c r="D441" s="795"/>
      <c r="E441" s="796"/>
      <c r="F441" s="799"/>
      <c r="G441" s="799"/>
      <c r="H441" s="799"/>
      <c r="I441" s="799"/>
      <c r="J441" s="799"/>
      <c r="K441" s="799"/>
      <c r="L441" s="799"/>
      <c r="M441" s="799"/>
      <c r="N441" s="595"/>
      <c r="O441" s="794">
        <v>0</v>
      </c>
      <c r="P441" s="794">
        <v>0</v>
      </c>
      <c r="Q441" s="794">
        <v>0</v>
      </c>
      <c r="R441" s="794">
        <v>0</v>
      </c>
      <c r="S441" s="796">
        <v>0</v>
      </c>
      <c r="T441" s="796">
        <v>0</v>
      </c>
      <c r="U441" s="796">
        <v>0</v>
      </c>
      <c r="V441" s="796">
        <v>0</v>
      </c>
      <c r="W441" s="796">
        <v>0</v>
      </c>
      <c r="X441" s="796">
        <v>0</v>
      </c>
      <c r="Y441" s="796">
        <v>0</v>
      </c>
      <c r="Z441" s="796">
        <v>0</v>
      </c>
      <c r="AA441" s="796">
        <v>0</v>
      </c>
      <c r="AB441" s="796">
        <v>0</v>
      </c>
      <c r="AC441" s="796">
        <v>0</v>
      </c>
      <c r="AD441" s="796">
        <v>0</v>
      </c>
      <c r="AE441" s="796">
        <v>0</v>
      </c>
      <c r="AF441" s="796">
        <v>0</v>
      </c>
      <c r="AG441" s="796">
        <v>0</v>
      </c>
      <c r="AH441" s="796">
        <v>0</v>
      </c>
      <c r="AI441" s="796">
        <v>0</v>
      </c>
      <c r="AJ441" s="796">
        <v>0</v>
      </c>
      <c r="AK441" s="796">
        <v>0</v>
      </c>
      <c r="AL441" s="796">
        <v>0</v>
      </c>
      <c r="AM441" s="796">
        <v>0</v>
      </c>
      <c r="AN441" s="796">
        <v>0</v>
      </c>
      <c r="AO441" s="796">
        <v>0</v>
      </c>
      <c r="AP441" s="796">
        <v>0</v>
      </c>
      <c r="AQ441" s="796">
        <v>0</v>
      </c>
      <c r="AR441" s="796">
        <v>0</v>
      </c>
      <c r="AS441" s="796">
        <v>0</v>
      </c>
      <c r="AT441" s="796">
        <v>0</v>
      </c>
      <c r="AU441" s="796">
        <v>0</v>
      </c>
      <c r="AV441" s="796">
        <v>0</v>
      </c>
      <c r="AW441" s="796">
        <v>0</v>
      </c>
      <c r="AX441" s="796">
        <v>0</v>
      </c>
      <c r="AY441" s="796">
        <v>0</v>
      </c>
      <c r="AZ441" s="796">
        <v>0</v>
      </c>
      <c r="BA441" s="796">
        <v>0</v>
      </c>
      <c r="BB441" s="796">
        <v>0</v>
      </c>
      <c r="BC441" s="796">
        <v>0</v>
      </c>
      <c r="BD441" s="796">
        <v>0</v>
      </c>
      <c r="BE441" s="796">
        <v>0</v>
      </c>
      <c r="BF441" s="796">
        <v>0</v>
      </c>
      <c r="BG441" s="796">
        <v>0</v>
      </c>
      <c r="BH441" s="796">
        <v>0</v>
      </c>
      <c r="BI441" s="796">
        <v>0</v>
      </c>
      <c r="BJ441" s="796">
        <v>0</v>
      </c>
      <c r="BK441" s="796">
        <v>0</v>
      </c>
      <c r="BL441" s="796">
        <v>0</v>
      </c>
      <c r="BM441" s="796">
        <v>0</v>
      </c>
      <c r="BN441" s="796">
        <v>0</v>
      </c>
      <c r="BO441" s="810">
        <v>31855.35</v>
      </c>
      <c r="BP441" s="796">
        <v>20440.580000000002</v>
      </c>
      <c r="BQ441" s="796">
        <v>8600</v>
      </c>
      <c r="BR441" s="796">
        <v>0</v>
      </c>
      <c r="BS441" s="796">
        <v>0</v>
      </c>
      <c r="BT441" s="796">
        <v>0</v>
      </c>
      <c r="BU441" s="796">
        <v>0</v>
      </c>
      <c r="BV441" s="796">
        <v>0</v>
      </c>
    </row>
    <row r="442" spans="2:74">
      <c r="B442" s="795" t="s">
        <v>625</v>
      </c>
      <c r="C442" s="795" t="s">
        <v>624</v>
      </c>
      <c r="D442" s="795"/>
      <c r="E442" s="796"/>
      <c r="F442" s="799"/>
      <c r="G442" s="799"/>
      <c r="H442" s="799"/>
      <c r="I442" s="799"/>
      <c r="J442" s="799"/>
      <c r="K442" s="799"/>
      <c r="L442" s="799"/>
      <c r="M442" s="799"/>
      <c r="N442" s="595"/>
      <c r="O442" s="794">
        <v>0</v>
      </c>
      <c r="P442" s="794">
        <v>0</v>
      </c>
      <c r="Q442" s="794">
        <v>0</v>
      </c>
      <c r="R442" s="794">
        <v>0</v>
      </c>
      <c r="S442" s="796">
        <v>0</v>
      </c>
      <c r="T442" s="796">
        <v>0</v>
      </c>
      <c r="U442" s="796">
        <v>0</v>
      </c>
      <c r="V442" s="796">
        <v>0</v>
      </c>
      <c r="W442" s="796">
        <v>0</v>
      </c>
      <c r="X442" s="796">
        <v>0</v>
      </c>
      <c r="Y442" s="796">
        <v>0</v>
      </c>
      <c r="Z442" s="796">
        <v>0</v>
      </c>
      <c r="AA442" s="796">
        <v>0</v>
      </c>
      <c r="AB442" s="796">
        <v>0</v>
      </c>
      <c r="AC442" s="796">
        <v>0</v>
      </c>
      <c r="AD442" s="796">
        <v>0</v>
      </c>
      <c r="AE442" s="796">
        <v>0</v>
      </c>
      <c r="AF442" s="796">
        <v>0</v>
      </c>
      <c r="AG442" s="796">
        <v>0</v>
      </c>
      <c r="AH442" s="796">
        <v>0</v>
      </c>
      <c r="AI442" s="796">
        <v>0</v>
      </c>
      <c r="AJ442" s="796">
        <v>0</v>
      </c>
      <c r="AK442" s="796">
        <v>0</v>
      </c>
      <c r="AL442" s="796">
        <v>0</v>
      </c>
      <c r="AM442" s="796">
        <v>0</v>
      </c>
      <c r="AN442" s="796">
        <v>0</v>
      </c>
      <c r="AO442" s="796">
        <v>0</v>
      </c>
      <c r="AP442" s="796">
        <v>0</v>
      </c>
      <c r="AQ442" s="796">
        <v>0</v>
      </c>
      <c r="AR442" s="796">
        <v>0</v>
      </c>
      <c r="AS442" s="796">
        <v>0</v>
      </c>
      <c r="AT442" s="796">
        <v>0</v>
      </c>
      <c r="AU442" s="796">
        <v>0</v>
      </c>
      <c r="AV442" s="796">
        <v>0</v>
      </c>
      <c r="AW442" s="796">
        <v>0</v>
      </c>
      <c r="AX442" s="796">
        <v>0</v>
      </c>
      <c r="AY442" s="796">
        <v>0</v>
      </c>
      <c r="AZ442" s="796">
        <v>0</v>
      </c>
      <c r="BA442" s="796">
        <v>0</v>
      </c>
      <c r="BB442" s="796">
        <v>0</v>
      </c>
      <c r="BC442" s="796">
        <v>0</v>
      </c>
      <c r="BD442" s="796">
        <v>0</v>
      </c>
      <c r="BE442" s="796">
        <v>0</v>
      </c>
      <c r="BF442" s="796">
        <v>0</v>
      </c>
      <c r="BG442" s="796">
        <v>0</v>
      </c>
      <c r="BH442" s="796">
        <v>0</v>
      </c>
      <c r="BI442" s="796">
        <v>0</v>
      </c>
      <c r="BJ442" s="796">
        <v>0</v>
      </c>
      <c r="BK442" s="796">
        <v>0</v>
      </c>
      <c r="BL442" s="796">
        <v>0</v>
      </c>
      <c r="BM442" s="796">
        <v>0</v>
      </c>
      <c r="BN442" s="796">
        <v>0</v>
      </c>
      <c r="BO442" s="810">
        <v>37048.97</v>
      </c>
      <c r="BP442" s="796">
        <v>3798.09</v>
      </c>
      <c r="BQ442" s="796">
        <v>0</v>
      </c>
      <c r="BR442" s="796">
        <v>0</v>
      </c>
      <c r="BS442" s="796">
        <v>0</v>
      </c>
      <c r="BT442" s="796">
        <v>0</v>
      </c>
      <c r="BU442" s="796">
        <v>0</v>
      </c>
      <c r="BV442" s="796">
        <v>0</v>
      </c>
    </row>
    <row r="443" spans="2:74">
      <c r="B443" s="795" t="s">
        <v>802</v>
      </c>
      <c r="C443" s="795" t="s">
        <v>3351</v>
      </c>
      <c r="D443" s="795"/>
      <c r="E443" s="796"/>
      <c r="F443" s="799"/>
      <c r="G443" s="799"/>
      <c r="H443" s="799"/>
      <c r="I443" s="799"/>
      <c r="J443" s="799"/>
      <c r="K443" s="799"/>
      <c r="L443" s="799"/>
      <c r="M443" s="799"/>
      <c r="N443" s="595"/>
      <c r="O443" s="794">
        <v>0</v>
      </c>
      <c r="P443" s="794">
        <v>0</v>
      </c>
      <c r="Q443" s="794">
        <v>0</v>
      </c>
      <c r="R443" s="794">
        <v>0</v>
      </c>
      <c r="S443" s="796">
        <v>0</v>
      </c>
      <c r="T443" s="796">
        <v>0</v>
      </c>
      <c r="U443" s="796">
        <v>0</v>
      </c>
      <c r="V443" s="796">
        <v>0</v>
      </c>
      <c r="W443" s="796">
        <v>0</v>
      </c>
      <c r="X443" s="796">
        <v>0</v>
      </c>
      <c r="Y443" s="796">
        <v>0</v>
      </c>
      <c r="Z443" s="796">
        <v>0</v>
      </c>
      <c r="AA443" s="796">
        <v>0</v>
      </c>
      <c r="AB443" s="796">
        <v>0</v>
      </c>
      <c r="AC443" s="796">
        <v>0</v>
      </c>
      <c r="AD443" s="796">
        <v>0</v>
      </c>
      <c r="AE443" s="796">
        <v>0</v>
      </c>
      <c r="AF443" s="796">
        <v>0</v>
      </c>
      <c r="AG443" s="796">
        <v>0</v>
      </c>
      <c r="AH443" s="796">
        <v>0</v>
      </c>
      <c r="AI443" s="796">
        <v>0</v>
      </c>
      <c r="AJ443" s="796">
        <v>0</v>
      </c>
      <c r="AK443" s="796">
        <v>0</v>
      </c>
      <c r="AL443" s="796">
        <v>0</v>
      </c>
      <c r="AM443" s="796">
        <v>0</v>
      </c>
      <c r="AN443" s="796">
        <v>0</v>
      </c>
      <c r="AO443" s="796">
        <v>0</v>
      </c>
      <c r="AP443" s="796">
        <v>0</v>
      </c>
      <c r="AQ443" s="796">
        <v>0</v>
      </c>
      <c r="AR443" s="796">
        <v>0</v>
      </c>
      <c r="AS443" s="796">
        <v>0</v>
      </c>
      <c r="AT443" s="796">
        <v>0</v>
      </c>
      <c r="AU443" s="796">
        <v>0</v>
      </c>
      <c r="AV443" s="796">
        <v>0</v>
      </c>
      <c r="AW443" s="796">
        <v>0</v>
      </c>
      <c r="AX443" s="796">
        <v>0</v>
      </c>
      <c r="AY443" s="796">
        <v>0</v>
      </c>
      <c r="AZ443" s="796">
        <v>0</v>
      </c>
      <c r="BA443" s="796">
        <v>0</v>
      </c>
      <c r="BB443" s="796">
        <v>0</v>
      </c>
      <c r="BC443" s="796">
        <v>0</v>
      </c>
      <c r="BD443" s="796">
        <v>0</v>
      </c>
      <c r="BE443" s="796">
        <v>0</v>
      </c>
      <c r="BF443" s="796">
        <v>0</v>
      </c>
      <c r="BG443" s="796">
        <v>0</v>
      </c>
      <c r="BH443" s="796">
        <v>0</v>
      </c>
      <c r="BI443" s="796">
        <v>0</v>
      </c>
      <c r="BJ443" s="796">
        <v>0</v>
      </c>
      <c r="BK443" s="796">
        <v>0</v>
      </c>
      <c r="BL443" s="796">
        <v>0</v>
      </c>
      <c r="BM443" s="796">
        <v>0</v>
      </c>
      <c r="BN443" s="796">
        <v>0</v>
      </c>
      <c r="BO443" s="810">
        <v>651565.43000000005</v>
      </c>
      <c r="BP443" s="796">
        <v>1580346.69</v>
      </c>
      <c r="BQ443" s="796">
        <v>1082507.31</v>
      </c>
      <c r="BR443" s="796">
        <v>734250.97</v>
      </c>
      <c r="BS443" s="796">
        <v>1732571.4</v>
      </c>
      <c r="BT443" s="796">
        <v>1180869.6000000001</v>
      </c>
      <c r="BU443" s="796">
        <v>2235486.73</v>
      </c>
      <c r="BV443" s="796">
        <v>2765678.75</v>
      </c>
    </row>
    <row r="444" spans="2:74">
      <c r="B444" s="795" t="s">
        <v>3338</v>
      </c>
      <c r="C444" s="795" t="s">
        <v>3352</v>
      </c>
      <c r="D444" s="795"/>
      <c r="E444" s="796"/>
      <c r="F444" s="799"/>
      <c r="G444" s="799"/>
      <c r="H444" s="799"/>
      <c r="I444" s="799"/>
      <c r="J444" s="799"/>
      <c r="K444" s="799"/>
      <c r="L444" s="799"/>
      <c r="M444" s="799"/>
      <c r="N444" s="595"/>
      <c r="O444" s="794">
        <v>0</v>
      </c>
      <c r="P444" s="794">
        <v>0</v>
      </c>
      <c r="Q444" s="794">
        <v>0</v>
      </c>
      <c r="R444" s="794">
        <v>0</v>
      </c>
      <c r="S444" s="796">
        <v>0</v>
      </c>
      <c r="T444" s="796">
        <v>0</v>
      </c>
      <c r="U444" s="796">
        <v>0</v>
      </c>
      <c r="V444" s="796">
        <v>0</v>
      </c>
      <c r="W444" s="796">
        <v>0</v>
      </c>
      <c r="X444" s="796">
        <v>0</v>
      </c>
      <c r="Y444" s="796">
        <v>0</v>
      </c>
      <c r="Z444" s="796">
        <v>0</v>
      </c>
      <c r="AA444" s="796">
        <v>0</v>
      </c>
      <c r="AB444" s="796">
        <v>0</v>
      </c>
      <c r="AC444" s="796">
        <v>0</v>
      </c>
      <c r="AD444" s="796">
        <v>0</v>
      </c>
      <c r="AE444" s="796">
        <v>0</v>
      </c>
      <c r="AF444" s="796">
        <v>0</v>
      </c>
      <c r="AG444" s="796">
        <v>0</v>
      </c>
      <c r="AH444" s="796">
        <v>0</v>
      </c>
      <c r="AI444" s="796">
        <v>0</v>
      </c>
      <c r="AJ444" s="796">
        <v>0</v>
      </c>
      <c r="AK444" s="796">
        <v>0</v>
      </c>
      <c r="AL444" s="796">
        <v>0</v>
      </c>
      <c r="AM444" s="796">
        <v>0</v>
      </c>
      <c r="AN444" s="796">
        <v>0</v>
      </c>
      <c r="AO444" s="796">
        <v>0</v>
      </c>
      <c r="AP444" s="796">
        <v>0</v>
      </c>
      <c r="AQ444" s="796">
        <v>0</v>
      </c>
      <c r="AR444" s="796">
        <v>0</v>
      </c>
      <c r="AS444" s="796">
        <v>0</v>
      </c>
      <c r="AT444" s="796">
        <v>0</v>
      </c>
      <c r="AU444" s="796">
        <v>0</v>
      </c>
      <c r="AV444" s="796">
        <v>0</v>
      </c>
      <c r="AW444" s="796">
        <v>0</v>
      </c>
      <c r="AX444" s="796">
        <v>0</v>
      </c>
      <c r="AY444" s="796">
        <v>0</v>
      </c>
      <c r="AZ444" s="796">
        <v>0</v>
      </c>
      <c r="BA444" s="796">
        <v>0</v>
      </c>
      <c r="BB444" s="796">
        <v>0</v>
      </c>
      <c r="BC444" s="796">
        <v>0</v>
      </c>
      <c r="BD444" s="796">
        <v>0</v>
      </c>
      <c r="BE444" s="796">
        <v>0</v>
      </c>
      <c r="BF444" s="796">
        <v>0</v>
      </c>
      <c r="BG444" s="796">
        <v>0</v>
      </c>
      <c r="BH444" s="796">
        <v>0</v>
      </c>
      <c r="BI444" s="796">
        <v>0</v>
      </c>
      <c r="BJ444" s="796">
        <v>0</v>
      </c>
      <c r="BK444" s="796">
        <v>0</v>
      </c>
      <c r="BL444" s="796">
        <v>0</v>
      </c>
      <c r="BM444" s="796">
        <v>0</v>
      </c>
      <c r="BN444" s="796">
        <v>0</v>
      </c>
      <c r="BO444" s="796">
        <v>0</v>
      </c>
      <c r="BP444" s="810">
        <v>615475.12</v>
      </c>
      <c r="BQ444" s="796">
        <v>496274.63</v>
      </c>
      <c r="BR444" s="796">
        <v>0</v>
      </c>
      <c r="BS444" s="796">
        <v>0</v>
      </c>
      <c r="BT444" s="796">
        <v>957718.15</v>
      </c>
      <c r="BU444" s="796">
        <v>439220.84</v>
      </c>
      <c r="BV444" s="796">
        <v>1020795.6599999999</v>
      </c>
    </row>
    <row r="445" spans="2:74">
      <c r="B445" s="795" t="s">
        <v>559</v>
      </c>
      <c r="C445" s="795" t="s">
        <v>558</v>
      </c>
      <c r="D445" s="795"/>
      <c r="E445" s="796"/>
      <c r="F445" s="799"/>
      <c r="G445" s="799"/>
      <c r="H445" s="799"/>
      <c r="I445" s="799"/>
      <c r="J445" s="799"/>
      <c r="K445" s="799"/>
      <c r="L445" s="799"/>
      <c r="M445" s="799"/>
      <c r="N445" s="595"/>
      <c r="O445" s="794">
        <v>0</v>
      </c>
      <c r="P445" s="794">
        <v>0</v>
      </c>
      <c r="Q445" s="794">
        <v>0</v>
      </c>
      <c r="R445" s="794">
        <v>0</v>
      </c>
      <c r="S445" s="796">
        <v>0</v>
      </c>
      <c r="T445" s="796">
        <v>0</v>
      </c>
      <c r="U445" s="796">
        <v>0</v>
      </c>
      <c r="V445" s="796">
        <v>0</v>
      </c>
      <c r="W445" s="796">
        <v>0</v>
      </c>
      <c r="X445" s="796">
        <v>0</v>
      </c>
      <c r="Y445" s="796">
        <v>0</v>
      </c>
      <c r="Z445" s="796">
        <v>0</v>
      </c>
      <c r="AA445" s="796">
        <v>0</v>
      </c>
      <c r="AB445" s="796">
        <v>0</v>
      </c>
      <c r="AC445" s="796">
        <v>0</v>
      </c>
      <c r="AD445" s="796">
        <v>0</v>
      </c>
      <c r="AE445" s="796">
        <v>0</v>
      </c>
      <c r="AF445" s="796">
        <v>0</v>
      </c>
      <c r="AG445" s="796">
        <v>0</v>
      </c>
      <c r="AH445" s="796">
        <v>0</v>
      </c>
      <c r="AI445" s="796">
        <v>0</v>
      </c>
      <c r="AJ445" s="796">
        <v>0</v>
      </c>
      <c r="AK445" s="796">
        <v>0</v>
      </c>
      <c r="AL445" s="796">
        <v>0</v>
      </c>
      <c r="AM445" s="796">
        <v>0</v>
      </c>
      <c r="AN445" s="796">
        <v>0</v>
      </c>
      <c r="AO445" s="796">
        <v>0</v>
      </c>
      <c r="AP445" s="796">
        <v>0</v>
      </c>
      <c r="AQ445" s="796">
        <v>0</v>
      </c>
      <c r="AR445" s="796">
        <v>0</v>
      </c>
      <c r="AS445" s="796">
        <v>0</v>
      </c>
      <c r="AT445" s="796">
        <v>0</v>
      </c>
      <c r="AU445" s="796">
        <v>0</v>
      </c>
      <c r="AV445" s="796">
        <v>0</v>
      </c>
      <c r="AW445" s="796">
        <v>0</v>
      </c>
      <c r="AX445" s="796">
        <v>0</v>
      </c>
      <c r="AY445" s="796">
        <v>0</v>
      </c>
      <c r="AZ445" s="796">
        <v>0</v>
      </c>
      <c r="BA445" s="796">
        <v>0</v>
      </c>
      <c r="BB445" s="796">
        <v>0</v>
      </c>
      <c r="BC445" s="796">
        <v>0</v>
      </c>
      <c r="BD445" s="796">
        <v>0</v>
      </c>
      <c r="BE445" s="796">
        <v>0</v>
      </c>
      <c r="BF445" s="796">
        <v>0</v>
      </c>
      <c r="BG445" s="796">
        <v>0</v>
      </c>
      <c r="BH445" s="796">
        <v>0</v>
      </c>
      <c r="BI445" s="796">
        <v>0</v>
      </c>
      <c r="BJ445" s="796">
        <v>0</v>
      </c>
      <c r="BK445" s="796">
        <v>0</v>
      </c>
      <c r="BL445" s="796">
        <v>0</v>
      </c>
      <c r="BM445" s="796">
        <v>0</v>
      </c>
      <c r="BN445" s="796">
        <v>0</v>
      </c>
      <c r="BO445" s="796">
        <v>0</v>
      </c>
      <c r="BP445" s="810">
        <v>145231.57</v>
      </c>
      <c r="BQ445" s="796">
        <v>128356.12</v>
      </c>
      <c r="BR445" s="796">
        <v>98643.13</v>
      </c>
      <c r="BS445" s="796">
        <v>130622.03</v>
      </c>
      <c r="BT445" s="796">
        <v>90359.53</v>
      </c>
      <c r="BU445" s="796">
        <v>81150.12</v>
      </c>
      <c r="BV445" s="796">
        <v>35000</v>
      </c>
    </row>
    <row r="446" spans="2:74">
      <c r="B446" s="795" t="s">
        <v>623</v>
      </c>
      <c r="C446" s="795" t="s">
        <v>529</v>
      </c>
      <c r="D446" s="795"/>
      <c r="E446" s="796"/>
      <c r="F446" s="799"/>
      <c r="G446" s="799"/>
      <c r="H446" s="799"/>
      <c r="I446" s="799"/>
      <c r="J446" s="799"/>
      <c r="K446" s="799"/>
      <c r="L446" s="799"/>
      <c r="M446" s="799"/>
      <c r="N446" s="595"/>
      <c r="O446" s="794">
        <v>0</v>
      </c>
      <c r="P446" s="794">
        <v>0</v>
      </c>
      <c r="Q446" s="794">
        <v>0</v>
      </c>
      <c r="R446" s="794">
        <v>0</v>
      </c>
      <c r="S446" s="796">
        <v>0</v>
      </c>
      <c r="T446" s="796">
        <v>0</v>
      </c>
      <c r="U446" s="796">
        <v>0</v>
      </c>
      <c r="V446" s="796">
        <v>0</v>
      </c>
      <c r="W446" s="796">
        <v>0</v>
      </c>
      <c r="X446" s="796">
        <v>0</v>
      </c>
      <c r="Y446" s="796">
        <v>0</v>
      </c>
      <c r="Z446" s="796">
        <v>0</v>
      </c>
      <c r="AA446" s="796">
        <v>0</v>
      </c>
      <c r="AB446" s="796">
        <v>0</v>
      </c>
      <c r="AC446" s="796">
        <v>0</v>
      </c>
      <c r="AD446" s="796">
        <v>0</v>
      </c>
      <c r="AE446" s="796">
        <v>0</v>
      </c>
      <c r="AF446" s="796">
        <v>0</v>
      </c>
      <c r="AG446" s="796">
        <v>0</v>
      </c>
      <c r="AH446" s="796">
        <v>0</v>
      </c>
      <c r="AI446" s="796">
        <v>0</v>
      </c>
      <c r="AJ446" s="796">
        <v>0</v>
      </c>
      <c r="AK446" s="796">
        <v>0</v>
      </c>
      <c r="AL446" s="796">
        <v>0</v>
      </c>
      <c r="AM446" s="796">
        <v>0</v>
      </c>
      <c r="AN446" s="796">
        <v>0</v>
      </c>
      <c r="AO446" s="796">
        <v>0</v>
      </c>
      <c r="AP446" s="796">
        <v>0</v>
      </c>
      <c r="AQ446" s="796">
        <v>0</v>
      </c>
      <c r="AR446" s="796">
        <v>0</v>
      </c>
      <c r="AS446" s="796">
        <v>0</v>
      </c>
      <c r="AT446" s="796">
        <v>0</v>
      </c>
      <c r="AU446" s="796">
        <v>0</v>
      </c>
      <c r="AV446" s="796">
        <v>0</v>
      </c>
      <c r="AW446" s="796">
        <v>0</v>
      </c>
      <c r="AX446" s="796">
        <v>0</v>
      </c>
      <c r="AY446" s="796">
        <v>0</v>
      </c>
      <c r="AZ446" s="796">
        <v>0</v>
      </c>
      <c r="BA446" s="796">
        <v>0</v>
      </c>
      <c r="BB446" s="796">
        <v>0</v>
      </c>
      <c r="BC446" s="796">
        <v>0</v>
      </c>
      <c r="BD446" s="796">
        <v>0</v>
      </c>
      <c r="BE446" s="796">
        <v>0</v>
      </c>
      <c r="BF446" s="796">
        <v>0</v>
      </c>
      <c r="BG446" s="796">
        <v>0</v>
      </c>
      <c r="BH446" s="796">
        <v>0</v>
      </c>
      <c r="BI446" s="796">
        <v>0</v>
      </c>
      <c r="BJ446" s="796">
        <v>0</v>
      </c>
      <c r="BK446" s="796">
        <v>0</v>
      </c>
      <c r="BL446" s="796">
        <v>0</v>
      </c>
      <c r="BM446" s="796">
        <v>0</v>
      </c>
      <c r="BN446" s="796">
        <v>0</v>
      </c>
      <c r="BO446" s="796">
        <v>0</v>
      </c>
      <c r="BP446" s="810">
        <v>55471</v>
      </c>
      <c r="BQ446" s="796">
        <v>10715</v>
      </c>
      <c r="BR446" s="796">
        <v>0</v>
      </c>
      <c r="BS446" s="796">
        <v>0</v>
      </c>
      <c r="BT446" s="796">
        <v>0</v>
      </c>
      <c r="BU446" s="796">
        <v>0</v>
      </c>
      <c r="BV446" s="796">
        <v>0</v>
      </c>
    </row>
    <row r="447" spans="2:74">
      <c r="B447" s="795" t="s">
        <v>833</v>
      </c>
      <c r="C447" s="795" t="s">
        <v>3353</v>
      </c>
      <c r="D447" s="795"/>
      <c r="E447" s="796"/>
      <c r="F447" s="799"/>
      <c r="G447" s="799"/>
      <c r="H447" s="799"/>
      <c r="I447" s="799"/>
      <c r="J447" s="799"/>
      <c r="K447" s="799"/>
      <c r="L447" s="799"/>
      <c r="M447" s="799"/>
      <c r="N447" s="595"/>
      <c r="O447" s="794">
        <v>0</v>
      </c>
      <c r="P447" s="794">
        <v>0</v>
      </c>
      <c r="Q447" s="794">
        <v>0</v>
      </c>
      <c r="R447" s="794">
        <v>0</v>
      </c>
      <c r="S447" s="796">
        <v>0</v>
      </c>
      <c r="T447" s="796">
        <v>0</v>
      </c>
      <c r="U447" s="796">
        <v>0</v>
      </c>
      <c r="V447" s="796">
        <v>0</v>
      </c>
      <c r="W447" s="796">
        <v>0</v>
      </c>
      <c r="X447" s="796">
        <v>0</v>
      </c>
      <c r="Y447" s="796">
        <v>0</v>
      </c>
      <c r="Z447" s="796">
        <v>0</v>
      </c>
      <c r="AA447" s="796">
        <v>0</v>
      </c>
      <c r="AB447" s="796">
        <v>0</v>
      </c>
      <c r="AC447" s="796">
        <v>0</v>
      </c>
      <c r="AD447" s="796">
        <v>0</v>
      </c>
      <c r="AE447" s="796">
        <v>0</v>
      </c>
      <c r="AF447" s="796">
        <v>0</v>
      </c>
      <c r="AG447" s="796">
        <v>0</v>
      </c>
      <c r="AH447" s="796">
        <v>0</v>
      </c>
      <c r="AI447" s="796">
        <v>0</v>
      </c>
      <c r="AJ447" s="796">
        <v>0</v>
      </c>
      <c r="AK447" s="796">
        <v>0</v>
      </c>
      <c r="AL447" s="796">
        <v>0</v>
      </c>
      <c r="AM447" s="796">
        <v>0</v>
      </c>
      <c r="AN447" s="796">
        <v>0</v>
      </c>
      <c r="AO447" s="796">
        <v>0</v>
      </c>
      <c r="AP447" s="796">
        <v>0</v>
      </c>
      <c r="AQ447" s="796">
        <v>0</v>
      </c>
      <c r="AR447" s="796">
        <v>0</v>
      </c>
      <c r="AS447" s="796">
        <v>0</v>
      </c>
      <c r="AT447" s="796">
        <v>0</v>
      </c>
      <c r="AU447" s="796">
        <v>0</v>
      </c>
      <c r="AV447" s="796">
        <v>0</v>
      </c>
      <c r="AW447" s="796">
        <v>0</v>
      </c>
      <c r="AX447" s="796">
        <v>0</v>
      </c>
      <c r="AY447" s="796">
        <v>0</v>
      </c>
      <c r="AZ447" s="796">
        <v>0</v>
      </c>
      <c r="BA447" s="796">
        <v>0</v>
      </c>
      <c r="BB447" s="796">
        <v>0</v>
      </c>
      <c r="BC447" s="796">
        <v>0</v>
      </c>
      <c r="BD447" s="796">
        <v>0</v>
      </c>
      <c r="BE447" s="796">
        <v>0</v>
      </c>
      <c r="BF447" s="796">
        <v>0</v>
      </c>
      <c r="BG447" s="796">
        <v>0</v>
      </c>
      <c r="BH447" s="796">
        <v>0</v>
      </c>
      <c r="BI447" s="796">
        <v>0</v>
      </c>
      <c r="BJ447" s="796">
        <v>0</v>
      </c>
      <c r="BK447" s="796">
        <v>0</v>
      </c>
      <c r="BL447" s="796">
        <v>0</v>
      </c>
      <c r="BM447" s="796">
        <v>0</v>
      </c>
      <c r="BN447" s="796">
        <v>0</v>
      </c>
      <c r="BO447" s="796">
        <v>0</v>
      </c>
      <c r="BP447" s="810">
        <v>28917.64</v>
      </c>
      <c r="BQ447" s="796">
        <v>85526.27</v>
      </c>
      <c r="BR447" s="796">
        <v>85526.27</v>
      </c>
      <c r="BS447" s="796">
        <v>49936.72</v>
      </c>
      <c r="BT447" s="796">
        <v>39880.65</v>
      </c>
      <c r="BU447" s="796">
        <v>29918.1</v>
      </c>
      <c r="BV447" s="796">
        <v>36454.9</v>
      </c>
    </row>
    <row r="448" spans="2:74">
      <c r="B448" s="795" t="s">
        <v>3354</v>
      </c>
      <c r="C448" s="795" t="s">
        <v>3355</v>
      </c>
      <c r="D448" s="795"/>
      <c r="E448" s="796"/>
      <c r="F448" s="799"/>
      <c r="G448" s="799"/>
      <c r="H448" s="799"/>
      <c r="I448" s="799"/>
      <c r="J448" s="799"/>
      <c r="K448" s="799"/>
      <c r="L448" s="799"/>
      <c r="M448" s="799"/>
      <c r="N448" s="595"/>
      <c r="O448" s="794">
        <v>0</v>
      </c>
      <c r="P448" s="794">
        <v>0</v>
      </c>
      <c r="Q448" s="794">
        <v>0</v>
      </c>
      <c r="R448" s="794">
        <v>0</v>
      </c>
      <c r="S448" s="796">
        <v>0</v>
      </c>
      <c r="T448" s="796">
        <v>0</v>
      </c>
      <c r="U448" s="796">
        <v>0</v>
      </c>
      <c r="V448" s="796">
        <v>0</v>
      </c>
      <c r="W448" s="796">
        <v>0</v>
      </c>
      <c r="X448" s="796">
        <v>0</v>
      </c>
      <c r="Y448" s="796">
        <v>0</v>
      </c>
      <c r="Z448" s="796">
        <v>0</v>
      </c>
      <c r="AA448" s="796">
        <v>0</v>
      </c>
      <c r="AB448" s="796">
        <v>0</v>
      </c>
      <c r="AC448" s="796">
        <v>0</v>
      </c>
      <c r="AD448" s="796">
        <v>0</v>
      </c>
      <c r="AE448" s="796">
        <v>0</v>
      </c>
      <c r="AF448" s="796">
        <v>0</v>
      </c>
      <c r="AG448" s="796">
        <v>0</v>
      </c>
      <c r="AH448" s="796">
        <v>0</v>
      </c>
      <c r="AI448" s="796">
        <v>0</v>
      </c>
      <c r="AJ448" s="796">
        <v>0</v>
      </c>
      <c r="AK448" s="796">
        <v>0</v>
      </c>
      <c r="AL448" s="796">
        <v>0</v>
      </c>
      <c r="AM448" s="796">
        <v>0</v>
      </c>
      <c r="AN448" s="796">
        <v>0</v>
      </c>
      <c r="AO448" s="796">
        <v>0</v>
      </c>
      <c r="AP448" s="796">
        <v>0</v>
      </c>
      <c r="AQ448" s="796">
        <v>0</v>
      </c>
      <c r="AR448" s="796">
        <v>0</v>
      </c>
      <c r="AS448" s="796">
        <v>0</v>
      </c>
      <c r="AT448" s="796">
        <v>0</v>
      </c>
      <c r="AU448" s="796">
        <v>0</v>
      </c>
      <c r="AV448" s="796">
        <v>0</v>
      </c>
      <c r="AW448" s="796">
        <v>0</v>
      </c>
      <c r="AX448" s="796">
        <v>0</v>
      </c>
      <c r="AY448" s="796">
        <v>0</v>
      </c>
      <c r="AZ448" s="796">
        <v>0</v>
      </c>
      <c r="BA448" s="796">
        <v>0</v>
      </c>
      <c r="BB448" s="796">
        <v>0</v>
      </c>
      <c r="BC448" s="796">
        <v>0</v>
      </c>
      <c r="BD448" s="796">
        <v>0</v>
      </c>
      <c r="BE448" s="796">
        <v>0</v>
      </c>
      <c r="BF448" s="796">
        <v>0</v>
      </c>
      <c r="BG448" s="796">
        <v>0</v>
      </c>
      <c r="BH448" s="796">
        <v>0</v>
      </c>
      <c r="BI448" s="796">
        <v>0</v>
      </c>
      <c r="BJ448" s="796">
        <v>0</v>
      </c>
      <c r="BK448" s="796">
        <v>0</v>
      </c>
      <c r="BL448" s="796">
        <v>0</v>
      </c>
      <c r="BM448" s="796">
        <v>0</v>
      </c>
      <c r="BN448" s="796">
        <v>0</v>
      </c>
      <c r="BO448" s="796">
        <v>0</v>
      </c>
      <c r="BP448" s="810">
        <v>67519.839999999997</v>
      </c>
      <c r="BQ448" s="796">
        <v>0</v>
      </c>
      <c r="BR448" s="796">
        <v>0</v>
      </c>
      <c r="BS448" s="796">
        <v>0</v>
      </c>
      <c r="BT448" s="796">
        <v>0</v>
      </c>
      <c r="BU448" s="796">
        <v>0</v>
      </c>
      <c r="BV448" s="796">
        <v>0</v>
      </c>
    </row>
    <row r="449" spans="2:74">
      <c r="B449" s="795" t="s">
        <v>3356</v>
      </c>
      <c r="C449" s="795" t="s">
        <v>535</v>
      </c>
      <c r="D449" s="795"/>
      <c r="E449" s="796"/>
      <c r="F449" s="799"/>
      <c r="G449" s="799"/>
      <c r="H449" s="799"/>
      <c r="I449" s="799"/>
      <c r="J449" s="799"/>
      <c r="K449" s="799"/>
      <c r="L449" s="799"/>
      <c r="M449" s="799"/>
      <c r="N449" s="595"/>
      <c r="O449" s="794">
        <v>0</v>
      </c>
      <c r="P449" s="794">
        <v>0</v>
      </c>
      <c r="Q449" s="794">
        <v>0</v>
      </c>
      <c r="R449" s="794">
        <v>0</v>
      </c>
      <c r="S449" s="796">
        <v>0</v>
      </c>
      <c r="T449" s="796">
        <v>0</v>
      </c>
      <c r="U449" s="796">
        <v>0</v>
      </c>
      <c r="V449" s="796">
        <v>0</v>
      </c>
      <c r="W449" s="796">
        <v>0</v>
      </c>
      <c r="X449" s="796">
        <v>0</v>
      </c>
      <c r="Y449" s="796">
        <v>0</v>
      </c>
      <c r="Z449" s="796">
        <v>0</v>
      </c>
      <c r="AA449" s="796">
        <v>0</v>
      </c>
      <c r="AB449" s="796">
        <v>0</v>
      </c>
      <c r="AC449" s="796">
        <v>0</v>
      </c>
      <c r="AD449" s="796">
        <v>0</v>
      </c>
      <c r="AE449" s="796">
        <v>0</v>
      </c>
      <c r="AF449" s="796">
        <v>0</v>
      </c>
      <c r="AG449" s="796">
        <v>0</v>
      </c>
      <c r="AH449" s="796">
        <v>0</v>
      </c>
      <c r="AI449" s="796">
        <v>0</v>
      </c>
      <c r="AJ449" s="796">
        <v>0</v>
      </c>
      <c r="AK449" s="796">
        <v>0</v>
      </c>
      <c r="AL449" s="796">
        <v>0</v>
      </c>
      <c r="AM449" s="796">
        <v>0</v>
      </c>
      <c r="AN449" s="796">
        <v>0</v>
      </c>
      <c r="AO449" s="796">
        <v>0</v>
      </c>
      <c r="AP449" s="796">
        <v>0</v>
      </c>
      <c r="AQ449" s="796">
        <v>0</v>
      </c>
      <c r="AR449" s="796">
        <v>0</v>
      </c>
      <c r="AS449" s="796">
        <v>0</v>
      </c>
      <c r="AT449" s="796">
        <v>0</v>
      </c>
      <c r="AU449" s="796">
        <v>0</v>
      </c>
      <c r="AV449" s="796">
        <v>0</v>
      </c>
      <c r="AW449" s="796">
        <v>0</v>
      </c>
      <c r="AX449" s="796">
        <v>0</v>
      </c>
      <c r="AY449" s="796">
        <v>0</v>
      </c>
      <c r="AZ449" s="796">
        <v>0</v>
      </c>
      <c r="BA449" s="796">
        <v>0</v>
      </c>
      <c r="BB449" s="796">
        <v>0</v>
      </c>
      <c r="BC449" s="796">
        <v>0</v>
      </c>
      <c r="BD449" s="796">
        <v>0</v>
      </c>
      <c r="BE449" s="796">
        <v>0</v>
      </c>
      <c r="BF449" s="796">
        <v>0</v>
      </c>
      <c r="BG449" s="796">
        <v>0</v>
      </c>
      <c r="BH449" s="796">
        <v>0</v>
      </c>
      <c r="BI449" s="796">
        <v>0</v>
      </c>
      <c r="BJ449" s="796">
        <v>0</v>
      </c>
      <c r="BK449" s="796">
        <v>0</v>
      </c>
      <c r="BL449" s="796">
        <v>0</v>
      </c>
      <c r="BM449" s="796">
        <v>0</v>
      </c>
      <c r="BN449" s="796">
        <v>0</v>
      </c>
      <c r="BO449" s="796">
        <v>0</v>
      </c>
      <c r="BP449" s="810">
        <v>14331.6</v>
      </c>
      <c r="BQ449" s="796">
        <v>17644.900000000001</v>
      </c>
      <c r="BR449" s="796">
        <v>0</v>
      </c>
      <c r="BS449" s="796">
        <v>0</v>
      </c>
      <c r="BT449" s="796">
        <v>9320</v>
      </c>
      <c r="BU449" s="796">
        <v>28073.599999999999</v>
      </c>
      <c r="BV449" s="796">
        <v>0</v>
      </c>
    </row>
    <row r="450" spans="2:74">
      <c r="B450" s="795" t="s">
        <v>620</v>
      </c>
      <c r="C450" s="795" t="s">
        <v>619</v>
      </c>
      <c r="D450" s="795"/>
      <c r="E450" s="796"/>
      <c r="F450" s="799"/>
      <c r="G450" s="799"/>
      <c r="H450" s="799"/>
      <c r="I450" s="799"/>
      <c r="J450" s="799"/>
      <c r="K450" s="799"/>
      <c r="L450" s="799"/>
      <c r="M450" s="799"/>
      <c r="N450" s="595"/>
      <c r="O450" s="794">
        <v>0</v>
      </c>
      <c r="P450" s="794">
        <v>0</v>
      </c>
      <c r="Q450" s="794">
        <v>0</v>
      </c>
      <c r="R450" s="794">
        <v>0</v>
      </c>
      <c r="S450" s="796">
        <v>0</v>
      </c>
      <c r="T450" s="796">
        <v>0</v>
      </c>
      <c r="U450" s="796">
        <v>0</v>
      </c>
      <c r="V450" s="796">
        <v>0</v>
      </c>
      <c r="W450" s="796">
        <v>0</v>
      </c>
      <c r="X450" s="796">
        <v>0</v>
      </c>
      <c r="Y450" s="796">
        <v>0</v>
      </c>
      <c r="Z450" s="796">
        <v>0</v>
      </c>
      <c r="AA450" s="796">
        <v>0</v>
      </c>
      <c r="AB450" s="796">
        <v>0</v>
      </c>
      <c r="AC450" s="796">
        <v>0</v>
      </c>
      <c r="AD450" s="796">
        <v>0</v>
      </c>
      <c r="AE450" s="796">
        <v>0</v>
      </c>
      <c r="AF450" s="796">
        <v>0</v>
      </c>
      <c r="AG450" s="796">
        <v>0</v>
      </c>
      <c r="AH450" s="796">
        <v>0</v>
      </c>
      <c r="AI450" s="796">
        <v>0</v>
      </c>
      <c r="AJ450" s="796">
        <v>0</v>
      </c>
      <c r="AK450" s="796">
        <v>0</v>
      </c>
      <c r="AL450" s="796">
        <v>0</v>
      </c>
      <c r="AM450" s="796">
        <v>0</v>
      </c>
      <c r="AN450" s="796">
        <v>0</v>
      </c>
      <c r="AO450" s="796">
        <v>0</v>
      </c>
      <c r="AP450" s="796">
        <v>0</v>
      </c>
      <c r="AQ450" s="796">
        <v>0</v>
      </c>
      <c r="AR450" s="796">
        <v>0</v>
      </c>
      <c r="AS450" s="796">
        <v>0</v>
      </c>
      <c r="AT450" s="796">
        <v>0</v>
      </c>
      <c r="AU450" s="796">
        <v>0</v>
      </c>
      <c r="AV450" s="796">
        <v>0</v>
      </c>
      <c r="AW450" s="796">
        <v>0</v>
      </c>
      <c r="AX450" s="796">
        <v>0</v>
      </c>
      <c r="AY450" s="796">
        <v>0</v>
      </c>
      <c r="AZ450" s="796">
        <v>0</v>
      </c>
      <c r="BA450" s="796">
        <v>0</v>
      </c>
      <c r="BB450" s="796">
        <v>0</v>
      </c>
      <c r="BC450" s="796">
        <v>0</v>
      </c>
      <c r="BD450" s="796">
        <v>0</v>
      </c>
      <c r="BE450" s="796">
        <v>0</v>
      </c>
      <c r="BF450" s="796">
        <v>0</v>
      </c>
      <c r="BG450" s="796">
        <v>0</v>
      </c>
      <c r="BH450" s="796">
        <v>0</v>
      </c>
      <c r="BI450" s="796">
        <v>0</v>
      </c>
      <c r="BJ450" s="796">
        <v>0</v>
      </c>
      <c r="BK450" s="796">
        <v>0</v>
      </c>
      <c r="BL450" s="796">
        <v>0</v>
      </c>
      <c r="BM450" s="796">
        <v>0</v>
      </c>
      <c r="BN450" s="796">
        <v>0</v>
      </c>
      <c r="BO450" s="796">
        <v>0</v>
      </c>
      <c r="BP450" s="810">
        <v>32500</v>
      </c>
      <c r="BQ450" s="796">
        <v>0</v>
      </c>
      <c r="BR450" s="796">
        <v>0</v>
      </c>
      <c r="BS450" s="796">
        <v>0</v>
      </c>
      <c r="BT450" s="796">
        <v>0</v>
      </c>
      <c r="BU450" s="796">
        <v>0</v>
      </c>
      <c r="BV450" s="796">
        <v>0</v>
      </c>
    </row>
    <row r="451" spans="2:74">
      <c r="B451" s="795" t="s">
        <v>3358</v>
      </c>
      <c r="C451" s="795" t="s">
        <v>3359</v>
      </c>
      <c r="D451" s="795"/>
      <c r="E451" s="796"/>
      <c r="F451" s="799"/>
      <c r="G451" s="799"/>
      <c r="H451" s="799"/>
      <c r="I451" s="799"/>
      <c r="J451" s="799"/>
      <c r="K451" s="799"/>
      <c r="L451" s="799"/>
      <c r="M451" s="799"/>
      <c r="N451" s="595"/>
      <c r="O451" s="794">
        <v>0</v>
      </c>
      <c r="P451" s="794">
        <v>0</v>
      </c>
      <c r="Q451" s="794">
        <v>0</v>
      </c>
      <c r="R451" s="794">
        <v>0</v>
      </c>
      <c r="S451" s="796">
        <v>0</v>
      </c>
      <c r="T451" s="796">
        <v>0</v>
      </c>
      <c r="U451" s="796">
        <v>0</v>
      </c>
      <c r="V451" s="796">
        <v>0</v>
      </c>
      <c r="W451" s="796">
        <v>0</v>
      </c>
      <c r="X451" s="796">
        <v>0</v>
      </c>
      <c r="Y451" s="796">
        <v>0</v>
      </c>
      <c r="Z451" s="796">
        <v>0</v>
      </c>
      <c r="AA451" s="796">
        <v>0</v>
      </c>
      <c r="AB451" s="796">
        <v>0</v>
      </c>
      <c r="AC451" s="796">
        <v>0</v>
      </c>
      <c r="AD451" s="796">
        <v>0</v>
      </c>
      <c r="AE451" s="796">
        <v>0</v>
      </c>
      <c r="AF451" s="796">
        <v>0</v>
      </c>
      <c r="AG451" s="796">
        <v>0</v>
      </c>
      <c r="AH451" s="796">
        <v>0</v>
      </c>
      <c r="AI451" s="796">
        <v>0</v>
      </c>
      <c r="AJ451" s="796">
        <v>0</v>
      </c>
      <c r="AK451" s="796">
        <v>0</v>
      </c>
      <c r="AL451" s="796">
        <v>0</v>
      </c>
      <c r="AM451" s="796">
        <v>0</v>
      </c>
      <c r="AN451" s="796">
        <v>0</v>
      </c>
      <c r="AO451" s="796">
        <v>0</v>
      </c>
      <c r="AP451" s="796">
        <v>0</v>
      </c>
      <c r="AQ451" s="796">
        <v>0</v>
      </c>
      <c r="AR451" s="796">
        <v>0</v>
      </c>
      <c r="AS451" s="796">
        <v>0</v>
      </c>
      <c r="AT451" s="796">
        <v>0</v>
      </c>
      <c r="AU451" s="796">
        <v>0</v>
      </c>
      <c r="AV451" s="796">
        <v>0</v>
      </c>
      <c r="AW451" s="796">
        <v>0</v>
      </c>
      <c r="AX451" s="796">
        <v>0</v>
      </c>
      <c r="AY451" s="796">
        <v>0</v>
      </c>
      <c r="AZ451" s="796">
        <v>0</v>
      </c>
      <c r="BA451" s="796">
        <v>0</v>
      </c>
      <c r="BB451" s="796">
        <v>0</v>
      </c>
      <c r="BC451" s="796">
        <v>0</v>
      </c>
      <c r="BD451" s="796">
        <v>0</v>
      </c>
      <c r="BE451" s="796">
        <v>0</v>
      </c>
      <c r="BF451" s="796">
        <v>0</v>
      </c>
      <c r="BG451" s="796">
        <v>0</v>
      </c>
      <c r="BH451" s="796">
        <v>0</v>
      </c>
      <c r="BI451" s="796">
        <v>0</v>
      </c>
      <c r="BJ451" s="796">
        <v>0</v>
      </c>
      <c r="BK451" s="796">
        <v>0</v>
      </c>
      <c r="BL451" s="796">
        <v>0</v>
      </c>
      <c r="BM451" s="796">
        <v>0</v>
      </c>
      <c r="BN451" s="796">
        <v>0</v>
      </c>
      <c r="BO451" s="796">
        <v>0</v>
      </c>
      <c r="BP451" s="796">
        <v>0</v>
      </c>
      <c r="BQ451" s="810">
        <v>38321.29</v>
      </c>
      <c r="BR451" s="796">
        <v>32027.81</v>
      </c>
      <c r="BS451" s="796">
        <v>6316.84</v>
      </c>
      <c r="BT451" s="796">
        <v>0</v>
      </c>
      <c r="BU451" s="796">
        <v>0</v>
      </c>
      <c r="BV451" s="796">
        <v>0</v>
      </c>
    </row>
    <row r="452" spans="2:74">
      <c r="B452" s="795" t="s">
        <v>3360</v>
      </c>
      <c r="C452" s="795" t="s">
        <v>3361</v>
      </c>
      <c r="D452" s="795"/>
      <c r="E452" s="796"/>
      <c r="F452" s="799"/>
      <c r="G452" s="799"/>
      <c r="H452" s="799"/>
      <c r="I452" s="799"/>
      <c r="J452" s="799"/>
      <c r="K452" s="799"/>
      <c r="L452" s="799"/>
      <c r="M452" s="799"/>
      <c r="N452" s="595"/>
      <c r="O452" s="794">
        <v>0</v>
      </c>
      <c r="P452" s="794">
        <v>0</v>
      </c>
      <c r="Q452" s="794">
        <v>0</v>
      </c>
      <c r="R452" s="794">
        <v>0</v>
      </c>
      <c r="S452" s="796">
        <v>0</v>
      </c>
      <c r="T452" s="796">
        <v>0</v>
      </c>
      <c r="U452" s="796">
        <v>0</v>
      </c>
      <c r="V452" s="796">
        <v>0</v>
      </c>
      <c r="W452" s="796">
        <v>0</v>
      </c>
      <c r="X452" s="796">
        <v>0</v>
      </c>
      <c r="Y452" s="796">
        <v>0</v>
      </c>
      <c r="Z452" s="796">
        <v>0</v>
      </c>
      <c r="AA452" s="796">
        <v>0</v>
      </c>
      <c r="AB452" s="796">
        <v>0</v>
      </c>
      <c r="AC452" s="796">
        <v>0</v>
      </c>
      <c r="AD452" s="796">
        <v>0</v>
      </c>
      <c r="AE452" s="796">
        <v>0</v>
      </c>
      <c r="AF452" s="796">
        <v>0</v>
      </c>
      <c r="AG452" s="796">
        <v>0</v>
      </c>
      <c r="AH452" s="796">
        <v>0</v>
      </c>
      <c r="AI452" s="796">
        <v>0</v>
      </c>
      <c r="AJ452" s="796">
        <v>0</v>
      </c>
      <c r="AK452" s="796">
        <v>0</v>
      </c>
      <c r="AL452" s="796">
        <v>0</v>
      </c>
      <c r="AM452" s="796">
        <v>0</v>
      </c>
      <c r="AN452" s="796">
        <v>0</v>
      </c>
      <c r="AO452" s="796">
        <v>0</v>
      </c>
      <c r="AP452" s="796">
        <v>0</v>
      </c>
      <c r="AQ452" s="796">
        <v>0</v>
      </c>
      <c r="AR452" s="796">
        <v>0</v>
      </c>
      <c r="AS452" s="796">
        <v>0</v>
      </c>
      <c r="AT452" s="796">
        <v>0</v>
      </c>
      <c r="AU452" s="796">
        <v>0</v>
      </c>
      <c r="AV452" s="796">
        <v>0</v>
      </c>
      <c r="AW452" s="796">
        <v>0</v>
      </c>
      <c r="AX452" s="796">
        <v>0</v>
      </c>
      <c r="AY452" s="796">
        <v>0</v>
      </c>
      <c r="AZ452" s="796">
        <v>0</v>
      </c>
      <c r="BA452" s="796">
        <v>0</v>
      </c>
      <c r="BB452" s="796">
        <v>0</v>
      </c>
      <c r="BC452" s="796">
        <v>0</v>
      </c>
      <c r="BD452" s="796">
        <v>0</v>
      </c>
      <c r="BE452" s="796">
        <v>0</v>
      </c>
      <c r="BF452" s="796">
        <v>0</v>
      </c>
      <c r="BG452" s="796">
        <v>0</v>
      </c>
      <c r="BH452" s="796">
        <v>0</v>
      </c>
      <c r="BI452" s="796">
        <v>0</v>
      </c>
      <c r="BJ452" s="796">
        <v>0</v>
      </c>
      <c r="BK452" s="796">
        <v>0</v>
      </c>
      <c r="BL452" s="796">
        <v>0</v>
      </c>
      <c r="BM452" s="796">
        <v>0</v>
      </c>
      <c r="BN452" s="796">
        <v>0</v>
      </c>
      <c r="BO452" s="796">
        <v>0</v>
      </c>
      <c r="BP452" s="796">
        <v>0</v>
      </c>
      <c r="BQ452" s="810">
        <v>150510.78</v>
      </c>
      <c r="BR452" s="796">
        <v>222250.19</v>
      </c>
      <c r="BS452" s="796">
        <v>30028.959999999999</v>
      </c>
      <c r="BT452" s="796">
        <v>0</v>
      </c>
      <c r="BU452" s="796">
        <v>0</v>
      </c>
      <c r="BV452" s="796">
        <v>0</v>
      </c>
    </row>
    <row r="453" spans="2:74">
      <c r="B453" s="795" t="s">
        <v>863</v>
      </c>
      <c r="C453" s="795" t="s">
        <v>3362</v>
      </c>
      <c r="D453" s="795"/>
      <c r="E453" s="796"/>
      <c r="F453" s="799"/>
      <c r="G453" s="799"/>
      <c r="H453" s="799"/>
      <c r="I453" s="799"/>
      <c r="J453" s="799"/>
      <c r="K453" s="799"/>
      <c r="L453" s="799"/>
      <c r="M453" s="799"/>
      <c r="N453" s="595"/>
      <c r="O453" s="794">
        <v>0</v>
      </c>
      <c r="P453" s="794">
        <v>0</v>
      </c>
      <c r="Q453" s="794">
        <v>0</v>
      </c>
      <c r="R453" s="794">
        <v>0</v>
      </c>
      <c r="S453" s="796">
        <v>0</v>
      </c>
      <c r="T453" s="796">
        <v>0</v>
      </c>
      <c r="U453" s="796">
        <v>0</v>
      </c>
      <c r="V453" s="796">
        <v>0</v>
      </c>
      <c r="W453" s="796">
        <v>0</v>
      </c>
      <c r="X453" s="796">
        <v>0</v>
      </c>
      <c r="Y453" s="796">
        <v>0</v>
      </c>
      <c r="Z453" s="796">
        <v>0</v>
      </c>
      <c r="AA453" s="796">
        <v>0</v>
      </c>
      <c r="AB453" s="796">
        <v>0</v>
      </c>
      <c r="AC453" s="796">
        <v>0</v>
      </c>
      <c r="AD453" s="796">
        <v>0</v>
      </c>
      <c r="AE453" s="796">
        <v>0</v>
      </c>
      <c r="AF453" s="796">
        <v>0</v>
      </c>
      <c r="AG453" s="796">
        <v>0</v>
      </c>
      <c r="AH453" s="796">
        <v>0</v>
      </c>
      <c r="AI453" s="796">
        <v>0</v>
      </c>
      <c r="AJ453" s="796">
        <v>0</v>
      </c>
      <c r="AK453" s="796">
        <v>0</v>
      </c>
      <c r="AL453" s="796">
        <v>0</v>
      </c>
      <c r="AM453" s="796">
        <v>0</v>
      </c>
      <c r="AN453" s="796">
        <v>0</v>
      </c>
      <c r="AO453" s="796">
        <v>0</v>
      </c>
      <c r="AP453" s="796">
        <v>0</v>
      </c>
      <c r="AQ453" s="796">
        <v>0</v>
      </c>
      <c r="AR453" s="796">
        <v>0</v>
      </c>
      <c r="AS453" s="796">
        <v>0</v>
      </c>
      <c r="AT453" s="796">
        <v>0</v>
      </c>
      <c r="AU453" s="796">
        <v>0</v>
      </c>
      <c r="AV453" s="796">
        <v>0</v>
      </c>
      <c r="AW453" s="796">
        <v>0</v>
      </c>
      <c r="AX453" s="796">
        <v>0</v>
      </c>
      <c r="AY453" s="796">
        <v>0</v>
      </c>
      <c r="AZ453" s="796">
        <v>0</v>
      </c>
      <c r="BA453" s="796">
        <v>0</v>
      </c>
      <c r="BB453" s="796">
        <v>0</v>
      </c>
      <c r="BC453" s="796">
        <v>0</v>
      </c>
      <c r="BD453" s="796">
        <v>0</v>
      </c>
      <c r="BE453" s="796">
        <v>0</v>
      </c>
      <c r="BF453" s="796">
        <v>0</v>
      </c>
      <c r="BG453" s="796">
        <v>0</v>
      </c>
      <c r="BH453" s="796">
        <v>0</v>
      </c>
      <c r="BI453" s="796">
        <v>0</v>
      </c>
      <c r="BJ453" s="796">
        <v>0</v>
      </c>
      <c r="BK453" s="796">
        <v>0</v>
      </c>
      <c r="BL453" s="796">
        <v>0</v>
      </c>
      <c r="BM453" s="796">
        <v>0</v>
      </c>
      <c r="BN453" s="796">
        <v>0</v>
      </c>
      <c r="BO453" s="796">
        <v>0</v>
      </c>
      <c r="BP453" s="796">
        <v>0</v>
      </c>
      <c r="BQ453" s="810">
        <v>85623.86</v>
      </c>
      <c r="BR453" s="796">
        <v>0</v>
      </c>
      <c r="BS453" s="796">
        <v>0</v>
      </c>
      <c r="BT453" s="796">
        <v>0</v>
      </c>
      <c r="BU453" s="796">
        <v>0</v>
      </c>
      <c r="BV453" s="796">
        <v>0</v>
      </c>
    </row>
    <row r="454" spans="2:74">
      <c r="B454" s="795" t="s">
        <v>3357</v>
      </c>
      <c r="C454" s="795" t="s">
        <v>3364</v>
      </c>
      <c r="D454" s="795"/>
      <c r="E454" s="796"/>
      <c r="F454" s="799"/>
      <c r="G454" s="799"/>
      <c r="H454" s="799"/>
      <c r="I454" s="799"/>
      <c r="J454" s="799"/>
      <c r="K454" s="799"/>
      <c r="L454" s="799"/>
      <c r="M454" s="799"/>
      <c r="N454" s="595"/>
      <c r="O454" s="794">
        <v>0</v>
      </c>
      <c r="P454" s="794">
        <v>0</v>
      </c>
      <c r="Q454" s="794">
        <v>0</v>
      </c>
      <c r="R454" s="794">
        <v>0</v>
      </c>
      <c r="S454" s="796">
        <v>0</v>
      </c>
      <c r="T454" s="796">
        <v>0</v>
      </c>
      <c r="U454" s="796">
        <v>0</v>
      </c>
      <c r="V454" s="796">
        <v>0</v>
      </c>
      <c r="W454" s="796">
        <v>0</v>
      </c>
      <c r="X454" s="796">
        <v>0</v>
      </c>
      <c r="Y454" s="796">
        <v>0</v>
      </c>
      <c r="Z454" s="796">
        <v>0</v>
      </c>
      <c r="AA454" s="796">
        <v>0</v>
      </c>
      <c r="AB454" s="796">
        <v>0</v>
      </c>
      <c r="AC454" s="796">
        <v>0</v>
      </c>
      <c r="AD454" s="796">
        <v>0</v>
      </c>
      <c r="AE454" s="796">
        <v>0</v>
      </c>
      <c r="AF454" s="796">
        <v>0</v>
      </c>
      <c r="AG454" s="796">
        <v>0</v>
      </c>
      <c r="AH454" s="796">
        <v>0</v>
      </c>
      <c r="AI454" s="796">
        <v>0</v>
      </c>
      <c r="AJ454" s="796">
        <v>0</v>
      </c>
      <c r="AK454" s="796">
        <v>0</v>
      </c>
      <c r="AL454" s="796">
        <v>0</v>
      </c>
      <c r="AM454" s="796">
        <v>0</v>
      </c>
      <c r="AN454" s="796">
        <v>0</v>
      </c>
      <c r="AO454" s="796">
        <v>0</v>
      </c>
      <c r="AP454" s="796">
        <v>0</v>
      </c>
      <c r="AQ454" s="796">
        <v>0</v>
      </c>
      <c r="AR454" s="796">
        <v>0</v>
      </c>
      <c r="AS454" s="796">
        <v>0</v>
      </c>
      <c r="AT454" s="796">
        <v>0</v>
      </c>
      <c r="AU454" s="796">
        <v>0</v>
      </c>
      <c r="AV454" s="796">
        <v>0</v>
      </c>
      <c r="AW454" s="796">
        <v>0</v>
      </c>
      <c r="AX454" s="796">
        <v>0</v>
      </c>
      <c r="AY454" s="796">
        <v>0</v>
      </c>
      <c r="AZ454" s="796">
        <v>0</v>
      </c>
      <c r="BA454" s="796">
        <v>0</v>
      </c>
      <c r="BB454" s="796">
        <v>0</v>
      </c>
      <c r="BC454" s="796">
        <v>0</v>
      </c>
      <c r="BD454" s="796">
        <v>0</v>
      </c>
      <c r="BE454" s="796">
        <v>0</v>
      </c>
      <c r="BF454" s="796">
        <v>0</v>
      </c>
      <c r="BG454" s="796">
        <v>0</v>
      </c>
      <c r="BH454" s="796">
        <v>0</v>
      </c>
      <c r="BI454" s="796">
        <v>0</v>
      </c>
      <c r="BJ454" s="796">
        <v>0</v>
      </c>
      <c r="BK454" s="796">
        <v>0</v>
      </c>
      <c r="BL454" s="796">
        <v>0</v>
      </c>
      <c r="BM454" s="796">
        <v>0</v>
      </c>
      <c r="BN454" s="796">
        <v>0</v>
      </c>
      <c r="BO454" s="796">
        <v>0</v>
      </c>
      <c r="BP454" s="796">
        <v>0</v>
      </c>
      <c r="BQ454" s="796">
        <v>0</v>
      </c>
      <c r="BR454" s="810">
        <v>119264.37</v>
      </c>
      <c r="BS454" s="796">
        <v>0</v>
      </c>
      <c r="BT454" s="796">
        <v>0</v>
      </c>
      <c r="BU454" s="796">
        <v>0</v>
      </c>
      <c r="BV454" s="796">
        <v>0</v>
      </c>
    </row>
    <row r="455" spans="2:74">
      <c r="B455" s="795" t="s">
        <v>3350</v>
      </c>
      <c r="C455" s="795" t="s">
        <v>688</v>
      </c>
      <c r="D455" s="795"/>
      <c r="E455" s="796"/>
      <c r="F455" s="799"/>
      <c r="G455" s="799"/>
      <c r="H455" s="799"/>
      <c r="I455" s="799"/>
      <c r="J455" s="799"/>
      <c r="K455" s="799"/>
      <c r="L455" s="799"/>
      <c r="M455" s="799"/>
      <c r="N455" s="595"/>
      <c r="O455" s="794">
        <v>0</v>
      </c>
      <c r="P455" s="794">
        <v>0</v>
      </c>
      <c r="Q455" s="794">
        <v>0</v>
      </c>
      <c r="R455" s="794">
        <v>0</v>
      </c>
      <c r="S455" s="796">
        <v>0</v>
      </c>
      <c r="T455" s="796">
        <v>0</v>
      </c>
      <c r="U455" s="796">
        <v>0</v>
      </c>
      <c r="V455" s="796">
        <v>0</v>
      </c>
      <c r="W455" s="796">
        <v>0</v>
      </c>
      <c r="X455" s="796">
        <v>0</v>
      </c>
      <c r="Y455" s="796">
        <v>0</v>
      </c>
      <c r="Z455" s="796">
        <v>0</v>
      </c>
      <c r="AA455" s="796">
        <v>0</v>
      </c>
      <c r="AB455" s="796">
        <v>0</v>
      </c>
      <c r="AC455" s="796">
        <v>0</v>
      </c>
      <c r="AD455" s="796">
        <v>0</v>
      </c>
      <c r="AE455" s="796">
        <v>0</v>
      </c>
      <c r="AF455" s="796">
        <v>0</v>
      </c>
      <c r="AG455" s="796">
        <v>0</v>
      </c>
      <c r="AH455" s="796">
        <v>0</v>
      </c>
      <c r="AI455" s="796">
        <v>0</v>
      </c>
      <c r="AJ455" s="796">
        <v>0</v>
      </c>
      <c r="AK455" s="796">
        <v>0</v>
      </c>
      <c r="AL455" s="796">
        <v>0</v>
      </c>
      <c r="AM455" s="796">
        <v>0</v>
      </c>
      <c r="AN455" s="796">
        <v>0</v>
      </c>
      <c r="AO455" s="796">
        <v>0</v>
      </c>
      <c r="AP455" s="796">
        <v>0</v>
      </c>
      <c r="AQ455" s="796">
        <v>0</v>
      </c>
      <c r="AR455" s="796">
        <v>0</v>
      </c>
      <c r="AS455" s="796">
        <v>0</v>
      </c>
      <c r="AT455" s="796">
        <v>0</v>
      </c>
      <c r="AU455" s="796">
        <v>0</v>
      </c>
      <c r="AV455" s="796">
        <v>0</v>
      </c>
      <c r="AW455" s="796">
        <v>0</v>
      </c>
      <c r="AX455" s="796">
        <v>0</v>
      </c>
      <c r="AY455" s="796">
        <v>0</v>
      </c>
      <c r="AZ455" s="796">
        <v>0</v>
      </c>
      <c r="BA455" s="796">
        <v>0</v>
      </c>
      <c r="BB455" s="796">
        <v>0</v>
      </c>
      <c r="BC455" s="796">
        <v>0</v>
      </c>
      <c r="BD455" s="796">
        <v>0</v>
      </c>
      <c r="BE455" s="796">
        <v>0</v>
      </c>
      <c r="BF455" s="796">
        <v>0</v>
      </c>
      <c r="BG455" s="796">
        <v>0</v>
      </c>
      <c r="BH455" s="796">
        <v>0</v>
      </c>
      <c r="BI455" s="796">
        <v>0</v>
      </c>
      <c r="BJ455" s="796">
        <v>0</v>
      </c>
      <c r="BK455" s="796">
        <v>0</v>
      </c>
      <c r="BL455" s="796">
        <v>0</v>
      </c>
      <c r="BM455" s="796">
        <v>0</v>
      </c>
      <c r="BN455" s="796">
        <v>0</v>
      </c>
      <c r="BO455" s="796">
        <v>0</v>
      </c>
      <c r="BP455" s="796">
        <v>0</v>
      </c>
      <c r="BQ455" s="796">
        <v>0</v>
      </c>
      <c r="BR455" s="810">
        <v>61086.240000000005</v>
      </c>
      <c r="BS455" s="796">
        <v>46248.639999999999</v>
      </c>
      <c r="BT455" s="796">
        <v>0</v>
      </c>
      <c r="BU455" s="796">
        <v>0</v>
      </c>
      <c r="BV455" s="796">
        <v>0</v>
      </c>
    </row>
    <row r="456" spans="2:74">
      <c r="B456" s="795" t="s">
        <v>3365</v>
      </c>
      <c r="C456" s="795" t="s">
        <v>3366</v>
      </c>
      <c r="D456" s="795"/>
      <c r="E456" s="796"/>
      <c r="F456" s="799"/>
      <c r="G456" s="799"/>
      <c r="H456" s="799"/>
      <c r="I456" s="799"/>
      <c r="J456" s="799"/>
      <c r="K456" s="799"/>
      <c r="L456" s="799"/>
      <c r="M456" s="799"/>
      <c r="N456" s="595"/>
      <c r="O456" s="794">
        <v>0</v>
      </c>
      <c r="P456" s="794">
        <v>0</v>
      </c>
      <c r="Q456" s="794">
        <v>0</v>
      </c>
      <c r="R456" s="794">
        <v>0</v>
      </c>
      <c r="S456" s="796">
        <v>0</v>
      </c>
      <c r="T456" s="796">
        <v>0</v>
      </c>
      <c r="U456" s="796">
        <v>0</v>
      </c>
      <c r="V456" s="796">
        <v>0</v>
      </c>
      <c r="W456" s="796">
        <v>0</v>
      </c>
      <c r="X456" s="796">
        <v>0</v>
      </c>
      <c r="Y456" s="796">
        <v>0</v>
      </c>
      <c r="Z456" s="796">
        <v>0</v>
      </c>
      <c r="AA456" s="796">
        <v>0</v>
      </c>
      <c r="AB456" s="796">
        <v>0</v>
      </c>
      <c r="AC456" s="796">
        <v>0</v>
      </c>
      <c r="AD456" s="796">
        <v>0</v>
      </c>
      <c r="AE456" s="796">
        <v>0</v>
      </c>
      <c r="AF456" s="796">
        <v>0</v>
      </c>
      <c r="AG456" s="796">
        <v>0</v>
      </c>
      <c r="AH456" s="796">
        <v>0</v>
      </c>
      <c r="AI456" s="796">
        <v>0</v>
      </c>
      <c r="AJ456" s="796">
        <v>0</v>
      </c>
      <c r="AK456" s="796">
        <v>0</v>
      </c>
      <c r="AL456" s="796">
        <v>0</v>
      </c>
      <c r="AM456" s="796">
        <v>0</v>
      </c>
      <c r="AN456" s="796">
        <v>0</v>
      </c>
      <c r="AO456" s="796">
        <v>0</v>
      </c>
      <c r="AP456" s="796">
        <v>0</v>
      </c>
      <c r="AQ456" s="796">
        <v>0</v>
      </c>
      <c r="AR456" s="796">
        <v>0</v>
      </c>
      <c r="AS456" s="796">
        <v>0</v>
      </c>
      <c r="AT456" s="796">
        <v>0</v>
      </c>
      <c r="AU456" s="796">
        <v>0</v>
      </c>
      <c r="AV456" s="796">
        <v>0</v>
      </c>
      <c r="AW456" s="796">
        <v>0</v>
      </c>
      <c r="AX456" s="796">
        <v>0</v>
      </c>
      <c r="AY456" s="796">
        <v>0</v>
      </c>
      <c r="AZ456" s="796">
        <v>0</v>
      </c>
      <c r="BA456" s="796">
        <v>0</v>
      </c>
      <c r="BB456" s="796">
        <v>0</v>
      </c>
      <c r="BC456" s="796">
        <v>0</v>
      </c>
      <c r="BD456" s="796">
        <v>0</v>
      </c>
      <c r="BE456" s="796">
        <v>0</v>
      </c>
      <c r="BF456" s="796">
        <v>0</v>
      </c>
      <c r="BG456" s="796">
        <v>0</v>
      </c>
      <c r="BH456" s="796">
        <v>0</v>
      </c>
      <c r="BI456" s="796">
        <v>0</v>
      </c>
      <c r="BJ456" s="796">
        <v>0</v>
      </c>
      <c r="BK456" s="796">
        <v>0</v>
      </c>
      <c r="BL456" s="796">
        <v>0</v>
      </c>
      <c r="BM456" s="796">
        <v>0</v>
      </c>
      <c r="BN456" s="796">
        <v>0</v>
      </c>
      <c r="BO456" s="796">
        <v>0</v>
      </c>
      <c r="BP456" s="796">
        <v>0</v>
      </c>
      <c r="BQ456" s="796">
        <v>0</v>
      </c>
      <c r="BR456" s="810">
        <v>14228.08</v>
      </c>
      <c r="BS456" s="796">
        <v>117197.16</v>
      </c>
      <c r="BT456" s="796">
        <v>230220.44</v>
      </c>
      <c r="BU456" s="796">
        <v>302286.94</v>
      </c>
      <c r="BV456" s="796">
        <v>318900.34000000003</v>
      </c>
    </row>
    <row r="457" spans="2:74">
      <c r="B457" s="795" t="s">
        <v>3367</v>
      </c>
      <c r="C457" s="795" t="s">
        <v>693</v>
      </c>
      <c r="D457" s="795"/>
      <c r="E457" s="796"/>
      <c r="F457" s="799"/>
      <c r="G457" s="799"/>
      <c r="H457" s="799"/>
      <c r="I457" s="799"/>
      <c r="J457" s="799"/>
      <c r="K457" s="799"/>
      <c r="L457" s="799"/>
      <c r="M457" s="799"/>
      <c r="N457" s="595"/>
      <c r="O457" s="794">
        <v>0</v>
      </c>
      <c r="P457" s="794">
        <v>0</v>
      </c>
      <c r="Q457" s="794">
        <v>0</v>
      </c>
      <c r="R457" s="794">
        <v>0</v>
      </c>
      <c r="S457" s="796">
        <v>0</v>
      </c>
      <c r="T457" s="796">
        <v>0</v>
      </c>
      <c r="U457" s="796">
        <v>0</v>
      </c>
      <c r="V457" s="796">
        <v>0</v>
      </c>
      <c r="W457" s="796">
        <v>0</v>
      </c>
      <c r="X457" s="796">
        <v>0</v>
      </c>
      <c r="Y457" s="796">
        <v>0</v>
      </c>
      <c r="Z457" s="796">
        <v>0</v>
      </c>
      <c r="AA457" s="796">
        <v>0</v>
      </c>
      <c r="AB457" s="796">
        <v>0</v>
      </c>
      <c r="AC457" s="796">
        <v>0</v>
      </c>
      <c r="AD457" s="796">
        <v>0</v>
      </c>
      <c r="AE457" s="796">
        <v>0</v>
      </c>
      <c r="AF457" s="796">
        <v>0</v>
      </c>
      <c r="AG457" s="796">
        <v>0</v>
      </c>
      <c r="AH457" s="796">
        <v>0</v>
      </c>
      <c r="AI457" s="796">
        <v>0</v>
      </c>
      <c r="AJ457" s="796">
        <v>0</v>
      </c>
      <c r="AK457" s="796">
        <v>0</v>
      </c>
      <c r="AL457" s="796">
        <v>0</v>
      </c>
      <c r="AM457" s="796">
        <v>0</v>
      </c>
      <c r="AN457" s="796">
        <v>0</v>
      </c>
      <c r="AO457" s="796">
        <v>0</v>
      </c>
      <c r="AP457" s="796">
        <v>0</v>
      </c>
      <c r="AQ457" s="796">
        <v>0</v>
      </c>
      <c r="AR457" s="796">
        <v>0</v>
      </c>
      <c r="AS457" s="796">
        <v>0</v>
      </c>
      <c r="AT457" s="796">
        <v>0</v>
      </c>
      <c r="AU457" s="796">
        <v>0</v>
      </c>
      <c r="AV457" s="796">
        <v>0</v>
      </c>
      <c r="AW457" s="796">
        <v>0</v>
      </c>
      <c r="AX457" s="796">
        <v>0</v>
      </c>
      <c r="AY457" s="796">
        <v>0</v>
      </c>
      <c r="AZ457" s="796">
        <v>0</v>
      </c>
      <c r="BA457" s="796">
        <v>0</v>
      </c>
      <c r="BB457" s="796">
        <v>0</v>
      </c>
      <c r="BC457" s="796">
        <v>0</v>
      </c>
      <c r="BD457" s="796">
        <v>0</v>
      </c>
      <c r="BE457" s="796">
        <v>0</v>
      </c>
      <c r="BF457" s="796">
        <v>0</v>
      </c>
      <c r="BG457" s="796">
        <v>0</v>
      </c>
      <c r="BH457" s="796">
        <v>0</v>
      </c>
      <c r="BI457" s="796">
        <v>0</v>
      </c>
      <c r="BJ457" s="796">
        <v>0</v>
      </c>
      <c r="BK457" s="796">
        <v>0</v>
      </c>
      <c r="BL457" s="796">
        <v>0</v>
      </c>
      <c r="BM457" s="796">
        <v>0</v>
      </c>
      <c r="BN457" s="796">
        <v>0</v>
      </c>
      <c r="BO457" s="796">
        <v>0</v>
      </c>
      <c r="BP457" s="796">
        <v>0</v>
      </c>
      <c r="BQ457" s="796">
        <v>0</v>
      </c>
      <c r="BR457" s="810">
        <v>62614</v>
      </c>
      <c r="BS457" s="796">
        <v>0</v>
      </c>
      <c r="BT457" s="796">
        <v>4000</v>
      </c>
      <c r="BU457" s="796">
        <v>0</v>
      </c>
      <c r="BV457" s="796">
        <v>0</v>
      </c>
    </row>
    <row r="458" spans="2:74">
      <c r="B458" s="795" t="s">
        <v>796</v>
      </c>
      <c r="C458" s="795" t="s">
        <v>3101</v>
      </c>
      <c r="D458" s="795"/>
      <c r="E458" s="796"/>
      <c r="F458" s="799"/>
      <c r="G458" s="799"/>
      <c r="H458" s="799"/>
      <c r="I458" s="799"/>
      <c r="J458" s="799"/>
      <c r="K458" s="799"/>
      <c r="L458" s="799"/>
      <c r="M458" s="799"/>
      <c r="N458" s="595"/>
      <c r="O458" s="794">
        <v>0</v>
      </c>
      <c r="P458" s="794">
        <v>0</v>
      </c>
      <c r="Q458" s="794">
        <v>0</v>
      </c>
      <c r="R458" s="794">
        <v>0</v>
      </c>
      <c r="S458" s="796">
        <v>0</v>
      </c>
      <c r="T458" s="796">
        <v>0</v>
      </c>
      <c r="U458" s="796">
        <v>0</v>
      </c>
      <c r="V458" s="796">
        <v>0</v>
      </c>
      <c r="W458" s="796">
        <v>0</v>
      </c>
      <c r="X458" s="796">
        <v>0</v>
      </c>
      <c r="Y458" s="796">
        <v>0</v>
      </c>
      <c r="Z458" s="796">
        <v>0</v>
      </c>
      <c r="AA458" s="796">
        <v>0</v>
      </c>
      <c r="AB458" s="796">
        <v>0</v>
      </c>
      <c r="AC458" s="796">
        <v>0</v>
      </c>
      <c r="AD458" s="796">
        <v>0</v>
      </c>
      <c r="AE458" s="796">
        <v>0</v>
      </c>
      <c r="AF458" s="796">
        <v>0</v>
      </c>
      <c r="AG458" s="796">
        <v>0</v>
      </c>
      <c r="AH458" s="796">
        <v>0</v>
      </c>
      <c r="AI458" s="796">
        <v>0</v>
      </c>
      <c r="AJ458" s="796">
        <v>0</v>
      </c>
      <c r="AK458" s="796">
        <v>0</v>
      </c>
      <c r="AL458" s="796">
        <v>0</v>
      </c>
      <c r="AM458" s="796">
        <v>0</v>
      </c>
      <c r="AN458" s="796">
        <v>0</v>
      </c>
      <c r="AO458" s="796">
        <v>0</v>
      </c>
      <c r="AP458" s="796">
        <v>0</v>
      </c>
      <c r="AQ458" s="796">
        <v>0</v>
      </c>
      <c r="AR458" s="796">
        <v>0</v>
      </c>
      <c r="AS458" s="796">
        <v>0</v>
      </c>
      <c r="AT458" s="796">
        <v>0</v>
      </c>
      <c r="AU458" s="796">
        <v>0</v>
      </c>
      <c r="AV458" s="796">
        <v>0</v>
      </c>
      <c r="AW458" s="796">
        <v>0</v>
      </c>
      <c r="AX458" s="796">
        <v>0</v>
      </c>
      <c r="AY458" s="796">
        <v>0</v>
      </c>
      <c r="AZ458" s="796">
        <v>0</v>
      </c>
      <c r="BA458" s="796">
        <v>0</v>
      </c>
      <c r="BB458" s="796">
        <v>0</v>
      </c>
      <c r="BC458" s="796">
        <v>0</v>
      </c>
      <c r="BD458" s="796">
        <v>0</v>
      </c>
      <c r="BE458" s="796">
        <v>0</v>
      </c>
      <c r="BF458" s="796">
        <v>0</v>
      </c>
      <c r="BG458" s="796">
        <v>0</v>
      </c>
      <c r="BH458" s="796">
        <v>0</v>
      </c>
      <c r="BI458" s="796">
        <v>0</v>
      </c>
      <c r="BJ458" s="796">
        <v>0</v>
      </c>
      <c r="BK458" s="796">
        <v>0</v>
      </c>
      <c r="BL458" s="796">
        <v>0</v>
      </c>
      <c r="BM458" s="796">
        <v>0</v>
      </c>
      <c r="BN458" s="796">
        <v>0</v>
      </c>
      <c r="BO458" s="796">
        <v>0</v>
      </c>
      <c r="BP458" s="796">
        <v>0</v>
      </c>
      <c r="BQ458" s="796">
        <v>0</v>
      </c>
      <c r="BR458" s="796">
        <v>0</v>
      </c>
      <c r="BS458" s="810">
        <v>60148.43</v>
      </c>
      <c r="BT458" s="796">
        <v>31404.82</v>
      </c>
      <c r="BU458" s="796">
        <v>25761.33</v>
      </c>
      <c r="BV458" s="796">
        <v>122020.21</v>
      </c>
    </row>
    <row r="459" spans="2:74">
      <c r="B459" s="795" t="s">
        <v>850</v>
      </c>
      <c r="C459" s="795" t="s">
        <v>700</v>
      </c>
      <c r="D459" s="795"/>
      <c r="E459" s="796"/>
      <c r="F459" s="799"/>
      <c r="G459" s="799"/>
      <c r="H459" s="799"/>
      <c r="I459" s="799"/>
      <c r="J459" s="799"/>
      <c r="K459" s="799"/>
      <c r="L459" s="799"/>
      <c r="M459" s="799"/>
      <c r="N459" s="595"/>
      <c r="O459" s="794">
        <v>0</v>
      </c>
      <c r="P459" s="794">
        <v>0</v>
      </c>
      <c r="Q459" s="794">
        <v>0</v>
      </c>
      <c r="R459" s="794">
        <v>0</v>
      </c>
      <c r="S459" s="796">
        <v>0</v>
      </c>
      <c r="T459" s="796">
        <v>0</v>
      </c>
      <c r="U459" s="796">
        <v>0</v>
      </c>
      <c r="V459" s="796">
        <v>0</v>
      </c>
      <c r="W459" s="796">
        <v>0</v>
      </c>
      <c r="X459" s="796">
        <v>0</v>
      </c>
      <c r="Y459" s="796">
        <v>0</v>
      </c>
      <c r="Z459" s="796">
        <v>0</v>
      </c>
      <c r="AA459" s="796">
        <v>0</v>
      </c>
      <c r="AB459" s="796">
        <v>0</v>
      </c>
      <c r="AC459" s="796">
        <v>0</v>
      </c>
      <c r="AD459" s="796">
        <v>0</v>
      </c>
      <c r="AE459" s="796">
        <v>0</v>
      </c>
      <c r="AF459" s="796">
        <v>0</v>
      </c>
      <c r="AG459" s="796">
        <v>0</v>
      </c>
      <c r="AH459" s="796">
        <v>0</v>
      </c>
      <c r="AI459" s="796">
        <v>0</v>
      </c>
      <c r="AJ459" s="796">
        <v>0</v>
      </c>
      <c r="AK459" s="796">
        <v>0</v>
      </c>
      <c r="AL459" s="796">
        <v>0</v>
      </c>
      <c r="AM459" s="796">
        <v>0</v>
      </c>
      <c r="AN459" s="796">
        <v>0</v>
      </c>
      <c r="AO459" s="796">
        <v>0</v>
      </c>
      <c r="AP459" s="796">
        <v>0</v>
      </c>
      <c r="AQ459" s="796">
        <v>0</v>
      </c>
      <c r="AR459" s="796">
        <v>0</v>
      </c>
      <c r="AS459" s="796">
        <v>0</v>
      </c>
      <c r="AT459" s="796">
        <v>0</v>
      </c>
      <c r="AU459" s="796">
        <v>0</v>
      </c>
      <c r="AV459" s="796">
        <v>0</v>
      </c>
      <c r="AW459" s="796">
        <v>0</v>
      </c>
      <c r="AX459" s="796">
        <v>0</v>
      </c>
      <c r="AY459" s="796">
        <v>0</v>
      </c>
      <c r="AZ459" s="796">
        <v>0</v>
      </c>
      <c r="BA459" s="796">
        <v>0</v>
      </c>
      <c r="BB459" s="796">
        <v>0</v>
      </c>
      <c r="BC459" s="796">
        <v>0</v>
      </c>
      <c r="BD459" s="796">
        <v>0</v>
      </c>
      <c r="BE459" s="796">
        <v>0</v>
      </c>
      <c r="BF459" s="796">
        <v>0</v>
      </c>
      <c r="BG459" s="796">
        <v>0</v>
      </c>
      <c r="BH459" s="796">
        <v>0</v>
      </c>
      <c r="BI459" s="796">
        <v>0</v>
      </c>
      <c r="BJ459" s="796">
        <v>0</v>
      </c>
      <c r="BK459" s="796">
        <v>0</v>
      </c>
      <c r="BL459" s="796">
        <v>0</v>
      </c>
      <c r="BM459" s="796">
        <v>0</v>
      </c>
      <c r="BN459" s="796">
        <v>0</v>
      </c>
      <c r="BO459" s="796">
        <v>0</v>
      </c>
      <c r="BP459" s="796">
        <v>0</v>
      </c>
      <c r="BQ459" s="796">
        <v>0</v>
      </c>
      <c r="BR459" s="796">
        <v>0</v>
      </c>
      <c r="BS459" s="810">
        <v>56348</v>
      </c>
      <c r="BT459" s="796">
        <v>35560.239999999998</v>
      </c>
      <c r="BU459" s="796">
        <v>55551.44</v>
      </c>
      <c r="BV459" s="796">
        <v>22000</v>
      </c>
    </row>
    <row r="460" spans="2:74">
      <c r="B460" s="795" t="s">
        <v>3368</v>
      </c>
      <c r="C460" s="795" t="s">
        <v>3369</v>
      </c>
      <c r="D460" s="795"/>
      <c r="E460" s="796"/>
      <c r="F460" s="799"/>
      <c r="G460" s="799"/>
      <c r="H460" s="799"/>
      <c r="I460" s="799"/>
      <c r="J460" s="799"/>
      <c r="K460" s="799"/>
      <c r="L460" s="799"/>
      <c r="M460" s="799"/>
      <c r="N460" s="595"/>
      <c r="O460" s="794">
        <v>0</v>
      </c>
      <c r="P460" s="794">
        <v>0</v>
      </c>
      <c r="Q460" s="794">
        <v>0</v>
      </c>
      <c r="R460" s="794">
        <v>0</v>
      </c>
      <c r="S460" s="796">
        <v>0</v>
      </c>
      <c r="T460" s="796">
        <v>0</v>
      </c>
      <c r="U460" s="796">
        <v>0</v>
      </c>
      <c r="V460" s="796">
        <v>0</v>
      </c>
      <c r="W460" s="796">
        <v>0</v>
      </c>
      <c r="X460" s="796">
        <v>0</v>
      </c>
      <c r="Y460" s="796">
        <v>0</v>
      </c>
      <c r="Z460" s="796">
        <v>0</v>
      </c>
      <c r="AA460" s="796">
        <v>0</v>
      </c>
      <c r="AB460" s="796">
        <v>0</v>
      </c>
      <c r="AC460" s="796">
        <v>0</v>
      </c>
      <c r="AD460" s="796">
        <v>0</v>
      </c>
      <c r="AE460" s="796">
        <v>0</v>
      </c>
      <c r="AF460" s="796">
        <v>0</v>
      </c>
      <c r="AG460" s="796">
        <v>0</v>
      </c>
      <c r="AH460" s="796">
        <v>0</v>
      </c>
      <c r="AI460" s="796">
        <v>0</v>
      </c>
      <c r="AJ460" s="796">
        <v>0</v>
      </c>
      <c r="AK460" s="796">
        <v>0</v>
      </c>
      <c r="AL460" s="796">
        <v>0</v>
      </c>
      <c r="AM460" s="796">
        <v>0</v>
      </c>
      <c r="AN460" s="796">
        <v>0</v>
      </c>
      <c r="AO460" s="796">
        <v>0</v>
      </c>
      <c r="AP460" s="796">
        <v>0</v>
      </c>
      <c r="AQ460" s="796">
        <v>0</v>
      </c>
      <c r="AR460" s="796">
        <v>0</v>
      </c>
      <c r="AS460" s="796">
        <v>0</v>
      </c>
      <c r="AT460" s="796">
        <v>0</v>
      </c>
      <c r="AU460" s="796">
        <v>0</v>
      </c>
      <c r="AV460" s="796">
        <v>0</v>
      </c>
      <c r="AW460" s="796">
        <v>0</v>
      </c>
      <c r="AX460" s="796">
        <v>0</v>
      </c>
      <c r="AY460" s="796">
        <v>0</v>
      </c>
      <c r="AZ460" s="796">
        <v>0</v>
      </c>
      <c r="BA460" s="796">
        <v>0</v>
      </c>
      <c r="BB460" s="796">
        <v>0</v>
      </c>
      <c r="BC460" s="796">
        <v>0</v>
      </c>
      <c r="BD460" s="796">
        <v>0</v>
      </c>
      <c r="BE460" s="796">
        <v>0</v>
      </c>
      <c r="BF460" s="796">
        <v>0</v>
      </c>
      <c r="BG460" s="796">
        <v>0</v>
      </c>
      <c r="BH460" s="796">
        <v>0</v>
      </c>
      <c r="BI460" s="796">
        <v>0</v>
      </c>
      <c r="BJ460" s="796">
        <v>0</v>
      </c>
      <c r="BK460" s="796">
        <v>0</v>
      </c>
      <c r="BL460" s="796">
        <v>0</v>
      </c>
      <c r="BM460" s="796">
        <v>0</v>
      </c>
      <c r="BN460" s="796">
        <v>0</v>
      </c>
      <c r="BO460" s="796">
        <v>0</v>
      </c>
      <c r="BP460" s="796">
        <v>0</v>
      </c>
      <c r="BQ460" s="796">
        <v>0</v>
      </c>
      <c r="BR460" s="796">
        <v>0</v>
      </c>
      <c r="BS460" s="810">
        <v>80000</v>
      </c>
      <c r="BT460" s="796">
        <v>0</v>
      </c>
      <c r="BU460" s="796">
        <v>0</v>
      </c>
      <c r="BV460" s="796">
        <v>0</v>
      </c>
    </row>
    <row r="461" spans="2:74">
      <c r="B461" s="795" t="s">
        <v>3370</v>
      </c>
      <c r="C461" s="795" t="s">
        <v>3359</v>
      </c>
      <c r="D461" s="795"/>
      <c r="E461" s="796"/>
      <c r="F461" s="799"/>
      <c r="G461" s="799"/>
      <c r="H461" s="799"/>
      <c r="I461" s="799"/>
      <c r="J461" s="799"/>
      <c r="K461" s="799"/>
      <c r="L461" s="799"/>
      <c r="M461" s="799"/>
      <c r="N461" s="595"/>
      <c r="O461" s="794">
        <v>0</v>
      </c>
      <c r="P461" s="794">
        <v>0</v>
      </c>
      <c r="Q461" s="794">
        <v>0</v>
      </c>
      <c r="R461" s="794">
        <v>0</v>
      </c>
      <c r="S461" s="796">
        <v>0</v>
      </c>
      <c r="T461" s="796">
        <v>0</v>
      </c>
      <c r="U461" s="796">
        <v>0</v>
      </c>
      <c r="V461" s="796">
        <v>0</v>
      </c>
      <c r="W461" s="796">
        <v>0</v>
      </c>
      <c r="X461" s="796">
        <v>0</v>
      </c>
      <c r="Y461" s="796">
        <v>0</v>
      </c>
      <c r="Z461" s="796">
        <v>0</v>
      </c>
      <c r="AA461" s="796">
        <v>0</v>
      </c>
      <c r="AB461" s="796">
        <v>0</v>
      </c>
      <c r="AC461" s="796">
        <v>0</v>
      </c>
      <c r="AD461" s="796">
        <v>0</v>
      </c>
      <c r="AE461" s="796">
        <v>0</v>
      </c>
      <c r="AF461" s="796">
        <v>0</v>
      </c>
      <c r="AG461" s="796">
        <v>0</v>
      </c>
      <c r="AH461" s="796">
        <v>0</v>
      </c>
      <c r="AI461" s="796">
        <v>0</v>
      </c>
      <c r="AJ461" s="796">
        <v>0</v>
      </c>
      <c r="AK461" s="796">
        <v>0</v>
      </c>
      <c r="AL461" s="796">
        <v>0</v>
      </c>
      <c r="AM461" s="796">
        <v>0</v>
      </c>
      <c r="AN461" s="796">
        <v>0</v>
      </c>
      <c r="AO461" s="796">
        <v>0</v>
      </c>
      <c r="AP461" s="796">
        <v>0</v>
      </c>
      <c r="AQ461" s="796">
        <v>0</v>
      </c>
      <c r="AR461" s="796">
        <v>0</v>
      </c>
      <c r="AS461" s="796">
        <v>0</v>
      </c>
      <c r="AT461" s="796">
        <v>0</v>
      </c>
      <c r="AU461" s="796">
        <v>0</v>
      </c>
      <c r="AV461" s="796">
        <v>0</v>
      </c>
      <c r="AW461" s="796">
        <v>0</v>
      </c>
      <c r="AX461" s="796">
        <v>0</v>
      </c>
      <c r="AY461" s="796">
        <v>0</v>
      </c>
      <c r="AZ461" s="796">
        <v>0</v>
      </c>
      <c r="BA461" s="796">
        <v>0</v>
      </c>
      <c r="BB461" s="796">
        <v>0</v>
      </c>
      <c r="BC461" s="796">
        <v>0</v>
      </c>
      <c r="BD461" s="796">
        <v>0</v>
      </c>
      <c r="BE461" s="796">
        <v>0</v>
      </c>
      <c r="BF461" s="796">
        <v>0</v>
      </c>
      <c r="BG461" s="796">
        <v>0</v>
      </c>
      <c r="BH461" s="796">
        <v>0</v>
      </c>
      <c r="BI461" s="796">
        <v>0</v>
      </c>
      <c r="BJ461" s="796">
        <v>0</v>
      </c>
      <c r="BK461" s="796">
        <v>0</v>
      </c>
      <c r="BL461" s="796">
        <v>0</v>
      </c>
      <c r="BM461" s="796">
        <v>0</v>
      </c>
      <c r="BN461" s="796">
        <v>0</v>
      </c>
      <c r="BO461" s="796">
        <v>0</v>
      </c>
      <c r="BP461" s="796">
        <v>0</v>
      </c>
      <c r="BQ461" s="796">
        <v>0</v>
      </c>
      <c r="BR461" s="796">
        <v>0</v>
      </c>
      <c r="BS461" s="810">
        <v>66094.02</v>
      </c>
      <c r="BT461" s="796">
        <v>0</v>
      </c>
      <c r="BU461" s="796">
        <v>0</v>
      </c>
      <c r="BV461" s="796">
        <v>0</v>
      </c>
    </row>
    <row r="462" spans="2:74">
      <c r="B462" s="795" t="s">
        <v>3371</v>
      </c>
      <c r="C462" s="795" t="s">
        <v>3372</v>
      </c>
      <c r="D462" s="795"/>
      <c r="E462" s="796"/>
      <c r="F462" s="799"/>
      <c r="G462" s="799"/>
      <c r="H462" s="799"/>
      <c r="I462" s="799"/>
      <c r="J462" s="799"/>
      <c r="K462" s="799"/>
      <c r="L462" s="799"/>
      <c r="M462" s="799"/>
      <c r="N462" s="595"/>
      <c r="O462" s="794">
        <v>0</v>
      </c>
      <c r="P462" s="794">
        <v>0</v>
      </c>
      <c r="Q462" s="794">
        <v>0</v>
      </c>
      <c r="R462" s="794">
        <v>0</v>
      </c>
      <c r="S462" s="796">
        <v>0</v>
      </c>
      <c r="T462" s="796">
        <v>0</v>
      </c>
      <c r="U462" s="796">
        <v>0</v>
      </c>
      <c r="V462" s="796">
        <v>0</v>
      </c>
      <c r="W462" s="796">
        <v>0</v>
      </c>
      <c r="X462" s="796">
        <v>0</v>
      </c>
      <c r="Y462" s="796">
        <v>0</v>
      </c>
      <c r="Z462" s="796">
        <v>0</v>
      </c>
      <c r="AA462" s="796">
        <v>0</v>
      </c>
      <c r="AB462" s="796">
        <v>0</v>
      </c>
      <c r="AC462" s="796">
        <v>0</v>
      </c>
      <c r="AD462" s="796">
        <v>0</v>
      </c>
      <c r="AE462" s="796">
        <v>0</v>
      </c>
      <c r="AF462" s="796">
        <v>0</v>
      </c>
      <c r="AG462" s="796">
        <v>0</v>
      </c>
      <c r="AH462" s="796">
        <v>0</v>
      </c>
      <c r="AI462" s="796">
        <v>0</v>
      </c>
      <c r="AJ462" s="796">
        <v>0</v>
      </c>
      <c r="AK462" s="796">
        <v>0</v>
      </c>
      <c r="AL462" s="796">
        <v>0</v>
      </c>
      <c r="AM462" s="796">
        <v>0</v>
      </c>
      <c r="AN462" s="796">
        <v>0</v>
      </c>
      <c r="AO462" s="796">
        <v>0</v>
      </c>
      <c r="AP462" s="796">
        <v>0</v>
      </c>
      <c r="AQ462" s="796">
        <v>0</v>
      </c>
      <c r="AR462" s="796">
        <v>0</v>
      </c>
      <c r="AS462" s="796">
        <v>0</v>
      </c>
      <c r="AT462" s="796">
        <v>0</v>
      </c>
      <c r="AU462" s="796">
        <v>0</v>
      </c>
      <c r="AV462" s="796">
        <v>0</v>
      </c>
      <c r="AW462" s="796">
        <v>0</v>
      </c>
      <c r="AX462" s="796">
        <v>0</v>
      </c>
      <c r="AY462" s="796">
        <v>0</v>
      </c>
      <c r="AZ462" s="796">
        <v>0</v>
      </c>
      <c r="BA462" s="796">
        <v>0</v>
      </c>
      <c r="BB462" s="796">
        <v>0</v>
      </c>
      <c r="BC462" s="796">
        <v>0</v>
      </c>
      <c r="BD462" s="796">
        <v>0</v>
      </c>
      <c r="BE462" s="796">
        <v>0</v>
      </c>
      <c r="BF462" s="796">
        <v>0</v>
      </c>
      <c r="BG462" s="796">
        <v>0</v>
      </c>
      <c r="BH462" s="796">
        <v>0</v>
      </c>
      <c r="BI462" s="796">
        <v>0</v>
      </c>
      <c r="BJ462" s="796">
        <v>0</v>
      </c>
      <c r="BK462" s="796">
        <v>0</v>
      </c>
      <c r="BL462" s="796">
        <v>0</v>
      </c>
      <c r="BM462" s="796">
        <v>0</v>
      </c>
      <c r="BN462" s="796">
        <v>0</v>
      </c>
      <c r="BO462" s="796">
        <v>0</v>
      </c>
      <c r="BP462" s="796">
        <v>0</v>
      </c>
      <c r="BQ462" s="796">
        <v>0</v>
      </c>
      <c r="BR462" s="796">
        <v>0</v>
      </c>
      <c r="BS462" s="810">
        <v>87771.95</v>
      </c>
      <c r="BT462" s="796">
        <v>39501</v>
      </c>
      <c r="BU462" s="796">
        <v>0</v>
      </c>
      <c r="BV462" s="796">
        <v>0</v>
      </c>
    </row>
    <row r="463" spans="2:74">
      <c r="B463" s="795" t="s">
        <v>3373</v>
      </c>
      <c r="C463" s="795" t="s">
        <v>3374</v>
      </c>
      <c r="D463" s="795"/>
      <c r="E463" s="796"/>
      <c r="F463" s="799"/>
      <c r="G463" s="799"/>
      <c r="H463" s="799"/>
      <c r="I463" s="799"/>
      <c r="J463" s="799"/>
      <c r="K463" s="799"/>
      <c r="L463" s="799"/>
      <c r="M463" s="799"/>
      <c r="N463" s="595"/>
      <c r="O463" s="794">
        <v>0</v>
      </c>
      <c r="P463" s="794">
        <v>0</v>
      </c>
      <c r="Q463" s="794">
        <v>0</v>
      </c>
      <c r="R463" s="794">
        <v>0</v>
      </c>
      <c r="S463" s="796">
        <v>0</v>
      </c>
      <c r="T463" s="796">
        <v>0</v>
      </c>
      <c r="U463" s="796">
        <v>0</v>
      </c>
      <c r="V463" s="796">
        <v>0</v>
      </c>
      <c r="W463" s="796">
        <v>0</v>
      </c>
      <c r="X463" s="796">
        <v>0</v>
      </c>
      <c r="Y463" s="796">
        <v>0</v>
      </c>
      <c r="Z463" s="796">
        <v>0</v>
      </c>
      <c r="AA463" s="796">
        <v>0</v>
      </c>
      <c r="AB463" s="796">
        <v>0</v>
      </c>
      <c r="AC463" s="796">
        <v>0</v>
      </c>
      <c r="AD463" s="796">
        <v>0</v>
      </c>
      <c r="AE463" s="796">
        <v>0</v>
      </c>
      <c r="AF463" s="796">
        <v>0</v>
      </c>
      <c r="AG463" s="796">
        <v>0</v>
      </c>
      <c r="AH463" s="796">
        <v>0</v>
      </c>
      <c r="AI463" s="796">
        <v>0</v>
      </c>
      <c r="AJ463" s="796">
        <v>0</v>
      </c>
      <c r="AK463" s="796">
        <v>0</v>
      </c>
      <c r="AL463" s="796">
        <v>0</v>
      </c>
      <c r="AM463" s="796">
        <v>0</v>
      </c>
      <c r="AN463" s="796">
        <v>0</v>
      </c>
      <c r="AO463" s="796">
        <v>0</v>
      </c>
      <c r="AP463" s="796">
        <v>0</v>
      </c>
      <c r="AQ463" s="796">
        <v>0</v>
      </c>
      <c r="AR463" s="796">
        <v>0</v>
      </c>
      <c r="AS463" s="796">
        <v>0</v>
      </c>
      <c r="AT463" s="796">
        <v>0</v>
      </c>
      <c r="AU463" s="796">
        <v>0</v>
      </c>
      <c r="AV463" s="796">
        <v>0</v>
      </c>
      <c r="AW463" s="796">
        <v>0</v>
      </c>
      <c r="AX463" s="796">
        <v>0</v>
      </c>
      <c r="AY463" s="796">
        <v>0</v>
      </c>
      <c r="AZ463" s="796">
        <v>0</v>
      </c>
      <c r="BA463" s="796">
        <v>0</v>
      </c>
      <c r="BB463" s="796">
        <v>0</v>
      </c>
      <c r="BC463" s="796">
        <v>0</v>
      </c>
      <c r="BD463" s="796">
        <v>0</v>
      </c>
      <c r="BE463" s="796">
        <v>0</v>
      </c>
      <c r="BF463" s="796">
        <v>0</v>
      </c>
      <c r="BG463" s="796">
        <v>0</v>
      </c>
      <c r="BH463" s="796">
        <v>0</v>
      </c>
      <c r="BI463" s="796">
        <v>0</v>
      </c>
      <c r="BJ463" s="796">
        <v>0</v>
      </c>
      <c r="BK463" s="796">
        <v>0</v>
      </c>
      <c r="BL463" s="796">
        <v>0</v>
      </c>
      <c r="BM463" s="796">
        <v>0</v>
      </c>
      <c r="BN463" s="796">
        <v>0</v>
      </c>
      <c r="BO463" s="796">
        <v>0</v>
      </c>
      <c r="BP463" s="796">
        <v>0</v>
      </c>
      <c r="BQ463" s="796">
        <v>0</v>
      </c>
      <c r="BR463" s="796">
        <v>0</v>
      </c>
      <c r="BS463" s="810">
        <v>14000</v>
      </c>
      <c r="BT463" s="796">
        <v>210136.33</v>
      </c>
      <c r="BU463" s="796">
        <v>47389.229999999996</v>
      </c>
      <c r="BV463" s="796">
        <v>0</v>
      </c>
    </row>
    <row r="464" spans="2:74">
      <c r="B464" s="795" t="s">
        <v>3375</v>
      </c>
      <c r="C464" s="795" t="s">
        <v>3376</v>
      </c>
      <c r="D464" s="795"/>
      <c r="E464" s="796"/>
      <c r="F464" s="799"/>
      <c r="G464" s="799"/>
      <c r="H464" s="799"/>
      <c r="I464" s="799"/>
      <c r="J464" s="799"/>
      <c r="K464" s="799"/>
      <c r="L464" s="799"/>
      <c r="M464" s="799"/>
      <c r="N464" s="595"/>
      <c r="O464" s="794">
        <v>0</v>
      </c>
      <c r="P464" s="794">
        <v>0</v>
      </c>
      <c r="Q464" s="794">
        <v>0</v>
      </c>
      <c r="R464" s="794">
        <v>0</v>
      </c>
      <c r="S464" s="796">
        <v>0</v>
      </c>
      <c r="T464" s="796">
        <v>0</v>
      </c>
      <c r="U464" s="796">
        <v>0</v>
      </c>
      <c r="V464" s="796">
        <v>0</v>
      </c>
      <c r="W464" s="796">
        <v>0</v>
      </c>
      <c r="X464" s="796">
        <v>0</v>
      </c>
      <c r="Y464" s="796">
        <v>0</v>
      </c>
      <c r="Z464" s="796">
        <v>0</v>
      </c>
      <c r="AA464" s="796">
        <v>0</v>
      </c>
      <c r="AB464" s="796">
        <v>0</v>
      </c>
      <c r="AC464" s="796">
        <v>0</v>
      </c>
      <c r="AD464" s="796">
        <v>0</v>
      </c>
      <c r="AE464" s="796">
        <v>0</v>
      </c>
      <c r="AF464" s="796">
        <v>0</v>
      </c>
      <c r="AG464" s="796">
        <v>0</v>
      </c>
      <c r="AH464" s="796">
        <v>0</v>
      </c>
      <c r="AI464" s="796">
        <v>0</v>
      </c>
      <c r="AJ464" s="796">
        <v>0</v>
      </c>
      <c r="AK464" s="796">
        <v>0</v>
      </c>
      <c r="AL464" s="796">
        <v>0</v>
      </c>
      <c r="AM464" s="796">
        <v>0</v>
      </c>
      <c r="AN464" s="796">
        <v>0</v>
      </c>
      <c r="AO464" s="796">
        <v>0</v>
      </c>
      <c r="AP464" s="796">
        <v>0</v>
      </c>
      <c r="AQ464" s="796">
        <v>0</v>
      </c>
      <c r="AR464" s="796">
        <v>0</v>
      </c>
      <c r="AS464" s="796">
        <v>0</v>
      </c>
      <c r="AT464" s="796">
        <v>0</v>
      </c>
      <c r="AU464" s="796">
        <v>0</v>
      </c>
      <c r="AV464" s="796">
        <v>0</v>
      </c>
      <c r="AW464" s="796">
        <v>0</v>
      </c>
      <c r="AX464" s="796">
        <v>0</v>
      </c>
      <c r="AY464" s="796">
        <v>0</v>
      </c>
      <c r="AZ464" s="796">
        <v>0</v>
      </c>
      <c r="BA464" s="796">
        <v>0</v>
      </c>
      <c r="BB464" s="796">
        <v>0</v>
      </c>
      <c r="BC464" s="796">
        <v>0</v>
      </c>
      <c r="BD464" s="796">
        <v>0</v>
      </c>
      <c r="BE464" s="796">
        <v>0</v>
      </c>
      <c r="BF464" s="796">
        <v>0</v>
      </c>
      <c r="BG464" s="796">
        <v>0</v>
      </c>
      <c r="BH464" s="796">
        <v>0</v>
      </c>
      <c r="BI464" s="796">
        <v>0</v>
      </c>
      <c r="BJ464" s="796">
        <v>0</v>
      </c>
      <c r="BK464" s="796">
        <v>0</v>
      </c>
      <c r="BL464" s="796">
        <v>0</v>
      </c>
      <c r="BM464" s="796">
        <v>0</v>
      </c>
      <c r="BN464" s="796">
        <v>0</v>
      </c>
      <c r="BO464" s="796">
        <v>0</v>
      </c>
      <c r="BP464" s="796">
        <v>0</v>
      </c>
      <c r="BQ464" s="796">
        <v>0</v>
      </c>
      <c r="BR464" s="796">
        <v>0</v>
      </c>
      <c r="BS464" s="810">
        <v>69275.92</v>
      </c>
      <c r="BT464" s="796">
        <v>125458.52</v>
      </c>
      <c r="BU464" s="796">
        <v>0</v>
      </c>
      <c r="BV464" s="796">
        <v>0</v>
      </c>
    </row>
    <row r="465" spans="2:74">
      <c r="B465" s="795" t="s">
        <v>783</v>
      </c>
      <c r="C465" s="795" t="s">
        <v>534</v>
      </c>
      <c r="D465" s="795"/>
      <c r="E465" s="796"/>
      <c r="F465" s="799"/>
      <c r="G465" s="799"/>
      <c r="H465" s="799"/>
      <c r="I465" s="799"/>
      <c r="J465" s="799"/>
      <c r="K465" s="799"/>
      <c r="L465" s="799"/>
      <c r="M465" s="799"/>
      <c r="N465" s="595"/>
      <c r="O465" s="794">
        <v>0</v>
      </c>
      <c r="P465" s="794">
        <v>0</v>
      </c>
      <c r="Q465" s="794">
        <v>0</v>
      </c>
      <c r="R465" s="794">
        <v>0</v>
      </c>
      <c r="S465" s="796">
        <v>0</v>
      </c>
      <c r="T465" s="796">
        <v>0</v>
      </c>
      <c r="U465" s="796">
        <v>0</v>
      </c>
      <c r="V465" s="796">
        <v>0</v>
      </c>
      <c r="W465" s="796">
        <v>0</v>
      </c>
      <c r="X465" s="796">
        <v>0</v>
      </c>
      <c r="Y465" s="796">
        <v>0</v>
      </c>
      <c r="Z465" s="796">
        <v>0</v>
      </c>
      <c r="AA465" s="796">
        <v>0</v>
      </c>
      <c r="AB465" s="796">
        <v>0</v>
      </c>
      <c r="AC465" s="796">
        <v>0</v>
      </c>
      <c r="AD465" s="796">
        <v>0</v>
      </c>
      <c r="AE465" s="796">
        <v>0</v>
      </c>
      <c r="AF465" s="796">
        <v>0</v>
      </c>
      <c r="AG465" s="796">
        <v>0</v>
      </c>
      <c r="AH465" s="796">
        <v>0</v>
      </c>
      <c r="AI465" s="796">
        <v>0</v>
      </c>
      <c r="AJ465" s="796">
        <v>0</v>
      </c>
      <c r="AK465" s="796">
        <v>0</v>
      </c>
      <c r="AL465" s="796">
        <v>0</v>
      </c>
      <c r="AM465" s="796">
        <v>0</v>
      </c>
      <c r="AN465" s="796">
        <v>0</v>
      </c>
      <c r="AO465" s="796">
        <v>0</v>
      </c>
      <c r="AP465" s="796">
        <v>0</v>
      </c>
      <c r="AQ465" s="796">
        <v>0</v>
      </c>
      <c r="AR465" s="796">
        <v>0</v>
      </c>
      <c r="AS465" s="796">
        <v>0</v>
      </c>
      <c r="AT465" s="796">
        <v>0</v>
      </c>
      <c r="AU465" s="796">
        <v>0</v>
      </c>
      <c r="AV465" s="796">
        <v>0</v>
      </c>
      <c r="AW465" s="796">
        <v>0</v>
      </c>
      <c r="AX465" s="796">
        <v>0</v>
      </c>
      <c r="AY465" s="796">
        <v>0</v>
      </c>
      <c r="AZ465" s="796">
        <v>0</v>
      </c>
      <c r="BA465" s="796">
        <v>0</v>
      </c>
      <c r="BB465" s="796">
        <v>0</v>
      </c>
      <c r="BC465" s="796">
        <v>0</v>
      </c>
      <c r="BD465" s="796">
        <v>0</v>
      </c>
      <c r="BE465" s="796">
        <v>0</v>
      </c>
      <c r="BF465" s="796">
        <v>0</v>
      </c>
      <c r="BG465" s="796">
        <v>0</v>
      </c>
      <c r="BH465" s="796">
        <v>0</v>
      </c>
      <c r="BI465" s="796">
        <v>0</v>
      </c>
      <c r="BJ465" s="796">
        <v>0</v>
      </c>
      <c r="BK465" s="796">
        <v>0</v>
      </c>
      <c r="BL465" s="796">
        <v>0</v>
      </c>
      <c r="BM465" s="796">
        <v>0</v>
      </c>
      <c r="BN465" s="796">
        <v>0</v>
      </c>
      <c r="BO465" s="796">
        <v>0</v>
      </c>
      <c r="BP465" s="796">
        <v>0</v>
      </c>
      <c r="BQ465" s="796">
        <v>0</v>
      </c>
      <c r="BR465" s="796">
        <v>0</v>
      </c>
      <c r="BS465" s="810">
        <v>25718</v>
      </c>
      <c r="BT465" s="796">
        <v>79430</v>
      </c>
      <c r="BU465" s="796">
        <v>70133</v>
      </c>
      <c r="BV465" s="796">
        <v>39037</v>
      </c>
    </row>
    <row r="466" spans="2:74">
      <c r="B466" s="795" t="s">
        <v>824</v>
      </c>
      <c r="C466" s="795" t="s">
        <v>825</v>
      </c>
      <c r="D466" s="795"/>
      <c r="E466" s="796"/>
      <c r="F466" s="799"/>
      <c r="G466" s="799"/>
      <c r="H466" s="799"/>
      <c r="I466" s="799"/>
      <c r="J466" s="799"/>
      <c r="K466" s="799"/>
      <c r="L466" s="799"/>
      <c r="M466" s="799"/>
      <c r="N466" s="595"/>
      <c r="O466" s="794">
        <v>0</v>
      </c>
      <c r="P466" s="794">
        <v>0</v>
      </c>
      <c r="Q466" s="794">
        <v>0</v>
      </c>
      <c r="R466" s="794">
        <v>0</v>
      </c>
      <c r="S466" s="796">
        <v>0</v>
      </c>
      <c r="T466" s="796">
        <v>0</v>
      </c>
      <c r="U466" s="796">
        <v>0</v>
      </c>
      <c r="V466" s="796">
        <v>0</v>
      </c>
      <c r="W466" s="796">
        <v>0</v>
      </c>
      <c r="X466" s="796">
        <v>0</v>
      </c>
      <c r="Y466" s="796">
        <v>0</v>
      </c>
      <c r="Z466" s="796">
        <v>0</v>
      </c>
      <c r="AA466" s="796">
        <v>0</v>
      </c>
      <c r="AB466" s="796">
        <v>0</v>
      </c>
      <c r="AC466" s="796">
        <v>0</v>
      </c>
      <c r="AD466" s="796">
        <v>0</v>
      </c>
      <c r="AE466" s="796">
        <v>0</v>
      </c>
      <c r="AF466" s="796">
        <v>0</v>
      </c>
      <c r="AG466" s="796">
        <v>0</v>
      </c>
      <c r="AH466" s="796">
        <v>0</v>
      </c>
      <c r="AI466" s="796">
        <v>0</v>
      </c>
      <c r="AJ466" s="796">
        <v>0</v>
      </c>
      <c r="AK466" s="796">
        <v>0</v>
      </c>
      <c r="AL466" s="796">
        <v>0</v>
      </c>
      <c r="AM466" s="796">
        <v>0</v>
      </c>
      <c r="AN466" s="796">
        <v>0</v>
      </c>
      <c r="AO466" s="796">
        <v>0</v>
      </c>
      <c r="AP466" s="796">
        <v>0</v>
      </c>
      <c r="AQ466" s="796">
        <v>0</v>
      </c>
      <c r="AR466" s="796">
        <v>0</v>
      </c>
      <c r="AS466" s="796">
        <v>0</v>
      </c>
      <c r="AT466" s="796">
        <v>0</v>
      </c>
      <c r="AU466" s="796">
        <v>0</v>
      </c>
      <c r="AV466" s="796">
        <v>0</v>
      </c>
      <c r="AW466" s="796">
        <v>0</v>
      </c>
      <c r="AX466" s="796">
        <v>0</v>
      </c>
      <c r="AY466" s="796">
        <v>0</v>
      </c>
      <c r="AZ466" s="796">
        <v>0</v>
      </c>
      <c r="BA466" s="796">
        <v>0</v>
      </c>
      <c r="BB466" s="796">
        <v>0</v>
      </c>
      <c r="BC466" s="796">
        <v>0</v>
      </c>
      <c r="BD466" s="796">
        <v>0</v>
      </c>
      <c r="BE466" s="796">
        <v>0</v>
      </c>
      <c r="BF466" s="796">
        <v>0</v>
      </c>
      <c r="BG466" s="796">
        <v>0</v>
      </c>
      <c r="BH466" s="796">
        <v>0</v>
      </c>
      <c r="BI466" s="796">
        <v>0</v>
      </c>
      <c r="BJ466" s="796">
        <v>0</v>
      </c>
      <c r="BK466" s="796">
        <v>0</v>
      </c>
      <c r="BL466" s="796">
        <v>0</v>
      </c>
      <c r="BM466" s="796">
        <v>0</v>
      </c>
      <c r="BN466" s="796">
        <v>0</v>
      </c>
      <c r="BO466" s="796">
        <v>0</v>
      </c>
      <c r="BP466" s="796">
        <v>0</v>
      </c>
      <c r="BQ466" s="796">
        <v>0</v>
      </c>
      <c r="BR466" s="796">
        <v>0</v>
      </c>
      <c r="BS466" s="796">
        <v>0</v>
      </c>
      <c r="BT466" s="810">
        <v>210723.14</v>
      </c>
      <c r="BU466" s="796">
        <v>358042.74</v>
      </c>
      <c r="BV466" s="796">
        <v>88365.82</v>
      </c>
    </row>
    <row r="467" spans="2:74">
      <c r="B467" s="795" t="s">
        <v>633</v>
      </c>
      <c r="C467" s="795" t="s">
        <v>632</v>
      </c>
      <c r="D467" s="795"/>
      <c r="E467" s="796"/>
      <c r="F467" s="799"/>
      <c r="G467" s="799"/>
      <c r="H467" s="799"/>
      <c r="I467" s="799"/>
      <c r="J467" s="799"/>
      <c r="K467" s="799"/>
      <c r="L467" s="799"/>
      <c r="M467" s="799"/>
      <c r="N467" s="595"/>
      <c r="O467" s="794">
        <v>0</v>
      </c>
      <c r="P467" s="794">
        <v>0</v>
      </c>
      <c r="Q467" s="794">
        <v>0</v>
      </c>
      <c r="R467" s="794">
        <v>0</v>
      </c>
      <c r="S467" s="796">
        <v>0</v>
      </c>
      <c r="T467" s="796">
        <v>0</v>
      </c>
      <c r="U467" s="796">
        <v>0</v>
      </c>
      <c r="V467" s="796">
        <v>0</v>
      </c>
      <c r="W467" s="796">
        <v>0</v>
      </c>
      <c r="X467" s="796">
        <v>0</v>
      </c>
      <c r="Y467" s="796">
        <v>0</v>
      </c>
      <c r="Z467" s="796">
        <v>0</v>
      </c>
      <c r="AA467" s="796">
        <v>0</v>
      </c>
      <c r="AB467" s="796">
        <v>0</v>
      </c>
      <c r="AC467" s="796">
        <v>0</v>
      </c>
      <c r="AD467" s="796">
        <v>0</v>
      </c>
      <c r="AE467" s="796">
        <v>0</v>
      </c>
      <c r="AF467" s="796">
        <v>0</v>
      </c>
      <c r="AG467" s="796">
        <v>0</v>
      </c>
      <c r="AH467" s="796">
        <v>0</v>
      </c>
      <c r="AI467" s="796">
        <v>0</v>
      </c>
      <c r="AJ467" s="796">
        <v>0</v>
      </c>
      <c r="AK467" s="796">
        <v>0</v>
      </c>
      <c r="AL467" s="796">
        <v>0</v>
      </c>
      <c r="AM467" s="796">
        <v>0</v>
      </c>
      <c r="AN467" s="796">
        <v>0</v>
      </c>
      <c r="AO467" s="796">
        <v>0</v>
      </c>
      <c r="AP467" s="796">
        <v>0</v>
      </c>
      <c r="AQ467" s="796">
        <v>0</v>
      </c>
      <c r="AR467" s="796">
        <v>0</v>
      </c>
      <c r="AS467" s="796">
        <v>0</v>
      </c>
      <c r="AT467" s="796">
        <v>0</v>
      </c>
      <c r="AU467" s="796">
        <v>0</v>
      </c>
      <c r="AV467" s="796">
        <v>0</v>
      </c>
      <c r="AW467" s="796">
        <v>0</v>
      </c>
      <c r="AX467" s="796">
        <v>0</v>
      </c>
      <c r="AY467" s="796">
        <v>0</v>
      </c>
      <c r="AZ467" s="796">
        <v>0</v>
      </c>
      <c r="BA467" s="796">
        <v>0</v>
      </c>
      <c r="BB467" s="796">
        <v>0</v>
      </c>
      <c r="BC467" s="796">
        <v>0</v>
      </c>
      <c r="BD467" s="796">
        <v>0</v>
      </c>
      <c r="BE467" s="796">
        <v>0</v>
      </c>
      <c r="BF467" s="796">
        <v>0</v>
      </c>
      <c r="BG467" s="796">
        <v>0</v>
      </c>
      <c r="BH467" s="796">
        <v>0</v>
      </c>
      <c r="BI467" s="796">
        <v>0</v>
      </c>
      <c r="BJ467" s="796">
        <v>0</v>
      </c>
      <c r="BK467" s="796">
        <v>0</v>
      </c>
      <c r="BL467" s="796">
        <v>0</v>
      </c>
      <c r="BM467" s="796">
        <v>0</v>
      </c>
      <c r="BN467" s="796">
        <v>0</v>
      </c>
      <c r="BO467" s="796">
        <v>0</v>
      </c>
      <c r="BP467" s="796">
        <v>0</v>
      </c>
      <c r="BQ467" s="796">
        <v>0</v>
      </c>
      <c r="BR467" s="796">
        <v>0</v>
      </c>
      <c r="BS467" s="796">
        <v>0</v>
      </c>
      <c r="BT467" s="810">
        <v>10000</v>
      </c>
      <c r="BU467" s="796">
        <v>0</v>
      </c>
      <c r="BV467" s="796">
        <v>0</v>
      </c>
    </row>
    <row r="468" spans="2:74">
      <c r="B468" s="795" t="s">
        <v>3387</v>
      </c>
      <c r="C468" s="795" t="s">
        <v>3388</v>
      </c>
      <c r="D468" s="795"/>
      <c r="E468" s="796"/>
      <c r="F468" s="799"/>
      <c r="G468" s="799"/>
      <c r="H468" s="799"/>
      <c r="I468" s="799"/>
      <c r="J468" s="799"/>
      <c r="K468" s="799"/>
      <c r="L468" s="799"/>
      <c r="M468" s="799"/>
      <c r="N468" s="595"/>
      <c r="O468" s="794">
        <v>0</v>
      </c>
      <c r="P468" s="794">
        <v>0</v>
      </c>
      <c r="Q468" s="794">
        <v>0</v>
      </c>
      <c r="R468" s="794">
        <v>0</v>
      </c>
      <c r="S468" s="796">
        <v>0</v>
      </c>
      <c r="T468" s="796">
        <v>0</v>
      </c>
      <c r="U468" s="796">
        <v>0</v>
      </c>
      <c r="V468" s="796">
        <v>0</v>
      </c>
      <c r="W468" s="796">
        <v>0</v>
      </c>
      <c r="X468" s="796">
        <v>0</v>
      </c>
      <c r="Y468" s="796">
        <v>0</v>
      </c>
      <c r="Z468" s="796">
        <v>0</v>
      </c>
      <c r="AA468" s="796">
        <v>0</v>
      </c>
      <c r="AB468" s="796">
        <v>0</v>
      </c>
      <c r="AC468" s="796">
        <v>0</v>
      </c>
      <c r="AD468" s="796">
        <v>0</v>
      </c>
      <c r="AE468" s="796">
        <v>0</v>
      </c>
      <c r="AF468" s="796">
        <v>0</v>
      </c>
      <c r="AG468" s="796">
        <v>0</v>
      </c>
      <c r="AH468" s="796">
        <v>0</v>
      </c>
      <c r="AI468" s="796">
        <v>0</v>
      </c>
      <c r="AJ468" s="796">
        <v>0</v>
      </c>
      <c r="AK468" s="796">
        <v>0</v>
      </c>
      <c r="AL468" s="796">
        <v>0</v>
      </c>
      <c r="AM468" s="796">
        <v>0</v>
      </c>
      <c r="AN468" s="796">
        <v>0</v>
      </c>
      <c r="AO468" s="796">
        <v>0</v>
      </c>
      <c r="AP468" s="796">
        <v>0</v>
      </c>
      <c r="AQ468" s="796">
        <v>0</v>
      </c>
      <c r="AR468" s="796">
        <v>0</v>
      </c>
      <c r="AS468" s="796">
        <v>0</v>
      </c>
      <c r="AT468" s="796">
        <v>0</v>
      </c>
      <c r="AU468" s="796">
        <v>0</v>
      </c>
      <c r="AV468" s="796">
        <v>0</v>
      </c>
      <c r="AW468" s="796">
        <v>0</v>
      </c>
      <c r="AX468" s="796">
        <v>0</v>
      </c>
      <c r="AY468" s="796">
        <v>0</v>
      </c>
      <c r="AZ468" s="796">
        <v>0</v>
      </c>
      <c r="BA468" s="796">
        <v>0</v>
      </c>
      <c r="BB468" s="796">
        <v>0</v>
      </c>
      <c r="BC468" s="796">
        <v>0</v>
      </c>
      <c r="BD468" s="796">
        <v>0</v>
      </c>
      <c r="BE468" s="796">
        <v>0</v>
      </c>
      <c r="BF468" s="796">
        <v>0</v>
      </c>
      <c r="BG468" s="796">
        <v>0</v>
      </c>
      <c r="BH468" s="796">
        <v>0</v>
      </c>
      <c r="BI468" s="796">
        <v>0</v>
      </c>
      <c r="BJ468" s="796">
        <v>0</v>
      </c>
      <c r="BK468" s="796">
        <v>0</v>
      </c>
      <c r="BL468" s="796">
        <v>0</v>
      </c>
      <c r="BM468" s="796">
        <v>0</v>
      </c>
      <c r="BN468" s="796">
        <v>0</v>
      </c>
      <c r="BO468" s="796">
        <v>0</v>
      </c>
      <c r="BP468" s="796">
        <v>0</v>
      </c>
      <c r="BQ468" s="796">
        <v>0</v>
      </c>
      <c r="BR468" s="796">
        <v>0</v>
      </c>
      <c r="BS468" s="796">
        <v>0</v>
      </c>
      <c r="BT468" s="810">
        <v>31000</v>
      </c>
      <c r="BU468" s="796">
        <v>0</v>
      </c>
      <c r="BV468" s="796">
        <v>0</v>
      </c>
    </row>
    <row r="469" spans="2:74">
      <c r="B469" s="795" t="s">
        <v>3391</v>
      </c>
      <c r="C469" s="795" t="s">
        <v>3392</v>
      </c>
      <c r="D469" s="795"/>
      <c r="E469" s="796"/>
      <c r="F469" s="799"/>
      <c r="G469" s="799"/>
      <c r="H469" s="799"/>
      <c r="I469" s="799"/>
      <c r="J469" s="799"/>
      <c r="K469" s="799"/>
      <c r="L469" s="799"/>
      <c r="M469" s="799"/>
      <c r="N469" s="595"/>
      <c r="O469" s="794">
        <v>0</v>
      </c>
      <c r="P469" s="794">
        <v>0</v>
      </c>
      <c r="Q469" s="794">
        <v>0</v>
      </c>
      <c r="R469" s="794">
        <v>0</v>
      </c>
      <c r="S469" s="796">
        <v>0</v>
      </c>
      <c r="T469" s="796">
        <v>0</v>
      </c>
      <c r="U469" s="796">
        <v>0</v>
      </c>
      <c r="V469" s="796">
        <v>0</v>
      </c>
      <c r="W469" s="796">
        <v>0</v>
      </c>
      <c r="X469" s="796">
        <v>0</v>
      </c>
      <c r="Y469" s="796">
        <v>0</v>
      </c>
      <c r="Z469" s="796">
        <v>0</v>
      </c>
      <c r="AA469" s="796">
        <v>0</v>
      </c>
      <c r="AB469" s="796">
        <v>0</v>
      </c>
      <c r="AC469" s="796">
        <v>0</v>
      </c>
      <c r="AD469" s="796">
        <v>0</v>
      </c>
      <c r="AE469" s="796">
        <v>0</v>
      </c>
      <c r="AF469" s="796">
        <v>0</v>
      </c>
      <c r="AG469" s="796">
        <v>0</v>
      </c>
      <c r="AH469" s="796">
        <v>0</v>
      </c>
      <c r="AI469" s="796">
        <v>0</v>
      </c>
      <c r="AJ469" s="796">
        <v>0</v>
      </c>
      <c r="AK469" s="796">
        <v>0</v>
      </c>
      <c r="AL469" s="796">
        <v>0</v>
      </c>
      <c r="AM469" s="796">
        <v>0</v>
      </c>
      <c r="AN469" s="796">
        <v>0</v>
      </c>
      <c r="AO469" s="796">
        <v>0</v>
      </c>
      <c r="AP469" s="796">
        <v>0</v>
      </c>
      <c r="AQ469" s="796">
        <v>0</v>
      </c>
      <c r="AR469" s="796">
        <v>0</v>
      </c>
      <c r="AS469" s="796">
        <v>0</v>
      </c>
      <c r="AT469" s="796">
        <v>0</v>
      </c>
      <c r="AU469" s="796">
        <v>0</v>
      </c>
      <c r="AV469" s="796">
        <v>0</v>
      </c>
      <c r="AW469" s="796">
        <v>0</v>
      </c>
      <c r="AX469" s="796">
        <v>0</v>
      </c>
      <c r="AY469" s="796">
        <v>0</v>
      </c>
      <c r="AZ469" s="796">
        <v>0</v>
      </c>
      <c r="BA469" s="796">
        <v>0</v>
      </c>
      <c r="BB469" s="796">
        <v>0</v>
      </c>
      <c r="BC469" s="796">
        <v>0</v>
      </c>
      <c r="BD469" s="796">
        <v>0</v>
      </c>
      <c r="BE469" s="796">
        <v>0</v>
      </c>
      <c r="BF469" s="796">
        <v>0</v>
      </c>
      <c r="BG469" s="796">
        <v>0</v>
      </c>
      <c r="BH469" s="796">
        <v>0</v>
      </c>
      <c r="BI469" s="796">
        <v>0</v>
      </c>
      <c r="BJ469" s="796">
        <v>0</v>
      </c>
      <c r="BK469" s="796">
        <v>0</v>
      </c>
      <c r="BL469" s="796">
        <v>0</v>
      </c>
      <c r="BM469" s="796">
        <v>0</v>
      </c>
      <c r="BN469" s="796">
        <v>0</v>
      </c>
      <c r="BO469" s="796">
        <v>0</v>
      </c>
      <c r="BP469" s="796">
        <v>0</v>
      </c>
      <c r="BQ469" s="796">
        <v>0</v>
      </c>
      <c r="BR469" s="796">
        <v>0</v>
      </c>
      <c r="BS469" s="796">
        <v>0</v>
      </c>
      <c r="BT469" s="810">
        <v>39808.370000000003</v>
      </c>
      <c r="BU469" s="796">
        <v>0</v>
      </c>
      <c r="BV469" s="796">
        <v>0</v>
      </c>
    </row>
    <row r="470" spans="2:74">
      <c r="B470" s="795" t="s">
        <v>846</v>
      </c>
      <c r="C470" s="795" t="s">
        <v>3351</v>
      </c>
      <c r="D470" s="795"/>
      <c r="E470" s="796"/>
      <c r="F470" s="799"/>
      <c r="G470" s="799"/>
      <c r="H470" s="799"/>
      <c r="I470" s="799"/>
      <c r="J470" s="799"/>
      <c r="K470" s="799"/>
      <c r="L470" s="799"/>
      <c r="M470" s="799"/>
      <c r="N470" s="595"/>
      <c r="O470" s="794">
        <v>0</v>
      </c>
      <c r="P470" s="794">
        <v>0</v>
      </c>
      <c r="Q470" s="794">
        <v>0</v>
      </c>
      <c r="R470" s="794">
        <v>0</v>
      </c>
      <c r="S470" s="796">
        <v>0</v>
      </c>
      <c r="T470" s="796">
        <v>0</v>
      </c>
      <c r="U470" s="796">
        <v>0</v>
      </c>
      <c r="V470" s="796">
        <v>0</v>
      </c>
      <c r="W470" s="796">
        <v>0</v>
      </c>
      <c r="X470" s="796">
        <v>0</v>
      </c>
      <c r="Y470" s="796">
        <v>0</v>
      </c>
      <c r="Z470" s="796">
        <v>0</v>
      </c>
      <c r="AA470" s="796">
        <v>0</v>
      </c>
      <c r="AB470" s="796">
        <v>0</v>
      </c>
      <c r="AC470" s="796">
        <v>0</v>
      </c>
      <c r="AD470" s="796">
        <v>0</v>
      </c>
      <c r="AE470" s="796">
        <v>0</v>
      </c>
      <c r="AF470" s="796">
        <v>0</v>
      </c>
      <c r="AG470" s="796">
        <v>0</v>
      </c>
      <c r="AH470" s="796">
        <v>0</v>
      </c>
      <c r="AI470" s="796">
        <v>0</v>
      </c>
      <c r="AJ470" s="796">
        <v>0</v>
      </c>
      <c r="AK470" s="796">
        <v>0</v>
      </c>
      <c r="AL470" s="796">
        <v>0</v>
      </c>
      <c r="AM470" s="796">
        <v>0</v>
      </c>
      <c r="AN470" s="796">
        <v>0</v>
      </c>
      <c r="AO470" s="796">
        <v>0</v>
      </c>
      <c r="AP470" s="796">
        <v>0</v>
      </c>
      <c r="AQ470" s="796">
        <v>0</v>
      </c>
      <c r="AR470" s="796">
        <v>0</v>
      </c>
      <c r="AS470" s="796">
        <v>0</v>
      </c>
      <c r="AT470" s="796">
        <v>0</v>
      </c>
      <c r="AU470" s="796">
        <v>0</v>
      </c>
      <c r="AV470" s="796">
        <v>0</v>
      </c>
      <c r="AW470" s="796">
        <v>0</v>
      </c>
      <c r="AX470" s="796">
        <v>0</v>
      </c>
      <c r="AY470" s="796">
        <v>0</v>
      </c>
      <c r="AZ470" s="796">
        <v>0</v>
      </c>
      <c r="BA470" s="796">
        <v>0</v>
      </c>
      <c r="BB470" s="796">
        <v>0</v>
      </c>
      <c r="BC470" s="796">
        <v>0</v>
      </c>
      <c r="BD470" s="796">
        <v>0</v>
      </c>
      <c r="BE470" s="796">
        <v>0</v>
      </c>
      <c r="BF470" s="796">
        <v>0</v>
      </c>
      <c r="BG470" s="796">
        <v>0</v>
      </c>
      <c r="BH470" s="796">
        <v>0</v>
      </c>
      <c r="BI470" s="796">
        <v>0</v>
      </c>
      <c r="BJ470" s="796">
        <v>0</v>
      </c>
      <c r="BK470" s="796">
        <v>0</v>
      </c>
      <c r="BL470" s="796">
        <v>0</v>
      </c>
      <c r="BM470" s="796">
        <v>0</v>
      </c>
      <c r="BN470" s="796">
        <v>0</v>
      </c>
      <c r="BO470" s="796">
        <v>0</v>
      </c>
      <c r="BP470" s="796">
        <v>0</v>
      </c>
      <c r="BQ470" s="796">
        <v>0</v>
      </c>
      <c r="BR470" s="796">
        <v>0</v>
      </c>
      <c r="BS470" s="796">
        <v>0</v>
      </c>
      <c r="BT470" s="796">
        <v>0</v>
      </c>
      <c r="BU470" s="810">
        <v>65652.62</v>
      </c>
      <c r="BV470" s="796">
        <v>145499.9</v>
      </c>
    </row>
    <row r="471" spans="2:74">
      <c r="B471" s="795" t="s">
        <v>3398</v>
      </c>
      <c r="C471" s="795" t="s">
        <v>3399</v>
      </c>
      <c r="D471" s="795"/>
      <c r="E471" s="796"/>
      <c r="F471" s="799"/>
      <c r="G471" s="799"/>
      <c r="H471" s="799"/>
      <c r="I471" s="799"/>
      <c r="J471" s="799"/>
      <c r="K471" s="799"/>
      <c r="L471" s="799"/>
      <c r="M471" s="799"/>
      <c r="N471" s="595"/>
      <c r="O471" s="794">
        <v>0</v>
      </c>
      <c r="P471" s="794">
        <v>0</v>
      </c>
      <c r="Q471" s="794">
        <v>0</v>
      </c>
      <c r="R471" s="794">
        <v>0</v>
      </c>
      <c r="S471" s="796">
        <v>0</v>
      </c>
      <c r="T471" s="796">
        <v>0</v>
      </c>
      <c r="U471" s="796">
        <v>0</v>
      </c>
      <c r="V471" s="796">
        <v>0</v>
      </c>
      <c r="W471" s="796">
        <v>0</v>
      </c>
      <c r="X471" s="796">
        <v>0</v>
      </c>
      <c r="Y471" s="796">
        <v>0</v>
      </c>
      <c r="Z471" s="796">
        <v>0</v>
      </c>
      <c r="AA471" s="796">
        <v>0</v>
      </c>
      <c r="AB471" s="796">
        <v>0</v>
      </c>
      <c r="AC471" s="796">
        <v>0</v>
      </c>
      <c r="AD471" s="796">
        <v>0</v>
      </c>
      <c r="AE471" s="796">
        <v>0</v>
      </c>
      <c r="AF471" s="796">
        <v>0</v>
      </c>
      <c r="AG471" s="796">
        <v>0</v>
      </c>
      <c r="AH471" s="796">
        <v>0</v>
      </c>
      <c r="AI471" s="796">
        <v>0</v>
      </c>
      <c r="AJ471" s="796">
        <v>0</v>
      </c>
      <c r="AK471" s="796">
        <v>0</v>
      </c>
      <c r="AL471" s="796">
        <v>0</v>
      </c>
      <c r="AM471" s="796">
        <v>0</v>
      </c>
      <c r="AN471" s="796">
        <v>0</v>
      </c>
      <c r="AO471" s="796">
        <v>0</v>
      </c>
      <c r="AP471" s="796">
        <v>0</v>
      </c>
      <c r="AQ471" s="796">
        <v>0</v>
      </c>
      <c r="AR471" s="796">
        <v>0</v>
      </c>
      <c r="AS471" s="796">
        <v>0</v>
      </c>
      <c r="AT471" s="796">
        <v>0</v>
      </c>
      <c r="AU471" s="796">
        <v>0</v>
      </c>
      <c r="AV471" s="796">
        <v>0</v>
      </c>
      <c r="AW471" s="796">
        <v>0</v>
      </c>
      <c r="AX471" s="796">
        <v>0</v>
      </c>
      <c r="AY471" s="796">
        <v>0</v>
      </c>
      <c r="AZ471" s="796">
        <v>0</v>
      </c>
      <c r="BA471" s="796">
        <v>0</v>
      </c>
      <c r="BB471" s="796">
        <v>0</v>
      </c>
      <c r="BC471" s="796">
        <v>0</v>
      </c>
      <c r="BD471" s="796">
        <v>0</v>
      </c>
      <c r="BE471" s="796">
        <v>0</v>
      </c>
      <c r="BF471" s="796">
        <v>0</v>
      </c>
      <c r="BG471" s="796">
        <v>0</v>
      </c>
      <c r="BH471" s="796">
        <v>0</v>
      </c>
      <c r="BI471" s="796">
        <v>0</v>
      </c>
      <c r="BJ471" s="796">
        <v>0</v>
      </c>
      <c r="BK471" s="796">
        <v>0</v>
      </c>
      <c r="BL471" s="796">
        <v>0</v>
      </c>
      <c r="BM471" s="796">
        <v>0</v>
      </c>
      <c r="BN471" s="796">
        <v>0</v>
      </c>
      <c r="BO471" s="796">
        <v>0</v>
      </c>
      <c r="BP471" s="796">
        <v>0</v>
      </c>
      <c r="BQ471" s="796">
        <v>0</v>
      </c>
      <c r="BR471" s="796">
        <v>0</v>
      </c>
      <c r="BS471" s="796">
        <v>0</v>
      </c>
      <c r="BT471" s="796">
        <v>0</v>
      </c>
      <c r="BU471" s="810">
        <v>6633.99</v>
      </c>
      <c r="BV471" s="796">
        <v>0</v>
      </c>
    </row>
    <row r="472" spans="2:74">
      <c r="B472" s="795" t="s">
        <v>3400</v>
      </c>
      <c r="C472" s="795" t="s">
        <v>2933</v>
      </c>
      <c r="D472" s="795"/>
      <c r="E472" s="796"/>
      <c r="F472" s="799"/>
      <c r="G472" s="799"/>
      <c r="H472" s="799"/>
      <c r="I472" s="799"/>
      <c r="J472" s="799"/>
      <c r="K472" s="799"/>
      <c r="L472" s="799"/>
      <c r="M472" s="799"/>
      <c r="N472" s="595"/>
      <c r="O472" s="794">
        <v>0</v>
      </c>
      <c r="P472" s="794">
        <v>0</v>
      </c>
      <c r="Q472" s="794">
        <v>0</v>
      </c>
      <c r="R472" s="794">
        <v>0</v>
      </c>
      <c r="S472" s="796">
        <v>0</v>
      </c>
      <c r="T472" s="796">
        <v>0</v>
      </c>
      <c r="U472" s="796">
        <v>0</v>
      </c>
      <c r="V472" s="796">
        <v>0</v>
      </c>
      <c r="W472" s="796">
        <v>0</v>
      </c>
      <c r="X472" s="796">
        <v>0</v>
      </c>
      <c r="Y472" s="796">
        <v>0</v>
      </c>
      <c r="Z472" s="796">
        <v>0</v>
      </c>
      <c r="AA472" s="796">
        <v>0</v>
      </c>
      <c r="AB472" s="796">
        <v>0</v>
      </c>
      <c r="AC472" s="796">
        <v>0</v>
      </c>
      <c r="AD472" s="796">
        <v>0</v>
      </c>
      <c r="AE472" s="796">
        <v>0</v>
      </c>
      <c r="AF472" s="796">
        <v>0</v>
      </c>
      <c r="AG472" s="796">
        <v>0</v>
      </c>
      <c r="AH472" s="796">
        <v>0</v>
      </c>
      <c r="AI472" s="796">
        <v>0</v>
      </c>
      <c r="AJ472" s="796">
        <v>0</v>
      </c>
      <c r="AK472" s="796">
        <v>0</v>
      </c>
      <c r="AL472" s="796">
        <v>0</v>
      </c>
      <c r="AM472" s="796">
        <v>0</v>
      </c>
      <c r="AN472" s="796">
        <v>0</v>
      </c>
      <c r="AO472" s="796">
        <v>0</v>
      </c>
      <c r="AP472" s="796">
        <v>0</v>
      </c>
      <c r="AQ472" s="796">
        <v>0</v>
      </c>
      <c r="AR472" s="796">
        <v>0</v>
      </c>
      <c r="AS472" s="796">
        <v>0</v>
      </c>
      <c r="AT472" s="796">
        <v>0</v>
      </c>
      <c r="AU472" s="796">
        <v>0</v>
      </c>
      <c r="AV472" s="796">
        <v>0</v>
      </c>
      <c r="AW472" s="796">
        <v>0</v>
      </c>
      <c r="AX472" s="796">
        <v>0</v>
      </c>
      <c r="AY472" s="796">
        <v>0</v>
      </c>
      <c r="AZ472" s="796">
        <v>0</v>
      </c>
      <c r="BA472" s="796">
        <v>0</v>
      </c>
      <c r="BB472" s="796">
        <v>0</v>
      </c>
      <c r="BC472" s="796">
        <v>0</v>
      </c>
      <c r="BD472" s="796">
        <v>0</v>
      </c>
      <c r="BE472" s="796">
        <v>0</v>
      </c>
      <c r="BF472" s="796">
        <v>0</v>
      </c>
      <c r="BG472" s="796">
        <v>0</v>
      </c>
      <c r="BH472" s="796">
        <v>0</v>
      </c>
      <c r="BI472" s="796">
        <v>0</v>
      </c>
      <c r="BJ472" s="796">
        <v>0</v>
      </c>
      <c r="BK472" s="796">
        <v>0</v>
      </c>
      <c r="BL472" s="796">
        <v>0</v>
      </c>
      <c r="BM472" s="796">
        <v>0</v>
      </c>
      <c r="BN472" s="796">
        <v>0</v>
      </c>
      <c r="BO472" s="796">
        <v>0</v>
      </c>
      <c r="BP472" s="796">
        <v>0</v>
      </c>
      <c r="BQ472" s="796">
        <v>0</v>
      </c>
      <c r="BR472" s="796">
        <v>0</v>
      </c>
      <c r="BS472" s="796">
        <v>0</v>
      </c>
      <c r="BT472" s="796">
        <v>0</v>
      </c>
      <c r="BU472" s="810">
        <v>34151.269999999997</v>
      </c>
      <c r="BV472" s="796">
        <v>0</v>
      </c>
    </row>
    <row r="473" spans="2:74">
      <c r="B473" s="795" t="s">
        <v>3401</v>
      </c>
      <c r="C473" s="795" t="s">
        <v>1814</v>
      </c>
      <c r="D473" s="795"/>
      <c r="E473" s="796"/>
      <c r="F473" s="799"/>
      <c r="G473" s="799"/>
      <c r="H473" s="799"/>
      <c r="I473" s="799"/>
      <c r="J473" s="799"/>
      <c r="K473" s="799"/>
      <c r="L473" s="799"/>
      <c r="M473" s="799"/>
      <c r="N473" s="595"/>
      <c r="O473" s="794">
        <v>0</v>
      </c>
      <c r="P473" s="794">
        <v>0</v>
      </c>
      <c r="Q473" s="794">
        <v>0</v>
      </c>
      <c r="R473" s="794">
        <v>0</v>
      </c>
      <c r="S473" s="796">
        <v>0</v>
      </c>
      <c r="T473" s="796">
        <v>0</v>
      </c>
      <c r="U473" s="796">
        <v>0</v>
      </c>
      <c r="V473" s="796">
        <v>0</v>
      </c>
      <c r="W473" s="796">
        <v>0</v>
      </c>
      <c r="X473" s="796">
        <v>0</v>
      </c>
      <c r="Y473" s="796">
        <v>0</v>
      </c>
      <c r="Z473" s="796">
        <v>0</v>
      </c>
      <c r="AA473" s="796">
        <v>0</v>
      </c>
      <c r="AB473" s="796">
        <v>0</v>
      </c>
      <c r="AC473" s="796">
        <v>0</v>
      </c>
      <c r="AD473" s="796">
        <v>0</v>
      </c>
      <c r="AE473" s="796">
        <v>0</v>
      </c>
      <c r="AF473" s="796">
        <v>0</v>
      </c>
      <c r="AG473" s="796">
        <v>0</v>
      </c>
      <c r="AH473" s="796">
        <v>0</v>
      </c>
      <c r="AI473" s="796">
        <v>0</v>
      </c>
      <c r="AJ473" s="796">
        <v>0</v>
      </c>
      <c r="AK473" s="796">
        <v>0</v>
      </c>
      <c r="AL473" s="796">
        <v>0</v>
      </c>
      <c r="AM473" s="796">
        <v>0</v>
      </c>
      <c r="AN473" s="796">
        <v>0</v>
      </c>
      <c r="AO473" s="796">
        <v>0</v>
      </c>
      <c r="AP473" s="796">
        <v>0</v>
      </c>
      <c r="AQ473" s="796">
        <v>0</v>
      </c>
      <c r="AR473" s="796">
        <v>0</v>
      </c>
      <c r="AS473" s="796">
        <v>0</v>
      </c>
      <c r="AT473" s="796">
        <v>0</v>
      </c>
      <c r="AU473" s="796">
        <v>0</v>
      </c>
      <c r="AV473" s="796">
        <v>0</v>
      </c>
      <c r="AW473" s="796">
        <v>0</v>
      </c>
      <c r="AX473" s="796">
        <v>0</v>
      </c>
      <c r="AY473" s="796">
        <v>0</v>
      </c>
      <c r="AZ473" s="796">
        <v>0</v>
      </c>
      <c r="BA473" s="796">
        <v>0</v>
      </c>
      <c r="BB473" s="796">
        <v>0</v>
      </c>
      <c r="BC473" s="796">
        <v>0</v>
      </c>
      <c r="BD473" s="796">
        <v>0</v>
      </c>
      <c r="BE473" s="796">
        <v>0</v>
      </c>
      <c r="BF473" s="796">
        <v>0</v>
      </c>
      <c r="BG473" s="796">
        <v>0</v>
      </c>
      <c r="BH473" s="796">
        <v>0</v>
      </c>
      <c r="BI473" s="796">
        <v>0</v>
      </c>
      <c r="BJ473" s="796">
        <v>0</v>
      </c>
      <c r="BK473" s="796">
        <v>0</v>
      </c>
      <c r="BL473" s="796">
        <v>0</v>
      </c>
      <c r="BM473" s="796">
        <v>0</v>
      </c>
      <c r="BN473" s="796">
        <v>0</v>
      </c>
      <c r="BO473" s="796">
        <v>0</v>
      </c>
      <c r="BP473" s="796">
        <v>0</v>
      </c>
      <c r="BQ473" s="796">
        <v>0</v>
      </c>
      <c r="BR473" s="796">
        <v>0</v>
      </c>
      <c r="BS473" s="796">
        <v>0</v>
      </c>
      <c r="BT473" s="796">
        <v>0</v>
      </c>
      <c r="BU473" s="810">
        <v>29530.31</v>
      </c>
      <c r="BV473" s="796">
        <v>0</v>
      </c>
    </row>
    <row r="474" spans="2:74">
      <c r="B474" s="795" t="s">
        <v>822</v>
      </c>
      <c r="C474" s="795" t="s">
        <v>2872</v>
      </c>
      <c r="D474" s="795"/>
      <c r="E474" s="796"/>
      <c r="F474" s="799"/>
      <c r="G474" s="799"/>
      <c r="H474" s="799"/>
      <c r="I474" s="799"/>
      <c r="J474" s="799"/>
      <c r="K474" s="799"/>
      <c r="L474" s="799"/>
      <c r="M474" s="799"/>
      <c r="N474" s="595"/>
      <c r="O474" s="794">
        <v>0</v>
      </c>
      <c r="P474" s="794">
        <v>0</v>
      </c>
      <c r="Q474" s="794">
        <v>0</v>
      </c>
      <c r="R474" s="794">
        <v>0</v>
      </c>
      <c r="S474" s="796">
        <v>0</v>
      </c>
      <c r="T474" s="796">
        <v>0</v>
      </c>
      <c r="U474" s="796">
        <v>0</v>
      </c>
      <c r="V474" s="796">
        <v>0</v>
      </c>
      <c r="W474" s="796">
        <v>0</v>
      </c>
      <c r="X474" s="796">
        <v>0</v>
      </c>
      <c r="Y474" s="796">
        <v>0</v>
      </c>
      <c r="Z474" s="796">
        <v>0</v>
      </c>
      <c r="AA474" s="796">
        <v>0</v>
      </c>
      <c r="AB474" s="796">
        <v>0</v>
      </c>
      <c r="AC474" s="796">
        <v>0</v>
      </c>
      <c r="AD474" s="796">
        <v>0</v>
      </c>
      <c r="AE474" s="796">
        <v>0</v>
      </c>
      <c r="AF474" s="796">
        <v>0</v>
      </c>
      <c r="AG474" s="796">
        <v>0</v>
      </c>
      <c r="AH474" s="796">
        <v>0</v>
      </c>
      <c r="AI474" s="796">
        <v>0</v>
      </c>
      <c r="AJ474" s="796">
        <v>0</v>
      </c>
      <c r="AK474" s="796">
        <v>0</v>
      </c>
      <c r="AL474" s="796">
        <v>0</v>
      </c>
      <c r="AM474" s="796">
        <v>0</v>
      </c>
      <c r="AN474" s="796">
        <v>0</v>
      </c>
      <c r="AO474" s="796">
        <v>0</v>
      </c>
      <c r="AP474" s="796">
        <v>0</v>
      </c>
      <c r="AQ474" s="796">
        <v>0</v>
      </c>
      <c r="AR474" s="796">
        <v>0</v>
      </c>
      <c r="AS474" s="796">
        <v>0</v>
      </c>
      <c r="AT474" s="796">
        <v>0</v>
      </c>
      <c r="AU474" s="796">
        <v>0</v>
      </c>
      <c r="AV474" s="796">
        <v>0</v>
      </c>
      <c r="AW474" s="796">
        <v>0</v>
      </c>
      <c r="AX474" s="796">
        <v>0</v>
      </c>
      <c r="AY474" s="796">
        <v>0</v>
      </c>
      <c r="AZ474" s="796">
        <v>0</v>
      </c>
      <c r="BA474" s="796">
        <v>0</v>
      </c>
      <c r="BB474" s="796">
        <v>0</v>
      </c>
      <c r="BC474" s="796">
        <v>0</v>
      </c>
      <c r="BD474" s="796">
        <v>0</v>
      </c>
      <c r="BE474" s="796">
        <v>0</v>
      </c>
      <c r="BF474" s="796">
        <v>0</v>
      </c>
      <c r="BG474" s="796">
        <v>0</v>
      </c>
      <c r="BH474" s="796">
        <v>0</v>
      </c>
      <c r="BI474" s="796">
        <v>0</v>
      </c>
      <c r="BJ474" s="796">
        <v>0</v>
      </c>
      <c r="BK474" s="796">
        <v>0</v>
      </c>
      <c r="BL474" s="796">
        <v>0</v>
      </c>
      <c r="BM474" s="796">
        <v>0</v>
      </c>
      <c r="BN474" s="796">
        <v>0</v>
      </c>
      <c r="BO474" s="796">
        <v>0</v>
      </c>
      <c r="BP474" s="796">
        <v>0</v>
      </c>
      <c r="BQ474" s="796">
        <v>0</v>
      </c>
      <c r="BR474" s="796">
        <v>0</v>
      </c>
      <c r="BS474" s="796">
        <v>0</v>
      </c>
      <c r="BT474" s="796">
        <v>0</v>
      </c>
      <c r="BU474" s="796">
        <v>0</v>
      </c>
      <c r="BV474" s="810">
        <v>178225.2</v>
      </c>
    </row>
    <row r="475" spans="2:74">
      <c r="B475" s="795" t="s">
        <v>800</v>
      </c>
      <c r="C475" s="795" t="s">
        <v>3402</v>
      </c>
      <c r="D475" s="795"/>
      <c r="E475" s="796"/>
      <c r="F475" s="799"/>
      <c r="G475" s="799"/>
      <c r="H475" s="799"/>
      <c r="I475" s="799"/>
      <c r="J475" s="799"/>
      <c r="K475" s="799"/>
      <c r="L475" s="799"/>
      <c r="M475" s="799"/>
      <c r="N475" s="595"/>
      <c r="O475" s="794">
        <v>0</v>
      </c>
      <c r="P475" s="794">
        <v>0</v>
      </c>
      <c r="Q475" s="794">
        <v>0</v>
      </c>
      <c r="R475" s="794">
        <v>0</v>
      </c>
      <c r="S475" s="796">
        <v>0</v>
      </c>
      <c r="T475" s="796">
        <v>0</v>
      </c>
      <c r="U475" s="796">
        <v>0</v>
      </c>
      <c r="V475" s="796">
        <v>0</v>
      </c>
      <c r="W475" s="796">
        <v>0</v>
      </c>
      <c r="X475" s="796">
        <v>0</v>
      </c>
      <c r="Y475" s="796">
        <v>0</v>
      </c>
      <c r="Z475" s="796">
        <v>0</v>
      </c>
      <c r="AA475" s="796">
        <v>0</v>
      </c>
      <c r="AB475" s="796">
        <v>0</v>
      </c>
      <c r="AC475" s="796">
        <v>0</v>
      </c>
      <c r="AD475" s="796">
        <v>0</v>
      </c>
      <c r="AE475" s="796">
        <v>0</v>
      </c>
      <c r="AF475" s="796">
        <v>0</v>
      </c>
      <c r="AG475" s="796">
        <v>0</v>
      </c>
      <c r="AH475" s="796">
        <v>0</v>
      </c>
      <c r="AI475" s="796">
        <v>0</v>
      </c>
      <c r="AJ475" s="796">
        <v>0</v>
      </c>
      <c r="AK475" s="796">
        <v>0</v>
      </c>
      <c r="AL475" s="796">
        <v>0</v>
      </c>
      <c r="AM475" s="796">
        <v>0</v>
      </c>
      <c r="AN475" s="796">
        <v>0</v>
      </c>
      <c r="AO475" s="796">
        <v>0</v>
      </c>
      <c r="AP475" s="796">
        <v>0</v>
      </c>
      <c r="AQ475" s="796">
        <v>0</v>
      </c>
      <c r="AR475" s="796">
        <v>0</v>
      </c>
      <c r="AS475" s="796">
        <v>0</v>
      </c>
      <c r="AT475" s="796">
        <v>0</v>
      </c>
      <c r="AU475" s="796">
        <v>0</v>
      </c>
      <c r="AV475" s="796">
        <v>0</v>
      </c>
      <c r="AW475" s="796">
        <v>0</v>
      </c>
      <c r="AX475" s="796">
        <v>0</v>
      </c>
      <c r="AY475" s="796">
        <v>0</v>
      </c>
      <c r="AZ475" s="796">
        <v>0</v>
      </c>
      <c r="BA475" s="796">
        <v>0</v>
      </c>
      <c r="BB475" s="796">
        <v>0</v>
      </c>
      <c r="BC475" s="796">
        <v>0</v>
      </c>
      <c r="BD475" s="796">
        <v>0</v>
      </c>
      <c r="BE475" s="796">
        <v>0</v>
      </c>
      <c r="BF475" s="796">
        <v>0</v>
      </c>
      <c r="BG475" s="796">
        <v>0</v>
      </c>
      <c r="BH475" s="796">
        <v>0</v>
      </c>
      <c r="BI475" s="796">
        <v>0</v>
      </c>
      <c r="BJ475" s="796">
        <v>0</v>
      </c>
      <c r="BK475" s="796">
        <v>0</v>
      </c>
      <c r="BL475" s="796">
        <v>0</v>
      </c>
      <c r="BM475" s="796">
        <v>0</v>
      </c>
      <c r="BN475" s="796">
        <v>0</v>
      </c>
      <c r="BO475" s="796">
        <v>0</v>
      </c>
      <c r="BP475" s="796">
        <v>0</v>
      </c>
      <c r="BQ475" s="796">
        <v>0</v>
      </c>
      <c r="BR475" s="796">
        <v>0</v>
      </c>
      <c r="BS475" s="796">
        <v>0</v>
      </c>
      <c r="BT475" s="796">
        <v>0</v>
      </c>
      <c r="BU475" s="796">
        <v>0</v>
      </c>
      <c r="BV475" s="810">
        <v>49223</v>
      </c>
    </row>
    <row r="476" spans="2:74">
      <c r="B476" s="795" t="s">
        <v>3403</v>
      </c>
      <c r="C476" s="795" t="s">
        <v>3404</v>
      </c>
      <c r="D476" s="795"/>
      <c r="E476" s="796"/>
      <c r="F476" s="799"/>
      <c r="G476" s="799"/>
      <c r="H476" s="799"/>
      <c r="I476" s="799"/>
      <c r="J476" s="799"/>
      <c r="K476" s="799"/>
      <c r="L476" s="799"/>
      <c r="M476" s="799"/>
      <c r="N476" s="595"/>
      <c r="O476" s="794">
        <v>0</v>
      </c>
      <c r="P476" s="794">
        <v>0</v>
      </c>
      <c r="Q476" s="794">
        <v>0</v>
      </c>
      <c r="R476" s="794">
        <v>0</v>
      </c>
      <c r="S476" s="796">
        <v>0</v>
      </c>
      <c r="T476" s="796">
        <v>0</v>
      </c>
      <c r="U476" s="796">
        <v>0</v>
      </c>
      <c r="V476" s="796">
        <v>0</v>
      </c>
      <c r="W476" s="796">
        <v>0</v>
      </c>
      <c r="X476" s="796">
        <v>0</v>
      </c>
      <c r="Y476" s="796">
        <v>0</v>
      </c>
      <c r="Z476" s="796">
        <v>0</v>
      </c>
      <c r="AA476" s="796">
        <v>0</v>
      </c>
      <c r="AB476" s="796">
        <v>0</v>
      </c>
      <c r="AC476" s="796">
        <v>0</v>
      </c>
      <c r="AD476" s="796">
        <v>0</v>
      </c>
      <c r="AE476" s="796">
        <v>0</v>
      </c>
      <c r="AF476" s="796">
        <v>0</v>
      </c>
      <c r="AG476" s="796">
        <v>0</v>
      </c>
      <c r="AH476" s="796">
        <v>0</v>
      </c>
      <c r="AI476" s="796">
        <v>0</v>
      </c>
      <c r="AJ476" s="796">
        <v>0</v>
      </c>
      <c r="AK476" s="796">
        <v>0</v>
      </c>
      <c r="AL476" s="796">
        <v>0</v>
      </c>
      <c r="AM476" s="796">
        <v>0</v>
      </c>
      <c r="AN476" s="796">
        <v>0</v>
      </c>
      <c r="AO476" s="796">
        <v>0</v>
      </c>
      <c r="AP476" s="796">
        <v>0</v>
      </c>
      <c r="AQ476" s="796">
        <v>0</v>
      </c>
      <c r="AR476" s="796">
        <v>0</v>
      </c>
      <c r="AS476" s="796">
        <v>0</v>
      </c>
      <c r="AT476" s="796">
        <v>0</v>
      </c>
      <c r="AU476" s="796">
        <v>0</v>
      </c>
      <c r="AV476" s="796">
        <v>0</v>
      </c>
      <c r="AW476" s="796">
        <v>0</v>
      </c>
      <c r="AX476" s="796">
        <v>0</v>
      </c>
      <c r="AY476" s="796">
        <v>0</v>
      </c>
      <c r="AZ476" s="796">
        <v>0</v>
      </c>
      <c r="BA476" s="796">
        <v>0</v>
      </c>
      <c r="BB476" s="796">
        <v>0</v>
      </c>
      <c r="BC476" s="796">
        <v>0</v>
      </c>
      <c r="BD476" s="796">
        <v>0</v>
      </c>
      <c r="BE476" s="796">
        <v>0</v>
      </c>
      <c r="BF476" s="796">
        <v>0</v>
      </c>
      <c r="BG476" s="796">
        <v>0</v>
      </c>
      <c r="BH476" s="796">
        <v>0</v>
      </c>
      <c r="BI476" s="796">
        <v>0</v>
      </c>
      <c r="BJ476" s="796">
        <v>0</v>
      </c>
      <c r="BK476" s="796">
        <v>0</v>
      </c>
      <c r="BL476" s="796">
        <v>0</v>
      </c>
      <c r="BM476" s="796">
        <v>0</v>
      </c>
      <c r="BN476" s="796">
        <v>0</v>
      </c>
      <c r="BO476" s="796">
        <v>0</v>
      </c>
      <c r="BP476" s="796">
        <v>0</v>
      </c>
      <c r="BQ476" s="796">
        <v>0</v>
      </c>
      <c r="BR476" s="796">
        <v>0</v>
      </c>
      <c r="BS476" s="796">
        <v>0</v>
      </c>
      <c r="BT476" s="796">
        <v>0</v>
      </c>
      <c r="BU476" s="796">
        <v>0</v>
      </c>
      <c r="BV476" s="810">
        <v>14365.84</v>
      </c>
    </row>
    <row r="477" spans="2:74">
      <c r="B477" s="795" t="s">
        <v>3405</v>
      </c>
      <c r="C477" s="795" t="s">
        <v>3406</v>
      </c>
      <c r="D477" s="795"/>
      <c r="E477" s="796"/>
      <c r="F477" s="799"/>
      <c r="G477" s="799"/>
      <c r="H477" s="799"/>
      <c r="I477" s="799"/>
      <c r="J477" s="799"/>
      <c r="K477" s="799"/>
      <c r="L477" s="799"/>
      <c r="M477" s="799"/>
      <c r="N477" s="595"/>
      <c r="O477" s="794">
        <v>0</v>
      </c>
      <c r="P477" s="794">
        <v>0</v>
      </c>
      <c r="Q477" s="794">
        <v>0</v>
      </c>
      <c r="R477" s="794">
        <v>0</v>
      </c>
      <c r="S477" s="796">
        <v>0</v>
      </c>
      <c r="T477" s="796">
        <v>0</v>
      </c>
      <c r="U477" s="796">
        <v>0</v>
      </c>
      <c r="V477" s="796">
        <v>0</v>
      </c>
      <c r="W477" s="796">
        <v>0</v>
      </c>
      <c r="X477" s="796">
        <v>0</v>
      </c>
      <c r="Y477" s="796">
        <v>0</v>
      </c>
      <c r="Z477" s="796">
        <v>0</v>
      </c>
      <c r="AA477" s="796">
        <v>0</v>
      </c>
      <c r="AB477" s="796">
        <v>0</v>
      </c>
      <c r="AC477" s="796">
        <v>0</v>
      </c>
      <c r="AD477" s="796">
        <v>0</v>
      </c>
      <c r="AE477" s="796">
        <v>0</v>
      </c>
      <c r="AF477" s="796">
        <v>0</v>
      </c>
      <c r="AG477" s="796">
        <v>0</v>
      </c>
      <c r="AH477" s="796">
        <v>0</v>
      </c>
      <c r="AI477" s="796">
        <v>0</v>
      </c>
      <c r="AJ477" s="796">
        <v>0</v>
      </c>
      <c r="AK477" s="796">
        <v>0</v>
      </c>
      <c r="AL477" s="796">
        <v>0</v>
      </c>
      <c r="AM477" s="796">
        <v>0</v>
      </c>
      <c r="AN477" s="796">
        <v>0</v>
      </c>
      <c r="AO477" s="796">
        <v>0</v>
      </c>
      <c r="AP477" s="796">
        <v>0</v>
      </c>
      <c r="AQ477" s="796">
        <v>0</v>
      </c>
      <c r="AR477" s="796">
        <v>0</v>
      </c>
      <c r="AS477" s="796">
        <v>0</v>
      </c>
      <c r="AT477" s="796">
        <v>0</v>
      </c>
      <c r="AU477" s="796">
        <v>0</v>
      </c>
      <c r="AV477" s="796">
        <v>0</v>
      </c>
      <c r="AW477" s="796">
        <v>0</v>
      </c>
      <c r="AX477" s="796">
        <v>0</v>
      </c>
      <c r="AY477" s="796">
        <v>0</v>
      </c>
      <c r="AZ477" s="796">
        <v>0</v>
      </c>
      <c r="BA477" s="796">
        <v>0</v>
      </c>
      <c r="BB477" s="796">
        <v>0</v>
      </c>
      <c r="BC477" s="796">
        <v>0</v>
      </c>
      <c r="BD477" s="796">
        <v>0</v>
      </c>
      <c r="BE477" s="796">
        <v>0</v>
      </c>
      <c r="BF477" s="796">
        <v>0</v>
      </c>
      <c r="BG477" s="796">
        <v>0</v>
      </c>
      <c r="BH477" s="796">
        <v>0</v>
      </c>
      <c r="BI477" s="796">
        <v>0</v>
      </c>
      <c r="BJ477" s="796">
        <v>0</v>
      </c>
      <c r="BK477" s="796">
        <v>0</v>
      </c>
      <c r="BL477" s="796">
        <v>0</v>
      </c>
      <c r="BM477" s="796">
        <v>0</v>
      </c>
      <c r="BN477" s="796">
        <v>0</v>
      </c>
      <c r="BO477" s="796">
        <v>0</v>
      </c>
      <c r="BP477" s="796">
        <v>0</v>
      </c>
      <c r="BQ477" s="796">
        <v>0</v>
      </c>
      <c r="BR477" s="796">
        <v>0</v>
      </c>
      <c r="BS477" s="796">
        <v>0</v>
      </c>
      <c r="BT477" s="796">
        <v>0</v>
      </c>
      <c r="BU477" s="796">
        <v>0</v>
      </c>
      <c r="BV477" s="810">
        <v>6279.78</v>
      </c>
    </row>
    <row r="478" spans="2:74">
      <c r="B478" s="795" t="s">
        <v>3408</v>
      </c>
      <c r="C478" s="795" t="s">
        <v>3108</v>
      </c>
      <c r="D478" s="795"/>
      <c r="E478" s="796"/>
      <c r="F478" s="799"/>
      <c r="G478" s="799"/>
      <c r="H478" s="799"/>
      <c r="I478" s="799"/>
      <c r="J478" s="799"/>
      <c r="K478" s="799"/>
      <c r="L478" s="799"/>
      <c r="M478" s="799"/>
      <c r="N478" s="595"/>
      <c r="O478" s="794">
        <v>0</v>
      </c>
      <c r="P478" s="794">
        <v>0</v>
      </c>
      <c r="Q478" s="794">
        <v>0</v>
      </c>
      <c r="R478" s="794">
        <v>0</v>
      </c>
      <c r="S478" s="796">
        <v>0</v>
      </c>
      <c r="T478" s="796">
        <v>0</v>
      </c>
      <c r="U478" s="796">
        <v>0</v>
      </c>
      <c r="V478" s="796">
        <v>0</v>
      </c>
      <c r="W478" s="796">
        <v>0</v>
      </c>
      <c r="X478" s="796">
        <v>0</v>
      </c>
      <c r="Y478" s="796">
        <v>0</v>
      </c>
      <c r="Z478" s="796">
        <v>0</v>
      </c>
      <c r="AA478" s="796">
        <v>0</v>
      </c>
      <c r="AB478" s="796">
        <v>0</v>
      </c>
      <c r="AC478" s="796">
        <v>0</v>
      </c>
      <c r="AD478" s="796">
        <v>0</v>
      </c>
      <c r="AE478" s="796">
        <v>0</v>
      </c>
      <c r="AF478" s="796">
        <v>0</v>
      </c>
      <c r="AG478" s="796">
        <v>0</v>
      </c>
      <c r="AH478" s="796">
        <v>0</v>
      </c>
      <c r="AI478" s="796">
        <v>0</v>
      </c>
      <c r="AJ478" s="796">
        <v>0</v>
      </c>
      <c r="AK478" s="796">
        <v>0</v>
      </c>
      <c r="AL478" s="796">
        <v>0</v>
      </c>
      <c r="AM478" s="796">
        <v>0</v>
      </c>
      <c r="AN478" s="796">
        <v>0</v>
      </c>
      <c r="AO478" s="796">
        <v>0</v>
      </c>
      <c r="AP478" s="796">
        <v>0</v>
      </c>
      <c r="AQ478" s="796">
        <v>0</v>
      </c>
      <c r="AR478" s="796">
        <v>0</v>
      </c>
      <c r="AS478" s="796">
        <v>0</v>
      </c>
      <c r="AT478" s="796">
        <v>0</v>
      </c>
      <c r="AU478" s="796">
        <v>0</v>
      </c>
      <c r="AV478" s="796">
        <v>0</v>
      </c>
      <c r="AW478" s="796">
        <v>0</v>
      </c>
      <c r="AX478" s="796">
        <v>0</v>
      </c>
      <c r="AY478" s="796">
        <v>0</v>
      </c>
      <c r="AZ478" s="796">
        <v>0</v>
      </c>
      <c r="BA478" s="796">
        <v>0</v>
      </c>
      <c r="BB478" s="796">
        <v>0</v>
      </c>
      <c r="BC478" s="796">
        <v>0</v>
      </c>
      <c r="BD478" s="796">
        <v>0</v>
      </c>
      <c r="BE478" s="796">
        <v>0</v>
      </c>
      <c r="BF478" s="796">
        <v>0</v>
      </c>
      <c r="BG478" s="796">
        <v>0</v>
      </c>
      <c r="BH478" s="796">
        <v>0</v>
      </c>
      <c r="BI478" s="796">
        <v>0</v>
      </c>
      <c r="BJ478" s="796">
        <v>0</v>
      </c>
      <c r="BK478" s="796">
        <v>0</v>
      </c>
      <c r="BL478" s="796">
        <v>0</v>
      </c>
      <c r="BM478" s="796">
        <v>0</v>
      </c>
      <c r="BN478" s="796">
        <v>0</v>
      </c>
      <c r="BO478" s="796">
        <v>0</v>
      </c>
      <c r="BP478" s="796">
        <v>0</v>
      </c>
      <c r="BQ478" s="796">
        <v>0</v>
      </c>
      <c r="BR478" s="796">
        <v>0</v>
      </c>
      <c r="BS478" s="796">
        <v>0</v>
      </c>
      <c r="BT478" s="796">
        <v>0</v>
      </c>
      <c r="BU478" s="796">
        <v>0</v>
      </c>
      <c r="BV478" s="810">
        <v>117914.86</v>
      </c>
    </row>
    <row r="479" spans="2:74">
      <c r="B479" s="795" t="s">
        <v>3409</v>
      </c>
      <c r="C479" s="795" t="s">
        <v>3410</v>
      </c>
      <c r="D479" s="795"/>
      <c r="E479" s="796"/>
      <c r="F479" s="799"/>
      <c r="G479" s="799"/>
      <c r="H479" s="799"/>
      <c r="I479" s="799"/>
      <c r="J479" s="799"/>
      <c r="K479" s="799"/>
      <c r="L479" s="799"/>
      <c r="M479" s="799"/>
      <c r="N479" s="595"/>
      <c r="O479" s="794">
        <v>0</v>
      </c>
      <c r="P479" s="794">
        <v>0</v>
      </c>
      <c r="Q479" s="794">
        <v>0</v>
      </c>
      <c r="R479" s="794">
        <v>0</v>
      </c>
      <c r="S479" s="796">
        <v>0</v>
      </c>
      <c r="T479" s="796">
        <v>0</v>
      </c>
      <c r="U479" s="796">
        <v>0</v>
      </c>
      <c r="V479" s="796">
        <v>0</v>
      </c>
      <c r="W479" s="796">
        <v>0</v>
      </c>
      <c r="X479" s="796">
        <v>0</v>
      </c>
      <c r="Y479" s="796">
        <v>0</v>
      </c>
      <c r="Z479" s="796">
        <v>0</v>
      </c>
      <c r="AA479" s="796">
        <v>0</v>
      </c>
      <c r="AB479" s="796">
        <v>0</v>
      </c>
      <c r="AC479" s="796">
        <v>0</v>
      </c>
      <c r="AD479" s="796">
        <v>0</v>
      </c>
      <c r="AE479" s="796">
        <v>0</v>
      </c>
      <c r="AF479" s="796">
        <v>0</v>
      </c>
      <c r="AG479" s="796">
        <v>0</v>
      </c>
      <c r="AH479" s="796">
        <v>0</v>
      </c>
      <c r="AI479" s="796">
        <v>0</v>
      </c>
      <c r="AJ479" s="796">
        <v>0</v>
      </c>
      <c r="AK479" s="796">
        <v>0</v>
      </c>
      <c r="AL479" s="796">
        <v>0</v>
      </c>
      <c r="AM479" s="796">
        <v>0</v>
      </c>
      <c r="AN479" s="796">
        <v>0</v>
      </c>
      <c r="AO479" s="796">
        <v>0</v>
      </c>
      <c r="AP479" s="796">
        <v>0</v>
      </c>
      <c r="AQ479" s="796">
        <v>0</v>
      </c>
      <c r="AR479" s="796">
        <v>0</v>
      </c>
      <c r="AS479" s="796">
        <v>0</v>
      </c>
      <c r="AT479" s="796">
        <v>0</v>
      </c>
      <c r="AU479" s="796">
        <v>0</v>
      </c>
      <c r="AV479" s="796">
        <v>0</v>
      </c>
      <c r="AW479" s="796">
        <v>0</v>
      </c>
      <c r="AX479" s="796">
        <v>0</v>
      </c>
      <c r="AY479" s="796">
        <v>0</v>
      </c>
      <c r="AZ479" s="796">
        <v>0</v>
      </c>
      <c r="BA479" s="796">
        <v>0</v>
      </c>
      <c r="BB479" s="796">
        <v>0</v>
      </c>
      <c r="BC479" s="796">
        <v>0</v>
      </c>
      <c r="BD479" s="796">
        <v>0</v>
      </c>
      <c r="BE479" s="796">
        <v>0</v>
      </c>
      <c r="BF479" s="796">
        <v>0</v>
      </c>
      <c r="BG479" s="796">
        <v>0</v>
      </c>
      <c r="BH479" s="796">
        <v>0</v>
      </c>
      <c r="BI479" s="796">
        <v>0</v>
      </c>
      <c r="BJ479" s="796">
        <v>0</v>
      </c>
      <c r="BK479" s="796">
        <v>0</v>
      </c>
      <c r="BL479" s="796">
        <v>0</v>
      </c>
      <c r="BM479" s="796">
        <v>0</v>
      </c>
      <c r="BN479" s="796">
        <v>0</v>
      </c>
      <c r="BO479" s="796">
        <v>0</v>
      </c>
      <c r="BP479" s="796">
        <v>0</v>
      </c>
      <c r="BQ479" s="796">
        <v>0</v>
      </c>
      <c r="BR479" s="796">
        <v>0</v>
      </c>
      <c r="BS479" s="796">
        <v>0</v>
      </c>
      <c r="BT479" s="796">
        <v>0</v>
      </c>
      <c r="BU479" s="796">
        <v>0</v>
      </c>
      <c r="BV479" s="810">
        <v>18000</v>
      </c>
    </row>
    <row r="480" spans="2:74">
      <c r="B480" s="795"/>
      <c r="C480" s="795"/>
      <c r="D480" s="795"/>
      <c r="E480" s="796"/>
      <c r="F480" s="799"/>
      <c r="G480" s="799"/>
      <c r="H480" s="799"/>
      <c r="I480" s="799"/>
      <c r="J480" s="799"/>
      <c r="K480" s="799"/>
      <c r="L480" s="799"/>
      <c r="M480" s="799"/>
      <c r="N480" s="595"/>
      <c r="O480" s="794">
        <v>0</v>
      </c>
      <c r="P480" s="794">
        <v>0</v>
      </c>
      <c r="Q480" s="794">
        <v>0</v>
      </c>
      <c r="R480" s="794">
        <v>0</v>
      </c>
      <c r="S480" s="796">
        <v>0</v>
      </c>
      <c r="T480" s="796">
        <v>0</v>
      </c>
      <c r="U480" s="796">
        <v>0</v>
      </c>
      <c r="V480" s="796">
        <v>0</v>
      </c>
      <c r="W480" s="796">
        <v>0</v>
      </c>
      <c r="X480" s="796">
        <v>0</v>
      </c>
      <c r="Y480" s="796">
        <v>0</v>
      </c>
      <c r="Z480" s="796">
        <v>0</v>
      </c>
      <c r="AA480" s="796">
        <v>0</v>
      </c>
      <c r="AB480" s="796">
        <v>0</v>
      </c>
      <c r="AC480" s="796">
        <v>0</v>
      </c>
      <c r="AD480" s="796">
        <v>0</v>
      </c>
      <c r="AE480" s="796">
        <v>0</v>
      </c>
      <c r="AF480" s="796">
        <v>0</v>
      </c>
      <c r="AG480" s="796">
        <v>0</v>
      </c>
      <c r="AH480" s="796">
        <v>0</v>
      </c>
      <c r="AI480" s="796">
        <v>0</v>
      </c>
      <c r="AJ480" s="796">
        <v>0</v>
      </c>
      <c r="AK480" s="796">
        <v>0</v>
      </c>
      <c r="AL480" s="796">
        <v>0</v>
      </c>
      <c r="AM480" s="796">
        <v>0</v>
      </c>
      <c r="AN480" s="796">
        <v>0</v>
      </c>
      <c r="AO480" s="796">
        <v>0</v>
      </c>
      <c r="AP480" s="796">
        <v>0</v>
      </c>
      <c r="AQ480" s="796">
        <v>0</v>
      </c>
      <c r="AR480" s="796">
        <v>0</v>
      </c>
      <c r="AS480" s="796">
        <v>0</v>
      </c>
      <c r="AT480" s="796">
        <v>0</v>
      </c>
      <c r="AU480" s="796">
        <v>0</v>
      </c>
      <c r="AV480" s="796">
        <v>0</v>
      </c>
      <c r="AW480" s="796">
        <v>0</v>
      </c>
      <c r="AX480" s="796">
        <v>0</v>
      </c>
      <c r="AY480" s="796">
        <v>0</v>
      </c>
      <c r="AZ480" s="796">
        <v>0</v>
      </c>
      <c r="BA480" s="796">
        <v>0</v>
      </c>
      <c r="BB480" s="796">
        <v>0</v>
      </c>
      <c r="BC480" s="796">
        <v>0</v>
      </c>
      <c r="BD480" s="796">
        <v>0</v>
      </c>
      <c r="BE480" s="796">
        <v>0</v>
      </c>
      <c r="BF480" s="796">
        <v>0</v>
      </c>
      <c r="BG480" s="796">
        <v>0</v>
      </c>
      <c r="BH480" s="796">
        <v>0</v>
      </c>
      <c r="BI480" s="796">
        <v>0</v>
      </c>
      <c r="BJ480" s="796">
        <v>0</v>
      </c>
      <c r="BK480" s="796">
        <v>0</v>
      </c>
      <c r="BL480" s="796">
        <v>0</v>
      </c>
      <c r="BM480" s="796">
        <v>0</v>
      </c>
      <c r="BN480" s="796">
        <v>0</v>
      </c>
      <c r="BO480" s="796">
        <v>0</v>
      </c>
      <c r="BP480" s="796">
        <v>0</v>
      </c>
      <c r="BQ480" s="796">
        <v>0</v>
      </c>
      <c r="BR480" s="796">
        <v>0</v>
      </c>
      <c r="BS480" s="796">
        <v>0</v>
      </c>
      <c r="BT480" s="796">
        <v>0</v>
      </c>
      <c r="BU480" s="796">
        <v>0</v>
      </c>
      <c r="BV480" s="796">
        <v>0</v>
      </c>
    </row>
    <row r="481" spans="2:76">
      <c r="B481" s="795"/>
      <c r="C481" s="795"/>
      <c r="D481" s="795"/>
      <c r="E481" s="796"/>
      <c r="F481" s="799"/>
      <c r="G481" s="799"/>
      <c r="H481" s="799"/>
      <c r="I481" s="799"/>
      <c r="J481" s="799"/>
      <c r="K481" s="799"/>
      <c r="L481" s="799"/>
      <c r="M481" s="799"/>
      <c r="N481" s="595"/>
      <c r="O481" s="794">
        <v>0</v>
      </c>
      <c r="P481" s="794">
        <v>0</v>
      </c>
      <c r="Q481" s="794">
        <v>0</v>
      </c>
      <c r="R481" s="794">
        <v>0</v>
      </c>
      <c r="S481" s="796">
        <v>0</v>
      </c>
      <c r="T481" s="796">
        <v>0</v>
      </c>
      <c r="U481" s="796">
        <v>0</v>
      </c>
      <c r="V481" s="796">
        <v>0</v>
      </c>
      <c r="W481" s="796">
        <v>0</v>
      </c>
      <c r="X481" s="796">
        <v>0</v>
      </c>
      <c r="Y481" s="796">
        <v>0</v>
      </c>
      <c r="Z481" s="796">
        <v>0</v>
      </c>
      <c r="AA481" s="796">
        <v>0</v>
      </c>
      <c r="AB481" s="796">
        <v>0</v>
      </c>
      <c r="AC481" s="796">
        <v>0</v>
      </c>
      <c r="AD481" s="796">
        <v>0</v>
      </c>
      <c r="AE481" s="796">
        <v>0</v>
      </c>
      <c r="AF481" s="796">
        <v>0</v>
      </c>
      <c r="AG481" s="796">
        <v>0</v>
      </c>
      <c r="AH481" s="796">
        <v>0</v>
      </c>
      <c r="AI481" s="796">
        <v>0</v>
      </c>
      <c r="AJ481" s="796">
        <v>0</v>
      </c>
      <c r="AK481" s="796">
        <v>0</v>
      </c>
      <c r="AL481" s="796">
        <v>0</v>
      </c>
      <c r="AM481" s="796">
        <v>0</v>
      </c>
      <c r="AN481" s="796">
        <v>0</v>
      </c>
      <c r="AO481" s="796">
        <v>0</v>
      </c>
      <c r="AP481" s="796">
        <v>0</v>
      </c>
      <c r="AQ481" s="796">
        <v>0</v>
      </c>
      <c r="AR481" s="796">
        <v>0</v>
      </c>
      <c r="AS481" s="796">
        <v>0</v>
      </c>
      <c r="AT481" s="796">
        <v>0</v>
      </c>
      <c r="AU481" s="796">
        <v>0</v>
      </c>
      <c r="AV481" s="796">
        <v>0</v>
      </c>
      <c r="AW481" s="796">
        <v>0</v>
      </c>
      <c r="AX481" s="796">
        <v>0</v>
      </c>
      <c r="AY481" s="796">
        <v>0</v>
      </c>
      <c r="AZ481" s="796">
        <v>0</v>
      </c>
      <c r="BA481" s="796">
        <v>0</v>
      </c>
      <c r="BB481" s="796">
        <v>0</v>
      </c>
      <c r="BC481" s="796">
        <v>0</v>
      </c>
      <c r="BD481" s="796">
        <v>0</v>
      </c>
      <c r="BE481" s="796">
        <v>0</v>
      </c>
      <c r="BF481" s="796">
        <v>0</v>
      </c>
      <c r="BG481" s="796">
        <v>0</v>
      </c>
      <c r="BH481" s="796">
        <v>0</v>
      </c>
      <c r="BI481" s="796">
        <v>0</v>
      </c>
      <c r="BJ481" s="796">
        <v>0</v>
      </c>
      <c r="BK481" s="796">
        <v>0</v>
      </c>
      <c r="BL481" s="796">
        <v>0</v>
      </c>
      <c r="BM481" s="796">
        <v>0</v>
      </c>
      <c r="BN481" s="796">
        <v>0</v>
      </c>
      <c r="BO481" s="796">
        <v>0</v>
      </c>
      <c r="BP481" s="796">
        <v>0</v>
      </c>
      <c r="BQ481" s="796">
        <v>0</v>
      </c>
      <c r="BR481" s="796">
        <v>0</v>
      </c>
      <c r="BS481" s="796">
        <v>0</v>
      </c>
      <c r="BT481" s="796">
        <v>0</v>
      </c>
      <c r="BU481" s="796">
        <v>0</v>
      </c>
      <c r="BV481" s="796">
        <v>0</v>
      </c>
    </row>
    <row r="482" spans="2:76">
      <c r="B482" s="795"/>
      <c r="C482" s="795"/>
      <c r="D482" s="795"/>
      <c r="E482" s="796"/>
      <c r="F482" s="799"/>
      <c r="G482" s="799"/>
      <c r="H482" s="799"/>
      <c r="I482" s="799"/>
      <c r="J482" s="799"/>
      <c r="K482" s="799"/>
      <c r="L482" s="799"/>
      <c r="M482" s="799"/>
      <c r="N482" s="595"/>
      <c r="O482" s="794">
        <v>0</v>
      </c>
      <c r="P482" s="794">
        <v>0</v>
      </c>
      <c r="Q482" s="794">
        <v>0</v>
      </c>
      <c r="R482" s="794">
        <v>0</v>
      </c>
      <c r="S482" s="796">
        <v>0</v>
      </c>
      <c r="T482" s="796">
        <v>0</v>
      </c>
      <c r="U482" s="796">
        <v>0</v>
      </c>
      <c r="V482" s="796">
        <v>0</v>
      </c>
      <c r="W482" s="796">
        <v>0</v>
      </c>
      <c r="X482" s="796">
        <v>0</v>
      </c>
      <c r="Y482" s="796">
        <v>0</v>
      </c>
      <c r="Z482" s="796">
        <v>0</v>
      </c>
      <c r="AA482" s="796">
        <v>0</v>
      </c>
      <c r="AB482" s="796">
        <v>0</v>
      </c>
      <c r="AC482" s="796">
        <v>0</v>
      </c>
      <c r="AD482" s="796">
        <v>0</v>
      </c>
      <c r="AE482" s="796">
        <v>0</v>
      </c>
      <c r="AF482" s="796">
        <v>0</v>
      </c>
      <c r="AG482" s="796">
        <v>0</v>
      </c>
      <c r="AH482" s="796">
        <v>0</v>
      </c>
      <c r="AI482" s="796">
        <v>0</v>
      </c>
      <c r="AJ482" s="796">
        <v>0</v>
      </c>
      <c r="AK482" s="796">
        <v>0</v>
      </c>
      <c r="AL482" s="796">
        <v>0</v>
      </c>
      <c r="AM482" s="796">
        <v>0</v>
      </c>
      <c r="AN482" s="796">
        <v>0</v>
      </c>
      <c r="AO482" s="796">
        <v>0</v>
      </c>
      <c r="AP482" s="796">
        <v>0</v>
      </c>
      <c r="AQ482" s="796">
        <v>0</v>
      </c>
      <c r="AR482" s="796">
        <v>0</v>
      </c>
      <c r="AS482" s="796">
        <v>0</v>
      </c>
      <c r="AT482" s="796">
        <v>0</v>
      </c>
      <c r="AU482" s="796">
        <v>0</v>
      </c>
      <c r="AV482" s="796">
        <v>0</v>
      </c>
      <c r="AW482" s="796">
        <v>0</v>
      </c>
      <c r="AX482" s="796">
        <v>0</v>
      </c>
      <c r="AY482" s="796">
        <v>0</v>
      </c>
      <c r="AZ482" s="796">
        <v>0</v>
      </c>
      <c r="BA482" s="796">
        <v>0</v>
      </c>
      <c r="BB482" s="796">
        <v>0</v>
      </c>
      <c r="BC482" s="796">
        <v>0</v>
      </c>
      <c r="BD482" s="796">
        <v>0</v>
      </c>
      <c r="BE482" s="796">
        <v>0</v>
      </c>
      <c r="BF482" s="796">
        <v>0</v>
      </c>
      <c r="BG482" s="796">
        <v>0</v>
      </c>
      <c r="BH482" s="796">
        <v>0</v>
      </c>
      <c r="BI482" s="796">
        <v>0</v>
      </c>
      <c r="BJ482" s="796">
        <v>0</v>
      </c>
      <c r="BK482" s="796">
        <v>0</v>
      </c>
      <c r="BL482" s="796">
        <v>0</v>
      </c>
      <c r="BM482" s="796">
        <v>0</v>
      </c>
      <c r="BN482" s="796">
        <v>0</v>
      </c>
      <c r="BO482" s="796">
        <v>0</v>
      </c>
      <c r="BP482" s="796">
        <v>0</v>
      </c>
      <c r="BQ482" s="796">
        <v>0</v>
      </c>
      <c r="BR482" s="796">
        <v>0</v>
      </c>
      <c r="BS482" s="796">
        <v>0</v>
      </c>
      <c r="BT482" s="796">
        <v>0</v>
      </c>
      <c r="BU482" s="796">
        <v>0</v>
      </c>
      <c r="BV482" s="796">
        <v>0</v>
      </c>
    </row>
    <row r="483" spans="2:76">
      <c r="B483" s="795"/>
      <c r="C483" s="795"/>
      <c r="D483" s="795"/>
      <c r="E483" s="796"/>
      <c r="F483" s="799"/>
      <c r="G483" s="799"/>
      <c r="H483" s="799"/>
      <c r="I483" s="799"/>
      <c r="J483" s="799"/>
      <c r="K483" s="799"/>
      <c r="L483" s="799"/>
      <c r="M483" s="799"/>
      <c r="N483" s="595"/>
      <c r="O483" s="794">
        <v>0</v>
      </c>
      <c r="P483" s="794">
        <v>0</v>
      </c>
      <c r="Q483" s="794">
        <v>0</v>
      </c>
      <c r="R483" s="794">
        <v>0</v>
      </c>
      <c r="S483" s="796">
        <v>0</v>
      </c>
      <c r="T483" s="796">
        <v>0</v>
      </c>
      <c r="U483" s="796">
        <v>0</v>
      </c>
      <c r="V483" s="796">
        <v>0</v>
      </c>
      <c r="W483" s="796">
        <v>0</v>
      </c>
      <c r="X483" s="796">
        <v>0</v>
      </c>
      <c r="Y483" s="796">
        <v>0</v>
      </c>
      <c r="Z483" s="796">
        <v>0</v>
      </c>
      <c r="AA483" s="796">
        <v>0</v>
      </c>
      <c r="AB483" s="796">
        <v>0</v>
      </c>
      <c r="AC483" s="796">
        <v>0</v>
      </c>
      <c r="AD483" s="796">
        <v>0</v>
      </c>
      <c r="AE483" s="796">
        <v>0</v>
      </c>
      <c r="AF483" s="796">
        <v>0</v>
      </c>
      <c r="AG483" s="796">
        <v>0</v>
      </c>
      <c r="AH483" s="796">
        <v>0</v>
      </c>
      <c r="AI483" s="796">
        <v>0</v>
      </c>
      <c r="AJ483" s="796">
        <v>0</v>
      </c>
      <c r="AK483" s="796">
        <v>0</v>
      </c>
      <c r="AL483" s="796">
        <v>0</v>
      </c>
      <c r="AM483" s="796">
        <v>0</v>
      </c>
      <c r="AN483" s="796">
        <v>0</v>
      </c>
      <c r="AO483" s="796">
        <v>0</v>
      </c>
      <c r="AP483" s="796">
        <v>0</v>
      </c>
      <c r="AQ483" s="796">
        <v>0</v>
      </c>
      <c r="AR483" s="796">
        <v>0</v>
      </c>
      <c r="AS483" s="796">
        <v>0</v>
      </c>
      <c r="AT483" s="796">
        <v>0</v>
      </c>
      <c r="AU483" s="796">
        <v>0</v>
      </c>
      <c r="AV483" s="796">
        <v>0</v>
      </c>
      <c r="AW483" s="796">
        <v>0</v>
      </c>
      <c r="AX483" s="796">
        <v>0</v>
      </c>
      <c r="AY483" s="796">
        <v>0</v>
      </c>
      <c r="AZ483" s="796">
        <v>0</v>
      </c>
      <c r="BA483" s="796">
        <v>0</v>
      </c>
      <c r="BB483" s="796">
        <v>0</v>
      </c>
      <c r="BC483" s="796">
        <v>0</v>
      </c>
      <c r="BD483" s="796">
        <v>0</v>
      </c>
      <c r="BE483" s="796">
        <v>0</v>
      </c>
      <c r="BF483" s="796">
        <v>0</v>
      </c>
      <c r="BG483" s="796">
        <v>0</v>
      </c>
      <c r="BH483" s="796">
        <v>0</v>
      </c>
      <c r="BI483" s="796">
        <v>0</v>
      </c>
      <c r="BJ483" s="796">
        <v>0</v>
      </c>
      <c r="BK483" s="796">
        <v>0</v>
      </c>
      <c r="BL483" s="796">
        <v>0</v>
      </c>
      <c r="BM483" s="796">
        <v>0</v>
      </c>
      <c r="BN483" s="796">
        <v>0</v>
      </c>
      <c r="BO483" s="796">
        <v>0</v>
      </c>
      <c r="BP483" s="796">
        <v>0</v>
      </c>
      <c r="BQ483" s="796">
        <v>0</v>
      </c>
      <c r="BR483" s="796">
        <v>0</v>
      </c>
      <c r="BS483" s="796">
        <v>0</v>
      </c>
      <c r="BT483" s="796">
        <v>0</v>
      </c>
      <c r="BU483" s="796">
        <v>0</v>
      </c>
      <c r="BV483" s="796">
        <v>0</v>
      </c>
    </row>
    <row r="484" spans="2:76">
      <c r="B484" s="795"/>
      <c r="C484" s="795"/>
      <c r="D484" s="795"/>
      <c r="E484" s="796"/>
      <c r="F484" s="799"/>
      <c r="G484" s="799"/>
      <c r="H484" s="799"/>
      <c r="I484" s="799"/>
      <c r="J484" s="799"/>
      <c r="K484" s="799"/>
      <c r="L484" s="799"/>
      <c r="M484" s="799"/>
      <c r="N484" s="595"/>
      <c r="O484" s="794">
        <v>0</v>
      </c>
      <c r="P484" s="794">
        <v>0</v>
      </c>
      <c r="Q484" s="794">
        <v>0</v>
      </c>
      <c r="R484" s="794">
        <v>0</v>
      </c>
      <c r="S484" s="796">
        <v>0</v>
      </c>
      <c r="T484" s="796">
        <v>0</v>
      </c>
      <c r="U484" s="796">
        <v>0</v>
      </c>
      <c r="V484" s="796">
        <v>0</v>
      </c>
      <c r="W484" s="796">
        <v>0</v>
      </c>
      <c r="X484" s="796">
        <v>0</v>
      </c>
      <c r="Y484" s="796">
        <v>0</v>
      </c>
      <c r="Z484" s="796">
        <v>0</v>
      </c>
      <c r="AA484" s="796">
        <v>0</v>
      </c>
      <c r="AB484" s="796">
        <v>0</v>
      </c>
      <c r="AC484" s="796">
        <v>0</v>
      </c>
      <c r="AD484" s="796">
        <v>0</v>
      </c>
      <c r="AE484" s="796">
        <v>0</v>
      </c>
      <c r="AF484" s="796">
        <v>0</v>
      </c>
      <c r="AG484" s="796">
        <v>0</v>
      </c>
      <c r="AH484" s="796">
        <v>0</v>
      </c>
      <c r="AI484" s="796">
        <v>0</v>
      </c>
      <c r="AJ484" s="796">
        <v>0</v>
      </c>
      <c r="AK484" s="796">
        <v>0</v>
      </c>
      <c r="AL484" s="796">
        <v>0</v>
      </c>
      <c r="AM484" s="796">
        <v>0</v>
      </c>
      <c r="AN484" s="796">
        <v>0</v>
      </c>
      <c r="AO484" s="796">
        <v>0</v>
      </c>
      <c r="AP484" s="796">
        <v>0</v>
      </c>
      <c r="AQ484" s="796">
        <v>0</v>
      </c>
      <c r="AR484" s="796">
        <v>0</v>
      </c>
      <c r="AS484" s="796">
        <v>0</v>
      </c>
      <c r="AT484" s="796">
        <v>0</v>
      </c>
      <c r="AU484" s="796">
        <v>0</v>
      </c>
      <c r="AV484" s="796">
        <v>0</v>
      </c>
      <c r="AW484" s="796">
        <v>0</v>
      </c>
      <c r="AX484" s="796">
        <v>0</v>
      </c>
      <c r="AY484" s="796">
        <v>0</v>
      </c>
      <c r="AZ484" s="796">
        <v>0</v>
      </c>
      <c r="BA484" s="796">
        <v>0</v>
      </c>
      <c r="BB484" s="796">
        <v>0</v>
      </c>
      <c r="BC484" s="796">
        <v>0</v>
      </c>
      <c r="BD484" s="796">
        <v>0</v>
      </c>
      <c r="BE484" s="796">
        <v>0</v>
      </c>
      <c r="BF484" s="796">
        <v>0</v>
      </c>
      <c r="BG484" s="796">
        <v>0</v>
      </c>
      <c r="BH484" s="796">
        <v>0</v>
      </c>
      <c r="BI484" s="796">
        <v>0</v>
      </c>
      <c r="BJ484" s="796">
        <v>0</v>
      </c>
      <c r="BK484" s="796">
        <v>0</v>
      </c>
      <c r="BL484" s="796">
        <v>0</v>
      </c>
      <c r="BM484" s="796">
        <v>0</v>
      </c>
      <c r="BN484" s="796">
        <v>0</v>
      </c>
      <c r="BO484" s="796">
        <v>0</v>
      </c>
      <c r="BP484" s="796">
        <v>0</v>
      </c>
      <c r="BQ484" s="796">
        <v>0</v>
      </c>
      <c r="BR484" s="796">
        <v>0</v>
      </c>
      <c r="BS484" s="796">
        <v>0</v>
      </c>
      <c r="BT484" s="796">
        <v>0</v>
      </c>
      <c r="BU484" s="796">
        <v>0</v>
      </c>
      <c r="BV484" s="796">
        <v>0</v>
      </c>
    </row>
    <row r="485" spans="2:76">
      <c r="B485" s="795"/>
      <c r="C485" s="795"/>
      <c r="D485" s="795"/>
      <c r="E485" s="796"/>
      <c r="F485" s="799"/>
      <c r="G485" s="799"/>
      <c r="H485" s="799"/>
      <c r="I485" s="799"/>
      <c r="J485" s="799"/>
      <c r="K485" s="799"/>
      <c r="L485" s="799"/>
      <c r="M485" s="799"/>
      <c r="N485" s="595"/>
      <c r="O485" s="794">
        <v>0</v>
      </c>
      <c r="P485" s="794">
        <v>0</v>
      </c>
      <c r="Q485" s="794">
        <v>0</v>
      </c>
      <c r="R485" s="794">
        <v>0</v>
      </c>
      <c r="S485" s="796">
        <v>0</v>
      </c>
      <c r="T485" s="796">
        <v>0</v>
      </c>
      <c r="U485" s="796">
        <v>0</v>
      </c>
      <c r="V485" s="796">
        <v>0</v>
      </c>
      <c r="W485" s="796">
        <v>0</v>
      </c>
      <c r="X485" s="796">
        <v>0</v>
      </c>
      <c r="Y485" s="796">
        <v>0</v>
      </c>
      <c r="Z485" s="796">
        <v>0</v>
      </c>
      <c r="AA485" s="796">
        <v>0</v>
      </c>
      <c r="AB485" s="796">
        <v>0</v>
      </c>
      <c r="AC485" s="796">
        <v>0</v>
      </c>
      <c r="AD485" s="796">
        <v>0</v>
      </c>
      <c r="AE485" s="796">
        <v>0</v>
      </c>
      <c r="AF485" s="796">
        <v>0</v>
      </c>
      <c r="AG485" s="796">
        <v>0</v>
      </c>
      <c r="AH485" s="796">
        <v>0</v>
      </c>
      <c r="AI485" s="796">
        <v>0</v>
      </c>
      <c r="AJ485" s="796">
        <v>0</v>
      </c>
      <c r="AK485" s="796">
        <v>0</v>
      </c>
      <c r="AL485" s="796">
        <v>0</v>
      </c>
      <c r="AM485" s="796">
        <v>0</v>
      </c>
      <c r="AN485" s="796">
        <v>0</v>
      </c>
      <c r="AO485" s="796">
        <v>0</v>
      </c>
      <c r="AP485" s="796">
        <v>0</v>
      </c>
      <c r="AQ485" s="796">
        <v>0</v>
      </c>
      <c r="AR485" s="796">
        <v>0</v>
      </c>
      <c r="AS485" s="796">
        <v>0</v>
      </c>
      <c r="AT485" s="796">
        <v>0</v>
      </c>
      <c r="AU485" s="796">
        <v>0</v>
      </c>
      <c r="AV485" s="796">
        <v>0</v>
      </c>
      <c r="AW485" s="796">
        <v>0</v>
      </c>
      <c r="AX485" s="796">
        <v>0</v>
      </c>
      <c r="AY485" s="796">
        <v>0</v>
      </c>
      <c r="AZ485" s="796">
        <v>0</v>
      </c>
      <c r="BA485" s="796">
        <v>0</v>
      </c>
      <c r="BB485" s="796">
        <v>0</v>
      </c>
      <c r="BC485" s="796">
        <v>0</v>
      </c>
      <c r="BD485" s="796">
        <v>0</v>
      </c>
      <c r="BE485" s="796">
        <v>0</v>
      </c>
      <c r="BF485" s="796">
        <v>0</v>
      </c>
      <c r="BG485" s="796">
        <v>0</v>
      </c>
      <c r="BH485" s="796">
        <v>0</v>
      </c>
      <c r="BI485" s="796">
        <v>0</v>
      </c>
      <c r="BJ485" s="796">
        <v>0</v>
      </c>
      <c r="BK485" s="796">
        <v>0</v>
      </c>
      <c r="BL485" s="796">
        <v>0</v>
      </c>
      <c r="BM485" s="796">
        <v>0</v>
      </c>
      <c r="BN485" s="796">
        <v>0</v>
      </c>
      <c r="BO485" s="796">
        <v>0</v>
      </c>
      <c r="BP485" s="796">
        <v>0</v>
      </c>
      <c r="BQ485" s="796">
        <v>0</v>
      </c>
      <c r="BR485" s="796">
        <v>0</v>
      </c>
      <c r="BS485" s="796">
        <v>0</v>
      </c>
      <c r="BT485" s="796">
        <v>0</v>
      </c>
      <c r="BU485" s="796">
        <v>0</v>
      </c>
      <c r="BV485" s="796">
        <v>0</v>
      </c>
    </row>
    <row r="486" spans="2:76">
      <c r="B486" s="795"/>
      <c r="C486" s="795"/>
      <c r="D486" s="795"/>
      <c r="E486" s="796"/>
      <c r="F486" s="799"/>
      <c r="G486" s="799"/>
      <c r="H486" s="799"/>
      <c r="I486" s="799"/>
      <c r="J486" s="799"/>
      <c r="K486" s="799"/>
      <c r="L486" s="799"/>
      <c r="M486" s="799"/>
      <c r="N486" s="595"/>
      <c r="O486" s="794">
        <v>0</v>
      </c>
      <c r="P486" s="794">
        <v>0</v>
      </c>
      <c r="Q486" s="794">
        <v>0</v>
      </c>
      <c r="R486" s="794">
        <v>0</v>
      </c>
      <c r="S486" s="796">
        <v>0</v>
      </c>
      <c r="T486" s="796">
        <v>0</v>
      </c>
      <c r="U486" s="796">
        <v>0</v>
      </c>
      <c r="V486" s="796">
        <v>0</v>
      </c>
      <c r="W486" s="796">
        <v>0</v>
      </c>
      <c r="X486" s="796">
        <v>0</v>
      </c>
      <c r="Y486" s="796">
        <v>0</v>
      </c>
      <c r="Z486" s="796">
        <v>0</v>
      </c>
      <c r="AA486" s="796">
        <v>0</v>
      </c>
      <c r="AB486" s="796">
        <v>0</v>
      </c>
      <c r="AC486" s="796">
        <v>0</v>
      </c>
      <c r="AD486" s="796">
        <v>0</v>
      </c>
      <c r="AE486" s="796">
        <v>0</v>
      </c>
      <c r="AF486" s="796">
        <v>0</v>
      </c>
      <c r="AG486" s="796">
        <v>0</v>
      </c>
      <c r="AH486" s="796">
        <v>0</v>
      </c>
      <c r="AI486" s="796">
        <v>0</v>
      </c>
      <c r="AJ486" s="796">
        <v>0</v>
      </c>
      <c r="AK486" s="796">
        <v>0</v>
      </c>
      <c r="AL486" s="796">
        <v>0</v>
      </c>
      <c r="AM486" s="796">
        <v>0</v>
      </c>
      <c r="AN486" s="796">
        <v>0</v>
      </c>
      <c r="AO486" s="796">
        <v>0</v>
      </c>
      <c r="AP486" s="796">
        <v>0</v>
      </c>
      <c r="AQ486" s="796">
        <v>0</v>
      </c>
      <c r="AR486" s="796">
        <v>0</v>
      </c>
      <c r="AS486" s="796">
        <v>0</v>
      </c>
      <c r="AT486" s="796">
        <v>0</v>
      </c>
      <c r="AU486" s="796">
        <v>0</v>
      </c>
      <c r="AV486" s="796">
        <v>0</v>
      </c>
      <c r="AW486" s="796">
        <v>0</v>
      </c>
      <c r="AX486" s="796">
        <v>0</v>
      </c>
      <c r="AY486" s="796">
        <v>0</v>
      </c>
      <c r="AZ486" s="796">
        <v>0</v>
      </c>
      <c r="BA486" s="796">
        <v>0</v>
      </c>
      <c r="BB486" s="796">
        <v>0</v>
      </c>
      <c r="BC486" s="796">
        <v>0</v>
      </c>
      <c r="BD486" s="796">
        <v>0</v>
      </c>
      <c r="BE486" s="796">
        <v>0</v>
      </c>
      <c r="BF486" s="796">
        <v>0</v>
      </c>
      <c r="BG486" s="796">
        <v>0</v>
      </c>
      <c r="BH486" s="796">
        <v>0</v>
      </c>
      <c r="BI486" s="796">
        <v>0</v>
      </c>
      <c r="BJ486" s="796">
        <v>0</v>
      </c>
      <c r="BK486" s="796">
        <v>0</v>
      </c>
      <c r="BL486" s="796">
        <v>0</v>
      </c>
      <c r="BM486" s="796">
        <v>0</v>
      </c>
      <c r="BN486" s="796">
        <v>0</v>
      </c>
      <c r="BO486" s="796">
        <v>0</v>
      </c>
      <c r="BP486" s="796">
        <v>0</v>
      </c>
      <c r="BQ486" s="796">
        <v>0</v>
      </c>
      <c r="BR486" s="796">
        <v>0</v>
      </c>
      <c r="BS486" s="796">
        <v>0</v>
      </c>
      <c r="BT486" s="796">
        <v>0</v>
      </c>
      <c r="BU486" s="796">
        <v>0</v>
      </c>
      <c r="BV486" s="796">
        <v>0</v>
      </c>
    </row>
    <row r="487" spans="2:76" ht="15.75" thickBot="1">
      <c r="B487" s="699" t="s">
        <v>0</v>
      </c>
      <c r="C487" s="699"/>
      <c r="D487" s="699"/>
      <c r="E487" s="699"/>
      <c r="F487" s="1"/>
      <c r="G487" s="1"/>
      <c r="H487" s="1"/>
      <c r="I487" s="1"/>
      <c r="J487" s="1"/>
      <c r="K487" s="1"/>
      <c r="L487" s="1"/>
      <c r="M487" s="1"/>
      <c r="N487" s="595"/>
      <c r="O487" s="797">
        <f>+SUM(O5:O486)</f>
        <v>2931798.5999999996</v>
      </c>
      <c r="P487" s="797">
        <f t="shared" ref="P487:BV487" si="11">+SUM(P5:P486)</f>
        <v>2475308.5200000005</v>
      </c>
      <c r="Q487" s="797">
        <f t="shared" si="11"/>
        <v>2231053.54</v>
      </c>
      <c r="R487" s="797">
        <f t="shared" si="11"/>
        <v>1759743.672</v>
      </c>
      <c r="S487" s="797">
        <f t="shared" si="11"/>
        <v>1990736.56</v>
      </c>
      <c r="T487" s="797">
        <f t="shared" si="11"/>
        <v>1847460.453</v>
      </c>
      <c r="U487" s="797">
        <f t="shared" si="11"/>
        <v>2076343.4799999997</v>
      </c>
      <c r="V487" s="797">
        <f t="shared" si="11"/>
        <v>1126350.8600000001</v>
      </c>
      <c r="W487" s="797">
        <f t="shared" si="11"/>
        <v>1880009.4499999997</v>
      </c>
      <c r="X487" s="797">
        <f t="shared" si="11"/>
        <v>1904781.6900000004</v>
      </c>
      <c r="Y487" s="797">
        <f t="shared" si="11"/>
        <v>2028466.6100000003</v>
      </c>
      <c r="Z487" s="797">
        <f t="shared" si="11"/>
        <v>2169013.56</v>
      </c>
      <c r="AA487" s="797">
        <f t="shared" si="11"/>
        <v>1890285.2000000007</v>
      </c>
      <c r="AB487" s="797">
        <f t="shared" si="11"/>
        <v>2979932.65</v>
      </c>
      <c r="AC487" s="797">
        <f t="shared" si="11"/>
        <v>2417251.7999999998</v>
      </c>
      <c r="AD487" s="797">
        <f t="shared" si="11"/>
        <v>1898419.3299999996</v>
      </c>
      <c r="AE487" s="797">
        <f t="shared" si="11"/>
        <v>3205316.3600000003</v>
      </c>
      <c r="AF487" s="797">
        <f t="shared" si="11"/>
        <v>1958069.6600000001</v>
      </c>
      <c r="AG487" s="797">
        <f t="shared" si="11"/>
        <v>2148468.3200000003</v>
      </c>
      <c r="AH487" s="797">
        <f t="shared" si="11"/>
        <v>1796262.85</v>
      </c>
      <c r="AI487" s="797">
        <f t="shared" si="11"/>
        <v>1789119.1300000001</v>
      </c>
      <c r="AJ487" s="797">
        <f t="shared" si="11"/>
        <v>2120489.31</v>
      </c>
      <c r="AK487" s="797">
        <f t="shared" si="11"/>
        <v>1915782.2200000002</v>
      </c>
      <c r="AL487" s="797">
        <f t="shared" si="11"/>
        <v>2257171.37</v>
      </c>
      <c r="AM487" s="797">
        <f t="shared" si="11"/>
        <v>2184865.1850000005</v>
      </c>
      <c r="AN487" s="797">
        <f t="shared" si="11"/>
        <v>2742403.2</v>
      </c>
      <c r="AO487" s="797">
        <f t="shared" si="11"/>
        <v>841940.03000000014</v>
      </c>
      <c r="AP487" s="797">
        <f t="shared" si="11"/>
        <v>670129.14999999991</v>
      </c>
      <c r="AQ487" s="797">
        <f t="shared" si="11"/>
        <v>1873530.9500000002</v>
      </c>
      <c r="AR487" s="797">
        <f t="shared" si="11"/>
        <v>2467291.3899999997</v>
      </c>
      <c r="AS487" s="797">
        <f t="shared" si="11"/>
        <v>3793607.99</v>
      </c>
      <c r="AT487" s="797">
        <f t="shared" si="11"/>
        <v>2002847.9500000002</v>
      </c>
      <c r="AU487" s="797">
        <f t="shared" si="11"/>
        <v>3051616.44</v>
      </c>
      <c r="AV487" s="797">
        <f t="shared" si="11"/>
        <v>2532295.88</v>
      </c>
      <c r="AW487" s="797">
        <f>+SUM(AW5:AW486)</f>
        <v>3386890.0900000008</v>
      </c>
      <c r="AX487" s="797">
        <f t="shared" si="11"/>
        <v>1897557.7100000002</v>
      </c>
      <c r="AY487" s="797">
        <f t="shared" si="11"/>
        <v>2335882.6499999994</v>
      </c>
      <c r="AZ487" s="797">
        <f t="shared" si="11"/>
        <v>1997621.2699999998</v>
      </c>
      <c r="BA487" s="797">
        <f t="shared" si="11"/>
        <v>2657814.7000000002</v>
      </c>
      <c r="BB487" s="797">
        <f t="shared" si="11"/>
        <v>2059710.068</v>
      </c>
      <c r="BC487" s="797">
        <f t="shared" si="11"/>
        <v>2859269.5000000009</v>
      </c>
      <c r="BD487" s="797">
        <f t="shared" si="11"/>
        <v>2429725.8299999996</v>
      </c>
      <c r="BE487" s="797">
        <f t="shared" si="11"/>
        <v>3086889.0000000005</v>
      </c>
      <c r="BF487" s="797">
        <f t="shared" si="11"/>
        <v>2448248.04</v>
      </c>
      <c r="BG487" s="797">
        <f t="shared" si="11"/>
        <v>3513690.22</v>
      </c>
      <c r="BH487" s="797">
        <f t="shared" si="11"/>
        <v>2707213.2100000004</v>
      </c>
      <c r="BI487" s="797">
        <f t="shared" si="11"/>
        <v>3451864.3999999994</v>
      </c>
      <c r="BJ487" s="797">
        <f t="shared" si="11"/>
        <v>2308409.0900000003</v>
      </c>
      <c r="BK487" s="797">
        <f t="shared" si="11"/>
        <v>2181688.6399999997</v>
      </c>
      <c r="BL487" s="797">
        <f t="shared" si="11"/>
        <v>3205318.4700000007</v>
      </c>
      <c r="BM487" s="797">
        <f t="shared" si="11"/>
        <v>3416530.129999999</v>
      </c>
      <c r="BN487" s="797">
        <f t="shared" si="11"/>
        <v>3417743.9299999997</v>
      </c>
      <c r="BO487" s="797">
        <f t="shared" si="11"/>
        <v>3517495.9300000006</v>
      </c>
      <c r="BP487" s="797">
        <f t="shared" si="11"/>
        <v>5493613.1999999993</v>
      </c>
      <c r="BQ487" s="797">
        <f t="shared" si="11"/>
        <v>4328065.04</v>
      </c>
      <c r="BR487" s="797">
        <f t="shared" si="11"/>
        <v>3452338.6900000009</v>
      </c>
      <c r="BS487" s="797">
        <f t="shared" si="11"/>
        <v>5052732.0799999991</v>
      </c>
      <c r="BT487" s="797">
        <f t="shared" si="11"/>
        <v>5876071.580000001</v>
      </c>
      <c r="BU487" s="797">
        <f t="shared" si="11"/>
        <v>6047224.1849999996</v>
      </c>
      <c r="BV487" s="797">
        <f t="shared" si="11"/>
        <v>6591667.8100000015</v>
      </c>
    </row>
    <row r="488" spans="2:76" ht="15.75" thickTop="1">
      <c r="N488" s="595"/>
      <c r="O488" s="595">
        <v>2931798.5999999996</v>
      </c>
      <c r="P488" s="595">
        <v>2475308.5200000005</v>
      </c>
      <c r="Q488" s="595">
        <v>2231053.54</v>
      </c>
      <c r="R488" s="595">
        <v>1759743.672</v>
      </c>
      <c r="S488" s="595">
        <v>1990736.56</v>
      </c>
      <c r="T488" s="595">
        <v>1847460.453</v>
      </c>
      <c r="U488" s="595">
        <v>2076343.4799999997</v>
      </c>
      <c r="V488" s="595">
        <v>1126350.8600000001</v>
      </c>
      <c r="W488" s="595">
        <v>1880009.4499999997</v>
      </c>
      <c r="X488" s="595">
        <v>1904781.6900000004</v>
      </c>
      <c r="Y488" s="595">
        <v>2028466.6100000003</v>
      </c>
      <c r="Z488" s="595">
        <v>2169013.56</v>
      </c>
      <c r="AA488" s="595">
        <v>1890285.2000000007</v>
      </c>
      <c r="AB488" s="595">
        <v>2979932.65</v>
      </c>
      <c r="AC488" s="595">
        <v>2417251.7999999998</v>
      </c>
      <c r="AD488" s="595">
        <v>1898419.3299999996</v>
      </c>
      <c r="AE488" s="595">
        <v>3205316.3600000003</v>
      </c>
      <c r="AF488" s="595">
        <v>1958069.6600000001</v>
      </c>
      <c r="AG488" s="595">
        <v>2148468.3200000003</v>
      </c>
      <c r="AH488" s="595">
        <v>1796262.85</v>
      </c>
      <c r="AI488" s="595">
        <v>1789119.1300000001</v>
      </c>
      <c r="AJ488" s="595">
        <v>2120489.31</v>
      </c>
      <c r="AK488" s="595">
        <v>1915782.2200000002</v>
      </c>
      <c r="AL488" s="595">
        <v>2257171.37</v>
      </c>
      <c r="AM488" s="595">
        <v>2184865.1850000005</v>
      </c>
      <c r="AN488" s="595">
        <v>2742403.2</v>
      </c>
      <c r="AO488" s="595">
        <v>841940.03000000014</v>
      </c>
      <c r="AP488" s="595">
        <v>670129.14999999991</v>
      </c>
      <c r="AQ488" s="595">
        <v>1873530.9500000002</v>
      </c>
      <c r="AR488" s="595">
        <v>2467291.3899999997</v>
      </c>
      <c r="AS488" s="595">
        <v>3793607.99</v>
      </c>
      <c r="AT488" s="595">
        <v>2002847.9500000002</v>
      </c>
      <c r="AU488" s="595">
        <v>3051616.44</v>
      </c>
      <c r="AV488" s="595">
        <v>2532295.88</v>
      </c>
      <c r="AW488" s="595">
        <v>3386890.0900000008</v>
      </c>
      <c r="AX488" s="595">
        <v>1897557.7100000002</v>
      </c>
      <c r="AY488" s="595">
        <v>2335882.6499999994</v>
      </c>
      <c r="AZ488" s="595">
        <v>1997621.2699999998</v>
      </c>
      <c r="BA488" s="595">
        <v>2657814.7000000002</v>
      </c>
      <c r="BB488" s="595">
        <v>2059710.068</v>
      </c>
      <c r="BC488" s="595">
        <v>2859269.5000000009</v>
      </c>
      <c r="BD488" s="595">
        <v>2429725.8299999996</v>
      </c>
      <c r="BE488" s="595">
        <v>3086889.0000000005</v>
      </c>
      <c r="BF488" s="595">
        <v>2448248.04</v>
      </c>
      <c r="BG488" s="595">
        <v>3513690.22</v>
      </c>
      <c r="BH488" s="595">
        <v>2707213.2100000004</v>
      </c>
      <c r="BI488" s="595">
        <v>3451864.3999999994</v>
      </c>
      <c r="BJ488" s="595">
        <v>2308409.0900000003</v>
      </c>
      <c r="BK488" s="595">
        <v>2181688.6399999997</v>
      </c>
      <c r="BL488" s="595">
        <v>3205318.4700000007</v>
      </c>
      <c r="BM488" s="595">
        <v>3416530.129999999</v>
      </c>
      <c r="BN488" s="595">
        <v>3417743.9299999997</v>
      </c>
      <c r="BO488" s="595">
        <v>3517495.9300000006</v>
      </c>
      <c r="BP488" s="595">
        <v>5493613.1999999993</v>
      </c>
      <c r="BQ488" s="595">
        <v>4328065.04</v>
      </c>
      <c r="BR488" s="595">
        <v>3452338.6900000009</v>
      </c>
      <c r="BS488" s="595">
        <v>5052732.0799999991</v>
      </c>
      <c r="BT488" s="595">
        <v>5876071.580000001</v>
      </c>
      <c r="BU488" s="595">
        <v>6047224.1849999996</v>
      </c>
      <c r="BV488" s="595">
        <v>6591667.8100000015</v>
      </c>
    </row>
    <row r="489" spans="2:76">
      <c r="O489" s="644">
        <f>+O488-O487</f>
        <v>0</v>
      </c>
      <c r="P489" s="644">
        <f t="shared" ref="P489:BV489" si="12">+P488-P487</f>
        <v>0</v>
      </c>
      <c r="Q489" s="644">
        <f t="shared" si="12"/>
        <v>0</v>
      </c>
      <c r="R489" s="644">
        <f t="shared" si="12"/>
        <v>0</v>
      </c>
      <c r="S489" s="644">
        <f t="shared" si="12"/>
        <v>0</v>
      </c>
      <c r="T489" s="644">
        <f t="shared" si="12"/>
        <v>0</v>
      </c>
      <c r="U489" s="644">
        <f t="shared" si="12"/>
        <v>0</v>
      </c>
      <c r="V489" s="644">
        <f t="shared" si="12"/>
        <v>0</v>
      </c>
      <c r="W489" s="644">
        <f t="shared" si="12"/>
        <v>0</v>
      </c>
      <c r="X489" s="644">
        <f t="shared" si="12"/>
        <v>0</v>
      </c>
      <c r="Y489" s="644">
        <f t="shared" si="12"/>
        <v>0</v>
      </c>
      <c r="Z489" s="644">
        <f t="shared" si="12"/>
        <v>0</v>
      </c>
      <c r="AA489" s="644">
        <f t="shared" si="12"/>
        <v>0</v>
      </c>
      <c r="AB489" s="644">
        <f t="shared" si="12"/>
        <v>0</v>
      </c>
      <c r="AC489" s="644">
        <f t="shared" si="12"/>
        <v>0</v>
      </c>
      <c r="AD489" s="644">
        <f t="shared" si="12"/>
        <v>0</v>
      </c>
      <c r="AE489" s="644">
        <f t="shared" si="12"/>
        <v>0</v>
      </c>
      <c r="AF489" s="644">
        <f t="shared" si="12"/>
        <v>0</v>
      </c>
      <c r="AG489" s="644">
        <f t="shared" si="12"/>
        <v>0</v>
      </c>
      <c r="AH489" s="644">
        <f t="shared" si="12"/>
        <v>0</v>
      </c>
      <c r="AI489" s="644">
        <f t="shared" si="12"/>
        <v>0</v>
      </c>
      <c r="AJ489" s="644">
        <f t="shared" si="12"/>
        <v>0</v>
      </c>
      <c r="AK489" s="644">
        <f t="shared" si="12"/>
        <v>0</v>
      </c>
      <c r="AL489" s="644">
        <f t="shared" si="12"/>
        <v>0</v>
      </c>
      <c r="AM489" s="644">
        <f t="shared" si="12"/>
        <v>0</v>
      </c>
      <c r="AN489" s="644">
        <f t="shared" si="12"/>
        <v>0</v>
      </c>
      <c r="AO489" s="644">
        <f t="shared" si="12"/>
        <v>0</v>
      </c>
      <c r="AP489" s="644">
        <f t="shared" si="12"/>
        <v>0</v>
      </c>
      <c r="AQ489" s="644">
        <f t="shared" si="12"/>
        <v>0</v>
      </c>
      <c r="AR489" s="644">
        <f t="shared" si="12"/>
        <v>0</v>
      </c>
      <c r="AS489" s="644">
        <f t="shared" si="12"/>
        <v>0</v>
      </c>
      <c r="AT489" s="644">
        <f t="shared" si="12"/>
        <v>0</v>
      </c>
      <c r="AU489" s="644">
        <f t="shared" si="12"/>
        <v>0</v>
      </c>
      <c r="AV489" s="644">
        <f t="shared" si="12"/>
        <v>0</v>
      </c>
      <c r="AW489" s="644">
        <f>+AW488-AW487</f>
        <v>0</v>
      </c>
      <c r="AX489" s="644">
        <f t="shared" si="12"/>
        <v>0</v>
      </c>
      <c r="AY489" s="644">
        <f t="shared" si="12"/>
        <v>0</v>
      </c>
      <c r="AZ489" s="644">
        <f t="shared" si="12"/>
        <v>0</v>
      </c>
      <c r="BA489" s="644">
        <f t="shared" si="12"/>
        <v>0</v>
      </c>
      <c r="BB489" s="644">
        <f t="shared" si="12"/>
        <v>0</v>
      </c>
      <c r="BC489" s="644">
        <f t="shared" si="12"/>
        <v>0</v>
      </c>
      <c r="BD489" s="644">
        <f t="shared" si="12"/>
        <v>0</v>
      </c>
      <c r="BE489" s="644">
        <f t="shared" si="12"/>
        <v>0</v>
      </c>
      <c r="BF489" s="644">
        <f t="shared" si="12"/>
        <v>0</v>
      </c>
      <c r="BG489" s="644">
        <f t="shared" si="12"/>
        <v>0</v>
      </c>
      <c r="BH489" s="644">
        <f t="shared" si="12"/>
        <v>0</v>
      </c>
      <c r="BI489" s="644">
        <f t="shared" si="12"/>
        <v>0</v>
      </c>
      <c r="BJ489" s="644">
        <f t="shared" si="12"/>
        <v>0</v>
      </c>
      <c r="BK489" s="644">
        <f t="shared" si="12"/>
        <v>0</v>
      </c>
      <c r="BL489" s="644">
        <f t="shared" si="12"/>
        <v>0</v>
      </c>
      <c r="BM489" s="644">
        <f t="shared" si="12"/>
        <v>0</v>
      </c>
      <c r="BN489" s="644">
        <f t="shared" si="12"/>
        <v>0</v>
      </c>
      <c r="BO489" s="644">
        <f t="shared" si="12"/>
        <v>0</v>
      </c>
      <c r="BP489" s="644">
        <f t="shared" si="12"/>
        <v>0</v>
      </c>
      <c r="BQ489" s="644">
        <f t="shared" si="12"/>
        <v>0</v>
      </c>
      <c r="BR489" s="644">
        <f t="shared" si="12"/>
        <v>0</v>
      </c>
      <c r="BS489" s="644">
        <f t="shared" si="12"/>
        <v>0</v>
      </c>
      <c r="BT489" s="644">
        <f t="shared" si="12"/>
        <v>0</v>
      </c>
      <c r="BU489" s="644">
        <f t="shared" si="12"/>
        <v>0</v>
      </c>
      <c r="BV489" s="644">
        <f t="shared" si="12"/>
        <v>0</v>
      </c>
    </row>
    <row r="490" spans="2:76">
      <c r="B490" t="s">
        <v>3439</v>
      </c>
      <c r="O490" s="644"/>
      <c r="P490" s="644">
        <v>1068635</v>
      </c>
      <c r="Q490" s="644">
        <v>226715</v>
      </c>
      <c r="R490" s="644">
        <v>401487</v>
      </c>
      <c r="S490" s="644">
        <v>354358</v>
      </c>
      <c r="T490" s="644">
        <v>931147</v>
      </c>
      <c r="U490" s="644">
        <v>537411</v>
      </c>
      <c r="V490" s="644">
        <v>349748</v>
      </c>
      <c r="W490" s="644">
        <v>382039</v>
      </c>
      <c r="X490" s="644">
        <v>460865</v>
      </c>
      <c r="Y490" s="644">
        <v>708818</v>
      </c>
      <c r="Z490" s="644">
        <v>852164</v>
      </c>
      <c r="AA490" s="644">
        <v>72872</v>
      </c>
      <c r="AB490" s="644">
        <v>610761</v>
      </c>
      <c r="AC490" s="644">
        <v>157042</v>
      </c>
      <c r="AD490" s="644">
        <v>552871</v>
      </c>
      <c r="AE490" s="644">
        <v>405272</v>
      </c>
      <c r="AF490" s="644">
        <v>472303</v>
      </c>
      <c r="AG490" s="644">
        <v>900974</v>
      </c>
      <c r="AH490" s="644">
        <v>446787</v>
      </c>
      <c r="AI490" s="644">
        <v>251932</v>
      </c>
      <c r="AJ490" s="644">
        <v>695851</v>
      </c>
      <c r="AK490" s="644">
        <v>581965</v>
      </c>
      <c r="AL490" s="644">
        <v>877528</v>
      </c>
      <c r="AM490" s="644">
        <v>274033</v>
      </c>
      <c r="AN490" s="644">
        <v>479925</v>
      </c>
      <c r="AO490" s="644">
        <v>198842</v>
      </c>
      <c r="AP490" s="644">
        <v>118171</v>
      </c>
      <c r="AQ490" s="644">
        <v>813306</v>
      </c>
      <c r="AR490" s="644">
        <v>905818</v>
      </c>
      <c r="AS490" s="644">
        <v>862644</v>
      </c>
      <c r="AT490" s="644">
        <v>49162</v>
      </c>
      <c r="AU490" s="644">
        <v>808088</v>
      </c>
      <c r="AV490" s="644">
        <v>395744</v>
      </c>
      <c r="AW490" s="644">
        <v>395744</v>
      </c>
      <c r="AX490" s="644">
        <v>547830</v>
      </c>
      <c r="AY490" s="644">
        <v>687425</v>
      </c>
      <c r="AZ490" s="644">
        <v>211430</v>
      </c>
      <c r="BA490" s="644">
        <v>165229</v>
      </c>
      <c r="BB490" s="644">
        <v>240390</v>
      </c>
      <c r="BC490" s="644">
        <v>609964</v>
      </c>
      <c r="BD490" s="644">
        <v>687999</v>
      </c>
      <c r="BE490" s="644">
        <v>35042</v>
      </c>
      <c r="BF490" s="644">
        <v>20776</v>
      </c>
      <c r="BG490" s="644">
        <v>343626</v>
      </c>
      <c r="BH490" s="644">
        <v>158626</v>
      </c>
      <c r="BI490" s="644">
        <v>125710</v>
      </c>
      <c r="BJ490" s="644">
        <v>374976</v>
      </c>
      <c r="BK490" s="644">
        <v>93626</v>
      </c>
      <c r="BL490" s="644">
        <v>440989</v>
      </c>
      <c r="BM490" s="644">
        <v>578496</v>
      </c>
      <c r="BN490" s="644">
        <v>173071</v>
      </c>
      <c r="BO490" s="644">
        <v>918294</v>
      </c>
      <c r="BP490" s="644">
        <v>959447</v>
      </c>
      <c r="BQ490" s="644">
        <v>274456</v>
      </c>
      <c r="BR490" s="644">
        <v>257193</v>
      </c>
      <c r="BS490" s="644">
        <v>459356</v>
      </c>
      <c r="BT490" s="644">
        <v>291532</v>
      </c>
      <c r="BU490" s="644">
        <v>135968</v>
      </c>
      <c r="BV490" s="644">
        <v>384009</v>
      </c>
      <c r="BX490" s="263"/>
    </row>
    <row r="491" spans="2:76">
      <c r="B491" t="s">
        <v>3440</v>
      </c>
      <c r="O491" s="644"/>
      <c r="P491" s="644">
        <f>+P492-P490</f>
        <v>1406673.5200000005</v>
      </c>
      <c r="Q491" s="644">
        <f t="shared" ref="Q491:BV491" si="13">+Q492-Q490</f>
        <v>2004338.54</v>
      </c>
      <c r="R491" s="644">
        <f t="shared" si="13"/>
        <v>1358256.672</v>
      </c>
      <c r="S491" s="644">
        <f t="shared" si="13"/>
        <v>1636378.56</v>
      </c>
      <c r="T491" s="644">
        <f t="shared" si="13"/>
        <v>916313.45299999998</v>
      </c>
      <c r="U491" s="644">
        <f t="shared" si="13"/>
        <v>1538932.4799999997</v>
      </c>
      <c r="V491" s="644">
        <f t="shared" si="13"/>
        <v>776602.8600000001</v>
      </c>
      <c r="W491" s="644">
        <f t="shared" si="13"/>
        <v>1497970.4499999997</v>
      </c>
      <c r="X491" s="644">
        <f t="shared" si="13"/>
        <v>1443916.6900000004</v>
      </c>
      <c r="Y491" s="644">
        <f t="shared" si="13"/>
        <v>1319648.6100000003</v>
      </c>
      <c r="Z491" s="644">
        <f t="shared" si="13"/>
        <v>1316849.56</v>
      </c>
      <c r="AA491" s="644">
        <f t="shared" si="13"/>
        <v>1817413.2000000007</v>
      </c>
      <c r="AB491" s="644">
        <f t="shared" si="13"/>
        <v>2369171.65</v>
      </c>
      <c r="AC491" s="644">
        <f t="shared" si="13"/>
        <v>2260209.7999999998</v>
      </c>
      <c r="AD491" s="644">
        <f t="shared" si="13"/>
        <v>1345548.3299999996</v>
      </c>
      <c r="AE491" s="644">
        <f t="shared" si="13"/>
        <v>2800044.3600000003</v>
      </c>
      <c r="AF491" s="644">
        <f t="shared" si="13"/>
        <v>1485766.6600000001</v>
      </c>
      <c r="AG491" s="644">
        <f t="shared" si="13"/>
        <v>1247494.3200000003</v>
      </c>
      <c r="AH491" s="644">
        <f t="shared" si="13"/>
        <v>1349475.85</v>
      </c>
      <c r="AI491" s="644">
        <f t="shared" si="13"/>
        <v>1537187.1300000001</v>
      </c>
      <c r="AJ491" s="644">
        <f t="shared" si="13"/>
        <v>1424638.31</v>
      </c>
      <c r="AK491" s="644">
        <f t="shared" si="13"/>
        <v>1333817.2200000002</v>
      </c>
      <c r="AL491" s="644">
        <f t="shared" si="13"/>
        <v>1379643.37</v>
      </c>
      <c r="AM491" s="644">
        <f t="shared" si="13"/>
        <v>1910832.1850000005</v>
      </c>
      <c r="AN491" s="644">
        <f t="shared" si="13"/>
        <v>2262478.2000000002</v>
      </c>
      <c r="AO491" s="644">
        <f t="shared" si="13"/>
        <v>643098.03000000014</v>
      </c>
      <c r="AP491" s="644">
        <f t="shared" si="13"/>
        <v>551958.14999999991</v>
      </c>
      <c r="AQ491" s="644">
        <f t="shared" si="13"/>
        <v>1060224.9500000002</v>
      </c>
      <c r="AR491" s="644">
        <f t="shared" si="13"/>
        <v>1561473.3899999997</v>
      </c>
      <c r="AS491" s="644">
        <f t="shared" si="13"/>
        <v>2930963.99</v>
      </c>
      <c r="AT491" s="644">
        <f t="shared" si="13"/>
        <v>1953685.9500000002</v>
      </c>
      <c r="AU491" s="644">
        <f t="shared" si="13"/>
        <v>2243528.44</v>
      </c>
      <c r="AV491" s="644">
        <f t="shared" si="13"/>
        <v>2136551.88</v>
      </c>
      <c r="AW491" s="644">
        <f>+AW492-AW490</f>
        <v>2991146.0900000008</v>
      </c>
      <c r="AX491" s="644">
        <f t="shared" si="13"/>
        <v>1349727.7100000002</v>
      </c>
      <c r="AY491" s="644">
        <f t="shared" si="13"/>
        <v>1648457.6499999994</v>
      </c>
      <c r="AZ491" s="644">
        <f t="shared" si="13"/>
        <v>1786191.2699999998</v>
      </c>
      <c r="BA491" s="644">
        <f t="shared" si="13"/>
        <v>2492585.7000000002</v>
      </c>
      <c r="BB491" s="644">
        <f t="shared" si="13"/>
        <v>1819320.068</v>
      </c>
      <c r="BC491" s="644">
        <f t="shared" si="13"/>
        <v>2249305.5000000009</v>
      </c>
      <c r="BD491" s="644">
        <f t="shared" si="13"/>
        <v>1741726.8299999996</v>
      </c>
      <c r="BE491" s="644">
        <f t="shared" si="13"/>
        <v>3051847.0000000005</v>
      </c>
      <c r="BF491" s="644">
        <f t="shared" si="13"/>
        <v>2427472.04</v>
      </c>
      <c r="BG491" s="644">
        <f t="shared" si="13"/>
        <v>3170064.22</v>
      </c>
      <c r="BH491" s="644">
        <f t="shared" si="13"/>
        <v>2548587.2100000004</v>
      </c>
      <c r="BI491" s="644">
        <f t="shared" si="13"/>
        <v>3326154.3999999994</v>
      </c>
      <c r="BJ491" s="644">
        <f t="shared" si="13"/>
        <v>1933433.0900000003</v>
      </c>
      <c r="BK491" s="644">
        <f t="shared" si="13"/>
        <v>2088062.6399999997</v>
      </c>
      <c r="BL491" s="644">
        <f t="shared" si="13"/>
        <v>2764329.4700000007</v>
      </c>
      <c r="BM491" s="644">
        <f t="shared" si="13"/>
        <v>2838034.129999999</v>
      </c>
      <c r="BN491" s="644">
        <f t="shared" si="13"/>
        <v>3244672.9299999997</v>
      </c>
      <c r="BO491" s="644">
        <f t="shared" si="13"/>
        <v>2599201.9300000006</v>
      </c>
      <c r="BP491" s="644">
        <f t="shared" si="13"/>
        <v>4534166.1999999993</v>
      </c>
      <c r="BQ491" s="644">
        <f t="shared" si="13"/>
        <v>4053609.04</v>
      </c>
      <c r="BR491" s="644">
        <f t="shared" si="13"/>
        <v>3195145.6900000009</v>
      </c>
      <c r="BS491" s="644">
        <f t="shared" si="13"/>
        <v>4593376.0799999991</v>
      </c>
      <c r="BT491" s="644">
        <f t="shared" si="13"/>
        <v>5584539.580000001</v>
      </c>
      <c r="BU491" s="644">
        <f t="shared" si="13"/>
        <v>5911256.1849999996</v>
      </c>
      <c r="BV491" s="644">
        <f t="shared" si="13"/>
        <v>6207658.8100000015</v>
      </c>
      <c r="BX491" s="263"/>
    </row>
    <row r="492" spans="2:76" ht="15.75" thickBot="1">
      <c r="B492" s="699" t="s">
        <v>327</v>
      </c>
      <c r="C492" s="699"/>
      <c r="D492" s="699"/>
      <c r="E492" s="699"/>
      <c r="F492" s="1"/>
      <c r="G492" s="1"/>
      <c r="H492" s="1"/>
      <c r="I492" s="1"/>
      <c r="J492" s="1"/>
      <c r="K492" s="1"/>
      <c r="L492" s="1"/>
      <c r="M492" s="1"/>
      <c r="N492" s="595"/>
      <c r="O492" s="797">
        <f>+O487</f>
        <v>2931798.5999999996</v>
      </c>
      <c r="P492" s="797">
        <f>+P487</f>
        <v>2475308.5200000005</v>
      </c>
      <c r="Q492" s="797">
        <f t="shared" ref="Q492:BV492" si="14">+Q487</f>
        <v>2231053.54</v>
      </c>
      <c r="R492" s="797">
        <f t="shared" si="14"/>
        <v>1759743.672</v>
      </c>
      <c r="S492" s="797">
        <f t="shared" si="14"/>
        <v>1990736.56</v>
      </c>
      <c r="T492" s="797">
        <f t="shared" si="14"/>
        <v>1847460.453</v>
      </c>
      <c r="U492" s="797">
        <f t="shared" si="14"/>
        <v>2076343.4799999997</v>
      </c>
      <c r="V492" s="797">
        <f t="shared" si="14"/>
        <v>1126350.8600000001</v>
      </c>
      <c r="W492" s="797">
        <f t="shared" si="14"/>
        <v>1880009.4499999997</v>
      </c>
      <c r="X492" s="797">
        <f t="shared" si="14"/>
        <v>1904781.6900000004</v>
      </c>
      <c r="Y492" s="797">
        <f t="shared" si="14"/>
        <v>2028466.6100000003</v>
      </c>
      <c r="Z492" s="797">
        <f t="shared" si="14"/>
        <v>2169013.56</v>
      </c>
      <c r="AA492" s="797">
        <f t="shared" si="14"/>
        <v>1890285.2000000007</v>
      </c>
      <c r="AB492" s="797">
        <f t="shared" si="14"/>
        <v>2979932.65</v>
      </c>
      <c r="AC492" s="797">
        <f t="shared" si="14"/>
        <v>2417251.7999999998</v>
      </c>
      <c r="AD492" s="797">
        <f t="shared" si="14"/>
        <v>1898419.3299999996</v>
      </c>
      <c r="AE492" s="797">
        <f t="shared" si="14"/>
        <v>3205316.3600000003</v>
      </c>
      <c r="AF492" s="797">
        <f t="shared" si="14"/>
        <v>1958069.6600000001</v>
      </c>
      <c r="AG492" s="797">
        <f t="shared" si="14"/>
        <v>2148468.3200000003</v>
      </c>
      <c r="AH492" s="797">
        <f t="shared" si="14"/>
        <v>1796262.85</v>
      </c>
      <c r="AI492" s="797">
        <f t="shared" si="14"/>
        <v>1789119.1300000001</v>
      </c>
      <c r="AJ492" s="797">
        <f t="shared" si="14"/>
        <v>2120489.31</v>
      </c>
      <c r="AK492" s="797">
        <f t="shared" si="14"/>
        <v>1915782.2200000002</v>
      </c>
      <c r="AL492" s="797">
        <f t="shared" si="14"/>
        <v>2257171.37</v>
      </c>
      <c r="AM492" s="797">
        <f t="shared" si="14"/>
        <v>2184865.1850000005</v>
      </c>
      <c r="AN492" s="797">
        <f t="shared" si="14"/>
        <v>2742403.2</v>
      </c>
      <c r="AO492" s="797">
        <f t="shared" si="14"/>
        <v>841940.03000000014</v>
      </c>
      <c r="AP492" s="797">
        <f t="shared" si="14"/>
        <v>670129.14999999991</v>
      </c>
      <c r="AQ492" s="797">
        <f t="shared" si="14"/>
        <v>1873530.9500000002</v>
      </c>
      <c r="AR492" s="797">
        <f t="shared" si="14"/>
        <v>2467291.3899999997</v>
      </c>
      <c r="AS492" s="797">
        <f t="shared" si="14"/>
        <v>3793607.99</v>
      </c>
      <c r="AT492" s="797">
        <f t="shared" si="14"/>
        <v>2002847.9500000002</v>
      </c>
      <c r="AU492" s="797">
        <f t="shared" si="14"/>
        <v>3051616.44</v>
      </c>
      <c r="AV492" s="797">
        <f t="shared" si="14"/>
        <v>2532295.88</v>
      </c>
      <c r="AW492" s="797">
        <f>+AW487</f>
        <v>3386890.0900000008</v>
      </c>
      <c r="AX492" s="797">
        <f t="shared" si="14"/>
        <v>1897557.7100000002</v>
      </c>
      <c r="AY492" s="797">
        <f t="shared" si="14"/>
        <v>2335882.6499999994</v>
      </c>
      <c r="AZ492" s="797">
        <f t="shared" si="14"/>
        <v>1997621.2699999998</v>
      </c>
      <c r="BA492" s="797">
        <f t="shared" si="14"/>
        <v>2657814.7000000002</v>
      </c>
      <c r="BB492" s="797">
        <f t="shared" si="14"/>
        <v>2059710.068</v>
      </c>
      <c r="BC492" s="797">
        <f t="shared" si="14"/>
        <v>2859269.5000000009</v>
      </c>
      <c r="BD492" s="797">
        <f t="shared" si="14"/>
        <v>2429725.8299999996</v>
      </c>
      <c r="BE492" s="797">
        <f t="shared" si="14"/>
        <v>3086889.0000000005</v>
      </c>
      <c r="BF492" s="797">
        <f t="shared" si="14"/>
        <v>2448248.04</v>
      </c>
      <c r="BG492" s="797">
        <f t="shared" si="14"/>
        <v>3513690.22</v>
      </c>
      <c r="BH492" s="797">
        <f t="shared" si="14"/>
        <v>2707213.2100000004</v>
      </c>
      <c r="BI492" s="797">
        <f t="shared" si="14"/>
        <v>3451864.3999999994</v>
      </c>
      <c r="BJ492" s="797">
        <f t="shared" si="14"/>
        <v>2308409.0900000003</v>
      </c>
      <c r="BK492" s="797">
        <f t="shared" si="14"/>
        <v>2181688.6399999997</v>
      </c>
      <c r="BL492" s="797">
        <f t="shared" si="14"/>
        <v>3205318.4700000007</v>
      </c>
      <c r="BM492" s="797">
        <f t="shared" si="14"/>
        <v>3416530.129999999</v>
      </c>
      <c r="BN492" s="797">
        <f t="shared" si="14"/>
        <v>3417743.9299999997</v>
      </c>
      <c r="BO492" s="797">
        <f t="shared" si="14"/>
        <v>3517495.9300000006</v>
      </c>
      <c r="BP492" s="797">
        <f t="shared" si="14"/>
        <v>5493613.1999999993</v>
      </c>
      <c r="BQ492" s="797">
        <f t="shared" si="14"/>
        <v>4328065.04</v>
      </c>
      <c r="BR492" s="797">
        <f t="shared" si="14"/>
        <v>3452338.6900000009</v>
      </c>
      <c r="BS492" s="797">
        <f t="shared" si="14"/>
        <v>5052732.0799999991</v>
      </c>
      <c r="BT492" s="797">
        <f t="shared" si="14"/>
        <v>5876071.580000001</v>
      </c>
      <c r="BU492" s="797">
        <f t="shared" si="14"/>
        <v>6047224.1849999996</v>
      </c>
      <c r="BV492" s="797">
        <f t="shared" si="14"/>
        <v>6591667.8100000015</v>
      </c>
    </row>
    <row r="493" spans="2:76" ht="15.75" thickTop="1">
      <c r="B493" s="3" t="s">
        <v>363</v>
      </c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808">
        <f>+O492-O487</f>
        <v>0</v>
      </c>
      <c r="P493" s="808">
        <f t="shared" ref="P493:BV493" si="15">+P492-P487</f>
        <v>0</v>
      </c>
      <c r="Q493" s="808">
        <f t="shared" si="15"/>
        <v>0</v>
      </c>
      <c r="R493" s="808">
        <f t="shared" si="15"/>
        <v>0</v>
      </c>
      <c r="S493" s="808">
        <f t="shared" si="15"/>
        <v>0</v>
      </c>
      <c r="T493" s="808">
        <f t="shared" si="15"/>
        <v>0</v>
      </c>
      <c r="U493" s="808">
        <f t="shared" si="15"/>
        <v>0</v>
      </c>
      <c r="V493" s="808">
        <f t="shared" si="15"/>
        <v>0</v>
      </c>
      <c r="W493" s="808">
        <f t="shared" si="15"/>
        <v>0</v>
      </c>
      <c r="X493" s="808">
        <f t="shared" si="15"/>
        <v>0</v>
      </c>
      <c r="Y493" s="808">
        <f t="shared" si="15"/>
        <v>0</v>
      </c>
      <c r="Z493" s="808">
        <f t="shared" si="15"/>
        <v>0</v>
      </c>
      <c r="AA493" s="808">
        <f t="shared" si="15"/>
        <v>0</v>
      </c>
      <c r="AB493" s="808">
        <f t="shared" si="15"/>
        <v>0</v>
      </c>
      <c r="AC493" s="808">
        <f t="shared" si="15"/>
        <v>0</v>
      </c>
      <c r="AD493" s="808">
        <f t="shared" si="15"/>
        <v>0</v>
      </c>
      <c r="AE493" s="808">
        <f t="shared" si="15"/>
        <v>0</v>
      </c>
      <c r="AF493" s="808">
        <f t="shared" si="15"/>
        <v>0</v>
      </c>
      <c r="AG493" s="808">
        <f t="shared" si="15"/>
        <v>0</v>
      </c>
      <c r="AH493" s="808">
        <f t="shared" si="15"/>
        <v>0</v>
      </c>
      <c r="AI493" s="808">
        <f t="shared" si="15"/>
        <v>0</v>
      </c>
      <c r="AJ493" s="808">
        <f t="shared" si="15"/>
        <v>0</v>
      </c>
      <c r="AK493" s="808">
        <f t="shared" si="15"/>
        <v>0</v>
      </c>
      <c r="AL493" s="808">
        <f t="shared" si="15"/>
        <v>0</v>
      </c>
      <c r="AM493" s="808">
        <f t="shared" si="15"/>
        <v>0</v>
      </c>
      <c r="AN493" s="808">
        <f t="shared" si="15"/>
        <v>0</v>
      </c>
      <c r="AO493" s="808">
        <f t="shared" si="15"/>
        <v>0</v>
      </c>
      <c r="AP493" s="808">
        <f t="shared" si="15"/>
        <v>0</v>
      </c>
      <c r="AQ493" s="808">
        <f t="shared" si="15"/>
        <v>0</v>
      </c>
      <c r="AR493" s="808">
        <f t="shared" si="15"/>
        <v>0</v>
      </c>
      <c r="AS493" s="808">
        <f t="shared" si="15"/>
        <v>0</v>
      </c>
      <c r="AT493" s="808">
        <f t="shared" si="15"/>
        <v>0</v>
      </c>
      <c r="AU493" s="808">
        <f t="shared" si="15"/>
        <v>0</v>
      </c>
      <c r="AV493" s="808">
        <f t="shared" si="15"/>
        <v>0</v>
      </c>
      <c r="AW493" s="808">
        <f>+AW492-AW487</f>
        <v>0</v>
      </c>
      <c r="AX493" s="808">
        <f t="shared" si="15"/>
        <v>0</v>
      </c>
      <c r="AY493" s="808">
        <f t="shared" si="15"/>
        <v>0</v>
      </c>
      <c r="AZ493" s="808">
        <f t="shared" si="15"/>
        <v>0</v>
      </c>
      <c r="BA493" s="808">
        <f t="shared" si="15"/>
        <v>0</v>
      </c>
      <c r="BB493" s="808">
        <f t="shared" si="15"/>
        <v>0</v>
      </c>
      <c r="BC493" s="808">
        <f t="shared" si="15"/>
        <v>0</v>
      </c>
      <c r="BD493" s="808">
        <f t="shared" si="15"/>
        <v>0</v>
      </c>
      <c r="BE493" s="808">
        <f t="shared" si="15"/>
        <v>0</v>
      </c>
      <c r="BF493" s="808">
        <f t="shared" si="15"/>
        <v>0</v>
      </c>
      <c r="BG493" s="808">
        <f t="shared" si="15"/>
        <v>0</v>
      </c>
      <c r="BH493" s="808">
        <f t="shared" si="15"/>
        <v>0</v>
      </c>
      <c r="BI493" s="808">
        <f t="shared" si="15"/>
        <v>0</v>
      </c>
      <c r="BJ493" s="808">
        <f t="shared" si="15"/>
        <v>0</v>
      </c>
      <c r="BK493" s="808">
        <f t="shared" si="15"/>
        <v>0</v>
      </c>
      <c r="BL493" s="808">
        <f t="shared" si="15"/>
        <v>0</v>
      </c>
      <c r="BM493" s="808">
        <f t="shared" si="15"/>
        <v>0</v>
      </c>
      <c r="BN493" s="808">
        <f t="shared" si="15"/>
        <v>0</v>
      </c>
      <c r="BO493" s="808">
        <f t="shared" si="15"/>
        <v>0</v>
      </c>
      <c r="BP493" s="808">
        <f t="shared" si="15"/>
        <v>0</v>
      </c>
      <c r="BQ493" s="808">
        <f t="shared" si="15"/>
        <v>0</v>
      </c>
      <c r="BR493" s="808">
        <f t="shared" si="15"/>
        <v>0</v>
      </c>
      <c r="BS493" s="808">
        <f t="shared" si="15"/>
        <v>0</v>
      </c>
      <c r="BT493" s="808">
        <f t="shared" si="15"/>
        <v>0</v>
      </c>
      <c r="BU493" s="808">
        <f t="shared" si="15"/>
        <v>0</v>
      </c>
      <c r="BV493" s="808">
        <f t="shared" si="15"/>
        <v>0</v>
      </c>
    </row>
    <row r="494" spans="2:76">
      <c r="O494" s="801">
        <v>43101</v>
      </c>
      <c r="P494" s="801">
        <v>43132</v>
      </c>
      <c r="Q494" s="801">
        <v>43160</v>
      </c>
      <c r="R494" s="801">
        <v>43191</v>
      </c>
      <c r="S494" s="801">
        <v>43221</v>
      </c>
      <c r="T494" s="801">
        <v>43252</v>
      </c>
      <c r="U494" s="801">
        <v>43282</v>
      </c>
      <c r="V494" s="801">
        <v>43313</v>
      </c>
      <c r="W494" s="801">
        <v>43344</v>
      </c>
      <c r="X494" s="801">
        <v>43374</v>
      </c>
      <c r="Y494" s="801">
        <v>43405</v>
      </c>
      <c r="Z494" s="801">
        <v>43435</v>
      </c>
      <c r="AA494" s="801">
        <v>43466</v>
      </c>
      <c r="AB494" s="801">
        <v>43497</v>
      </c>
      <c r="AC494" s="801">
        <v>43525</v>
      </c>
      <c r="AD494" s="801">
        <v>43556</v>
      </c>
      <c r="AE494" s="801">
        <v>43586</v>
      </c>
      <c r="AF494" s="801">
        <v>43617</v>
      </c>
      <c r="AG494" s="801">
        <v>43647</v>
      </c>
      <c r="AH494" s="801">
        <v>43678</v>
      </c>
      <c r="AI494" s="801">
        <v>43709</v>
      </c>
      <c r="AJ494" s="801">
        <v>43739</v>
      </c>
      <c r="AK494" s="801">
        <v>43770</v>
      </c>
      <c r="AL494" s="801">
        <v>43800</v>
      </c>
      <c r="AM494" s="801">
        <v>43831</v>
      </c>
      <c r="AN494" s="801">
        <v>43862</v>
      </c>
      <c r="AO494" s="801">
        <v>43891</v>
      </c>
      <c r="AP494" s="801">
        <v>43922</v>
      </c>
      <c r="AQ494" s="801">
        <v>43952</v>
      </c>
      <c r="AR494" s="801">
        <v>43983</v>
      </c>
      <c r="AS494" s="801">
        <v>44013</v>
      </c>
      <c r="AT494" s="801">
        <v>44044</v>
      </c>
      <c r="AU494" s="801">
        <v>44075</v>
      </c>
      <c r="AV494" s="801">
        <v>44105</v>
      </c>
      <c r="AW494" s="801">
        <v>44136</v>
      </c>
      <c r="AX494" s="801">
        <v>44166</v>
      </c>
      <c r="AY494" s="801">
        <v>44197</v>
      </c>
      <c r="AZ494" s="801">
        <v>44228</v>
      </c>
      <c r="BA494" s="801">
        <v>44256</v>
      </c>
      <c r="BB494" s="801">
        <v>44287</v>
      </c>
      <c r="BC494" s="801">
        <v>44317</v>
      </c>
      <c r="BD494" s="801">
        <v>44348</v>
      </c>
      <c r="BE494" s="801">
        <v>44378</v>
      </c>
      <c r="BF494" s="801">
        <v>44409</v>
      </c>
      <c r="BG494" s="801">
        <v>44440</v>
      </c>
      <c r="BH494" s="801">
        <v>44470</v>
      </c>
      <c r="BI494" s="801">
        <v>44501</v>
      </c>
      <c r="BJ494" s="801">
        <v>44531</v>
      </c>
      <c r="BK494" s="801">
        <v>44562</v>
      </c>
      <c r="BL494" s="801">
        <v>44593</v>
      </c>
      <c r="BM494" s="801">
        <v>44621</v>
      </c>
      <c r="BN494" s="801">
        <v>44652</v>
      </c>
      <c r="BO494" s="801">
        <v>44682</v>
      </c>
      <c r="BP494" s="801">
        <v>44713</v>
      </c>
      <c r="BQ494" s="801">
        <v>44743</v>
      </c>
      <c r="BR494" s="801">
        <v>44774</v>
      </c>
      <c r="BS494" s="801">
        <v>44805</v>
      </c>
      <c r="BT494" s="801">
        <v>44835</v>
      </c>
      <c r="BU494" s="801">
        <v>44866</v>
      </c>
      <c r="BV494" s="801">
        <v>44896</v>
      </c>
    </row>
    <row r="495" spans="2:76">
      <c r="B495" t="s">
        <v>3439</v>
      </c>
      <c r="P495" s="595">
        <v>1068635</v>
      </c>
      <c r="Q495" s="595">
        <v>226715</v>
      </c>
      <c r="R495" s="595">
        <v>401487</v>
      </c>
      <c r="S495" s="595">
        <v>354358</v>
      </c>
      <c r="T495" s="595">
        <v>931147</v>
      </c>
      <c r="U495" s="595">
        <v>537411</v>
      </c>
      <c r="V495" s="595">
        <v>349748</v>
      </c>
      <c r="W495" s="595">
        <v>382039</v>
      </c>
      <c r="X495" s="595">
        <v>460865</v>
      </c>
      <c r="Y495" s="595">
        <v>708818</v>
      </c>
      <c r="Z495" s="595">
        <v>852164</v>
      </c>
      <c r="AA495" s="595">
        <v>72872</v>
      </c>
      <c r="AB495" s="595">
        <v>610761</v>
      </c>
      <c r="AC495" s="595">
        <v>157042</v>
      </c>
      <c r="AD495" s="595">
        <v>552871</v>
      </c>
      <c r="AE495" s="595">
        <v>405272</v>
      </c>
      <c r="AF495" s="595">
        <v>472303</v>
      </c>
      <c r="AG495" s="595">
        <v>900974</v>
      </c>
      <c r="AH495" s="595">
        <v>446787</v>
      </c>
      <c r="AI495" s="595">
        <v>251932</v>
      </c>
      <c r="AJ495" s="595">
        <v>695851</v>
      </c>
      <c r="AK495" s="595">
        <v>581965</v>
      </c>
      <c r="AL495" s="595">
        <v>877528</v>
      </c>
      <c r="AM495" s="595">
        <v>274033</v>
      </c>
      <c r="AN495" s="595">
        <v>479925</v>
      </c>
      <c r="AO495" s="595">
        <v>198842</v>
      </c>
      <c r="AP495" s="595">
        <v>118171</v>
      </c>
      <c r="AQ495" s="595">
        <v>813306</v>
      </c>
      <c r="AR495" s="595">
        <v>905818</v>
      </c>
      <c r="AS495" s="595">
        <v>862644</v>
      </c>
      <c r="AT495" s="595">
        <v>49162</v>
      </c>
      <c r="AU495" s="595">
        <v>808088</v>
      </c>
      <c r="AV495" s="595">
        <v>395744</v>
      </c>
      <c r="AW495" s="595">
        <v>395744</v>
      </c>
      <c r="AX495" s="595">
        <v>547830</v>
      </c>
      <c r="AY495" s="595">
        <v>687425</v>
      </c>
      <c r="AZ495" s="595">
        <v>211430</v>
      </c>
      <c r="BA495" s="595">
        <v>165229</v>
      </c>
      <c r="BB495" s="595">
        <v>240390</v>
      </c>
      <c r="BC495" s="595">
        <v>609964</v>
      </c>
      <c r="BD495" s="595">
        <v>687999</v>
      </c>
      <c r="BE495" s="595">
        <v>35042</v>
      </c>
      <c r="BF495" s="595">
        <v>20776</v>
      </c>
      <c r="BG495" s="595">
        <v>343626</v>
      </c>
      <c r="BH495" s="595">
        <v>158626</v>
      </c>
      <c r="BI495" s="595">
        <v>125710</v>
      </c>
      <c r="BJ495" s="595">
        <v>374976</v>
      </c>
      <c r="BK495" s="595">
        <v>93626</v>
      </c>
      <c r="BL495" s="595">
        <v>440989</v>
      </c>
      <c r="BM495" s="595">
        <v>578496</v>
      </c>
      <c r="BN495" s="595">
        <v>173071</v>
      </c>
      <c r="BO495" s="595">
        <v>918294</v>
      </c>
      <c r="BP495" s="595">
        <v>959447</v>
      </c>
      <c r="BQ495" s="595">
        <v>274456</v>
      </c>
      <c r="BR495" s="595">
        <v>257193</v>
      </c>
      <c r="BS495" s="595">
        <v>459356</v>
      </c>
      <c r="BT495" s="595">
        <v>291532</v>
      </c>
      <c r="BU495" s="595">
        <v>135968</v>
      </c>
      <c r="BV495" s="595">
        <v>384009</v>
      </c>
    </row>
    <row r="496" spans="2:76">
      <c r="B496" t="s">
        <v>3440</v>
      </c>
      <c r="P496" s="595">
        <v>1406673.5200000005</v>
      </c>
      <c r="Q496" s="595">
        <v>2004338.54</v>
      </c>
      <c r="R496" s="595">
        <v>1358256.672</v>
      </c>
      <c r="S496" s="595">
        <v>1636378.56</v>
      </c>
      <c r="T496" s="595">
        <v>916313.45299999998</v>
      </c>
      <c r="U496" s="595">
        <v>1538932.4799999997</v>
      </c>
      <c r="V496" s="595">
        <v>776602.8600000001</v>
      </c>
      <c r="W496" s="595">
        <v>1497970.4499999997</v>
      </c>
      <c r="X496" s="595">
        <v>1443916.6900000004</v>
      </c>
      <c r="Y496" s="595">
        <v>1319648.6100000003</v>
      </c>
      <c r="Z496" s="595">
        <v>1316849.56</v>
      </c>
      <c r="AA496" s="595">
        <v>1817413.2000000007</v>
      </c>
      <c r="AB496" s="595">
        <v>2369171.65</v>
      </c>
      <c r="AC496" s="595">
        <v>2260209.7999999998</v>
      </c>
      <c r="AD496" s="595">
        <v>1345548.3299999996</v>
      </c>
      <c r="AE496" s="595">
        <v>2800044.3600000003</v>
      </c>
      <c r="AF496" s="595">
        <v>1485766.6600000001</v>
      </c>
      <c r="AG496" s="595">
        <v>1247494.3200000003</v>
      </c>
      <c r="AH496" s="595">
        <v>1349475.85</v>
      </c>
      <c r="AI496" s="595">
        <v>1537187.1300000001</v>
      </c>
      <c r="AJ496" s="595">
        <v>1424638.31</v>
      </c>
      <c r="AK496" s="595">
        <v>1333817.2200000002</v>
      </c>
      <c r="AL496" s="595">
        <v>1379643.37</v>
      </c>
      <c r="AM496" s="595">
        <v>1910832.1850000005</v>
      </c>
      <c r="AN496" s="595">
        <v>2262478.2000000002</v>
      </c>
      <c r="AO496" s="595">
        <v>643098.03000000014</v>
      </c>
      <c r="AP496" s="595">
        <v>551958.14999999991</v>
      </c>
      <c r="AQ496" s="595">
        <v>1060224.9500000002</v>
      </c>
      <c r="AR496" s="595">
        <v>1561473.3899999997</v>
      </c>
      <c r="AS496" s="595">
        <v>2930963.99</v>
      </c>
      <c r="AT496" s="595">
        <v>1953685.9500000002</v>
      </c>
      <c r="AU496" s="595">
        <v>2243528.44</v>
      </c>
      <c r="AV496" s="595">
        <v>2136551.88</v>
      </c>
      <c r="AW496" s="595">
        <v>2991146.0900000008</v>
      </c>
      <c r="AX496" s="595">
        <v>1349727.7100000002</v>
      </c>
      <c r="AY496" s="595">
        <v>1648457.6499999994</v>
      </c>
      <c r="AZ496" s="595">
        <v>1786191.2699999998</v>
      </c>
      <c r="BA496" s="595">
        <v>2492585.7000000002</v>
      </c>
      <c r="BB496" s="595">
        <v>1819320.068</v>
      </c>
      <c r="BC496" s="595">
        <v>2249305.5000000009</v>
      </c>
      <c r="BD496" s="595">
        <v>1741726.8299999996</v>
      </c>
      <c r="BE496" s="595">
        <v>3051847.0000000005</v>
      </c>
      <c r="BF496" s="595">
        <v>2427472.04</v>
      </c>
      <c r="BG496" s="595">
        <v>3170064.22</v>
      </c>
      <c r="BH496" s="595">
        <v>2548587.2100000004</v>
      </c>
      <c r="BI496" s="595">
        <v>3326154.3999999994</v>
      </c>
      <c r="BJ496" s="595">
        <v>1933433.0900000003</v>
      </c>
      <c r="BK496" s="595">
        <v>2088062.6399999997</v>
      </c>
      <c r="BL496" s="595">
        <v>2764329.4700000007</v>
      </c>
      <c r="BM496" s="595">
        <v>2838034.129999999</v>
      </c>
      <c r="BN496" s="595">
        <v>3244672.9299999997</v>
      </c>
      <c r="BO496" s="595">
        <v>2599201.9300000006</v>
      </c>
      <c r="BP496" s="595">
        <v>4534166.1999999993</v>
      </c>
      <c r="BQ496" s="595">
        <v>4053609.04</v>
      </c>
      <c r="BR496" s="595">
        <v>3195145.6900000009</v>
      </c>
      <c r="BS496" s="595">
        <v>4593376.0799999991</v>
      </c>
      <c r="BT496" s="595">
        <v>5584539.580000001</v>
      </c>
      <c r="BU496" s="595">
        <v>5911256.1849999996</v>
      </c>
      <c r="BV496" s="595">
        <v>6207658.8100000015</v>
      </c>
    </row>
    <row r="498" spans="15:30">
      <c r="O498" s="804" t="s">
        <v>3435</v>
      </c>
      <c r="P498" s="804" t="s">
        <v>3436</v>
      </c>
      <c r="Q498" s="804" t="s">
        <v>3437</v>
      </c>
      <c r="R498" s="804" t="s">
        <v>3435</v>
      </c>
      <c r="S498" s="804" t="s">
        <v>3436</v>
      </c>
      <c r="T498" s="804" t="s">
        <v>3437</v>
      </c>
      <c r="U498" s="804" t="s">
        <v>3435</v>
      </c>
      <c r="V498" s="804" t="s">
        <v>3436</v>
      </c>
      <c r="W498" s="804" t="s">
        <v>3437</v>
      </c>
      <c r="X498" s="804" t="s">
        <v>3435</v>
      </c>
      <c r="Y498" s="804" t="s">
        <v>3436</v>
      </c>
      <c r="Z498" s="804" t="s">
        <v>3437</v>
      </c>
      <c r="AA498" s="804" t="s">
        <v>3435</v>
      </c>
      <c r="AB498" s="804" t="s">
        <v>3436</v>
      </c>
      <c r="AC498" s="804" t="s">
        <v>3437</v>
      </c>
      <c r="AD498" s="783" t="s">
        <v>1</v>
      </c>
    </row>
    <row r="499" spans="15:30">
      <c r="O499" s="806">
        <v>43101</v>
      </c>
      <c r="P499" s="799">
        <v>2931798.5999999996</v>
      </c>
      <c r="Q499" s="703">
        <f>+P499/$P$511</f>
        <v>0.12005202723534805</v>
      </c>
      <c r="R499" s="806">
        <v>43466</v>
      </c>
      <c r="S499" s="799">
        <v>1890285.2000000007</v>
      </c>
      <c r="T499" s="703">
        <f t="shared" ref="T499:T510" si="16">+S499/$S$511</f>
        <v>7.1665319978965303E-2</v>
      </c>
      <c r="U499" s="806">
        <v>43831</v>
      </c>
      <c r="V499" s="799">
        <v>2184865.1850000005</v>
      </c>
      <c r="W499" s="703">
        <f t="shared" ref="W499:W510" si="17">+V499/$V$511</f>
        <v>7.9608930530174732E-2</v>
      </c>
      <c r="X499" s="806">
        <v>44197</v>
      </c>
      <c r="Y499" s="799">
        <v>2335882.6499999994</v>
      </c>
      <c r="Z499" s="703">
        <f t="shared" ref="Z499:Z510" si="18">+Y499/$Y$511</f>
        <v>7.332552321654677E-2</v>
      </c>
      <c r="AA499" s="806">
        <v>44562</v>
      </c>
      <c r="AB499" s="799">
        <v>2181688.6399999997</v>
      </c>
      <c r="AC499" s="703">
        <f t="shared" ref="AC499:AC510" si="19">+AB499/$AB$511</f>
        <v>4.1492360627869637E-2</v>
      </c>
      <c r="AD499" s="807">
        <f>+AVERAGE(AC499,Z499,W499,T499,Q499)</f>
        <v>7.722883231778091E-2</v>
      </c>
    </row>
    <row r="500" spans="15:30">
      <c r="O500" s="806">
        <v>43132</v>
      </c>
      <c r="P500" s="595">
        <v>2475308.5200000005</v>
      </c>
      <c r="Q500" s="703">
        <f t="shared" ref="Q500:Q510" si="20">+P500/$P$511</f>
        <v>0.10135955650532379</v>
      </c>
      <c r="R500" s="806">
        <v>43497</v>
      </c>
      <c r="S500" s="595">
        <v>2979932.65</v>
      </c>
      <c r="T500" s="703">
        <f t="shared" si="16"/>
        <v>0.11297651109896852</v>
      </c>
      <c r="U500" s="806">
        <v>43862</v>
      </c>
      <c r="V500" s="595">
        <v>2742403.2</v>
      </c>
      <c r="W500" s="703">
        <f t="shared" si="17"/>
        <v>9.9923687435446426E-2</v>
      </c>
      <c r="X500" s="806">
        <v>44228</v>
      </c>
      <c r="Y500" s="595">
        <v>1997621.2699999998</v>
      </c>
      <c r="Z500" s="703">
        <f t="shared" si="18"/>
        <v>6.2707184717200007E-2</v>
      </c>
      <c r="AA500" s="806">
        <v>44593</v>
      </c>
      <c r="AB500" s="595">
        <v>3205318.4700000007</v>
      </c>
      <c r="AC500" s="703">
        <f t="shared" si="19"/>
        <v>6.0960224775434224E-2</v>
      </c>
      <c r="AD500" s="807">
        <f t="shared" ref="AD500:AD510" si="21">+AVERAGE(AC500,Z500,W500,T500,Q500)</f>
        <v>8.7585432906474595E-2</v>
      </c>
    </row>
    <row r="501" spans="15:30">
      <c r="O501" s="806">
        <v>43160</v>
      </c>
      <c r="P501" s="595">
        <v>2231053.54</v>
      </c>
      <c r="Q501" s="703">
        <f t="shared" si="20"/>
        <v>9.1357742086240076E-2</v>
      </c>
      <c r="R501" s="806">
        <v>43525</v>
      </c>
      <c r="S501" s="595">
        <v>2417251.7999999998</v>
      </c>
      <c r="T501" s="703">
        <f t="shared" si="16"/>
        <v>9.1643908398970561E-2</v>
      </c>
      <c r="U501" s="806">
        <v>43891</v>
      </c>
      <c r="V501" s="595">
        <v>841940.03000000014</v>
      </c>
      <c r="W501" s="703">
        <f t="shared" si="17"/>
        <v>3.0677382668278099E-2</v>
      </c>
      <c r="X501" s="806">
        <v>44256</v>
      </c>
      <c r="Y501" s="595">
        <v>2657814.7000000002</v>
      </c>
      <c r="Z501" s="703">
        <f t="shared" si="18"/>
        <v>8.3431268899629582E-2</v>
      </c>
      <c r="AA501" s="806">
        <v>44621</v>
      </c>
      <c r="AB501" s="595">
        <v>3416530.129999999</v>
      </c>
      <c r="AC501" s="703">
        <f t="shared" si="19"/>
        <v>6.497714552427715E-2</v>
      </c>
      <c r="AD501" s="807">
        <f t="shared" si="21"/>
        <v>7.2417489515479092E-2</v>
      </c>
    </row>
    <row r="502" spans="15:30">
      <c r="O502" s="806">
        <v>43191</v>
      </c>
      <c r="P502" s="595">
        <v>1759743.672</v>
      </c>
      <c r="Q502" s="703">
        <f t="shared" si="20"/>
        <v>7.2058426945894385E-2</v>
      </c>
      <c r="R502" s="806">
        <v>43556</v>
      </c>
      <c r="S502" s="595">
        <v>1898419.3299999996</v>
      </c>
      <c r="T502" s="703">
        <f t="shared" si="16"/>
        <v>7.1973704676258812E-2</v>
      </c>
      <c r="U502" s="806">
        <v>43922</v>
      </c>
      <c r="V502" s="595">
        <v>670129.14999999991</v>
      </c>
      <c r="W502" s="703">
        <f t="shared" si="17"/>
        <v>2.4417188444784993E-2</v>
      </c>
      <c r="X502" s="806">
        <v>44287</v>
      </c>
      <c r="Y502" s="595">
        <v>2059710.068</v>
      </c>
      <c r="Z502" s="703">
        <f t="shared" si="18"/>
        <v>6.4656209681804494E-2</v>
      </c>
      <c r="AA502" s="806">
        <v>44652</v>
      </c>
      <c r="AB502" s="595">
        <v>3417743.9299999997</v>
      </c>
      <c r="AC502" s="703">
        <f t="shared" si="19"/>
        <v>6.50002301324136E-2</v>
      </c>
      <c r="AD502" s="807">
        <f t="shared" si="21"/>
        <v>5.962115197623126E-2</v>
      </c>
    </row>
    <row r="503" spans="15:30">
      <c r="O503" s="806">
        <v>43221</v>
      </c>
      <c r="P503" s="595">
        <v>1990736.56</v>
      </c>
      <c r="Q503" s="703">
        <f t="shared" si="20"/>
        <v>8.1517181882658357E-2</v>
      </c>
      <c r="R503" s="806">
        <v>43586</v>
      </c>
      <c r="S503" s="595">
        <v>3205316.3600000003</v>
      </c>
      <c r="T503" s="703">
        <f t="shared" si="16"/>
        <v>0.12152135697471063</v>
      </c>
      <c r="U503" s="806">
        <v>43952</v>
      </c>
      <c r="V503" s="595">
        <v>1873530.9500000002</v>
      </c>
      <c r="W503" s="703">
        <f t="shared" si="17"/>
        <v>6.826498782105965E-2</v>
      </c>
      <c r="X503" s="806">
        <v>44317</v>
      </c>
      <c r="Y503" s="595">
        <v>2859269.5000000009</v>
      </c>
      <c r="Z503" s="703">
        <f t="shared" si="18"/>
        <v>8.9755121946992575E-2</v>
      </c>
      <c r="AA503" s="806">
        <v>44682</v>
      </c>
      <c r="AB503" s="595">
        <v>3517495.9300000006</v>
      </c>
      <c r="AC503" s="703">
        <f t="shared" si="19"/>
        <v>6.6897359668437267E-2</v>
      </c>
      <c r="AD503" s="807">
        <f t="shared" si="21"/>
        <v>8.5591201658771696E-2</v>
      </c>
    </row>
    <row r="504" spans="15:30">
      <c r="O504" s="806">
        <v>43252</v>
      </c>
      <c r="P504" s="595">
        <v>1847460.453</v>
      </c>
      <c r="Q504" s="703">
        <f t="shared" si="20"/>
        <v>7.565027577944286E-2</v>
      </c>
      <c r="R504" s="806">
        <v>43617</v>
      </c>
      <c r="S504" s="595">
        <v>1958069.6600000001</v>
      </c>
      <c r="T504" s="703">
        <f t="shared" si="16"/>
        <v>7.4235194099283933E-2</v>
      </c>
      <c r="U504" s="806">
        <v>43983</v>
      </c>
      <c r="V504" s="595">
        <v>2467291.3899999997</v>
      </c>
      <c r="W504" s="703">
        <f t="shared" si="17"/>
        <v>8.9899564610531418E-2</v>
      </c>
      <c r="X504" s="806">
        <v>44348</v>
      </c>
      <c r="Y504" s="595">
        <v>2429725.8299999996</v>
      </c>
      <c r="Z504" s="703">
        <f t="shared" si="18"/>
        <v>7.6271347688424487E-2</v>
      </c>
      <c r="AA504" s="806">
        <v>44713</v>
      </c>
      <c r="AB504" s="595">
        <v>5493613.1999999993</v>
      </c>
      <c r="AC504" s="703">
        <f t="shared" si="19"/>
        <v>0.10448006918366909</v>
      </c>
      <c r="AD504" s="807">
        <f t="shared" si="21"/>
        <v>8.4107290272270346E-2</v>
      </c>
    </row>
    <row r="505" spans="15:30">
      <c r="O505" s="806">
        <v>43282</v>
      </c>
      <c r="P505" s="595">
        <v>2076343.4799999997</v>
      </c>
      <c r="Q505" s="703">
        <f t="shared" si="20"/>
        <v>8.5022635596762125E-2</v>
      </c>
      <c r="R505" s="806">
        <v>43647</v>
      </c>
      <c r="S505" s="595">
        <v>2148468.3200000003</v>
      </c>
      <c r="T505" s="703">
        <f t="shared" si="16"/>
        <v>8.1453671444642314E-2</v>
      </c>
      <c r="U505" s="806">
        <v>44013</v>
      </c>
      <c r="V505" s="595">
        <v>3793607.99</v>
      </c>
      <c r="W505" s="703">
        <f t="shared" si="17"/>
        <v>0.13822595417237413</v>
      </c>
      <c r="X505" s="806">
        <v>44378</v>
      </c>
      <c r="Y505" s="595">
        <v>3086889.0000000005</v>
      </c>
      <c r="Z505" s="703">
        <f t="shared" si="18"/>
        <v>9.6900309198496307E-2</v>
      </c>
      <c r="AA505" s="806">
        <v>44743</v>
      </c>
      <c r="AB505" s="595">
        <v>4328065.04</v>
      </c>
      <c r="AC505" s="703">
        <f t="shared" si="19"/>
        <v>8.2313136791396166E-2</v>
      </c>
      <c r="AD505" s="807">
        <f t="shared" si="21"/>
        <v>9.6783141440734216E-2</v>
      </c>
    </row>
    <row r="506" spans="15:30">
      <c r="O506" s="806">
        <v>43313</v>
      </c>
      <c r="P506" s="595">
        <v>1126350.8600000001</v>
      </c>
      <c r="Q506" s="703">
        <f t="shared" si="20"/>
        <v>4.6122098605708366E-2</v>
      </c>
      <c r="R506" s="806">
        <v>43678</v>
      </c>
      <c r="S506" s="595">
        <v>1796262.85</v>
      </c>
      <c r="T506" s="703">
        <f t="shared" si="16"/>
        <v>6.8100703487271708E-2</v>
      </c>
      <c r="U506" s="806">
        <v>44044</v>
      </c>
      <c r="V506" s="595">
        <v>2002847.9500000002</v>
      </c>
      <c r="W506" s="703">
        <f t="shared" si="17"/>
        <v>7.2976852031285788E-2</v>
      </c>
      <c r="X506" s="806">
        <v>44409</v>
      </c>
      <c r="Y506" s="595">
        <v>2448248.04</v>
      </c>
      <c r="Z506" s="703">
        <f t="shared" si="18"/>
        <v>7.6852777042068082E-2</v>
      </c>
      <c r="AA506" s="806">
        <v>44774</v>
      </c>
      <c r="AB506" s="595">
        <v>3452338.6900000009</v>
      </c>
      <c r="AC506" s="703">
        <f t="shared" si="19"/>
        <v>6.565816923125524E-2</v>
      </c>
      <c r="AD506" s="807">
        <f t="shared" si="21"/>
        <v>6.5942120079517844E-2</v>
      </c>
    </row>
    <row r="507" spans="15:30">
      <c r="O507" s="806">
        <v>43344</v>
      </c>
      <c r="P507" s="595">
        <v>1880009.4499999997</v>
      </c>
      <c r="Q507" s="703">
        <f t="shared" si="20"/>
        <v>7.6983100303721991E-2</v>
      </c>
      <c r="R507" s="806">
        <v>43709</v>
      </c>
      <c r="S507" s="595">
        <v>1789119.1300000001</v>
      </c>
      <c r="T507" s="703">
        <f t="shared" si="16"/>
        <v>6.7829867647452344E-2</v>
      </c>
      <c r="U507" s="806">
        <v>44075</v>
      </c>
      <c r="V507" s="595">
        <v>3051616.44</v>
      </c>
      <c r="W507" s="703">
        <f t="shared" si="17"/>
        <v>0.11119034842266438</v>
      </c>
      <c r="X507" s="806">
        <v>44440</v>
      </c>
      <c r="Y507" s="595">
        <v>3513690.22</v>
      </c>
      <c r="Z507" s="703">
        <f t="shared" si="18"/>
        <v>0.11029799540758753</v>
      </c>
      <c r="AA507" s="806">
        <v>44805</v>
      </c>
      <c r="AB507" s="595">
        <v>5052732.0799999991</v>
      </c>
      <c r="AC507" s="703">
        <f t="shared" si="19"/>
        <v>9.6095188733881773E-2</v>
      </c>
      <c r="AD507" s="807">
        <f t="shared" si="21"/>
        <v>9.2479300103061601E-2</v>
      </c>
    </row>
    <row r="508" spans="15:30">
      <c r="O508" s="806">
        <v>43374</v>
      </c>
      <c r="P508" s="595">
        <v>1904781.6900000004</v>
      </c>
      <c r="Q508" s="703">
        <f t="shared" si="20"/>
        <v>7.7997480224348423E-2</v>
      </c>
      <c r="R508" s="806">
        <v>43739</v>
      </c>
      <c r="S508" s="595">
        <v>2120489.31</v>
      </c>
      <c r="T508" s="703">
        <f t="shared" si="16"/>
        <v>8.039291896964823E-2</v>
      </c>
      <c r="U508" s="806">
        <v>44105</v>
      </c>
      <c r="V508" s="595">
        <v>2532295.88</v>
      </c>
      <c r="W508" s="703">
        <f t="shared" si="17"/>
        <v>9.2268103394566023E-2</v>
      </c>
      <c r="X508" s="806">
        <v>44470</v>
      </c>
      <c r="Y508" s="595">
        <v>2707213.2100000004</v>
      </c>
      <c r="Z508" s="703">
        <f t="shared" si="18"/>
        <v>8.4981933952031866E-2</v>
      </c>
      <c r="AA508" s="806">
        <v>44835</v>
      </c>
      <c r="AB508" s="595">
        <v>5876071.580000001</v>
      </c>
      <c r="AC508" s="703">
        <f t="shared" si="19"/>
        <v>0.11175383902284783</v>
      </c>
      <c r="AD508" s="807">
        <f t="shared" si="21"/>
        <v>8.947885511268848E-2</v>
      </c>
    </row>
    <row r="509" spans="15:30">
      <c r="O509" s="806">
        <v>43405</v>
      </c>
      <c r="P509" s="595">
        <v>2028466.6100000003</v>
      </c>
      <c r="Q509" s="703">
        <f t="shared" si="20"/>
        <v>8.3062161469656962E-2</v>
      </c>
      <c r="R509" s="806">
        <v>43770</v>
      </c>
      <c r="S509" s="595">
        <v>1915782.2200000002</v>
      </c>
      <c r="T509" s="703">
        <f t="shared" si="16"/>
        <v>7.2631974162582685E-2</v>
      </c>
      <c r="U509" s="806">
        <v>44136</v>
      </c>
      <c r="V509" s="595">
        <v>3386890.0900000008</v>
      </c>
      <c r="W509" s="703">
        <f t="shared" si="17"/>
        <v>0.12340656061492748</v>
      </c>
      <c r="X509" s="806">
        <v>44501</v>
      </c>
      <c r="Y509" s="595">
        <v>3451864.3999999994</v>
      </c>
      <c r="Z509" s="703">
        <f t="shared" si="18"/>
        <v>0.10835722556634911</v>
      </c>
      <c r="AA509" s="806">
        <v>44866</v>
      </c>
      <c r="AB509" s="595">
        <v>6047224.1849999996</v>
      </c>
      <c r="AC509" s="703">
        <f t="shared" si="19"/>
        <v>0.11500889819071299</v>
      </c>
      <c r="AD509" s="807">
        <f t="shared" si="21"/>
        <v>0.10049336400084585</v>
      </c>
    </row>
    <row r="510" spans="15:30">
      <c r="O510" s="806">
        <v>43435</v>
      </c>
      <c r="P510" s="595">
        <v>2169013.56</v>
      </c>
      <c r="Q510" s="703">
        <f t="shared" si="20"/>
        <v>8.8817313364894596E-2</v>
      </c>
      <c r="R510" s="806">
        <v>43800</v>
      </c>
      <c r="S510" s="595">
        <v>2257171.37</v>
      </c>
      <c r="T510" s="703">
        <f t="shared" si="16"/>
        <v>8.5574869061245049E-2</v>
      </c>
      <c r="U510" s="806">
        <v>44166</v>
      </c>
      <c r="V510" s="595">
        <v>1897557.7100000002</v>
      </c>
      <c r="W510" s="703">
        <f t="shared" si="17"/>
        <v>6.914043985390679E-2</v>
      </c>
      <c r="X510" s="806">
        <v>44531</v>
      </c>
      <c r="Y510" s="595">
        <v>2308409.0900000003</v>
      </c>
      <c r="Z510" s="703">
        <f t="shared" si="18"/>
        <v>7.2463102682869221E-2</v>
      </c>
      <c r="AA510" s="806">
        <v>44896</v>
      </c>
      <c r="AB510" s="595">
        <v>6591667.8100000015</v>
      </c>
      <c r="AC510" s="703">
        <f t="shared" si="19"/>
        <v>0.12536337811780501</v>
      </c>
      <c r="AD510" s="807">
        <f t="shared" si="21"/>
        <v>8.8271820616144137E-2</v>
      </c>
    </row>
    <row r="511" spans="15:30" ht="15.75" thickBot="1">
      <c r="O511" s="802" t="s">
        <v>3430</v>
      </c>
      <c r="P511" s="803">
        <f>+SUM(P499:P510)</f>
        <v>24421066.995000001</v>
      </c>
      <c r="Q511" s="805">
        <f>+SUM(Q499:Q510)</f>
        <v>1</v>
      </c>
      <c r="R511" s="802" t="s">
        <v>3434</v>
      </c>
      <c r="S511" s="803">
        <f>+SUM(S499:S510)</f>
        <v>26376568.199999999</v>
      </c>
      <c r="T511" s="805">
        <f>+SUM(T499:T510)</f>
        <v>1</v>
      </c>
      <c r="U511" s="802" t="s">
        <v>3433</v>
      </c>
      <c r="V511" s="803">
        <f>+SUM(V499:V510)</f>
        <v>27444975.965000004</v>
      </c>
      <c r="W511" s="805">
        <f>+SUM(W499:W510)</f>
        <v>1</v>
      </c>
      <c r="X511" s="802" t="s">
        <v>3432</v>
      </c>
      <c r="Y511" s="803">
        <f>+SUM(Y499:Y510)</f>
        <v>31856337.978</v>
      </c>
      <c r="Z511" s="805">
        <f>+SUM(Z499:Z510)</f>
        <v>1</v>
      </c>
      <c r="AA511" s="802" t="s">
        <v>3431</v>
      </c>
      <c r="AB511" s="803">
        <f>+SUM(AB499:AB510)</f>
        <v>52580489.685000002</v>
      </c>
      <c r="AC511" s="805">
        <f>+SUM(AC499:AC510)</f>
        <v>1</v>
      </c>
      <c r="AD511" s="805">
        <f>+SUM(AD499:AD510)</f>
        <v>1</v>
      </c>
    </row>
    <row r="512" spans="15:30" ht="15.75" thickTop="1">
      <c r="O512" t="s">
        <v>3438</v>
      </c>
      <c r="P512" s="595">
        <v>24156026.16</v>
      </c>
      <c r="S512" s="595">
        <v>23727212.98</v>
      </c>
      <c r="V512" s="595">
        <v>24957098.82</v>
      </c>
      <c r="Y512" s="595">
        <v>28909167.91</v>
      </c>
      <c r="AB512" s="595">
        <v>55656502.289999999</v>
      </c>
    </row>
    <row r="513" spans="15:41">
      <c r="O513" s="3" t="s">
        <v>2535</v>
      </c>
      <c r="P513" s="808">
        <f>+P511-P512</f>
        <v>265040.83500000089</v>
      </c>
      <c r="Q513" s="3"/>
      <c r="R513" s="3"/>
      <c r="S513" s="808">
        <f>+S511-S512</f>
        <v>2649355.2199999988</v>
      </c>
      <c r="T513" s="3"/>
      <c r="U513" s="3"/>
      <c r="V513" s="808">
        <f>+V511-V512</f>
        <v>2487877.1450000033</v>
      </c>
      <c r="W513" s="3"/>
      <c r="X513" s="3"/>
      <c r="Y513" s="808">
        <f>+Y511-Y512</f>
        <v>2947170.068</v>
      </c>
      <c r="Z513" s="3"/>
      <c r="AA513" s="3"/>
      <c r="AB513" s="808">
        <f>+AB511-AB512</f>
        <v>-3076012.6049999967</v>
      </c>
    </row>
    <row r="514" spans="15:41">
      <c r="P514" s="703">
        <f>+P513/P512</f>
        <v>1.0972037919005171E-2</v>
      </c>
      <c r="R514" s="595"/>
      <c r="S514" s="703">
        <f>+S513/S512</f>
        <v>0.11165893028537222</v>
      </c>
      <c r="T514" s="595"/>
      <c r="V514" s="703">
        <f>+V513/V512</f>
        <v>9.9686151941918835E-2</v>
      </c>
      <c r="Y514" s="703">
        <f>+Y513/Y512</f>
        <v>0.10194586288941722</v>
      </c>
      <c r="AB514" s="703">
        <f>+AB513/AB512</f>
        <v>-5.5267803013785054E-2</v>
      </c>
    </row>
    <row r="516" spans="15:41">
      <c r="P516" s="644"/>
    </row>
    <row r="517" spans="15:41">
      <c r="O517" s="804" t="s">
        <v>3435</v>
      </c>
      <c r="P517" s="804" t="s">
        <v>3441</v>
      </c>
      <c r="Q517" s="804" t="s">
        <v>3442</v>
      </c>
      <c r="R517" s="804" t="s">
        <v>3443</v>
      </c>
      <c r="S517" s="804" t="s">
        <v>3444</v>
      </c>
      <c r="T517" s="804" t="s">
        <v>3435</v>
      </c>
      <c r="U517" s="804" t="s">
        <v>3441</v>
      </c>
      <c r="V517" s="804" t="s">
        <v>3442</v>
      </c>
      <c r="W517" s="804" t="s">
        <v>3443</v>
      </c>
      <c r="X517" s="804" t="s">
        <v>3444</v>
      </c>
      <c r="Y517" s="804" t="s">
        <v>3435</v>
      </c>
      <c r="Z517" s="804" t="s">
        <v>3441</v>
      </c>
      <c r="AA517" s="804" t="s">
        <v>3442</v>
      </c>
      <c r="AB517" s="804" t="s">
        <v>3443</v>
      </c>
      <c r="AC517" s="804" t="s">
        <v>3444</v>
      </c>
      <c r="AD517" s="804" t="s">
        <v>3435</v>
      </c>
      <c r="AE517" s="804" t="s">
        <v>3441</v>
      </c>
      <c r="AF517" s="804" t="s">
        <v>3442</v>
      </c>
      <c r="AG517" s="804" t="s">
        <v>3443</v>
      </c>
      <c r="AH517" s="804" t="s">
        <v>3444</v>
      </c>
      <c r="AI517" s="804" t="s">
        <v>3435</v>
      </c>
      <c r="AJ517" s="804" t="s">
        <v>3441</v>
      </c>
      <c r="AK517" s="804" t="s">
        <v>3442</v>
      </c>
      <c r="AL517" s="804" t="s">
        <v>3443</v>
      </c>
      <c r="AM517" s="804" t="s">
        <v>3444</v>
      </c>
      <c r="AN517" s="804" t="s">
        <v>3447</v>
      </c>
      <c r="AO517" s="804" t="s">
        <v>3448</v>
      </c>
    </row>
    <row r="518" spans="15:41">
      <c r="O518" s="806">
        <v>43101</v>
      </c>
      <c r="P518" s="595"/>
      <c r="Q518" s="595">
        <f>+O487</f>
        <v>2931798.5999999996</v>
      </c>
      <c r="R518" s="703">
        <f>+P518/($P$530+$Q$530)</f>
        <v>0</v>
      </c>
      <c r="S518" s="703">
        <f>+Q518/($P$530+$Q$530)</f>
        <v>0.12005202723534808</v>
      </c>
      <c r="T518" s="806">
        <v>43466</v>
      </c>
      <c r="U518" s="595">
        <v>72872</v>
      </c>
      <c r="V518" s="595">
        <v>1817413.2000000007</v>
      </c>
      <c r="W518" s="703">
        <f>+U518/($U$530+$V$530)</f>
        <v>2.7627551638806447E-3</v>
      </c>
      <c r="X518" s="703">
        <f>+V518/($U$530+$V$530)</f>
        <v>6.8902564815084652E-2</v>
      </c>
      <c r="Y518" s="806">
        <v>43831</v>
      </c>
      <c r="Z518" s="595">
        <v>274033</v>
      </c>
      <c r="AA518" s="595">
        <v>1910832.1850000005</v>
      </c>
      <c r="AB518" s="703">
        <f>+Z518/($Z$530+$AA$530)</f>
        <v>9.9848147198040357E-3</v>
      </c>
      <c r="AC518" s="703">
        <f>+AA518/($Z$530+$AA$530)</f>
        <v>6.9624115810370701E-2</v>
      </c>
      <c r="AD518" s="806">
        <v>44197</v>
      </c>
      <c r="AE518" s="595">
        <v>687425</v>
      </c>
      <c r="AF518" s="595">
        <v>1648457.6499999994</v>
      </c>
      <c r="AG518" s="703">
        <f>+AE518/($AE$530+$AF$530)</f>
        <v>2.157890842553014E-2</v>
      </c>
      <c r="AH518" s="703">
        <f>+AF518/($AE$530+$AF$530)</f>
        <v>5.1746614791016624E-2</v>
      </c>
      <c r="AI518" s="806">
        <v>44562</v>
      </c>
      <c r="AJ518" s="595">
        <v>93626</v>
      </c>
      <c r="AK518" s="595">
        <v>2088062.6399999997</v>
      </c>
      <c r="AL518" s="703">
        <f>+AJ518/($AJ$530+$AK$530)</f>
        <v>1.7806224430562756E-3</v>
      </c>
      <c r="AM518" s="703">
        <f>+AK518/($AJ$530+$AK$530)</f>
        <v>3.9711738184813362E-2</v>
      </c>
      <c r="AN518" s="724">
        <f>+AVERAGE(R518,W518,AB518,AG518,AL518)</f>
        <v>7.2214201504542195E-3</v>
      </c>
      <c r="AO518" s="724">
        <f>+AVERAGE(S518,X518,AC518,AH518,AM518)</f>
        <v>7.0007412167326685E-2</v>
      </c>
    </row>
    <row r="519" spans="15:41">
      <c r="O519" s="806">
        <v>43132</v>
      </c>
      <c r="P519" s="595">
        <v>1068635</v>
      </c>
      <c r="Q519" s="595">
        <v>1406673.5200000005</v>
      </c>
      <c r="R519" s="703">
        <f t="shared" ref="R519:R529" si="22">+P519/($P$530+$Q$530)</f>
        <v>4.3758735038841416E-2</v>
      </c>
      <c r="S519" s="703">
        <f t="shared" ref="S519:S529" si="23">+Q519/($P$530+$Q$530)</f>
        <v>5.7600821466482391E-2</v>
      </c>
      <c r="T519" s="806">
        <v>43497</v>
      </c>
      <c r="U519" s="595">
        <v>610761</v>
      </c>
      <c r="V519" s="595">
        <v>2369171.65</v>
      </c>
      <c r="W519" s="703">
        <f t="shared" ref="W519:W529" si="24">+U519/($U$530+$V$530)</f>
        <v>2.315543839399092E-2</v>
      </c>
      <c r="X519" s="703">
        <f t="shared" ref="X519:X529" si="25">+V519/($U$530+$V$530)</f>
        <v>8.9821072704977592E-2</v>
      </c>
      <c r="Y519" s="806">
        <v>43862</v>
      </c>
      <c r="Z519" s="595">
        <v>479925</v>
      </c>
      <c r="AA519" s="595">
        <v>2262478.2000000002</v>
      </c>
      <c r="AB519" s="703">
        <f t="shared" ref="AB519:AB529" si="26">+Z519/($Z$530+$AA$530)</f>
        <v>1.748680707944646E-2</v>
      </c>
      <c r="AC519" s="703">
        <f t="shared" ref="AC519:AC529" si="27">+AA519/($Z$530+$AA$530)</f>
        <v>8.243688035599997E-2</v>
      </c>
      <c r="AD519" s="806">
        <v>44228</v>
      </c>
      <c r="AE519" s="595">
        <v>211430</v>
      </c>
      <c r="AF519" s="595">
        <v>1786191.2699999998</v>
      </c>
      <c r="AG519" s="703">
        <f t="shared" ref="AG519:AG529" si="28">+AE519/($AE$530+$AF$530)</f>
        <v>6.6369838286501623E-3</v>
      </c>
      <c r="AH519" s="703">
        <f t="shared" ref="AH519:AH529" si="29">+AF519/($AE$530+$AF$530)</f>
        <v>5.6070200888549845E-2</v>
      </c>
      <c r="AI519" s="806">
        <v>44593</v>
      </c>
      <c r="AJ519" s="595">
        <v>440989</v>
      </c>
      <c r="AK519" s="595">
        <v>2764329.4700000007</v>
      </c>
      <c r="AL519" s="703">
        <f t="shared" ref="AL519:AL529" si="30">+AJ519/($AJ$530+$AK$530)</f>
        <v>8.3869321613755134E-3</v>
      </c>
      <c r="AM519" s="703">
        <f t="shared" ref="AM519:AM529" si="31">+AK519/($AJ$530+$AK$530)</f>
        <v>5.2573292614058707E-2</v>
      </c>
      <c r="AN519" s="724">
        <f t="shared" ref="AN519:AN529" si="32">+AVERAGE(R519,W519,AB519,AG519,AL519)</f>
        <v>1.9884979300460893E-2</v>
      </c>
      <c r="AO519" s="724">
        <f t="shared" ref="AO519:AO529" si="33">+AVERAGE(S519,X519,AC519,AH519,AM519)</f>
        <v>6.7700453606013705E-2</v>
      </c>
    </row>
    <row r="520" spans="15:41">
      <c r="O520" s="806">
        <v>43160</v>
      </c>
      <c r="P520" s="595">
        <v>226715</v>
      </c>
      <c r="Q520" s="595">
        <v>2004338.54</v>
      </c>
      <c r="R520" s="703">
        <f t="shared" si="22"/>
        <v>9.2835829018616568E-3</v>
      </c>
      <c r="S520" s="703">
        <f t="shared" si="23"/>
        <v>8.2074159184378437E-2</v>
      </c>
      <c r="T520" s="806">
        <v>43525</v>
      </c>
      <c r="U520" s="595">
        <v>157042</v>
      </c>
      <c r="V520" s="595">
        <v>2260209.7999999998</v>
      </c>
      <c r="W520" s="703">
        <f t="shared" si="24"/>
        <v>5.9538450494860057E-3</v>
      </c>
      <c r="X520" s="703">
        <f t="shared" si="25"/>
        <v>8.5690063349484563E-2</v>
      </c>
      <c r="Y520" s="806">
        <v>43891</v>
      </c>
      <c r="Z520" s="595">
        <v>198842</v>
      </c>
      <c r="AA520" s="595">
        <v>643098.03000000014</v>
      </c>
      <c r="AB520" s="703">
        <f t="shared" si="26"/>
        <v>7.2451147435355374E-3</v>
      </c>
      <c r="AC520" s="703">
        <f t="shared" si="27"/>
        <v>2.3432267924742563E-2</v>
      </c>
      <c r="AD520" s="806">
        <v>44256</v>
      </c>
      <c r="AE520" s="595">
        <v>165229</v>
      </c>
      <c r="AF520" s="595">
        <v>2492585.7000000002</v>
      </c>
      <c r="AG520" s="703">
        <f t="shared" si="28"/>
        <v>5.1866915812516555E-3</v>
      </c>
      <c r="AH520" s="703">
        <f t="shared" si="29"/>
        <v>7.8244577318377931E-2</v>
      </c>
      <c r="AI520" s="806">
        <v>44621</v>
      </c>
      <c r="AJ520" s="595">
        <v>578496</v>
      </c>
      <c r="AK520" s="595">
        <v>2838034.129999999</v>
      </c>
      <c r="AL520" s="703">
        <f t="shared" si="30"/>
        <v>1.1002103697886092E-2</v>
      </c>
      <c r="AM520" s="703">
        <f t="shared" si="31"/>
        <v>5.3975041826391061E-2</v>
      </c>
      <c r="AN520" s="724">
        <f t="shared" si="32"/>
        <v>7.7342675948041898E-3</v>
      </c>
      <c r="AO520" s="724">
        <f t="shared" si="33"/>
        <v>6.468322192067491E-2</v>
      </c>
    </row>
    <row r="521" spans="15:41">
      <c r="O521" s="806">
        <v>43191</v>
      </c>
      <c r="P521" s="595">
        <v>401487</v>
      </c>
      <c r="Q521" s="595">
        <v>1358256.672</v>
      </c>
      <c r="R521" s="703">
        <f t="shared" si="22"/>
        <v>1.6440190761615823E-2</v>
      </c>
      <c r="S521" s="703">
        <f t="shared" si="23"/>
        <v>5.5618236184278573E-2</v>
      </c>
      <c r="T521" s="806">
        <v>43556</v>
      </c>
      <c r="U521" s="595">
        <v>552871</v>
      </c>
      <c r="V521" s="595">
        <v>1345548.3299999996</v>
      </c>
      <c r="W521" s="703">
        <f t="shared" si="24"/>
        <v>2.0960687372514216E-2</v>
      </c>
      <c r="X521" s="703">
        <f t="shared" si="25"/>
        <v>5.1013017303744607E-2</v>
      </c>
      <c r="Y521" s="806">
        <v>43922</v>
      </c>
      <c r="Z521" s="595">
        <v>118171</v>
      </c>
      <c r="AA521" s="595">
        <v>551958.14999999991</v>
      </c>
      <c r="AB521" s="703">
        <f t="shared" si="26"/>
        <v>4.3057425209882122E-3</v>
      </c>
      <c r="AC521" s="703">
        <f t="shared" si="27"/>
        <v>2.0111445923796781E-2</v>
      </c>
      <c r="AD521" s="806">
        <v>44287</v>
      </c>
      <c r="AE521" s="595">
        <v>240390</v>
      </c>
      <c r="AF521" s="595">
        <v>1819320.068</v>
      </c>
      <c r="AG521" s="703">
        <f t="shared" si="28"/>
        <v>7.5460650927929454E-3</v>
      </c>
      <c r="AH521" s="703">
        <f t="shared" si="29"/>
        <v>5.7110144589011556E-2</v>
      </c>
      <c r="AI521" s="806">
        <v>44652</v>
      </c>
      <c r="AJ521" s="595">
        <v>173071</v>
      </c>
      <c r="AK521" s="595">
        <v>3244672.9299999997</v>
      </c>
      <c r="AL521" s="703">
        <f t="shared" si="30"/>
        <v>3.2915440886312846E-3</v>
      </c>
      <c r="AM521" s="703">
        <f t="shared" si="31"/>
        <v>6.1708686043782317E-2</v>
      </c>
      <c r="AN521" s="724">
        <f t="shared" si="32"/>
        <v>1.0508845967308496E-2</v>
      </c>
      <c r="AO521" s="724">
        <f t="shared" si="33"/>
        <v>4.9112306008922774E-2</v>
      </c>
    </row>
    <row r="522" spans="15:41">
      <c r="O522" s="806">
        <v>43221</v>
      </c>
      <c r="P522" s="595">
        <v>354358</v>
      </c>
      <c r="Q522" s="595">
        <v>1636378.56</v>
      </c>
      <c r="R522" s="703">
        <f t="shared" si="22"/>
        <v>1.4510340603567885E-2</v>
      </c>
      <c r="S522" s="703">
        <f t="shared" si="23"/>
        <v>6.7006841279090484E-2</v>
      </c>
      <c r="T522" s="806">
        <v>43586</v>
      </c>
      <c r="U522" s="595">
        <v>405272</v>
      </c>
      <c r="V522" s="595">
        <v>2800044.3600000003</v>
      </c>
      <c r="W522" s="703">
        <f t="shared" si="24"/>
        <v>1.5364849472722536E-2</v>
      </c>
      <c r="X522" s="703">
        <f t="shared" si="25"/>
        <v>0.10615650750198809</v>
      </c>
      <c r="Y522" s="806">
        <v>43952</v>
      </c>
      <c r="Z522" s="595">
        <v>813306</v>
      </c>
      <c r="AA522" s="595">
        <v>1060224.9500000002</v>
      </c>
      <c r="AB522" s="703">
        <f t="shared" si="26"/>
        <v>2.9634057651833686E-2</v>
      </c>
      <c r="AC522" s="703">
        <f t="shared" si="27"/>
        <v>3.8630930169225967E-2</v>
      </c>
      <c r="AD522" s="806">
        <v>44317</v>
      </c>
      <c r="AE522" s="595">
        <v>609964</v>
      </c>
      <c r="AF522" s="595">
        <v>2249305.5000000009</v>
      </c>
      <c r="AG522" s="703">
        <f t="shared" si="28"/>
        <v>1.9147335780441598E-2</v>
      </c>
      <c r="AH522" s="703">
        <f t="shared" si="29"/>
        <v>7.0607786166550973E-2</v>
      </c>
      <c r="AI522" s="806">
        <v>44682</v>
      </c>
      <c r="AJ522" s="595">
        <v>918294</v>
      </c>
      <c r="AK522" s="595">
        <v>2599201.9300000006</v>
      </c>
      <c r="AL522" s="703">
        <f t="shared" si="30"/>
        <v>1.7464538757651929E-2</v>
      </c>
      <c r="AM522" s="703">
        <f t="shared" si="31"/>
        <v>4.9432820910785331E-2</v>
      </c>
      <c r="AN522" s="724">
        <f t="shared" si="32"/>
        <v>1.9224224453243528E-2</v>
      </c>
      <c r="AO522" s="724">
        <f t="shared" si="33"/>
        <v>6.6366977205528171E-2</v>
      </c>
    </row>
    <row r="523" spans="15:41">
      <c r="O523" s="806">
        <v>43252</v>
      </c>
      <c r="P523" s="595">
        <v>931147</v>
      </c>
      <c r="Q523" s="595">
        <v>916313.45299999998</v>
      </c>
      <c r="R523" s="703">
        <f t="shared" si="22"/>
        <v>3.8128841798380241E-2</v>
      </c>
      <c r="S523" s="703">
        <f t="shared" si="23"/>
        <v>3.7521433981062634E-2</v>
      </c>
      <c r="T523" s="806">
        <v>43617</v>
      </c>
      <c r="U523" s="595">
        <v>472303</v>
      </c>
      <c r="V523" s="595">
        <v>1485766.6600000001</v>
      </c>
      <c r="W523" s="703">
        <f t="shared" si="24"/>
        <v>1.7906158087692393E-2</v>
      </c>
      <c r="X523" s="703">
        <f t="shared" si="25"/>
        <v>5.6329036011591539E-2</v>
      </c>
      <c r="Y523" s="806">
        <v>43983</v>
      </c>
      <c r="Z523" s="595">
        <v>905818</v>
      </c>
      <c r="AA523" s="595">
        <v>1561473.3899999997</v>
      </c>
      <c r="AB523" s="703">
        <f t="shared" si="26"/>
        <v>3.3004874959816709E-2</v>
      </c>
      <c r="AC523" s="703">
        <f t="shared" si="27"/>
        <v>5.689468965071471E-2</v>
      </c>
      <c r="AD523" s="806">
        <v>44348</v>
      </c>
      <c r="AE523" s="595">
        <v>687999</v>
      </c>
      <c r="AF523" s="595">
        <v>1741726.8299999996</v>
      </c>
      <c r="AG523" s="703">
        <f t="shared" si="28"/>
        <v>2.1596926817989325E-2</v>
      </c>
      <c r="AH523" s="703">
        <f t="shared" si="29"/>
        <v>5.4674420870435163E-2</v>
      </c>
      <c r="AI523" s="806">
        <v>44713</v>
      </c>
      <c r="AJ523" s="595">
        <v>959447</v>
      </c>
      <c r="AK523" s="595">
        <v>4534166.1999999993</v>
      </c>
      <c r="AL523" s="703">
        <f t="shared" si="30"/>
        <v>1.8247205489105744E-2</v>
      </c>
      <c r="AM523" s="703">
        <f t="shared" si="31"/>
        <v>8.6232863694563344E-2</v>
      </c>
      <c r="AN523" s="724">
        <f t="shared" si="32"/>
        <v>2.5776801430596886E-2</v>
      </c>
      <c r="AO523" s="724">
        <f t="shared" si="33"/>
        <v>5.8330488841673481E-2</v>
      </c>
    </row>
    <row r="524" spans="15:41">
      <c r="O524" s="806">
        <v>43282</v>
      </c>
      <c r="P524" s="595">
        <v>537411</v>
      </c>
      <c r="Q524" s="595">
        <v>1538932.4799999997</v>
      </c>
      <c r="R524" s="703">
        <f t="shared" si="22"/>
        <v>2.2006040936296118E-2</v>
      </c>
      <c r="S524" s="703">
        <f t="shared" si="23"/>
        <v>6.3016594660466024E-2</v>
      </c>
      <c r="T524" s="806">
        <v>43647</v>
      </c>
      <c r="U524" s="595">
        <v>900974</v>
      </c>
      <c r="V524" s="595">
        <v>1247494.3200000003</v>
      </c>
      <c r="W524" s="703">
        <f t="shared" si="24"/>
        <v>3.4158120691379405E-2</v>
      </c>
      <c r="X524" s="703">
        <f t="shared" si="25"/>
        <v>4.7295550753262902E-2</v>
      </c>
      <c r="Y524" s="806">
        <v>44013</v>
      </c>
      <c r="Z524" s="595">
        <v>862644</v>
      </c>
      <c r="AA524" s="595">
        <v>2930963.99</v>
      </c>
      <c r="AB524" s="703">
        <f t="shared" si="26"/>
        <v>3.1431763726086394E-2</v>
      </c>
      <c r="AC524" s="703">
        <f t="shared" si="27"/>
        <v>0.10679419044628775</v>
      </c>
      <c r="AD524" s="806">
        <v>44378</v>
      </c>
      <c r="AE524" s="595">
        <v>35042</v>
      </c>
      <c r="AF524" s="595">
        <v>3051847.0000000005</v>
      </c>
      <c r="AG524" s="703">
        <f t="shared" si="28"/>
        <v>1.1000008859838196E-3</v>
      </c>
      <c r="AH524" s="703">
        <f t="shared" si="29"/>
        <v>9.5800308312512475E-2</v>
      </c>
      <c r="AI524" s="806">
        <v>44743</v>
      </c>
      <c r="AJ524" s="595">
        <v>274456</v>
      </c>
      <c r="AK524" s="595">
        <v>4053609.04</v>
      </c>
      <c r="AL524" s="703">
        <f t="shared" si="30"/>
        <v>5.2197307717028723E-3</v>
      </c>
      <c r="AM524" s="703">
        <f t="shared" si="31"/>
        <v>7.7093406019693292E-2</v>
      </c>
      <c r="AN524" s="724">
        <f t="shared" si="32"/>
        <v>1.8783131402289724E-2</v>
      </c>
      <c r="AO524" s="724">
        <f t="shared" si="33"/>
        <v>7.8000010038444492E-2</v>
      </c>
    </row>
    <row r="525" spans="15:41">
      <c r="O525" s="806">
        <v>43313</v>
      </c>
      <c r="P525" s="595">
        <v>349748</v>
      </c>
      <c r="Q525" s="595">
        <v>776602.8600000001</v>
      </c>
      <c r="R525" s="703">
        <f t="shared" si="22"/>
        <v>1.4321569162871053E-2</v>
      </c>
      <c r="S525" s="703">
        <f t="shared" si="23"/>
        <v>3.1800529442837316E-2</v>
      </c>
      <c r="T525" s="806">
        <v>43678</v>
      </c>
      <c r="U525" s="595">
        <v>446787</v>
      </c>
      <c r="V525" s="595">
        <v>1349475.85</v>
      </c>
      <c r="W525" s="703">
        <f t="shared" si="24"/>
        <v>1.6938784326006446E-2</v>
      </c>
      <c r="X525" s="703">
        <f t="shared" si="25"/>
        <v>5.1161919161265265E-2</v>
      </c>
      <c r="Y525" s="806">
        <v>44044</v>
      </c>
      <c r="Z525" s="595">
        <v>49162</v>
      </c>
      <c r="AA525" s="595">
        <v>1953685.9500000002</v>
      </c>
      <c r="AB525" s="703">
        <f t="shared" si="26"/>
        <v>1.7912932429853558E-3</v>
      </c>
      <c r="AC525" s="703">
        <f t="shared" si="27"/>
        <v>7.1185558788300435E-2</v>
      </c>
      <c r="AD525" s="806">
        <v>44409</v>
      </c>
      <c r="AE525" s="595">
        <v>20776</v>
      </c>
      <c r="AF525" s="595">
        <v>2427472.04</v>
      </c>
      <c r="AG525" s="703">
        <f t="shared" si="28"/>
        <v>6.5217791242508523E-4</v>
      </c>
      <c r="AH525" s="703">
        <f t="shared" si="29"/>
        <v>7.6200599129642999E-2</v>
      </c>
      <c r="AI525" s="806">
        <v>44774</v>
      </c>
      <c r="AJ525" s="595">
        <v>257193</v>
      </c>
      <c r="AK525" s="595">
        <v>3195145.6900000009</v>
      </c>
      <c r="AL525" s="703">
        <f t="shared" si="30"/>
        <v>4.891415076976189E-3</v>
      </c>
      <c r="AM525" s="703">
        <f t="shared" si="31"/>
        <v>6.0766754154279054E-2</v>
      </c>
      <c r="AN525" s="724">
        <f t="shared" si="32"/>
        <v>7.7190479442528241E-3</v>
      </c>
      <c r="AO525" s="724">
        <f t="shared" si="33"/>
        <v>5.8223072135265022E-2</v>
      </c>
    </row>
    <row r="526" spans="15:41">
      <c r="O526" s="806">
        <v>43344</v>
      </c>
      <c r="P526" s="595">
        <v>382039</v>
      </c>
      <c r="Q526" s="595">
        <v>1497970.4499999997</v>
      </c>
      <c r="R526" s="703">
        <f t="shared" si="22"/>
        <v>1.5643829161036214E-2</v>
      </c>
      <c r="S526" s="703">
        <f t="shared" si="23"/>
        <v>6.1339271142685788E-2</v>
      </c>
      <c r="T526" s="806">
        <v>43709</v>
      </c>
      <c r="U526" s="595">
        <v>251932</v>
      </c>
      <c r="V526" s="595">
        <v>1537187.1300000001</v>
      </c>
      <c r="W526" s="703">
        <f t="shared" si="24"/>
        <v>9.5513562677952933E-3</v>
      </c>
      <c r="X526" s="703">
        <f t="shared" si="25"/>
        <v>5.8278511379657047E-2</v>
      </c>
      <c r="Y526" s="806">
        <v>44075</v>
      </c>
      <c r="Z526" s="595">
        <v>808088</v>
      </c>
      <c r="AA526" s="595">
        <v>2243528.44</v>
      </c>
      <c r="AB526" s="703">
        <f t="shared" si="26"/>
        <v>2.9443931779373298E-2</v>
      </c>
      <c r="AC526" s="703">
        <f t="shared" si="27"/>
        <v>8.1746416643291075E-2</v>
      </c>
      <c r="AD526" s="806">
        <v>44440</v>
      </c>
      <c r="AE526" s="595">
        <v>343626</v>
      </c>
      <c r="AF526" s="595">
        <v>3170064.22</v>
      </c>
      <c r="AG526" s="703">
        <f t="shared" si="28"/>
        <v>1.0786738897525142E-2</v>
      </c>
      <c r="AH526" s="703">
        <f t="shared" si="29"/>
        <v>9.9511256510062387E-2</v>
      </c>
      <c r="AI526" s="806">
        <v>44805</v>
      </c>
      <c r="AJ526" s="595">
        <v>459356</v>
      </c>
      <c r="AK526" s="595">
        <v>4593376.0799999991</v>
      </c>
      <c r="AL526" s="703">
        <f t="shared" si="30"/>
        <v>8.736244237205034E-3</v>
      </c>
      <c r="AM526" s="703">
        <f t="shared" si="31"/>
        <v>8.7358944496676735E-2</v>
      </c>
      <c r="AN526" s="724">
        <f t="shared" si="32"/>
        <v>1.4832420068586996E-2</v>
      </c>
      <c r="AO526" s="724">
        <f t="shared" si="33"/>
        <v>7.7646880034474605E-2</v>
      </c>
    </row>
    <row r="527" spans="15:41">
      <c r="O527" s="806">
        <v>43374</v>
      </c>
      <c r="P527" s="595">
        <v>460865</v>
      </c>
      <c r="Q527" s="595">
        <v>1443916.6900000004</v>
      </c>
      <c r="R527" s="703">
        <f t="shared" si="22"/>
        <v>1.8871616055693149E-2</v>
      </c>
      <c r="S527" s="703">
        <f t="shared" si="23"/>
        <v>5.9125864168655277E-2</v>
      </c>
      <c r="T527" s="806">
        <v>43739</v>
      </c>
      <c r="U527" s="595">
        <v>695851</v>
      </c>
      <c r="V527" s="595">
        <v>1424638.31</v>
      </c>
      <c r="W527" s="703">
        <f t="shared" si="24"/>
        <v>2.6381407722328335E-2</v>
      </c>
      <c r="X527" s="703">
        <f t="shared" si="25"/>
        <v>5.4011511247319885E-2</v>
      </c>
      <c r="Y527" s="806">
        <v>44105</v>
      </c>
      <c r="Z527" s="595">
        <v>395744</v>
      </c>
      <c r="AA527" s="595">
        <v>2136551.88</v>
      </c>
      <c r="AB527" s="703">
        <f t="shared" si="26"/>
        <v>1.4419542596965066E-2</v>
      </c>
      <c r="AC527" s="703">
        <f t="shared" si="27"/>
        <v>7.7848560797600955E-2</v>
      </c>
      <c r="AD527" s="806">
        <v>44470</v>
      </c>
      <c r="AE527" s="595">
        <v>158626</v>
      </c>
      <c r="AF527" s="595">
        <v>2548587.2100000004</v>
      </c>
      <c r="AG527" s="703">
        <f t="shared" si="28"/>
        <v>4.9794172861157854E-3</v>
      </c>
      <c r="AH527" s="703">
        <f t="shared" si="29"/>
        <v>8.0002516665916082E-2</v>
      </c>
      <c r="AI527" s="806">
        <v>44835</v>
      </c>
      <c r="AJ527" s="595">
        <v>291532</v>
      </c>
      <c r="AK527" s="595">
        <v>5584539.580000001</v>
      </c>
      <c r="AL527" s="703">
        <f t="shared" si="30"/>
        <v>5.5444900141956525E-3</v>
      </c>
      <c r="AM527" s="703">
        <f t="shared" si="31"/>
        <v>0.10620934900865217</v>
      </c>
      <c r="AN527" s="724">
        <f t="shared" si="32"/>
        <v>1.4039294735059599E-2</v>
      </c>
      <c r="AO527" s="724">
        <f t="shared" si="33"/>
        <v>7.5439560377628861E-2</v>
      </c>
    </row>
    <row r="528" spans="15:41">
      <c r="O528" s="806">
        <v>43405</v>
      </c>
      <c r="P528" s="595">
        <v>708818</v>
      </c>
      <c r="Q528" s="595">
        <v>1319648.6100000003</v>
      </c>
      <c r="R528" s="703">
        <f t="shared" si="22"/>
        <v>2.9024857928817129E-2</v>
      </c>
      <c r="S528" s="703">
        <f t="shared" si="23"/>
        <v>5.403730354083984E-2</v>
      </c>
      <c r="T528" s="806">
        <v>43770</v>
      </c>
      <c r="U528" s="595">
        <v>581965</v>
      </c>
      <c r="V528" s="595">
        <v>1333817.2200000002</v>
      </c>
      <c r="W528" s="703">
        <f t="shared" si="24"/>
        <v>2.2063711836477651E-2</v>
      </c>
      <c r="X528" s="703">
        <f t="shared" si="25"/>
        <v>5.0568262326105042E-2</v>
      </c>
      <c r="Y528" s="806">
        <v>44136</v>
      </c>
      <c r="Z528" s="595">
        <v>395744</v>
      </c>
      <c r="AA528" s="595">
        <v>2991146.0900000008</v>
      </c>
      <c r="AB528" s="703">
        <f t="shared" si="26"/>
        <v>1.4419542596965066E-2</v>
      </c>
      <c r="AC528" s="703">
        <f t="shared" si="27"/>
        <v>0.10898701801796241</v>
      </c>
      <c r="AD528" s="806">
        <v>44501</v>
      </c>
      <c r="AE528" s="595">
        <v>125710</v>
      </c>
      <c r="AF528" s="595">
        <v>3326154.3999999994</v>
      </c>
      <c r="AG528" s="703">
        <f t="shared" si="28"/>
        <v>3.9461535122717302E-3</v>
      </c>
      <c r="AH528" s="703">
        <f t="shared" si="29"/>
        <v>0.10441107205407738</v>
      </c>
      <c r="AI528" s="806">
        <v>44866</v>
      </c>
      <c r="AJ528" s="595">
        <v>135968</v>
      </c>
      <c r="AK528" s="595">
        <v>5911256.1849999996</v>
      </c>
      <c r="AL528" s="703">
        <f t="shared" si="30"/>
        <v>2.5859021248101559E-3</v>
      </c>
      <c r="AM528" s="703">
        <f t="shared" si="31"/>
        <v>0.11242299606590284</v>
      </c>
      <c r="AN528" s="724">
        <f t="shared" si="32"/>
        <v>1.4408033599868345E-2</v>
      </c>
      <c r="AO528" s="724">
        <f t="shared" si="33"/>
        <v>8.6085330400977517E-2</v>
      </c>
    </row>
    <row r="529" spans="15:41">
      <c r="O529" s="806">
        <v>43435</v>
      </c>
      <c r="P529" s="595">
        <v>852164</v>
      </c>
      <c r="Q529" s="595">
        <v>1316849.56</v>
      </c>
      <c r="R529" s="703">
        <f t="shared" si="22"/>
        <v>3.4894626028194146E-2</v>
      </c>
      <c r="S529" s="703">
        <f t="shared" si="23"/>
        <v>5.3922687336700463E-2</v>
      </c>
      <c r="T529" s="806">
        <v>43800</v>
      </c>
      <c r="U529" s="595">
        <v>877528</v>
      </c>
      <c r="V529" s="595">
        <v>1379643.37</v>
      </c>
      <c r="W529" s="703">
        <f t="shared" si="24"/>
        <v>3.3269225675840577E-2</v>
      </c>
      <c r="X529" s="703">
        <f t="shared" si="25"/>
        <v>5.2305643385404478E-2</v>
      </c>
      <c r="Y529" s="806">
        <v>44166</v>
      </c>
      <c r="Z529" s="595">
        <v>547830</v>
      </c>
      <c r="AA529" s="595">
        <v>1349727.7100000002</v>
      </c>
      <c r="AB529" s="703">
        <f t="shared" si="26"/>
        <v>1.9961030415863217E-2</v>
      </c>
      <c r="AC529" s="703">
        <f t="shared" si="27"/>
        <v>4.9179409438043574E-2</v>
      </c>
      <c r="AD529" s="806">
        <v>44531</v>
      </c>
      <c r="AE529" s="595">
        <v>374976</v>
      </c>
      <c r="AF529" s="595">
        <v>1933433.0900000003</v>
      </c>
      <c r="AG529" s="703">
        <f t="shared" si="28"/>
        <v>1.1770844478701808E-2</v>
      </c>
      <c r="AH529" s="703">
        <f t="shared" si="29"/>
        <v>6.0692258204167411E-2</v>
      </c>
      <c r="AI529" s="806">
        <v>44896</v>
      </c>
      <c r="AJ529" s="595">
        <v>384009</v>
      </c>
      <c r="AK529" s="595">
        <v>6207658.8100000015</v>
      </c>
      <c r="AL529" s="703">
        <f t="shared" si="30"/>
        <v>7.3032602453976169E-3</v>
      </c>
      <c r="AM529" s="703">
        <f t="shared" si="31"/>
        <v>0.11806011787240739</v>
      </c>
      <c r="AN529" s="724">
        <f t="shared" si="32"/>
        <v>2.143979736879947E-2</v>
      </c>
      <c r="AO529" s="724">
        <f t="shared" si="33"/>
        <v>6.6832023247344663E-2</v>
      </c>
    </row>
    <row r="530" spans="15:41" ht="15.75" thickBot="1">
      <c r="O530" s="802" t="s">
        <v>3430</v>
      </c>
      <c r="P530" s="803">
        <f t="shared" ref="P530:S530" si="34">+SUM(P518:P529)</f>
        <v>6273387</v>
      </c>
      <c r="Q530" s="803">
        <f t="shared" si="34"/>
        <v>18147679.994999997</v>
      </c>
      <c r="R530" s="805">
        <f t="shared" si="34"/>
        <v>0.25688423037717484</v>
      </c>
      <c r="S530" s="805">
        <f t="shared" si="34"/>
        <v>0.74311576962282522</v>
      </c>
      <c r="T530" s="802" t="s">
        <v>3434</v>
      </c>
      <c r="U530" s="803">
        <f>+SUM(U518:U529)</f>
        <v>6026158</v>
      </c>
      <c r="V530" s="803">
        <f>+SUM(V518:V529)</f>
        <v>20350410.199999999</v>
      </c>
      <c r="W530" s="805">
        <f t="shared" ref="W530:X530" si="35">+SUM(W518:W529)</f>
        <v>0.22846634006011446</v>
      </c>
      <c r="X530" s="805">
        <f t="shared" si="35"/>
        <v>0.77153365993988543</v>
      </c>
      <c r="Y530" s="802" t="s">
        <v>3433</v>
      </c>
      <c r="Z530" s="803">
        <f t="shared" ref="Z530:AA530" si="36">+SUM(Z518:Z529)</f>
        <v>5849307</v>
      </c>
      <c r="AA530" s="803">
        <f t="shared" si="36"/>
        <v>21595668.965000004</v>
      </c>
      <c r="AB530" s="805">
        <f t="shared" ref="AB530:AC530" si="37">+SUM(AB518:AB529)</f>
        <v>0.21312851603366303</v>
      </c>
      <c r="AC530" s="805">
        <f t="shared" si="37"/>
        <v>0.78687148396633688</v>
      </c>
      <c r="AD530" s="802" t="s">
        <v>3432</v>
      </c>
      <c r="AE530" s="803">
        <f t="shared" ref="AE530:AF530" si="38">+SUM(AE518:AE529)</f>
        <v>3661193</v>
      </c>
      <c r="AF530" s="803">
        <f t="shared" si="38"/>
        <v>28195144.978</v>
      </c>
      <c r="AG530" s="805">
        <f t="shared" ref="AG530:AH530" si="39">+SUM(AG518:AG529)</f>
        <v>0.1149282444996792</v>
      </c>
      <c r="AH530" s="805">
        <f t="shared" si="39"/>
        <v>0.88507175550032091</v>
      </c>
      <c r="AI530" s="802" t="s">
        <v>3431</v>
      </c>
      <c r="AJ530" s="803">
        <f t="shared" ref="AJ530:AK530" si="40">+SUM(AJ518:AJ529)</f>
        <v>4966437</v>
      </c>
      <c r="AK530" s="803">
        <f t="shared" si="40"/>
        <v>47614052.685000002</v>
      </c>
      <c r="AL530" s="805">
        <f t="shared" ref="AL530:AO530" si="41">+SUM(AL518:AL529)</f>
        <v>9.4453989107994352E-2</v>
      </c>
      <c r="AM530" s="805">
        <f t="shared" si="41"/>
        <v>0.9055460108920057</v>
      </c>
      <c r="AN530" s="805">
        <f t="shared" si="41"/>
        <v>0.18157226401572515</v>
      </c>
      <c r="AO530" s="805">
        <f t="shared" si="41"/>
        <v>0.81842773598427487</v>
      </c>
    </row>
    <row r="531" spans="15:41" ht="15.75" thickTop="1">
      <c r="Q531" s="644">
        <f>+Q530+P530-P511</f>
        <v>0</v>
      </c>
      <c r="V531" s="644">
        <f>+V530+U530-S511</f>
        <v>0</v>
      </c>
      <c r="AA531" s="644">
        <f>+AA530+Z530-V511</f>
        <v>0</v>
      </c>
      <c r="AF531" s="644">
        <f>+AF530+AE530-Y511</f>
        <v>0</v>
      </c>
      <c r="AK531" s="644">
        <f>+AK530+AJ530-AB511</f>
        <v>0</v>
      </c>
    </row>
    <row r="532" spans="15:41">
      <c r="O532" s="804" t="s">
        <v>3435</v>
      </c>
      <c r="P532" s="804" t="s">
        <v>3445</v>
      </c>
      <c r="Q532" s="804" t="s">
        <v>3435</v>
      </c>
      <c r="R532" s="804" t="s">
        <v>3445</v>
      </c>
      <c r="S532" s="804" t="s">
        <v>3435</v>
      </c>
      <c r="T532" s="804" t="s">
        <v>3445</v>
      </c>
      <c r="U532" s="804" t="s">
        <v>3435</v>
      </c>
      <c r="V532" s="804" t="s">
        <v>3445</v>
      </c>
      <c r="W532" s="804" t="s">
        <v>3435</v>
      </c>
      <c r="X532" s="804" t="s">
        <v>3445</v>
      </c>
      <c r="Y532" s="804" t="s">
        <v>1</v>
      </c>
      <c r="Z532" s="804" t="s">
        <v>3446</v>
      </c>
    </row>
    <row r="533" spans="15:41">
      <c r="O533" s="806">
        <v>43101</v>
      </c>
      <c r="P533" s="703">
        <f>+P518/$P$530</f>
        <v>0</v>
      </c>
      <c r="Q533" s="806">
        <v>43466</v>
      </c>
      <c r="R533" s="703">
        <f>+U518/$U$530</f>
        <v>1.2092613569043493E-2</v>
      </c>
      <c r="S533" s="806">
        <v>43831</v>
      </c>
      <c r="T533" s="703">
        <f>+Z518/$Z$530</f>
        <v>4.6848797643891833E-2</v>
      </c>
      <c r="U533" s="806">
        <v>44197</v>
      </c>
      <c r="V533" s="703">
        <f>+AE518/$AE$530</f>
        <v>0.18775983675266505</v>
      </c>
      <c r="W533" s="806">
        <v>44562</v>
      </c>
      <c r="X533" s="703">
        <f>+AJ518/$AJ$530</f>
        <v>1.8851744218239354E-2</v>
      </c>
      <c r="Y533" s="811">
        <f>+AVERAGE(X533,V533,T533,R533,P533)</f>
        <v>5.311059843676795E-2</v>
      </c>
      <c r="Z533" s="811">
        <f>+AVERAGE(R533,T533,V533,X533)</f>
        <v>6.6388248045959941E-2</v>
      </c>
    </row>
    <row r="534" spans="15:41">
      <c r="O534" s="806">
        <v>43132</v>
      </c>
      <c r="P534" s="703">
        <f t="shared" ref="P534:P544" si="42">+P519/$P$530</f>
        <v>0.17034418568470269</v>
      </c>
      <c r="Q534" s="806">
        <v>43497</v>
      </c>
      <c r="R534" s="703">
        <f t="shared" ref="R534:R544" si="43">+U519/$U$530</f>
        <v>0.10135164063073022</v>
      </c>
      <c r="S534" s="806">
        <v>43862</v>
      </c>
      <c r="T534" s="703">
        <f t="shared" ref="T534:T544" si="44">+Z519/$Z$530</f>
        <v>8.20481810922217E-2</v>
      </c>
      <c r="U534" s="806">
        <v>44228</v>
      </c>
      <c r="V534" s="703">
        <f t="shared" ref="V534:V544" si="45">+AE519/$AE$530</f>
        <v>5.7748935934270607E-2</v>
      </c>
      <c r="W534" s="806">
        <v>44593</v>
      </c>
      <c r="X534" s="703">
        <f t="shared" ref="X534:X544" si="46">+AJ519/$AJ$530</f>
        <v>8.8793837513694421E-2</v>
      </c>
      <c r="Y534" s="811">
        <f t="shared" ref="Y534:Y544" si="47">+AVERAGE(X534,V534,T534,R534,P534)</f>
        <v>0.10005735617112392</v>
      </c>
      <c r="Z534" s="811">
        <f t="shared" ref="Z534:Z544" si="48">+AVERAGE(R534,T534,V534,X534)</f>
        <v>8.2485648792729238E-2</v>
      </c>
    </row>
    <row r="535" spans="15:41">
      <c r="O535" s="806">
        <v>43160</v>
      </c>
      <c r="P535" s="703">
        <f t="shared" si="42"/>
        <v>3.6139170116557449E-2</v>
      </c>
      <c r="Q535" s="806">
        <v>43525</v>
      </c>
      <c r="R535" s="703">
        <f t="shared" si="43"/>
        <v>2.6060053520003956E-2</v>
      </c>
      <c r="S535" s="806">
        <v>43891</v>
      </c>
      <c r="T535" s="703">
        <f t="shared" si="44"/>
        <v>3.3994112464946699E-2</v>
      </c>
      <c r="U535" s="806">
        <v>44256</v>
      </c>
      <c r="V535" s="703">
        <f t="shared" si="45"/>
        <v>4.5129825169009118E-2</v>
      </c>
      <c r="W535" s="806">
        <v>44621</v>
      </c>
      <c r="X535" s="703">
        <f t="shared" si="46"/>
        <v>0.11648109097125364</v>
      </c>
      <c r="Y535" s="811">
        <f t="shared" si="47"/>
        <v>5.1560850448354165E-2</v>
      </c>
      <c r="Z535" s="811">
        <f t="shared" si="48"/>
        <v>5.5416270531303352E-2</v>
      </c>
    </row>
    <row r="536" spans="15:41">
      <c r="O536" s="806">
        <v>43191</v>
      </c>
      <c r="P536" s="703">
        <f t="shared" si="42"/>
        <v>6.3998442946370124E-2</v>
      </c>
      <c r="Q536" s="806">
        <v>43556</v>
      </c>
      <c r="R536" s="703">
        <f t="shared" si="43"/>
        <v>9.1745188227723207E-2</v>
      </c>
      <c r="S536" s="806">
        <v>43922</v>
      </c>
      <c r="T536" s="703">
        <f t="shared" si="44"/>
        <v>2.0202564167003032E-2</v>
      </c>
      <c r="U536" s="806">
        <v>44287</v>
      </c>
      <c r="V536" s="703">
        <f t="shared" si="45"/>
        <v>6.565892592933506E-2</v>
      </c>
      <c r="W536" s="806">
        <v>44652</v>
      </c>
      <c r="X536" s="703">
        <f t="shared" si="46"/>
        <v>3.4848121500383474E-2</v>
      </c>
      <c r="Y536" s="811">
        <f t="shared" si="47"/>
        <v>5.5290648554162977E-2</v>
      </c>
      <c r="Z536" s="811">
        <f t="shared" si="48"/>
        <v>5.3113699956111191E-2</v>
      </c>
    </row>
    <row r="537" spans="15:41">
      <c r="O537" s="806">
        <v>43221</v>
      </c>
      <c r="P537" s="703">
        <f t="shared" si="42"/>
        <v>5.6485914227832591E-2</v>
      </c>
      <c r="Q537" s="806">
        <v>43586</v>
      </c>
      <c r="R537" s="703">
        <f t="shared" si="43"/>
        <v>6.7252136435851831E-2</v>
      </c>
      <c r="S537" s="806">
        <v>43952</v>
      </c>
      <c r="T537" s="703">
        <f t="shared" si="44"/>
        <v>0.13904313793069845</v>
      </c>
      <c r="U537" s="806">
        <v>44317</v>
      </c>
      <c r="V537" s="703">
        <f t="shared" si="45"/>
        <v>0.16660252546096313</v>
      </c>
      <c r="W537" s="806">
        <v>44682</v>
      </c>
      <c r="X537" s="703">
        <f t="shared" si="46"/>
        <v>0.1848999594679244</v>
      </c>
      <c r="Y537" s="811">
        <f t="shared" si="47"/>
        <v>0.12285673470465408</v>
      </c>
      <c r="Z537" s="811">
        <f t="shared" si="48"/>
        <v>0.13944943982385943</v>
      </c>
    </row>
    <row r="538" spans="15:41">
      <c r="O538" s="806">
        <v>43252</v>
      </c>
      <c r="P538" s="703">
        <f t="shared" si="42"/>
        <v>0.14842811387213956</v>
      </c>
      <c r="Q538" s="806">
        <v>43617</v>
      </c>
      <c r="R538" s="703">
        <f t="shared" si="43"/>
        <v>7.8375475717696083E-2</v>
      </c>
      <c r="S538" s="806">
        <v>43983</v>
      </c>
      <c r="T538" s="703">
        <f t="shared" si="44"/>
        <v>0.1548590285994563</v>
      </c>
      <c r="U538" s="806">
        <v>44348</v>
      </c>
      <c r="V538" s="703">
        <f t="shared" si="45"/>
        <v>0.18791661625049541</v>
      </c>
      <c r="W538" s="806">
        <v>44713</v>
      </c>
      <c r="X538" s="703">
        <f t="shared" si="46"/>
        <v>0.19318618156235548</v>
      </c>
      <c r="Y538" s="811">
        <f t="shared" si="47"/>
        <v>0.15255308320042857</v>
      </c>
      <c r="Z538" s="811">
        <f t="shared" si="48"/>
        <v>0.15358432553250081</v>
      </c>
    </row>
    <row r="539" spans="15:41">
      <c r="O539" s="806">
        <v>43282</v>
      </c>
      <c r="P539" s="703">
        <f t="shared" si="42"/>
        <v>8.5665207646204514E-2</v>
      </c>
      <c r="Q539" s="806">
        <v>43647</v>
      </c>
      <c r="R539" s="703">
        <f t="shared" si="43"/>
        <v>0.14951051731468043</v>
      </c>
      <c r="S539" s="806">
        <v>44013</v>
      </c>
      <c r="T539" s="703">
        <f t="shared" si="44"/>
        <v>0.14747798328930248</v>
      </c>
      <c r="U539" s="806">
        <v>44378</v>
      </c>
      <c r="V539" s="703">
        <f t="shared" si="45"/>
        <v>9.5711971480334414E-3</v>
      </c>
      <c r="W539" s="806">
        <v>44743</v>
      </c>
      <c r="X539" s="703">
        <f t="shared" si="46"/>
        <v>5.5262152726391171E-2</v>
      </c>
      <c r="Y539" s="811">
        <f t="shared" si="47"/>
        <v>8.9497411624922404E-2</v>
      </c>
      <c r="Z539" s="811">
        <f t="shared" si="48"/>
        <v>9.0455462619601884E-2</v>
      </c>
    </row>
    <row r="540" spans="15:41">
      <c r="O540" s="806">
        <v>43313</v>
      </c>
      <c r="P540" s="703">
        <f t="shared" si="42"/>
        <v>5.5751063978676907E-2</v>
      </c>
      <c r="Q540" s="806">
        <v>43678</v>
      </c>
      <c r="R540" s="703">
        <f t="shared" si="43"/>
        <v>7.4141268781867317E-2</v>
      </c>
      <c r="S540" s="806">
        <v>44044</v>
      </c>
      <c r="T540" s="703">
        <f t="shared" si="44"/>
        <v>8.4047563241252347E-3</v>
      </c>
      <c r="U540" s="806">
        <v>44409</v>
      </c>
      <c r="V540" s="703">
        <f t="shared" si="45"/>
        <v>5.6746530434205467E-3</v>
      </c>
      <c r="W540" s="806">
        <v>44774</v>
      </c>
      <c r="X540" s="703">
        <f t="shared" si="46"/>
        <v>5.1786220181590945E-2</v>
      </c>
      <c r="Y540" s="811">
        <f t="shared" si="47"/>
        <v>3.915159246193619E-2</v>
      </c>
      <c r="Z540" s="811">
        <f t="shared" si="48"/>
        <v>3.5001724582751012E-2</v>
      </c>
    </row>
    <row r="541" spans="15:41">
      <c r="O541" s="806">
        <v>43344</v>
      </c>
      <c r="P541" s="703">
        <f t="shared" si="42"/>
        <v>6.0898363196786681E-2</v>
      </c>
      <c r="Q541" s="806">
        <v>43709</v>
      </c>
      <c r="R541" s="703">
        <f t="shared" si="43"/>
        <v>4.1806404677739946E-2</v>
      </c>
      <c r="S541" s="806">
        <v>44075</v>
      </c>
      <c r="T541" s="703">
        <f t="shared" si="44"/>
        <v>0.13815106644257175</v>
      </c>
      <c r="U541" s="806">
        <v>44440</v>
      </c>
      <c r="V541" s="703">
        <f t="shared" si="45"/>
        <v>9.3856292197652513E-2</v>
      </c>
      <c r="W541" s="806">
        <v>44805</v>
      </c>
      <c r="X541" s="703">
        <f t="shared" si="46"/>
        <v>9.2492062216836743E-2</v>
      </c>
      <c r="Y541" s="811">
        <f t="shared" si="47"/>
        <v>8.5440837746317527E-2</v>
      </c>
      <c r="Z541" s="811">
        <f t="shared" si="48"/>
        <v>9.1576456383700239E-2</v>
      </c>
      <c r="AH541" s="595"/>
    </row>
    <row r="542" spans="15:41">
      <c r="O542" s="806">
        <v>43374</v>
      </c>
      <c r="P542" s="703">
        <f t="shared" si="42"/>
        <v>7.3463505439724991E-2</v>
      </c>
      <c r="Q542" s="806">
        <v>43739</v>
      </c>
      <c r="R542" s="703">
        <f t="shared" si="43"/>
        <v>0.11547174833451097</v>
      </c>
      <c r="S542" s="806">
        <v>44105</v>
      </c>
      <c r="T542" s="703">
        <f t="shared" si="44"/>
        <v>6.7656561708934068E-2</v>
      </c>
      <c r="U542" s="806">
        <v>44470</v>
      </c>
      <c r="V542" s="703">
        <f t="shared" si="45"/>
        <v>4.3326314673932789E-2</v>
      </c>
      <c r="W542" s="806">
        <v>44835</v>
      </c>
      <c r="X542" s="703">
        <f t="shared" si="46"/>
        <v>5.8700432523356279E-2</v>
      </c>
      <c r="Y542" s="811">
        <f t="shared" si="47"/>
        <v>7.1723712536091819E-2</v>
      </c>
      <c r="Z542" s="811">
        <f t="shared" si="48"/>
        <v>7.1288764310183522E-2</v>
      </c>
    </row>
    <row r="543" spans="15:41">
      <c r="O543" s="806">
        <v>43405</v>
      </c>
      <c r="P543" s="703">
        <f t="shared" si="42"/>
        <v>0.11298808761519097</v>
      </c>
      <c r="Q543" s="806">
        <v>43770</v>
      </c>
      <c r="R543" s="703">
        <f t="shared" si="43"/>
        <v>9.6573139967455215E-2</v>
      </c>
      <c r="S543" s="806">
        <v>44136</v>
      </c>
      <c r="T543" s="703">
        <f t="shared" si="44"/>
        <v>6.7656561708934068E-2</v>
      </c>
      <c r="U543" s="806">
        <v>44501</v>
      </c>
      <c r="V543" s="703">
        <f t="shared" si="45"/>
        <v>3.4335802564901659E-2</v>
      </c>
      <c r="W543" s="806">
        <v>44866</v>
      </c>
      <c r="X543" s="703">
        <f t="shared" si="46"/>
        <v>2.7377373356392117E-2</v>
      </c>
      <c r="Y543" s="811">
        <f t="shared" si="47"/>
        <v>6.7786193042574799E-2</v>
      </c>
      <c r="Z543" s="811">
        <f t="shared" si="48"/>
        <v>5.6485719399420764E-2</v>
      </c>
      <c r="AH543" s="644"/>
    </row>
    <row r="544" spans="15:41">
      <c r="O544" s="806">
        <v>43435</v>
      </c>
      <c r="P544" s="703">
        <f t="shared" si="42"/>
        <v>0.13583794527581353</v>
      </c>
      <c r="Q544" s="806">
        <v>43800</v>
      </c>
      <c r="R544" s="703">
        <f t="shared" si="43"/>
        <v>0.14561981282269731</v>
      </c>
      <c r="S544" s="806">
        <v>44166</v>
      </c>
      <c r="T544" s="703">
        <f t="shared" si="44"/>
        <v>9.3657248627914386E-2</v>
      </c>
      <c r="U544" s="806">
        <v>44531</v>
      </c>
      <c r="V544" s="703">
        <f t="shared" si="45"/>
        <v>0.10241907487532069</v>
      </c>
      <c r="W544" s="806">
        <v>44896</v>
      </c>
      <c r="X544" s="703">
        <f t="shared" si="46"/>
        <v>7.7320823761581989E-2</v>
      </c>
      <c r="Y544" s="811">
        <f t="shared" si="47"/>
        <v>0.11097098107266559</v>
      </c>
      <c r="Z544" s="811">
        <f t="shared" si="48"/>
        <v>0.10475424002187859</v>
      </c>
    </row>
    <row r="545" spans="15:26" ht="15.75" thickBot="1">
      <c r="O545" s="802" t="s">
        <v>3430</v>
      </c>
      <c r="P545" s="805">
        <f t="shared" ref="P545:R545" si="49">+SUM(P533:P544)</f>
        <v>1</v>
      </c>
      <c r="Q545" s="802" t="s">
        <v>3434</v>
      </c>
      <c r="R545" s="805">
        <f t="shared" si="49"/>
        <v>1</v>
      </c>
      <c r="S545" s="802" t="s">
        <v>3433</v>
      </c>
      <c r="T545" s="805">
        <f t="shared" ref="T545" si="50">+SUM(T533:T544)</f>
        <v>1</v>
      </c>
      <c r="U545" s="802" t="s">
        <v>3432</v>
      </c>
      <c r="V545" s="805">
        <f t="shared" ref="V545:Z545" si="51">+SUM(V533:V544)</f>
        <v>0.99999999999999989</v>
      </c>
      <c r="W545" s="802" t="s">
        <v>3431</v>
      </c>
      <c r="X545" s="805">
        <f t="shared" si="51"/>
        <v>1</v>
      </c>
      <c r="Y545" s="805">
        <f t="shared" si="51"/>
        <v>1</v>
      </c>
      <c r="Z545" s="805">
        <f t="shared" si="51"/>
        <v>1</v>
      </c>
    </row>
    <row r="546" spans="15:26" ht="15.75" thickTop="1"/>
    <row r="549" spans="15:26">
      <c r="P549" s="804">
        <v>2018</v>
      </c>
      <c r="Q549" s="804">
        <f>+P549+1</f>
        <v>2019</v>
      </c>
      <c r="R549" s="804">
        <f t="shared" ref="R549:T549" si="52">+Q549+1</f>
        <v>2020</v>
      </c>
      <c r="S549" s="804">
        <f t="shared" si="52"/>
        <v>2021</v>
      </c>
      <c r="T549" s="804">
        <f t="shared" si="52"/>
        <v>2022</v>
      </c>
    </row>
    <row r="550" spans="15:26">
      <c r="O550" s="1" t="s">
        <v>3450</v>
      </c>
      <c r="P550" s="262" t="s">
        <v>3453</v>
      </c>
      <c r="Q550" s="644">
        <f>+SUM($AA$146:$AL$246)</f>
        <v>14910491.77</v>
      </c>
      <c r="R550" s="644">
        <f>+SUM($AM$243:$AX$346)</f>
        <v>18084366.660000004</v>
      </c>
      <c r="S550" s="644">
        <f>+SUM($AY$347:$BJ$421)</f>
        <v>16134209.269999998</v>
      </c>
      <c r="T550" s="644">
        <f>+SUM($BK$422:$BV$486,$BM$167:$BV$167)</f>
        <v>26055844.489999995</v>
      </c>
    </row>
    <row r="551" spans="15:26">
      <c r="O551" s="1" t="s">
        <v>3451</v>
      </c>
      <c r="P551" s="644">
        <f>+P511</f>
        <v>24421066.995000001</v>
      </c>
      <c r="Q551" s="644">
        <f>+S511</f>
        <v>26376568.199999999</v>
      </c>
      <c r="R551" s="644">
        <f>+V511</f>
        <v>27444975.965000004</v>
      </c>
      <c r="S551" s="644">
        <f>+Y511</f>
        <v>31856337.978</v>
      </c>
      <c r="T551" s="644">
        <f>+AB511</f>
        <v>52580489.685000002</v>
      </c>
    </row>
    <row r="552" spans="15:26" ht="15.75" thickBot="1">
      <c r="O552" s="786" t="s">
        <v>3452</v>
      </c>
      <c r="P552" s="813"/>
      <c r="Q552" s="813">
        <f t="shared" ref="Q552:T552" si="53">+Q550/Q551</f>
        <v>0.56529309108529135</v>
      </c>
      <c r="R552" s="813">
        <f t="shared" si="53"/>
        <v>0.65893177254236313</v>
      </c>
      <c r="S552" s="813">
        <f t="shared" si="53"/>
        <v>0.5064677955495791</v>
      </c>
      <c r="T552" s="813">
        <f t="shared" si="53"/>
        <v>0.49554206600386841</v>
      </c>
      <c r="U552" s="818">
        <f>+AVERAGE(Q552:T552)</f>
        <v>0.55655868129527553</v>
      </c>
    </row>
    <row r="554" spans="15:26">
      <c r="Q554" s="804">
        <f>+Q549</f>
        <v>2019</v>
      </c>
      <c r="R554" s="804">
        <f t="shared" ref="R554:T554" si="54">+Q554+1</f>
        <v>2020</v>
      </c>
      <c r="S554" s="804">
        <f t="shared" si="54"/>
        <v>2021</v>
      </c>
      <c r="T554" s="804">
        <f t="shared" si="54"/>
        <v>2022</v>
      </c>
    </row>
    <row r="555" spans="15:26">
      <c r="O555" s="1" t="s">
        <v>3454</v>
      </c>
      <c r="Q555" s="595">
        <f>+SUM($AA$146:$AL$148)</f>
        <v>753051.87999999989</v>
      </c>
      <c r="R555" s="595">
        <f>+SUM($AM$243:$AX$243,$AM$247:$AX$248,$AM$250:$AX$250,$AM$252:$AX$252)</f>
        <v>1061599.6800000002</v>
      </c>
      <c r="S555" s="595">
        <f>+SUM($AY$347:$BJ$355)</f>
        <v>3302176.87</v>
      </c>
      <c r="T555" s="595">
        <f>+SUM($BK$422:$BV$424)</f>
        <v>821005.67</v>
      </c>
    </row>
    <row r="556" spans="15:26">
      <c r="O556" s="1" t="s">
        <v>3455</v>
      </c>
      <c r="Q556" s="595">
        <f>+SUM($AB$149:$AL$164)</f>
        <v>2817241.6699999995</v>
      </c>
      <c r="R556" s="595">
        <f>+SUM($AN$251:$AX$251,$AN$253:$AX$254,$AN$256:$AX$262)</f>
        <v>1688234.9700000002</v>
      </c>
      <c r="S556" s="595">
        <f>+SUM($AZ$356:$BJ$360)</f>
        <v>972967.76</v>
      </c>
      <c r="T556" s="595">
        <f>+SUM($BL$425:$BV$429)</f>
        <v>800340.41999999993</v>
      </c>
    </row>
    <row r="557" spans="15:26">
      <c r="O557" s="1" t="s">
        <v>3456</v>
      </c>
      <c r="Q557" s="595">
        <f>+SUM($AC$166:$AL$168,$AC$171:$AL$171)</f>
        <v>327801.28000000003</v>
      </c>
      <c r="R557" s="595">
        <f>+SUM($AO$263:$AX$268,$AO$255:$AX$255)</f>
        <v>745277.5</v>
      </c>
      <c r="S557" s="595">
        <f>+SUM($BA$361:$BJ$364)</f>
        <v>525042.87000000011</v>
      </c>
      <c r="T557" s="595">
        <f>+SUM($BM$167:$BV$167,$BM$430:$BV$435)</f>
        <v>2256349.6</v>
      </c>
    </row>
    <row r="558" spans="15:26">
      <c r="O558" s="1" t="s">
        <v>3457</v>
      </c>
      <c r="Q558" s="595">
        <f>+SUM($AD$165:$AL$165,$AD$169:$AL$169,$AD$173:$AL$179)</f>
        <v>1867492.2999999998</v>
      </c>
      <c r="R558" s="595">
        <f>+SUM($AP$269:$AX$270,$AP$272:$AX$272)</f>
        <v>304704.71999999997</v>
      </c>
      <c r="S558" s="595">
        <f>+SUM($BB$365:$BJ$371)</f>
        <v>1735075.31</v>
      </c>
      <c r="T558" s="595">
        <f>+SUM(BN436:BV438)</f>
        <v>263351.61</v>
      </c>
    </row>
    <row r="559" spans="15:26">
      <c r="O559" s="1" t="s">
        <v>3458</v>
      </c>
      <c r="Q559" s="595">
        <f>+SUM($AE$172:$AL$172,$AE$180:$AL$184)</f>
        <v>817640.69000000006</v>
      </c>
      <c r="R559" s="595">
        <f>+SUM($AQ$274:$AX$283)</f>
        <v>5216950.4800000004</v>
      </c>
      <c r="S559" s="595">
        <f>+SUM($BC$372:$BJ$381)</f>
        <v>2205042.48</v>
      </c>
      <c r="T559" s="595">
        <f>+SUM($BO$439:$BV$443)</f>
        <v>12476931.58</v>
      </c>
    </row>
    <row r="560" spans="15:26">
      <c r="O560" s="1" t="s">
        <v>3459</v>
      </c>
      <c r="Q560" s="595">
        <f>+SUM($AF$185:$AL$187,$AF$189:$AL$189,$AF$191:$AL$192)</f>
        <v>1778883.16</v>
      </c>
      <c r="R560" s="595">
        <f>+SUM($AR$271:$AX$271,$AR$273:$AX$273,$AR$284:$AX$292)</f>
        <v>1934813.06</v>
      </c>
      <c r="S560" s="595">
        <f>+SUM($BD$382:$BJ$392)</f>
        <v>5076975.34</v>
      </c>
      <c r="T560" s="595">
        <f>+SUM($BP$444:$BV$450)</f>
        <v>4830583.3899999969</v>
      </c>
    </row>
    <row r="561" spans="15:26">
      <c r="O561" s="1" t="s">
        <v>3460</v>
      </c>
      <c r="Q561" s="595">
        <f>+SUM($AG$170:$AL$170,$AG$188:$AL$188,$AG$190:$AL$190,$AG$193:$AL$201)</f>
        <v>1746822.67</v>
      </c>
      <c r="R561" s="595">
        <f>+SUM($AS$293:$AX$306)</f>
        <v>2243696.4900000002</v>
      </c>
      <c r="S561" s="595">
        <f>+SUM($BE$393:$BJ$394)</f>
        <v>76563.740000000005</v>
      </c>
      <c r="T561" s="595">
        <f>+SUM($BQ$451:$BV$453)</f>
        <v>565079.7300000001</v>
      </c>
    </row>
    <row r="562" spans="15:26">
      <c r="O562" s="1" t="s">
        <v>3461</v>
      </c>
      <c r="Q562" s="595">
        <f>+SUM($AH$202:$AL$208)</f>
        <v>1121230.74</v>
      </c>
      <c r="R562" s="595">
        <f>+SUM($AT$307:$AX$308)</f>
        <v>98628.36</v>
      </c>
      <c r="S562" s="595">
        <f>+SUM($BF$395:$BJ$395)</f>
        <v>68223.45</v>
      </c>
      <c r="T562" s="595">
        <f>+SUM($BR$454:$BV$457)</f>
        <v>1276046.21</v>
      </c>
    </row>
    <row r="563" spans="15:26">
      <c r="O563" s="1" t="s">
        <v>3462</v>
      </c>
      <c r="Q563" s="595">
        <f>+SUM($AI$209:$AL$214)</f>
        <v>691502.25</v>
      </c>
      <c r="R563" s="595">
        <f>+SUM($AU$309:$AX$319)</f>
        <v>1529770.6199999996</v>
      </c>
      <c r="S563" s="595">
        <f>+SUM($BG$396:$BJ$404)</f>
        <v>948610.57000000007</v>
      </c>
      <c r="T563" s="595">
        <f>+SUM($BS$458:$BV$465)</f>
        <v>1362739.44</v>
      </c>
    </row>
    <row r="564" spans="15:26">
      <c r="O564" s="1" t="s">
        <v>3463</v>
      </c>
      <c r="Q564" s="595">
        <f>+SUM($AJ$216:$AL$220,$AJ$222:$AL$232)</f>
        <v>1359255.92</v>
      </c>
      <c r="R564" s="595">
        <f>+SUM($AV$321:$AX$327)</f>
        <v>1008556.58</v>
      </c>
      <c r="S564" s="595">
        <f>+SUM($BH$405:$BJ$409)</f>
        <v>580085.31000000006</v>
      </c>
      <c r="T564" s="595">
        <f>+SUM(BT466:BV469)</f>
        <v>737940.07</v>
      </c>
    </row>
    <row r="565" spans="15:26">
      <c r="O565" s="1" t="s">
        <v>3464</v>
      </c>
      <c r="Q565" s="595">
        <f>+SUM($AK$221:$AL$221,$AK$233:$AL$237,$AK$239:$AL$241)+AK215</f>
        <v>752041.31</v>
      </c>
      <c r="R565" s="595">
        <f>+SUM($AW$320:$AX$320,$AW$328:$AX$336)</f>
        <v>1378770</v>
      </c>
      <c r="S565" s="595">
        <f>+SUM($BI$410:$BJ$413)</f>
        <v>268466.13</v>
      </c>
      <c r="T565" s="595">
        <f>+SUM($BU$470:$BV$473)</f>
        <v>281468.08999999997</v>
      </c>
    </row>
    <row r="566" spans="15:26">
      <c r="O566" s="1" t="s">
        <v>3465</v>
      </c>
      <c r="Q566" s="595">
        <f>+SUM($AL$238,$AL$244:$AL$246)</f>
        <v>877527.9</v>
      </c>
      <c r="R566" s="595">
        <f>+SUM($AX$337:$AX$346)</f>
        <v>547829.81000000006</v>
      </c>
      <c r="S566" s="595">
        <f>+SUM($BJ$415:$BJ$421)</f>
        <v>374979.44</v>
      </c>
      <c r="T566" s="595">
        <f>+SUM($BV$474:$BV$479)</f>
        <v>384008.68</v>
      </c>
    </row>
    <row r="567" spans="15:26" ht="15.75" thickBot="1">
      <c r="O567" s="786" t="s">
        <v>3466</v>
      </c>
      <c r="P567" s="813"/>
      <c r="Q567" s="814">
        <f>+SUM(Q555:Q566)</f>
        <v>14910491.77</v>
      </c>
      <c r="R567" s="814">
        <f>+SUM(R555:R566)</f>
        <v>17758832.27</v>
      </c>
      <c r="S567" s="814">
        <f t="shared" ref="S567" si="55">+SUM(S555:S566)</f>
        <v>16134209.270000001</v>
      </c>
      <c r="T567" s="814">
        <f>+SUM(T555:T566)</f>
        <v>26055844.489999998</v>
      </c>
    </row>
    <row r="568" spans="15:26">
      <c r="Q568" s="644">
        <f>+Q567-Q550</f>
        <v>0</v>
      </c>
      <c r="R568" s="644">
        <f>+R567-R550</f>
        <v>-325534.39000000432</v>
      </c>
      <c r="S568" s="644">
        <f t="shared" ref="S568:T568" si="56">+S567-S550</f>
        <v>0</v>
      </c>
      <c r="T568" s="644">
        <f t="shared" si="56"/>
        <v>0</v>
      </c>
    </row>
    <row r="570" spans="15:26">
      <c r="Q570" s="804">
        <f>+Q554</f>
        <v>2019</v>
      </c>
      <c r="R570" s="804">
        <f t="shared" ref="R570:T570" si="57">+Q570+1</f>
        <v>2020</v>
      </c>
      <c r="S570" s="804">
        <f t="shared" si="57"/>
        <v>2021</v>
      </c>
      <c r="T570" s="804">
        <f t="shared" si="57"/>
        <v>2022</v>
      </c>
      <c r="V570" s="804">
        <f>+Q570</f>
        <v>2019</v>
      </c>
      <c r="W570" s="804">
        <f t="shared" ref="W570:Y570" si="58">+V570+1</f>
        <v>2020</v>
      </c>
      <c r="X570" s="804">
        <f t="shared" si="58"/>
        <v>2021</v>
      </c>
      <c r="Y570" s="804">
        <f t="shared" si="58"/>
        <v>2022</v>
      </c>
      <c r="Z570" s="804" t="s">
        <v>1</v>
      </c>
    </row>
    <row r="571" spans="15:26">
      <c r="O571" s="1" t="s">
        <v>3454</v>
      </c>
      <c r="Q571" s="703">
        <f>+Q555/Q$567</f>
        <v>5.0504831873831611E-2</v>
      </c>
      <c r="R571" s="703">
        <f>+R555/R$567</f>
        <v>5.9778687239101909E-2</v>
      </c>
      <c r="S571" s="703">
        <f t="shared" ref="S571" si="59">+S555/S$567</f>
        <v>0.204669272273546</v>
      </c>
      <c r="T571" s="703">
        <f>+T555/T$567</f>
        <v>3.1509463080925844E-2</v>
      </c>
      <c r="V571" s="703">
        <f>+Q555/Q$551</f>
        <v>2.8550032524701219E-2</v>
      </c>
      <c r="W571" s="703">
        <f t="shared" ref="W571:Y571" si="60">+R555/R$551</f>
        <v>3.8681020575635987E-2</v>
      </c>
      <c r="X571" s="703">
        <f t="shared" si="60"/>
        <v>0.10365839514511947</v>
      </c>
      <c r="Y571" s="703">
        <f t="shared" si="60"/>
        <v>1.5614264433794612E-2</v>
      </c>
      <c r="Z571" s="703">
        <f>+AVERAGE(V571:Y571)</f>
        <v>4.6625928169812821E-2</v>
      </c>
    </row>
    <row r="572" spans="15:26">
      <c r="O572" s="1" t="s">
        <v>3455</v>
      </c>
      <c r="Q572" s="703">
        <f>+Q556/Q$567</f>
        <v>0.18894357835120548</v>
      </c>
      <c r="R572" s="703">
        <f t="shared" ref="R572:T572" si="61">+R556/R$567</f>
        <v>9.5064525883942042E-2</v>
      </c>
      <c r="S572" s="703">
        <f t="shared" si="61"/>
        <v>6.0304644852297737E-2</v>
      </c>
      <c r="T572" s="703">
        <f t="shared" si="61"/>
        <v>3.0716349274619116E-2</v>
      </c>
      <c r="V572" s="703">
        <f t="shared" ref="V572:V582" si="62">+Q556/Q$551</f>
        <v>0.10680849944686889</v>
      </c>
      <c r="W572" s="703">
        <f t="shared" ref="W572:W582" si="63">+R556/R$551</f>
        <v>6.1513443194593086E-2</v>
      </c>
      <c r="X572" s="703">
        <f t="shared" ref="X572:X582" si="64">+S556/S$551</f>
        <v>3.0542360539743518E-2</v>
      </c>
      <c r="Y572" s="703">
        <f t="shared" ref="Y572:Y582" si="65">+T556/T$551</f>
        <v>1.5221243179641184E-2</v>
      </c>
      <c r="Z572" s="703">
        <f t="shared" ref="Z572:Z582" si="66">+AVERAGE(V572:Y572)</f>
        <v>5.3521386590211668E-2</v>
      </c>
    </row>
    <row r="573" spans="15:26">
      <c r="O573" s="1" t="s">
        <v>3456</v>
      </c>
      <c r="Q573" s="703">
        <f t="shared" ref="Q573:T582" si="67">+Q557/Q$567</f>
        <v>2.1984605541953903E-2</v>
      </c>
      <c r="R573" s="703">
        <f t="shared" si="67"/>
        <v>4.1966582524629023E-2</v>
      </c>
      <c r="S573" s="703">
        <f t="shared" si="67"/>
        <v>3.2542212711735831E-2</v>
      </c>
      <c r="T573" s="703">
        <f t="shared" si="67"/>
        <v>8.65966789472499E-2</v>
      </c>
      <c r="V573" s="703">
        <f t="shared" si="62"/>
        <v>1.2427745623101949E-2</v>
      </c>
      <c r="W573" s="703">
        <f t="shared" si="63"/>
        <v>2.7155334402567399E-2</v>
      </c>
      <c r="X573" s="703">
        <f t="shared" si="64"/>
        <v>1.648158273441834E-2</v>
      </c>
      <c r="Y573" s="703">
        <f t="shared" si="65"/>
        <v>4.2912297194593919E-2</v>
      </c>
      <c r="Z573" s="703">
        <f t="shared" si="66"/>
        <v>2.4744239988670404E-2</v>
      </c>
    </row>
    <row r="574" spans="15:26">
      <c r="O574" s="1" t="s">
        <v>3457</v>
      </c>
      <c r="Q574" s="703">
        <f t="shared" si="67"/>
        <v>0.1252468616600162</v>
      </c>
      <c r="R574" s="703">
        <f t="shared" si="67"/>
        <v>1.7157925440556006E-2</v>
      </c>
      <c r="S574" s="703">
        <f t="shared" si="67"/>
        <v>0.10754015154781738</v>
      </c>
      <c r="T574" s="703">
        <f t="shared" si="67"/>
        <v>1.0107199177561563E-2</v>
      </c>
      <c r="V574" s="703">
        <f t="shared" si="62"/>
        <v>7.0801185576522416E-2</v>
      </c>
      <c r="W574" s="703">
        <f t="shared" si="63"/>
        <v>1.1102386112073242E-2</v>
      </c>
      <c r="X574" s="703">
        <f t="shared" si="64"/>
        <v>5.446562348749074E-2</v>
      </c>
      <c r="Y574" s="703">
        <f t="shared" si="65"/>
        <v>5.0085423619614577E-3</v>
      </c>
      <c r="Z574" s="703">
        <f t="shared" si="66"/>
        <v>3.5344434384511965E-2</v>
      </c>
    </row>
    <row r="575" spans="15:26">
      <c r="O575" s="1" t="s">
        <v>3458</v>
      </c>
      <c r="Q575" s="703">
        <f t="shared" si="67"/>
        <v>5.4836601140486739E-2</v>
      </c>
      <c r="R575" s="703">
        <f t="shared" si="67"/>
        <v>0.29376652702627282</v>
      </c>
      <c r="S575" s="703">
        <f t="shared" si="67"/>
        <v>0.13666876653819426</v>
      </c>
      <c r="T575" s="703">
        <f t="shared" si="67"/>
        <v>0.47885347123515937</v>
      </c>
      <c r="V575" s="703">
        <f t="shared" si="62"/>
        <v>3.099875176331696E-2</v>
      </c>
      <c r="W575" s="703">
        <f t="shared" si="63"/>
        <v>0.19008763158157133</v>
      </c>
      <c r="X575" s="703">
        <f t="shared" si="64"/>
        <v>6.9218328909079349E-2</v>
      </c>
      <c r="Y575" s="703">
        <f t="shared" si="65"/>
        <v>0.23729203844899491</v>
      </c>
      <c r="Z575" s="703">
        <f t="shared" si="66"/>
        <v>0.13189918767574063</v>
      </c>
    </row>
    <row r="576" spans="15:26">
      <c r="O576" s="1" t="s">
        <v>3459</v>
      </c>
      <c r="Q576" s="703">
        <f t="shared" si="67"/>
        <v>0.11930412406511794</v>
      </c>
      <c r="R576" s="703">
        <f t="shared" si="67"/>
        <v>0.10894934028227071</v>
      </c>
      <c r="S576" s="703">
        <f t="shared" si="67"/>
        <v>0.314671469486896</v>
      </c>
      <c r="T576" s="703">
        <f t="shared" si="67"/>
        <v>0.18539346870349691</v>
      </c>
      <c r="V576" s="703">
        <f t="shared" si="62"/>
        <v>6.7441797071993617E-2</v>
      </c>
      <c r="W576" s="703">
        <f t="shared" si="63"/>
        <v>7.0497895952520637E-2</v>
      </c>
      <c r="X576" s="703">
        <f t="shared" si="64"/>
        <v>0.1593709654733749</v>
      </c>
      <c r="Y576" s="703">
        <f t="shared" si="65"/>
        <v>9.1870262504954392E-2</v>
      </c>
      <c r="Z576" s="703">
        <f t="shared" si="66"/>
        <v>9.7295230250710893E-2</v>
      </c>
    </row>
    <row r="577" spans="15:26">
      <c r="O577" s="1" t="s">
        <v>3460</v>
      </c>
      <c r="Q577" s="703">
        <f t="shared" si="67"/>
        <v>0.11715392737847975</v>
      </c>
      <c r="R577" s="703">
        <f t="shared" si="67"/>
        <v>0.12634256891936962</v>
      </c>
      <c r="S577" s="703">
        <f t="shared" si="67"/>
        <v>4.7454287172512917E-3</v>
      </c>
      <c r="T577" s="703">
        <f t="shared" si="67"/>
        <v>2.168725447439912E-2</v>
      </c>
      <c r="V577" s="703">
        <f t="shared" si="62"/>
        <v>6.6226305740562569E-2</v>
      </c>
      <c r="W577" s="703">
        <f t="shared" si="63"/>
        <v>8.1752539804055169E-2</v>
      </c>
      <c r="X577" s="703">
        <f t="shared" si="64"/>
        <v>2.4034068213639294E-3</v>
      </c>
      <c r="Y577" s="703">
        <f t="shared" si="65"/>
        <v>1.074694688819538E-2</v>
      </c>
      <c r="Z577" s="703">
        <f t="shared" si="66"/>
        <v>4.028229981354426E-2</v>
      </c>
    </row>
    <row r="578" spans="15:26">
      <c r="O578" s="1" t="s">
        <v>3461</v>
      </c>
      <c r="Q578" s="703">
        <f t="shared" si="67"/>
        <v>7.519743528888316E-2</v>
      </c>
      <c r="R578" s="703">
        <f t="shared" si="67"/>
        <v>5.5537638117463903E-3</v>
      </c>
      <c r="S578" s="703">
        <f t="shared" si="67"/>
        <v>4.2284966593841627E-3</v>
      </c>
      <c r="T578" s="703">
        <f t="shared" si="67"/>
        <v>4.8973511892494416E-2</v>
      </c>
      <c r="V578" s="703">
        <f t="shared" si="62"/>
        <v>4.2508590636138939E-2</v>
      </c>
      <c r="W578" s="703">
        <f t="shared" si="63"/>
        <v>3.5936763116782705E-3</v>
      </c>
      <c r="X578" s="703">
        <f t="shared" si="64"/>
        <v>2.1415973815670569E-3</v>
      </c>
      <c r="Y578" s="703">
        <f t="shared" si="65"/>
        <v>2.4268435262671705E-2</v>
      </c>
      <c r="Z578" s="703">
        <f t="shared" si="66"/>
        <v>1.8128074898013994E-2</v>
      </c>
    </row>
    <row r="579" spans="15:26">
      <c r="O579" s="1" t="s">
        <v>3462</v>
      </c>
      <c r="Q579" s="703">
        <f t="shared" si="67"/>
        <v>4.6376890894457734E-2</v>
      </c>
      <c r="R579" s="703">
        <f t="shared" si="67"/>
        <v>8.6141396953460819E-2</v>
      </c>
      <c r="S579" s="703">
        <f t="shared" si="67"/>
        <v>5.879498363541432E-2</v>
      </c>
      <c r="T579" s="703">
        <f t="shared" si="67"/>
        <v>5.2300720497583844E-2</v>
      </c>
      <c r="V579" s="703">
        <f t="shared" si="62"/>
        <v>2.6216536008653316E-2</v>
      </c>
      <c r="W579" s="703">
        <f t="shared" si="63"/>
        <v>5.5739550362546637E-2</v>
      </c>
      <c r="X579" s="703">
        <f t="shared" si="64"/>
        <v>2.9777765751201876E-2</v>
      </c>
      <c r="Y579" s="703">
        <f t="shared" si="65"/>
        <v>2.591720708886357E-2</v>
      </c>
      <c r="Z579" s="703">
        <f t="shared" si="66"/>
        <v>3.4412764802816354E-2</v>
      </c>
    </row>
    <row r="580" spans="15:26">
      <c r="O580" s="1" t="s">
        <v>3463</v>
      </c>
      <c r="Q580" s="703">
        <f t="shared" si="67"/>
        <v>9.1161038882354717E-2</v>
      </c>
      <c r="R580" s="703">
        <f t="shared" si="67"/>
        <v>5.6791829815508468E-2</v>
      </c>
      <c r="S580" s="703">
        <f t="shared" si="67"/>
        <v>3.5953748974770799E-2</v>
      </c>
      <c r="T580" s="703">
        <f t="shared" si="67"/>
        <v>2.8321479669684659E-2</v>
      </c>
      <c r="V580" s="703">
        <f t="shared" si="62"/>
        <v>5.1532705456352731E-2</v>
      </c>
      <c r="W580" s="703">
        <f t="shared" si="63"/>
        <v>3.674831347224318E-2</v>
      </c>
      <c r="X580" s="703">
        <f t="shared" si="64"/>
        <v>1.8209415984995113E-2</v>
      </c>
      <c r="Y580" s="703">
        <f t="shared" si="65"/>
        <v>1.4034484547802095E-2</v>
      </c>
      <c r="Z580" s="703">
        <f t="shared" si="66"/>
        <v>3.0131229865348282E-2</v>
      </c>
    </row>
    <row r="581" spans="15:26">
      <c r="O581" s="1" t="s">
        <v>3464</v>
      </c>
      <c r="Q581" s="703">
        <f t="shared" si="67"/>
        <v>5.0437056107908641E-2</v>
      </c>
      <c r="R581" s="703">
        <f t="shared" si="67"/>
        <v>7.763855072437148E-2</v>
      </c>
      <c r="S581" s="703">
        <f t="shared" si="67"/>
        <v>1.6639559181817899E-2</v>
      </c>
      <c r="T581" s="703">
        <f t="shared" si="67"/>
        <v>1.0802493471590411E-2</v>
      </c>
      <c r="V581" s="703">
        <f t="shared" si="62"/>
        <v>2.8511719352481955E-2</v>
      </c>
      <c r="W581" s="703">
        <f t="shared" si="63"/>
        <v>5.0237610036835745E-2</v>
      </c>
      <c r="X581" s="703">
        <f t="shared" si="64"/>
        <v>8.4274008577320727E-3</v>
      </c>
      <c r="Y581" s="703">
        <f t="shared" si="65"/>
        <v>5.3530899329052141E-3</v>
      </c>
      <c r="Z581" s="703">
        <f t="shared" si="66"/>
        <v>2.3132455044988745E-2</v>
      </c>
    </row>
    <row r="582" spans="15:26">
      <c r="O582" s="1" t="s">
        <v>3465</v>
      </c>
      <c r="Q582" s="703">
        <f t="shared" si="67"/>
        <v>5.88530488153041E-2</v>
      </c>
      <c r="R582" s="703">
        <f t="shared" si="67"/>
        <v>3.0848301378770784E-2</v>
      </c>
      <c r="S582" s="703">
        <f t="shared" si="67"/>
        <v>2.3241265420874263E-2</v>
      </c>
      <c r="T582" s="703">
        <f t="shared" si="67"/>
        <v>1.4737909575234805E-2</v>
      </c>
      <c r="V582" s="703">
        <f t="shared" si="62"/>
        <v>3.32692218845968E-2</v>
      </c>
      <c r="W582" s="703">
        <f t="shared" si="63"/>
        <v>1.9961023492920373E-2</v>
      </c>
      <c r="X582" s="703">
        <f t="shared" si="64"/>
        <v>1.1770952463492851E-2</v>
      </c>
      <c r="Y582" s="703">
        <f t="shared" si="65"/>
        <v>7.3032541594900508E-3</v>
      </c>
      <c r="Z582" s="703">
        <f t="shared" si="66"/>
        <v>1.8076113000125019E-2</v>
      </c>
    </row>
    <row r="583" spans="15:26" ht="15.75" thickBot="1">
      <c r="O583" s="786" t="s">
        <v>3466</v>
      </c>
      <c r="P583" s="813"/>
      <c r="Q583" s="813">
        <f>+SUM(Q571:Q582)</f>
        <v>0.99999999999999989</v>
      </c>
      <c r="R583" s="813">
        <f t="shared" ref="R583" si="68">+SUM(R571:R582)</f>
        <v>1</v>
      </c>
      <c r="S583" s="813">
        <f t="shared" ref="S583" si="69">+SUM(S571:S582)</f>
        <v>1</v>
      </c>
      <c r="T583" s="813">
        <f t="shared" ref="T583" si="70">+SUM(T571:T582)</f>
        <v>1</v>
      </c>
      <c r="V583" s="813">
        <f>+SUM(V571:V582)</f>
        <v>0.56529309108529135</v>
      </c>
      <c r="W583" s="813">
        <f t="shared" ref="W583" si="71">+SUM(W571:W582)</f>
        <v>0.64707042529924097</v>
      </c>
      <c r="X583" s="813">
        <f t="shared" ref="X583" si="72">+SUM(X571:X582)</f>
        <v>0.50646779554957921</v>
      </c>
      <c r="Y583" s="813">
        <f t="shared" ref="Y583:Z583" si="73">+SUM(Y571:Y582)</f>
        <v>0.49554206600386852</v>
      </c>
      <c r="Z583" s="819">
        <f t="shared" si="73"/>
        <v>0.55359334448449504</v>
      </c>
    </row>
    <row r="584" spans="15:26">
      <c r="V584" s="724">
        <f>+V583-Q552</f>
        <v>0</v>
      </c>
      <c r="W584" s="724">
        <f t="shared" ref="W584:Y584" si="74">+W583-R552</f>
        <v>-1.1861347243122156E-2</v>
      </c>
      <c r="X584" s="724">
        <f t="shared" si="74"/>
        <v>0</v>
      </c>
      <c r="Y584" s="724">
        <f t="shared" si="74"/>
        <v>0</v>
      </c>
    </row>
  </sheetData>
  <autoFilter ref="B2:BV514"/>
  <phoneticPr fontId="72" type="noConversion"/>
  <pageMargins left="0.7" right="0.7" top="0.75" bottom="0.75" header="0.3" footer="0.3"/>
  <pageSetup orientation="portrait" r:id="rId1"/>
  <ignoredErrors>
    <ignoredError sqref="O487:AW487 AX487:BV487" formulaRange="1"/>
    <ignoredError sqref="Q572:T583 Q571:S571" evalError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JQ456"/>
  <sheetViews>
    <sheetView showGridLines="0" view="pageBreakPreview" zoomScale="57" zoomScaleNormal="100" zoomScaleSheetLayoutView="80" workbookViewId="0">
      <selection activeCell="AC1" sqref="AC1"/>
    </sheetView>
  </sheetViews>
  <sheetFormatPr defaultRowHeight="15"/>
  <cols>
    <col min="1" max="1" width="42.7109375" customWidth="1"/>
    <col min="2" max="2" width="64.140625" customWidth="1"/>
    <col min="3" max="5" width="32.140625" customWidth="1"/>
    <col min="6" max="9" width="35.5703125" customWidth="1"/>
    <col min="10" max="11" width="32.140625" customWidth="1"/>
    <col min="12" max="12" width="57.140625" customWidth="1"/>
  </cols>
  <sheetData>
    <row r="1" spans="1:13" ht="24" customHeight="1">
      <c r="A1" s="1535"/>
      <c r="B1" s="1536"/>
      <c r="C1" s="1541" t="s">
        <v>453</v>
      </c>
      <c r="D1" s="1542"/>
      <c r="E1" s="1542"/>
      <c r="F1" s="1542"/>
      <c r="G1" s="1542"/>
      <c r="H1" s="1542"/>
      <c r="I1" s="1542"/>
      <c r="J1" s="1542"/>
      <c r="K1" s="1542"/>
      <c r="L1" s="1543"/>
      <c r="M1" s="156"/>
    </row>
    <row r="2" spans="1:13" ht="24" customHeight="1">
      <c r="A2" s="1537"/>
      <c r="B2" s="1527"/>
      <c r="C2" s="1544"/>
      <c r="D2" s="1545"/>
      <c r="E2" s="1545"/>
      <c r="F2" s="1545"/>
      <c r="G2" s="1545"/>
      <c r="H2" s="1545"/>
      <c r="I2" s="1545"/>
      <c r="J2" s="1545"/>
      <c r="K2" s="1545"/>
      <c r="L2" s="1546"/>
    </row>
    <row r="3" spans="1:13" ht="24" customHeight="1">
      <c r="A3" s="1538"/>
      <c r="B3" s="1527"/>
      <c r="C3" s="1547" t="s">
        <v>454</v>
      </c>
      <c r="D3" s="1548"/>
      <c r="E3" s="1548"/>
      <c r="F3" s="1548"/>
      <c r="G3" s="1548"/>
      <c r="H3" s="1548"/>
      <c r="I3" s="1548"/>
      <c r="J3" s="1548"/>
      <c r="K3" s="1548"/>
      <c r="L3" s="1549"/>
    </row>
    <row r="4" spans="1:13" ht="24" customHeight="1" thickBot="1">
      <c r="A4" s="1539"/>
      <c r="B4" s="1540"/>
      <c r="C4" s="1550"/>
      <c r="D4" s="1551"/>
      <c r="E4" s="1551"/>
      <c r="F4" s="1551"/>
      <c r="G4" s="1551"/>
      <c r="H4" s="1551"/>
      <c r="I4" s="1551"/>
      <c r="J4" s="1551"/>
      <c r="K4" s="1551"/>
      <c r="L4" s="1552"/>
    </row>
    <row r="5" spans="1:13" ht="57" thickBot="1">
      <c r="A5" s="157" t="s">
        <v>455</v>
      </c>
      <c r="B5" s="158" t="s">
        <v>456</v>
      </c>
      <c r="C5" s="159" t="s">
        <v>457</v>
      </c>
      <c r="D5" s="160" t="s">
        <v>458</v>
      </c>
      <c r="E5" s="160" t="s">
        <v>459</v>
      </c>
      <c r="F5" s="161" t="s">
        <v>460</v>
      </c>
      <c r="G5" s="161" t="s">
        <v>461</v>
      </c>
      <c r="H5" s="161" t="s">
        <v>462</v>
      </c>
      <c r="I5" s="161" t="s">
        <v>463</v>
      </c>
      <c r="J5" s="161" t="s">
        <v>464</v>
      </c>
      <c r="K5" s="162" t="s">
        <v>465</v>
      </c>
      <c r="L5" s="162" t="s">
        <v>466</v>
      </c>
    </row>
    <row r="6" spans="1:13" ht="19.5" thickBot="1">
      <c r="A6" s="1553" t="s">
        <v>467</v>
      </c>
      <c r="B6" s="1554"/>
      <c r="C6" s="163"/>
      <c r="D6" s="164"/>
      <c r="E6" s="165">
        <v>3275872.66</v>
      </c>
      <c r="F6" s="165"/>
      <c r="G6" s="165"/>
      <c r="H6" s="165"/>
      <c r="I6" s="165"/>
      <c r="J6" s="165"/>
      <c r="K6" s="166"/>
      <c r="L6" s="166"/>
    </row>
    <row r="7" spans="1:13" ht="19.5" thickBot="1">
      <c r="A7" s="1555" t="s">
        <v>468</v>
      </c>
      <c r="B7" s="1556"/>
      <c r="C7" s="1556"/>
      <c r="D7" s="1556"/>
      <c r="E7" s="1556"/>
      <c r="F7" s="1556"/>
      <c r="G7" s="1556"/>
      <c r="H7" s="1556"/>
      <c r="I7" s="1556"/>
      <c r="J7" s="1556"/>
      <c r="K7" s="1556"/>
      <c r="L7" s="1557"/>
    </row>
    <row r="8" spans="1:13" ht="19.7" customHeight="1">
      <c r="A8" s="167" t="s">
        <v>469</v>
      </c>
      <c r="B8" s="168" t="s">
        <v>470</v>
      </c>
      <c r="C8" s="169">
        <v>2366289.1</v>
      </c>
      <c r="D8" s="170">
        <v>1160666.49</v>
      </c>
      <c r="E8" s="171">
        <v>1045606.85</v>
      </c>
      <c r="F8" s="172">
        <v>0</v>
      </c>
      <c r="G8" s="172">
        <f>E8+F8</f>
        <v>1045606.85</v>
      </c>
      <c r="H8" s="172">
        <f>G8*I8</f>
        <v>73192.479500000001</v>
      </c>
      <c r="I8" s="173">
        <v>7.0000000000000007E-2</v>
      </c>
      <c r="J8" s="174">
        <v>160015.76000000013</v>
      </c>
      <c r="K8" s="175">
        <f>C8-D8-E8--J8</f>
        <v>320031.52000000025</v>
      </c>
      <c r="L8" s="176" t="s">
        <v>471</v>
      </c>
    </row>
    <row r="9" spans="1:13" ht="19.7" customHeight="1">
      <c r="A9" s="177" t="s">
        <v>472</v>
      </c>
      <c r="B9" s="168" t="s">
        <v>473</v>
      </c>
      <c r="C9" s="169">
        <f>D9+E9+F9+J9</f>
        <v>2302682.0300000003</v>
      </c>
      <c r="D9" s="170">
        <v>1284112.99</v>
      </c>
      <c r="E9" s="171">
        <v>639247.98</v>
      </c>
      <c r="F9" s="175">
        <v>154321.06</v>
      </c>
      <c r="G9" s="172">
        <f t="shared" ref="G9:G72" si="0">E9+F9</f>
        <v>793569.04</v>
      </c>
      <c r="H9" s="172">
        <f t="shared" ref="H9:H72" si="1">G9*I9</f>
        <v>79356.90400000001</v>
      </c>
      <c r="I9" s="173">
        <v>0.1</v>
      </c>
      <c r="J9" s="178">
        <v>225000</v>
      </c>
      <c r="K9" s="175">
        <v>0</v>
      </c>
      <c r="L9" s="176" t="s">
        <v>474</v>
      </c>
    </row>
    <row r="10" spans="1:13" ht="19.7" customHeight="1">
      <c r="A10" s="177" t="s">
        <v>472</v>
      </c>
      <c r="B10" s="168" t="s">
        <v>475</v>
      </c>
      <c r="C10" s="169">
        <v>2760114.82</v>
      </c>
      <c r="D10" s="170">
        <v>587442.43999999994</v>
      </c>
      <c r="E10" s="171">
        <v>1322664.6200000001</v>
      </c>
      <c r="F10" s="175">
        <v>586929.92000000004</v>
      </c>
      <c r="G10" s="172">
        <f t="shared" si="0"/>
        <v>1909594.54</v>
      </c>
      <c r="H10" s="172">
        <f t="shared" si="1"/>
        <v>171863.5086</v>
      </c>
      <c r="I10" s="173">
        <v>0.09</v>
      </c>
      <c r="J10" s="178">
        <f>C10-D10-F10-E10</f>
        <v>263077.83999999985</v>
      </c>
      <c r="K10" s="175">
        <v>0</v>
      </c>
      <c r="L10" s="176" t="s">
        <v>474</v>
      </c>
    </row>
    <row r="11" spans="1:13" ht="19.7" customHeight="1">
      <c r="A11" s="177" t="s">
        <v>472</v>
      </c>
      <c r="B11" s="168" t="s">
        <v>476</v>
      </c>
      <c r="C11" s="169">
        <v>283457</v>
      </c>
      <c r="D11" s="170">
        <v>232274</v>
      </c>
      <c r="E11" s="171">
        <v>0</v>
      </c>
      <c r="F11" s="175">
        <v>0</v>
      </c>
      <c r="G11" s="172">
        <f t="shared" si="0"/>
        <v>0</v>
      </c>
      <c r="H11" s="172">
        <f t="shared" si="1"/>
        <v>0</v>
      </c>
      <c r="I11" s="173"/>
      <c r="J11" s="178">
        <f>C11-D11-E11</f>
        <v>51183</v>
      </c>
      <c r="K11" s="175">
        <v>0</v>
      </c>
      <c r="L11" s="176" t="s">
        <v>471</v>
      </c>
    </row>
    <row r="12" spans="1:13" ht="19.7" customHeight="1">
      <c r="A12" s="177" t="s">
        <v>477</v>
      </c>
      <c r="B12" s="168" t="s">
        <v>478</v>
      </c>
      <c r="C12" s="169">
        <v>5000000</v>
      </c>
      <c r="D12" s="170">
        <v>1497745.73</v>
      </c>
      <c r="E12" s="171">
        <v>2301917.12</v>
      </c>
      <c r="F12" s="175"/>
      <c r="G12" s="172">
        <f t="shared" si="0"/>
        <v>2301917.12</v>
      </c>
      <c r="H12" s="172">
        <f t="shared" si="1"/>
        <v>138115.02720000001</v>
      </c>
      <c r="I12" s="173">
        <v>0.06</v>
      </c>
      <c r="J12" s="178">
        <v>1327587.06</v>
      </c>
      <c r="K12" s="175">
        <v>0</v>
      </c>
      <c r="L12" s="176" t="s">
        <v>479</v>
      </c>
    </row>
    <row r="13" spans="1:13" ht="19.7" customHeight="1">
      <c r="A13" s="177" t="s">
        <v>477</v>
      </c>
      <c r="B13" s="168" t="s">
        <v>480</v>
      </c>
      <c r="C13" s="169">
        <v>1250000</v>
      </c>
      <c r="D13" s="170">
        <v>105519.56</v>
      </c>
      <c r="E13" s="171">
        <v>891410.52</v>
      </c>
      <c r="F13" s="175">
        <v>0</v>
      </c>
      <c r="G13" s="172">
        <f t="shared" si="0"/>
        <v>891410.52</v>
      </c>
      <c r="H13" s="172">
        <f t="shared" si="1"/>
        <v>53484.631199999996</v>
      </c>
      <c r="I13" s="173">
        <v>0.06</v>
      </c>
      <c r="J13" s="178">
        <f>C13-D13-E13-F13</f>
        <v>253069.91999999993</v>
      </c>
      <c r="K13" s="175">
        <v>0</v>
      </c>
      <c r="L13" s="176" t="s">
        <v>471</v>
      </c>
    </row>
    <row r="14" spans="1:13" ht="19.7" customHeight="1">
      <c r="A14" s="177" t="s">
        <v>481</v>
      </c>
      <c r="B14" s="168" t="s">
        <v>482</v>
      </c>
      <c r="C14" s="169">
        <v>922363.37</v>
      </c>
      <c r="D14" s="170">
        <v>870664.99</v>
      </c>
      <c r="E14" s="171">
        <v>29438.14</v>
      </c>
      <c r="F14" s="175">
        <v>0</v>
      </c>
      <c r="G14" s="172">
        <f t="shared" si="0"/>
        <v>29438.14</v>
      </c>
      <c r="H14" s="172">
        <f t="shared" si="1"/>
        <v>883.14419999999996</v>
      </c>
      <c r="I14" s="173">
        <v>0.03</v>
      </c>
      <c r="J14" s="178">
        <f>C14-D14-E14</f>
        <v>22260.240000000005</v>
      </c>
      <c r="K14" s="175">
        <v>0</v>
      </c>
      <c r="L14" s="176" t="s">
        <v>471</v>
      </c>
    </row>
    <row r="15" spans="1:13" ht="19.7" customHeight="1">
      <c r="A15" s="177" t="s">
        <v>483</v>
      </c>
      <c r="B15" s="168" t="s">
        <v>484</v>
      </c>
      <c r="C15" s="169">
        <v>3448778.55</v>
      </c>
      <c r="D15" s="170">
        <v>3163013.14</v>
      </c>
      <c r="E15" s="171">
        <v>243852.25</v>
      </c>
      <c r="F15" s="175">
        <v>0</v>
      </c>
      <c r="G15" s="172">
        <f t="shared" si="0"/>
        <v>243852.25</v>
      </c>
      <c r="H15" s="172">
        <f t="shared" si="1"/>
        <v>24385.225000000002</v>
      </c>
      <c r="I15" s="173">
        <v>0.1</v>
      </c>
      <c r="J15" s="178">
        <f>C15-D15-E15</f>
        <v>41913.159999999683</v>
      </c>
      <c r="K15" s="175">
        <v>0</v>
      </c>
      <c r="L15" s="176" t="s">
        <v>474</v>
      </c>
    </row>
    <row r="16" spans="1:13" ht="19.7" customHeight="1">
      <c r="A16" s="177" t="s">
        <v>481</v>
      </c>
      <c r="B16" s="168" t="s">
        <v>485</v>
      </c>
      <c r="C16" s="169">
        <v>650246.27</v>
      </c>
      <c r="D16" s="170">
        <v>431856.17</v>
      </c>
      <c r="E16" s="171">
        <v>38805.550000000003</v>
      </c>
      <c r="F16" s="175">
        <v>0</v>
      </c>
      <c r="G16" s="172">
        <f t="shared" si="0"/>
        <v>38805.550000000003</v>
      </c>
      <c r="H16" s="172">
        <f t="shared" si="1"/>
        <v>776.1110000000001</v>
      </c>
      <c r="I16" s="173">
        <v>0.02</v>
      </c>
      <c r="J16" s="178">
        <f>C16-D16-E16</f>
        <v>179584.55000000005</v>
      </c>
      <c r="K16" s="175">
        <v>0</v>
      </c>
      <c r="L16" s="176" t="s">
        <v>474</v>
      </c>
    </row>
    <row r="17" spans="1:12" ht="19.7" customHeight="1">
      <c r="A17" s="177" t="s">
        <v>486</v>
      </c>
      <c r="B17" s="168" t="s">
        <v>487</v>
      </c>
      <c r="C17" s="169">
        <v>626281.32999999996</v>
      </c>
      <c r="D17" s="170">
        <v>310879.32</v>
      </c>
      <c r="E17" s="171">
        <v>315402.01</v>
      </c>
      <c r="F17" s="175">
        <v>0</v>
      </c>
      <c r="G17" s="172">
        <f t="shared" si="0"/>
        <v>315402.01</v>
      </c>
      <c r="H17" s="172">
        <f t="shared" si="1"/>
        <v>12616.080400000001</v>
      </c>
      <c r="I17" s="173">
        <v>0.04</v>
      </c>
      <c r="J17" s="178">
        <v>0</v>
      </c>
      <c r="K17" s="175">
        <v>0</v>
      </c>
      <c r="L17" s="176" t="s">
        <v>488</v>
      </c>
    </row>
    <row r="18" spans="1:12" ht="19.7" customHeight="1">
      <c r="A18" s="177" t="s">
        <v>489</v>
      </c>
      <c r="B18" s="168" t="s">
        <v>490</v>
      </c>
      <c r="C18" s="169">
        <v>338545.79</v>
      </c>
      <c r="D18" s="170">
        <v>0</v>
      </c>
      <c r="E18" s="171">
        <v>213503.69</v>
      </c>
      <c r="F18" s="175">
        <v>0</v>
      </c>
      <c r="G18" s="172">
        <f t="shared" si="0"/>
        <v>213503.69</v>
      </c>
      <c r="H18" s="172">
        <f t="shared" si="1"/>
        <v>17080.2952</v>
      </c>
      <c r="I18" s="173">
        <v>0.08</v>
      </c>
      <c r="J18" s="178">
        <f>C18-D18-E18</f>
        <v>125042.09999999998</v>
      </c>
      <c r="K18" s="175">
        <v>0</v>
      </c>
      <c r="L18" s="176" t="s">
        <v>474</v>
      </c>
    </row>
    <row r="19" spans="1:12" ht="19.7" customHeight="1">
      <c r="A19" s="177" t="s">
        <v>491</v>
      </c>
      <c r="B19" s="168" t="s">
        <v>492</v>
      </c>
      <c r="C19" s="169">
        <v>802240.97</v>
      </c>
      <c r="D19" s="170">
        <v>802240.97</v>
      </c>
      <c r="E19" s="171">
        <v>0</v>
      </c>
      <c r="F19" s="175">
        <v>0</v>
      </c>
      <c r="G19" s="172">
        <f t="shared" si="0"/>
        <v>0</v>
      </c>
      <c r="H19" s="172">
        <f t="shared" si="1"/>
        <v>0</v>
      </c>
      <c r="I19" s="173"/>
      <c r="J19" s="178">
        <v>0</v>
      </c>
      <c r="K19" s="175">
        <f>C19-D19-E19-J19</f>
        <v>0</v>
      </c>
      <c r="L19" s="176" t="s">
        <v>493</v>
      </c>
    </row>
    <row r="20" spans="1:12" ht="19.7" customHeight="1">
      <c r="A20" s="177" t="s">
        <v>491</v>
      </c>
      <c r="B20" s="168" t="s">
        <v>494</v>
      </c>
      <c r="C20" s="169">
        <v>468736.99</v>
      </c>
      <c r="D20" s="170">
        <v>9849.2099999999991</v>
      </c>
      <c r="E20" s="171">
        <v>114470</v>
      </c>
      <c r="F20" s="175">
        <v>0</v>
      </c>
      <c r="G20" s="172">
        <f t="shared" si="0"/>
        <v>114470</v>
      </c>
      <c r="H20" s="172">
        <f t="shared" si="1"/>
        <v>8012.9000000000005</v>
      </c>
      <c r="I20" s="173">
        <v>7.0000000000000007E-2</v>
      </c>
      <c r="J20" s="178">
        <f>C20-D20-E20</f>
        <v>344417.77999999997</v>
      </c>
      <c r="K20" s="175">
        <f>C20-D20-E20-J20</f>
        <v>0</v>
      </c>
      <c r="L20" s="176" t="s">
        <v>479</v>
      </c>
    </row>
    <row r="21" spans="1:12" ht="19.7" customHeight="1">
      <c r="A21" s="177" t="s">
        <v>495</v>
      </c>
      <c r="B21" s="168" t="s">
        <v>496</v>
      </c>
      <c r="C21" s="169">
        <v>1694500.14</v>
      </c>
      <c r="D21" s="170">
        <v>670524.44999999995</v>
      </c>
      <c r="E21" s="171">
        <v>630097.46</v>
      </c>
      <c r="F21" s="175">
        <v>0</v>
      </c>
      <c r="G21" s="172">
        <f t="shared" si="0"/>
        <v>630097.46</v>
      </c>
      <c r="H21" s="172">
        <f t="shared" si="1"/>
        <v>31504.873</v>
      </c>
      <c r="I21" s="173">
        <v>0.05</v>
      </c>
      <c r="J21" s="178">
        <f>C21-D21-E21</f>
        <v>393878.23</v>
      </c>
      <c r="K21" s="175">
        <f>C21-D21-E21-J21</f>
        <v>0</v>
      </c>
      <c r="L21" s="176" t="s">
        <v>474</v>
      </c>
    </row>
    <row r="22" spans="1:12" ht="19.7" customHeight="1">
      <c r="A22" s="177" t="s">
        <v>497</v>
      </c>
      <c r="B22" s="168" t="s">
        <v>498</v>
      </c>
      <c r="C22" s="169">
        <v>1808102.83</v>
      </c>
      <c r="D22" s="170">
        <v>989624.33</v>
      </c>
      <c r="E22" s="171">
        <v>679549.81</v>
      </c>
      <c r="F22" s="175">
        <v>0</v>
      </c>
      <c r="G22" s="172">
        <f t="shared" si="0"/>
        <v>679549.81</v>
      </c>
      <c r="H22" s="172">
        <f t="shared" si="1"/>
        <v>20386.494300000002</v>
      </c>
      <c r="I22" s="173">
        <v>0.03</v>
      </c>
      <c r="J22" s="178">
        <f>C22-D22-E22-F22</f>
        <v>138928.69000000006</v>
      </c>
      <c r="K22" s="175">
        <f>C22-D22-E22-J22-F22</f>
        <v>0</v>
      </c>
      <c r="L22" s="176" t="s">
        <v>474</v>
      </c>
    </row>
    <row r="23" spans="1:12" ht="19.7" customHeight="1">
      <c r="A23" s="177" t="s">
        <v>499</v>
      </c>
      <c r="B23" s="168" t="s">
        <v>500</v>
      </c>
      <c r="C23" s="169">
        <v>1784923.88</v>
      </c>
      <c r="D23" s="170">
        <v>496981.66</v>
      </c>
      <c r="E23" s="171">
        <v>739992.48</v>
      </c>
      <c r="F23" s="175">
        <v>0</v>
      </c>
      <c r="G23" s="172">
        <f t="shared" si="0"/>
        <v>739992.48</v>
      </c>
      <c r="H23" s="172">
        <f t="shared" si="1"/>
        <v>59199.398399999998</v>
      </c>
      <c r="I23" s="173">
        <v>0.08</v>
      </c>
      <c r="J23" s="178">
        <f>C23-D23-E23</f>
        <v>547949.74</v>
      </c>
      <c r="K23" s="175">
        <f>C23-D23-E23-J23</f>
        <v>0</v>
      </c>
      <c r="L23" s="176" t="s">
        <v>474</v>
      </c>
    </row>
    <row r="24" spans="1:12" ht="19.7" customHeight="1">
      <c r="A24" s="177" t="s">
        <v>501</v>
      </c>
      <c r="B24" s="168" t="s">
        <v>502</v>
      </c>
      <c r="C24" s="169">
        <v>1263086.1200000001</v>
      </c>
      <c r="D24" s="170">
        <v>239848.84</v>
      </c>
      <c r="E24" s="171">
        <v>1023237.28</v>
      </c>
      <c r="F24" s="175">
        <v>0</v>
      </c>
      <c r="G24" s="172">
        <f t="shared" si="0"/>
        <v>1023237.28</v>
      </c>
      <c r="H24" s="172">
        <f t="shared" si="1"/>
        <v>102323.728</v>
      </c>
      <c r="I24" s="173">
        <v>0.1</v>
      </c>
      <c r="J24" s="178">
        <v>0</v>
      </c>
      <c r="K24" s="175">
        <v>0</v>
      </c>
      <c r="L24" s="176" t="s">
        <v>503</v>
      </c>
    </row>
    <row r="25" spans="1:12" ht="19.7" customHeight="1">
      <c r="A25" s="177" t="s">
        <v>504</v>
      </c>
      <c r="B25" s="168" t="s">
        <v>505</v>
      </c>
      <c r="C25" s="169">
        <v>664900</v>
      </c>
      <c r="D25" s="170">
        <v>536532.05000000005</v>
      </c>
      <c r="E25" s="171">
        <v>156891.43</v>
      </c>
      <c r="F25" s="175">
        <v>0</v>
      </c>
      <c r="G25" s="172">
        <f t="shared" si="0"/>
        <v>156891.43</v>
      </c>
      <c r="H25" s="172">
        <f t="shared" si="1"/>
        <v>12551.314399999999</v>
      </c>
      <c r="I25" s="173">
        <v>0.08</v>
      </c>
      <c r="J25" s="178">
        <v>0</v>
      </c>
      <c r="K25" s="175">
        <v>0</v>
      </c>
      <c r="L25" s="176" t="s">
        <v>506</v>
      </c>
    </row>
    <row r="26" spans="1:12" ht="19.7" customHeight="1">
      <c r="A26" s="177" t="s">
        <v>507</v>
      </c>
      <c r="B26" s="168" t="s">
        <v>508</v>
      </c>
      <c r="C26" s="169">
        <v>358070.42</v>
      </c>
      <c r="D26" s="170">
        <v>246372.64</v>
      </c>
      <c r="E26" s="171">
        <v>111697.78</v>
      </c>
      <c r="F26" s="175">
        <v>0</v>
      </c>
      <c r="G26" s="172">
        <f t="shared" si="0"/>
        <v>111697.78</v>
      </c>
      <c r="H26" s="172">
        <f t="shared" si="1"/>
        <v>6701.8667999999998</v>
      </c>
      <c r="I26" s="173">
        <v>0.06</v>
      </c>
      <c r="J26" s="178">
        <v>0</v>
      </c>
      <c r="K26" s="175">
        <v>0</v>
      </c>
      <c r="L26" s="176" t="s">
        <v>509</v>
      </c>
    </row>
    <row r="27" spans="1:12" ht="19.7" customHeight="1">
      <c r="A27" s="177" t="s">
        <v>510</v>
      </c>
      <c r="B27" s="168" t="s">
        <v>511</v>
      </c>
      <c r="C27" s="169">
        <v>509999.08</v>
      </c>
      <c r="D27" s="170">
        <v>98495.14</v>
      </c>
      <c r="E27" s="171">
        <v>333772.93</v>
      </c>
      <c r="F27" s="175">
        <v>0</v>
      </c>
      <c r="G27" s="172">
        <f t="shared" si="0"/>
        <v>333772.93</v>
      </c>
      <c r="H27" s="172">
        <f t="shared" si="1"/>
        <v>16688.646499999999</v>
      </c>
      <c r="I27" s="173">
        <v>0.05</v>
      </c>
      <c r="J27" s="178">
        <f>C27-D27-E27</f>
        <v>77731.010000000009</v>
      </c>
      <c r="K27" s="175">
        <v>0</v>
      </c>
      <c r="L27" s="176" t="s">
        <v>474</v>
      </c>
    </row>
    <row r="28" spans="1:12" ht="19.7" customHeight="1">
      <c r="A28" s="179" t="s">
        <v>512</v>
      </c>
      <c r="B28" s="180" t="s">
        <v>513</v>
      </c>
      <c r="C28" s="181">
        <v>1050652</v>
      </c>
      <c r="D28" s="182">
        <v>66072.23</v>
      </c>
      <c r="E28" s="171">
        <v>562460.87</v>
      </c>
      <c r="F28" s="175">
        <v>0</v>
      </c>
      <c r="G28" s="172">
        <f t="shared" si="0"/>
        <v>562460.87</v>
      </c>
      <c r="H28" s="172">
        <f t="shared" si="1"/>
        <v>39372.260900000001</v>
      </c>
      <c r="I28" s="173">
        <v>7.0000000000000007E-2</v>
      </c>
      <c r="J28" s="178">
        <f>C28-D28-E28</f>
        <v>422118.9</v>
      </c>
      <c r="K28" s="175">
        <v>0</v>
      </c>
      <c r="L28" s="176" t="s">
        <v>474</v>
      </c>
    </row>
    <row r="29" spans="1:12" ht="19.7" customHeight="1">
      <c r="A29" s="183" t="s">
        <v>514</v>
      </c>
      <c r="B29" s="184" t="s">
        <v>515</v>
      </c>
      <c r="C29" s="185">
        <v>1785000</v>
      </c>
      <c r="D29" s="186">
        <v>483783.69</v>
      </c>
      <c r="E29" s="187">
        <v>302422.92</v>
      </c>
      <c r="F29" s="175">
        <v>0</v>
      </c>
      <c r="G29" s="172">
        <f t="shared" si="0"/>
        <v>302422.92</v>
      </c>
      <c r="H29" s="172">
        <f t="shared" si="1"/>
        <v>9072.6875999999993</v>
      </c>
      <c r="I29" s="173">
        <v>0.03</v>
      </c>
      <c r="J29" s="178">
        <f>C29-D29-E29</f>
        <v>998793.39000000013</v>
      </c>
      <c r="K29" s="175">
        <f>C29-D29-E29-J29</f>
        <v>0</v>
      </c>
      <c r="L29" s="176" t="s">
        <v>479</v>
      </c>
    </row>
    <row r="30" spans="1:12" ht="19.7" customHeight="1">
      <c r="A30" s="183" t="s">
        <v>516</v>
      </c>
      <c r="B30" s="189" t="s">
        <v>517</v>
      </c>
      <c r="C30" s="185">
        <v>2300000</v>
      </c>
      <c r="D30" s="186">
        <v>54577.5</v>
      </c>
      <c r="E30" s="187">
        <v>1335233.8</v>
      </c>
      <c r="F30" s="175">
        <v>0</v>
      </c>
      <c r="G30" s="172">
        <f t="shared" si="0"/>
        <v>1335233.8</v>
      </c>
      <c r="H30" s="172">
        <f t="shared" si="1"/>
        <v>133523.38</v>
      </c>
      <c r="I30" s="173">
        <v>0.1</v>
      </c>
      <c r="J30" s="178">
        <f>C30-D30-E30</f>
        <v>910188.7</v>
      </c>
      <c r="K30" s="175">
        <f>C30-D30-E30-J30</f>
        <v>0</v>
      </c>
      <c r="L30" s="176" t="s">
        <v>474</v>
      </c>
    </row>
    <row r="31" spans="1:12" ht="19.7" customHeight="1">
      <c r="A31" s="183" t="s">
        <v>518</v>
      </c>
      <c r="B31" s="189" t="s">
        <v>519</v>
      </c>
      <c r="C31" s="185">
        <v>602084.34</v>
      </c>
      <c r="D31" s="186">
        <v>325828.59000000003</v>
      </c>
      <c r="E31" s="187">
        <v>276255.75</v>
      </c>
      <c r="F31" s="175">
        <v>0</v>
      </c>
      <c r="G31" s="172">
        <f t="shared" si="0"/>
        <v>276255.75</v>
      </c>
      <c r="H31" s="172">
        <f t="shared" si="1"/>
        <v>19337.9025</v>
      </c>
      <c r="I31" s="173">
        <v>7.0000000000000007E-2</v>
      </c>
      <c r="J31" s="178">
        <v>0</v>
      </c>
      <c r="K31" s="175">
        <v>0</v>
      </c>
      <c r="L31" s="176" t="s">
        <v>520</v>
      </c>
    </row>
    <row r="32" spans="1:12" ht="19.7" customHeight="1">
      <c r="A32" s="183" t="s">
        <v>521</v>
      </c>
      <c r="B32" s="189" t="s">
        <v>522</v>
      </c>
      <c r="C32" s="185">
        <v>539370.19999999995</v>
      </c>
      <c r="D32" s="186">
        <v>423290.79</v>
      </c>
      <c r="E32" s="187">
        <v>116079.41</v>
      </c>
      <c r="F32" s="175">
        <v>0</v>
      </c>
      <c r="G32" s="172">
        <f t="shared" si="0"/>
        <v>116079.41</v>
      </c>
      <c r="H32" s="172">
        <f t="shared" si="1"/>
        <v>8125.5587000000014</v>
      </c>
      <c r="I32" s="173">
        <v>7.0000000000000007E-2</v>
      </c>
      <c r="J32" s="178">
        <v>0</v>
      </c>
      <c r="K32" s="175">
        <v>0</v>
      </c>
      <c r="L32" s="176" t="s">
        <v>523</v>
      </c>
    </row>
    <row r="33" spans="1:12" ht="19.7" customHeight="1">
      <c r="A33" s="183" t="s">
        <v>518</v>
      </c>
      <c r="B33" s="189" t="s">
        <v>524</v>
      </c>
      <c r="C33" s="185">
        <v>550539.42000000004</v>
      </c>
      <c r="D33" s="186">
        <v>318836.87</v>
      </c>
      <c r="E33" s="187">
        <v>207728.13</v>
      </c>
      <c r="F33" s="175">
        <v>0</v>
      </c>
      <c r="G33" s="172">
        <f t="shared" si="0"/>
        <v>207728.13</v>
      </c>
      <c r="H33" s="172">
        <f t="shared" si="1"/>
        <v>8309.1252000000004</v>
      </c>
      <c r="I33" s="173">
        <v>0.04</v>
      </c>
      <c r="J33" s="178">
        <f>C33-D33-E33</f>
        <v>23974.420000000042</v>
      </c>
      <c r="K33" s="175">
        <v>0</v>
      </c>
      <c r="L33" s="176" t="s">
        <v>474</v>
      </c>
    </row>
    <row r="34" spans="1:12" ht="19.7" customHeight="1">
      <c r="A34" s="183" t="s">
        <v>525</v>
      </c>
      <c r="B34" s="189" t="s">
        <v>526</v>
      </c>
      <c r="C34" s="185">
        <v>1426450.34</v>
      </c>
      <c r="D34" s="186">
        <v>1020947.36</v>
      </c>
      <c r="E34" s="187">
        <v>405502.98</v>
      </c>
      <c r="F34" s="188">
        <v>0</v>
      </c>
      <c r="G34" s="172">
        <f t="shared" si="0"/>
        <v>405502.98</v>
      </c>
      <c r="H34" s="172">
        <f t="shared" si="1"/>
        <v>8110.0595999999996</v>
      </c>
      <c r="I34" s="173">
        <v>0.02</v>
      </c>
      <c r="J34" s="178">
        <v>0</v>
      </c>
      <c r="K34" s="175">
        <v>0</v>
      </c>
      <c r="L34" s="176" t="s">
        <v>493</v>
      </c>
    </row>
    <row r="35" spans="1:12" ht="19.7" customHeight="1">
      <c r="A35" s="183" t="s">
        <v>527</v>
      </c>
      <c r="B35" s="189" t="s">
        <v>528</v>
      </c>
      <c r="C35" s="185">
        <v>600000</v>
      </c>
      <c r="D35" s="186">
        <v>202416</v>
      </c>
      <c r="E35" s="187">
        <v>412129.5</v>
      </c>
      <c r="F35" s="188">
        <v>0</v>
      </c>
      <c r="G35" s="172">
        <f t="shared" si="0"/>
        <v>412129.5</v>
      </c>
      <c r="H35" s="172">
        <f t="shared" si="1"/>
        <v>28849.065000000002</v>
      </c>
      <c r="I35" s="173">
        <v>7.0000000000000007E-2</v>
      </c>
      <c r="J35" s="178">
        <f>C35-D35-E35</f>
        <v>-14545.5</v>
      </c>
      <c r="K35" s="175">
        <v>0</v>
      </c>
      <c r="L35" s="176" t="s">
        <v>471</v>
      </c>
    </row>
    <row r="36" spans="1:12" ht="19.7" customHeight="1">
      <c r="A36" s="183" t="s">
        <v>529</v>
      </c>
      <c r="B36" s="189" t="s">
        <v>530</v>
      </c>
      <c r="C36" s="185">
        <v>236895.92</v>
      </c>
      <c r="D36" s="186">
        <v>32907.42</v>
      </c>
      <c r="E36" s="187">
        <v>203988.5</v>
      </c>
      <c r="F36" s="188">
        <v>0</v>
      </c>
      <c r="G36" s="172">
        <f t="shared" si="0"/>
        <v>203988.5</v>
      </c>
      <c r="H36" s="172">
        <f t="shared" si="1"/>
        <v>20398.850000000002</v>
      </c>
      <c r="I36" s="173">
        <v>0.1</v>
      </c>
      <c r="J36" s="178">
        <f>C36-D36-E36</f>
        <v>0</v>
      </c>
      <c r="K36" s="175">
        <v>0</v>
      </c>
      <c r="L36" s="176" t="s">
        <v>523</v>
      </c>
    </row>
    <row r="37" spans="1:12" ht="19.7" customHeight="1">
      <c r="A37" s="183" t="s">
        <v>531</v>
      </c>
      <c r="B37" s="189" t="s">
        <v>532</v>
      </c>
      <c r="C37" s="185">
        <v>901831.83</v>
      </c>
      <c r="D37" s="186">
        <v>541098.71</v>
      </c>
      <c r="E37" s="187">
        <v>360733.12</v>
      </c>
      <c r="F37" s="188">
        <v>0</v>
      </c>
      <c r="G37" s="172">
        <f t="shared" si="0"/>
        <v>360733.12</v>
      </c>
      <c r="H37" s="172">
        <f t="shared" si="1"/>
        <v>28858.649600000001</v>
      </c>
      <c r="I37" s="173">
        <v>0.08</v>
      </c>
      <c r="J37" s="178">
        <f>C37-D37-E37</f>
        <v>0</v>
      </c>
      <c r="K37" s="175">
        <v>0</v>
      </c>
      <c r="L37" s="176" t="s">
        <v>523</v>
      </c>
    </row>
    <row r="38" spans="1:12" ht="19.7" customHeight="1">
      <c r="A38" s="183" t="s">
        <v>533</v>
      </c>
      <c r="B38" s="189" t="s">
        <v>534</v>
      </c>
      <c r="C38" s="185">
        <v>814497.2</v>
      </c>
      <c r="D38" s="186">
        <v>28100.74</v>
      </c>
      <c r="E38" s="187">
        <v>433508.38</v>
      </c>
      <c r="F38" s="188">
        <v>0</v>
      </c>
      <c r="G38" s="172">
        <f t="shared" si="0"/>
        <v>433508.38</v>
      </c>
      <c r="H38" s="172">
        <f t="shared" si="1"/>
        <v>34680.670400000003</v>
      </c>
      <c r="I38" s="173">
        <v>0.08</v>
      </c>
      <c r="J38" s="178">
        <f>C38-D38-E38</f>
        <v>352888.07999999996</v>
      </c>
      <c r="K38" s="175">
        <v>0</v>
      </c>
      <c r="L38" s="176" t="s">
        <v>479</v>
      </c>
    </row>
    <row r="39" spans="1:12" ht="19.7" customHeight="1">
      <c r="A39" s="183" t="s">
        <v>535</v>
      </c>
      <c r="B39" s="189" t="s">
        <v>536</v>
      </c>
      <c r="C39" s="185">
        <v>952177.52</v>
      </c>
      <c r="D39" s="186">
        <v>642185.37</v>
      </c>
      <c r="E39" s="187">
        <v>156570.1</v>
      </c>
      <c r="F39" s="188">
        <v>0</v>
      </c>
      <c r="G39" s="172">
        <f t="shared" si="0"/>
        <v>156570.1</v>
      </c>
      <c r="H39" s="172">
        <f t="shared" si="1"/>
        <v>12525.608</v>
      </c>
      <c r="I39" s="173">
        <v>0.08</v>
      </c>
      <c r="J39" s="178">
        <f>C39-D39-E39</f>
        <v>153422.05000000002</v>
      </c>
      <c r="K39" s="175">
        <v>0</v>
      </c>
      <c r="L39" s="176" t="s">
        <v>474</v>
      </c>
    </row>
    <row r="40" spans="1:12" ht="19.7" customHeight="1">
      <c r="A40" s="183" t="s">
        <v>537</v>
      </c>
      <c r="B40" s="189" t="s">
        <v>538</v>
      </c>
      <c r="C40" s="185">
        <v>151889.85</v>
      </c>
      <c r="D40" s="186">
        <v>84849.85</v>
      </c>
      <c r="E40" s="187">
        <v>67040</v>
      </c>
      <c r="F40" s="188">
        <v>0</v>
      </c>
      <c r="G40" s="172">
        <f t="shared" si="0"/>
        <v>67040</v>
      </c>
      <c r="H40" s="172">
        <f t="shared" si="1"/>
        <v>4692.8</v>
      </c>
      <c r="I40" s="173">
        <v>7.0000000000000007E-2</v>
      </c>
      <c r="J40" s="178">
        <v>0</v>
      </c>
      <c r="K40" s="175">
        <v>0</v>
      </c>
      <c r="L40" s="176" t="s">
        <v>539</v>
      </c>
    </row>
    <row r="41" spans="1:12" ht="19.7" customHeight="1">
      <c r="A41" s="190" t="s">
        <v>540</v>
      </c>
      <c r="B41" s="184" t="s">
        <v>541</v>
      </c>
      <c r="C41" s="191">
        <v>392488.61</v>
      </c>
      <c r="D41" s="192">
        <v>0</v>
      </c>
      <c r="E41" s="193">
        <v>392488.61</v>
      </c>
      <c r="F41" s="188">
        <v>0</v>
      </c>
      <c r="G41" s="172">
        <f t="shared" si="0"/>
        <v>392488.61</v>
      </c>
      <c r="H41" s="172">
        <f t="shared" si="1"/>
        <v>23549.316599999998</v>
      </c>
      <c r="I41" s="173">
        <v>0.06</v>
      </c>
      <c r="J41" s="178">
        <v>0</v>
      </c>
      <c r="K41" s="175">
        <v>0</v>
      </c>
      <c r="L41" s="176" t="s">
        <v>542</v>
      </c>
    </row>
    <row r="42" spans="1:12" ht="19.7" customHeight="1">
      <c r="A42" s="194" t="s">
        <v>543</v>
      </c>
      <c r="B42" s="195" t="s">
        <v>544</v>
      </c>
      <c r="C42" s="196">
        <v>878682.86</v>
      </c>
      <c r="D42" s="197">
        <v>0</v>
      </c>
      <c r="E42" s="187">
        <v>878682.86</v>
      </c>
      <c r="F42" s="188">
        <v>0</v>
      </c>
      <c r="G42" s="172">
        <f t="shared" si="0"/>
        <v>878682.86</v>
      </c>
      <c r="H42" s="172">
        <f t="shared" si="1"/>
        <v>43934.143000000004</v>
      </c>
      <c r="I42" s="173">
        <v>0.05</v>
      </c>
      <c r="J42" s="178">
        <v>0</v>
      </c>
      <c r="K42" s="175">
        <v>0</v>
      </c>
      <c r="L42" s="176" t="s">
        <v>523</v>
      </c>
    </row>
    <row r="43" spans="1:12" ht="19.7" customHeight="1">
      <c r="A43" s="194" t="s">
        <v>545</v>
      </c>
      <c r="B43" s="195" t="s">
        <v>546</v>
      </c>
      <c r="C43" s="196">
        <v>1843325</v>
      </c>
      <c r="D43" s="197">
        <v>48650</v>
      </c>
      <c r="E43" s="187">
        <v>974144.92</v>
      </c>
      <c r="F43" s="188">
        <v>0</v>
      </c>
      <c r="G43" s="172">
        <f t="shared" si="0"/>
        <v>974144.92</v>
      </c>
      <c r="H43" s="172">
        <f t="shared" si="1"/>
        <v>77931.593600000007</v>
      </c>
      <c r="I43" s="173">
        <v>0.08</v>
      </c>
      <c r="J43" s="178">
        <f>C43-D43-E43</f>
        <v>820530.08</v>
      </c>
      <c r="K43" s="175">
        <v>0</v>
      </c>
      <c r="L43" s="176" t="s">
        <v>539</v>
      </c>
    </row>
    <row r="44" spans="1:12" ht="19.7" customHeight="1">
      <c r="A44" s="194" t="s">
        <v>547</v>
      </c>
      <c r="B44" s="195" t="s">
        <v>548</v>
      </c>
      <c r="C44" s="196">
        <v>450637.71</v>
      </c>
      <c r="D44" s="197">
        <v>333267.07</v>
      </c>
      <c r="E44" s="187">
        <v>117370.64</v>
      </c>
      <c r="F44" s="188">
        <v>0</v>
      </c>
      <c r="G44" s="172">
        <f t="shared" si="0"/>
        <v>117370.64</v>
      </c>
      <c r="H44" s="172">
        <f t="shared" si="1"/>
        <v>11737.064</v>
      </c>
      <c r="I44" s="173">
        <v>0.1</v>
      </c>
      <c r="J44" s="178">
        <v>0</v>
      </c>
      <c r="K44" s="175">
        <v>0</v>
      </c>
      <c r="L44" s="176" t="s">
        <v>523</v>
      </c>
    </row>
    <row r="45" spans="1:12" ht="19.7" customHeight="1">
      <c r="A45" s="194" t="s">
        <v>547</v>
      </c>
      <c r="B45" s="195" t="s">
        <v>549</v>
      </c>
      <c r="C45" s="196">
        <v>3500000</v>
      </c>
      <c r="D45" s="197">
        <v>0</v>
      </c>
      <c r="E45" s="187">
        <v>2982111.1</v>
      </c>
      <c r="F45" s="188">
        <v>0</v>
      </c>
      <c r="G45" s="172">
        <f t="shared" si="0"/>
        <v>2982111.1</v>
      </c>
      <c r="H45" s="172">
        <f t="shared" si="1"/>
        <v>298211.11000000004</v>
      </c>
      <c r="I45" s="173">
        <v>0.1</v>
      </c>
      <c r="J45" s="178">
        <f>C45-D45-E45</f>
        <v>517888.89999999991</v>
      </c>
      <c r="K45" s="175">
        <v>0</v>
      </c>
      <c r="L45" s="176" t="s">
        <v>474</v>
      </c>
    </row>
    <row r="46" spans="1:12" ht="19.7" customHeight="1">
      <c r="A46" s="190" t="s">
        <v>550</v>
      </c>
      <c r="B46" s="184" t="s">
        <v>551</v>
      </c>
      <c r="C46" s="191">
        <v>499425.49</v>
      </c>
      <c r="D46" s="197">
        <v>348374.48</v>
      </c>
      <c r="E46" s="193">
        <v>151051.01</v>
      </c>
      <c r="F46" s="188">
        <v>0</v>
      </c>
      <c r="G46" s="172">
        <f t="shared" si="0"/>
        <v>151051.01</v>
      </c>
      <c r="H46" s="172">
        <f t="shared" si="1"/>
        <v>3021.0202000000004</v>
      </c>
      <c r="I46" s="173">
        <v>0.02</v>
      </c>
      <c r="J46" s="178">
        <f>C46-D46-E46</f>
        <v>0</v>
      </c>
      <c r="K46" s="175">
        <v>0</v>
      </c>
      <c r="L46" s="176" t="s">
        <v>523</v>
      </c>
    </row>
    <row r="47" spans="1:12" ht="19.7" customHeight="1">
      <c r="A47" s="198" t="s">
        <v>472</v>
      </c>
      <c r="B47" s="199" t="s">
        <v>552</v>
      </c>
      <c r="C47" s="191">
        <v>297911.71000000002</v>
      </c>
      <c r="D47" s="197">
        <v>0</v>
      </c>
      <c r="E47" s="193">
        <v>297911.71000000002</v>
      </c>
      <c r="F47" s="188">
        <v>0</v>
      </c>
      <c r="G47" s="172">
        <f t="shared" si="0"/>
        <v>297911.71000000002</v>
      </c>
      <c r="H47" s="172">
        <f t="shared" si="1"/>
        <v>29791.171000000002</v>
      </c>
      <c r="I47" s="173">
        <v>0.1</v>
      </c>
      <c r="J47" s="178">
        <v>0</v>
      </c>
      <c r="K47" s="175">
        <v>0</v>
      </c>
      <c r="L47" s="176" t="s">
        <v>503</v>
      </c>
    </row>
    <row r="48" spans="1:12" ht="19.7" customHeight="1">
      <c r="A48" s="200" t="s">
        <v>553</v>
      </c>
      <c r="B48" s="201" t="s">
        <v>554</v>
      </c>
      <c r="C48" s="825">
        <v>22876701</v>
      </c>
      <c r="D48" s="197"/>
      <c r="E48" s="187">
        <v>11715589.57</v>
      </c>
      <c r="F48" s="188">
        <v>0</v>
      </c>
      <c r="G48" s="172">
        <f t="shared" si="0"/>
        <v>11715589.57</v>
      </c>
      <c r="H48" s="172">
        <f t="shared" si="1"/>
        <v>937247.16560000007</v>
      </c>
      <c r="I48" s="173">
        <v>0.08</v>
      </c>
      <c r="J48" s="178">
        <v>9000000</v>
      </c>
      <c r="K48" s="175">
        <f>C48-D48-E48-J48</f>
        <v>2161111.4299999997</v>
      </c>
      <c r="L48" s="176" t="s">
        <v>555</v>
      </c>
    </row>
    <row r="49" spans="1:277" ht="19.7" customHeight="1">
      <c r="A49" s="194" t="s">
        <v>556</v>
      </c>
      <c r="B49" s="195" t="s">
        <v>557</v>
      </c>
      <c r="C49" s="825">
        <v>8918805.6799999997</v>
      </c>
      <c r="D49" s="197">
        <v>0</v>
      </c>
      <c r="E49" s="187">
        <v>3529484.41</v>
      </c>
      <c r="F49" s="188">
        <v>0</v>
      </c>
      <c r="G49" s="172">
        <f t="shared" si="0"/>
        <v>3529484.41</v>
      </c>
      <c r="H49" s="172">
        <f t="shared" si="1"/>
        <v>282358.75280000002</v>
      </c>
      <c r="I49" s="173">
        <v>0.08</v>
      </c>
      <c r="J49" s="178">
        <v>4500000</v>
      </c>
      <c r="K49" s="175">
        <f>C49-D49-E49-J49</f>
        <v>889321.26999999955</v>
      </c>
      <c r="L49" s="176" t="s">
        <v>555</v>
      </c>
    </row>
    <row r="50" spans="1:277" s="203" customFormat="1" ht="19.7" customHeight="1">
      <c r="A50" s="190" t="s">
        <v>558</v>
      </c>
      <c r="B50" s="184" t="s">
        <v>559</v>
      </c>
      <c r="C50" s="191">
        <v>1100000</v>
      </c>
      <c r="D50" s="192">
        <v>0</v>
      </c>
      <c r="E50" s="193">
        <v>709362.5</v>
      </c>
      <c r="F50" s="188">
        <v>0</v>
      </c>
      <c r="G50" s="172">
        <f t="shared" si="0"/>
        <v>709362.5</v>
      </c>
      <c r="H50" s="172">
        <f t="shared" si="1"/>
        <v>35468.125</v>
      </c>
      <c r="I50" s="173">
        <v>0.05</v>
      </c>
      <c r="J50" s="178">
        <f>C50-E50</f>
        <v>390637.5</v>
      </c>
      <c r="K50" s="175">
        <v>0</v>
      </c>
      <c r="L50" s="202" t="s">
        <v>560</v>
      </c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</row>
    <row r="51" spans="1:277" ht="19.7" customHeight="1">
      <c r="A51" s="183" t="s">
        <v>561</v>
      </c>
      <c r="B51" s="189" t="s">
        <v>562</v>
      </c>
      <c r="C51" s="196">
        <v>25438.240000000002</v>
      </c>
      <c r="D51" s="197">
        <v>0</v>
      </c>
      <c r="E51" s="187">
        <v>25438.240000000002</v>
      </c>
      <c r="F51" s="188">
        <v>0</v>
      </c>
      <c r="G51" s="172">
        <f t="shared" si="0"/>
        <v>25438.240000000002</v>
      </c>
      <c r="H51" s="172">
        <f t="shared" si="1"/>
        <v>2035.0592000000001</v>
      </c>
      <c r="I51" s="173">
        <v>0.08</v>
      </c>
      <c r="J51" s="178">
        <v>0</v>
      </c>
      <c r="K51" s="175">
        <f>C51-D51-E51-J51</f>
        <v>0</v>
      </c>
      <c r="L51" s="204" t="s">
        <v>563</v>
      </c>
    </row>
    <row r="52" spans="1:277" ht="19.7" customHeight="1">
      <c r="A52" s="183" t="s">
        <v>481</v>
      </c>
      <c r="B52" s="189" t="s">
        <v>564</v>
      </c>
      <c r="C52" s="196">
        <v>42149.4</v>
      </c>
      <c r="D52" s="197">
        <v>24650.91</v>
      </c>
      <c r="E52" s="187">
        <v>17498.490000000002</v>
      </c>
      <c r="F52" s="188">
        <v>0</v>
      </c>
      <c r="G52" s="172">
        <f t="shared" si="0"/>
        <v>17498.490000000002</v>
      </c>
      <c r="H52" s="172">
        <f t="shared" si="1"/>
        <v>1399.8792000000001</v>
      </c>
      <c r="I52" s="173">
        <v>0.08</v>
      </c>
      <c r="J52" s="178">
        <v>0</v>
      </c>
      <c r="K52" s="175">
        <f>C52-D52-E52-J52</f>
        <v>0</v>
      </c>
      <c r="L52" s="204" t="s">
        <v>563</v>
      </c>
    </row>
    <row r="53" spans="1:277" ht="19.7" customHeight="1">
      <c r="A53" s="183" t="s">
        <v>565</v>
      </c>
      <c r="B53" s="189" t="s">
        <v>566</v>
      </c>
      <c r="C53" s="196">
        <v>660935.69999999995</v>
      </c>
      <c r="D53" s="197">
        <v>588995.69999999995</v>
      </c>
      <c r="E53" s="187">
        <v>71940</v>
      </c>
      <c r="F53" s="188">
        <v>0</v>
      </c>
      <c r="G53" s="172">
        <f t="shared" si="0"/>
        <v>71940</v>
      </c>
      <c r="H53" s="172">
        <f t="shared" si="1"/>
        <v>7194</v>
      </c>
      <c r="I53" s="173">
        <v>0.1</v>
      </c>
      <c r="J53" s="178">
        <v>0</v>
      </c>
      <c r="K53" s="175">
        <f>C53-D53-E53-J53</f>
        <v>0</v>
      </c>
      <c r="L53" s="204" t="s">
        <v>563</v>
      </c>
    </row>
    <row r="54" spans="1:277" ht="19.7" customHeight="1">
      <c r="A54" s="183" t="s">
        <v>567</v>
      </c>
      <c r="B54" s="189" t="s">
        <v>568</v>
      </c>
      <c r="C54" s="196">
        <v>1575821.98</v>
      </c>
      <c r="D54" s="197">
        <v>1493804.29</v>
      </c>
      <c r="E54" s="187">
        <v>82017.69</v>
      </c>
      <c r="F54" s="188">
        <v>0</v>
      </c>
      <c r="G54" s="172">
        <f t="shared" si="0"/>
        <v>82017.69</v>
      </c>
      <c r="H54" s="172">
        <f t="shared" si="1"/>
        <v>5741.2383000000009</v>
      </c>
      <c r="I54" s="173">
        <v>7.0000000000000007E-2</v>
      </c>
      <c r="J54" s="178">
        <v>0</v>
      </c>
      <c r="K54" s="175">
        <v>0</v>
      </c>
      <c r="L54" s="204" t="s">
        <v>563</v>
      </c>
    </row>
    <row r="55" spans="1:277" ht="19.7" customHeight="1">
      <c r="A55" s="183" t="s">
        <v>529</v>
      </c>
      <c r="B55" s="189" t="s">
        <v>569</v>
      </c>
      <c r="C55" s="196">
        <v>105665.8</v>
      </c>
      <c r="D55" s="197">
        <v>72017.5</v>
      </c>
      <c r="E55" s="187">
        <v>33648.300000000003</v>
      </c>
      <c r="F55" s="188">
        <v>0</v>
      </c>
      <c r="G55" s="172">
        <f t="shared" si="0"/>
        <v>33648.300000000003</v>
      </c>
      <c r="H55" s="172">
        <f t="shared" si="1"/>
        <v>2018.8980000000001</v>
      </c>
      <c r="I55" s="173">
        <v>0.06</v>
      </c>
      <c r="J55" s="178">
        <v>0</v>
      </c>
      <c r="K55" s="175">
        <v>0</v>
      </c>
      <c r="L55" s="204" t="s">
        <v>563</v>
      </c>
    </row>
    <row r="56" spans="1:277" ht="19.7" customHeight="1">
      <c r="A56" s="183" t="s">
        <v>570</v>
      </c>
      <c r="B56" s="189" t="s">
        <v>571</v>
      </c>
      <c r="C56" s="196">
        <v>324708.37</v>
      </c>
      <c r="D56" s="197">
        <v>254910.6</v>
      </c>
      <c r="E56" s="187">
        <v>69797.77</v>
      </c>
      <c r="F56" s="188">
        <v>0</v>
      </c>
      <c r="G56" s="172">
        <f t="shared" si="0"/>
        <v>69797.77</v>
      </c>
      <c r="H56" s="172">
        <f t="shared" si="1"/>
        <v>5583.8216000000002</v>
      </c>
      <c r="I56" s="173">
        <v>0.08</v>
      </c>
      <c r="J56" s="178">
        <v>0</v>
      </c>
      <c r="K56" s="175">
        <v>0</v>
      </c>
      <c r="L56" s="204" t="s">
        <v>563</v>
      </c>
    </row>
    <row r="57" spans="1:277" ht="19.7" customHeight="1">
      <c r="A57" s="183" t="s">
        <v>531</v>
      </c>
      <c r="B57" s="189" t="s">
        <v>572</v>
      </c>
      <c r="C57" s="196">
        <v>797607.45</v>
      </c>
      <c r="D57" s="197">
        <v>727607.45</v>
      </c>
      <c r="E57" s="187">
        <v>70000</v>
      </c>
      <c r="F57" s="188">
        <v>0</v>
      </c>
      <c r="G57" s="172">
        <f t="shared" si="0"/>
        <v>70000</v>
      </c>
      <c r="H57" s="172">
        <f t="shared" si="1"/>
        <v>2800</v>
      </c>
      <c r="I57" s="173">
        <v>0.04</v>
      </c>
      <c r="J57" s="178">
        <v>0</v>
      </c>
      <c r="K57" s="175">
        <v>0</v>
      </c>
      <c r="L57" s="204" t="s">
        <v>563</v>
      </c>
    </row>
    <row r="58" spans="1:277" ht="19.7" customHeight="1">
      <c r="A58" s="177" t="s">
        <v>489</v>
      </c>
      <c r="B58" s="168" t="s">
        <v>573</v>
      </c>
      <c r="C58" s="196">
        <v>771391.79</v>
      </c>
      <c r="D58" s="197">
        <v>451053.55</v>
      </c>
      <c r="E58" s="187">
        <v>210338.24</v>
      </c>
      <c r="F58" s="188">
        <v>0</v>
      </c>
      <c r="G58" s="172">
        <f t="shared" si="0"/>
        <v>210338.24</v>
      </c>
      <c r="H58" s="172">
        <f t="shared" si="1"/>
        <v>16827.0592</v>
      </c>
      <c r="I58" s="173">
        <v>0.08</v>
      </c>
      <c r="J58" s="178">
        <v>0</v>
      </c>
      <c r="K58" s="175">
        <v>0</v>
      </c>
      <c r="L58" s="204" t="s">
        <v>563</v>
      </c>
    </row>
    <row r="59" spans="1:277" ht="19.7" customHeight="1">
      <c r="A59" s="177" t="s">
        <v>574</v>
      </c>
      <c r="B59" s="168" t="s">
        <v>575</v>
      </c>
      <c r="C59" s="196">
        <v>140000</v>
      </c>
      <c r="D59" s="197">
        <v>80000</v>
      </c>
      <c r="E59" s="187">
        <v>60000</v>
      </c>
      <c r="F59" s="188">
        <v>0</v>
      </c>
      <c r="G59" s="172">
        <f t="shared" si="0"/>
        <v>60000</v>
      </c>
      <c r="H59" s="172">
        <f t="shared" si="1"/>
        <v>2400</v>
      </c>
      <c r="I59" s="173">
        <v>0.04</v>
      </c>
      <c r="J59" s="178">
        <v>0</v>
      </c>
      <c r="K59" s="175">
        <v>0</v>
      </c>
      <c r="L59" s="204" t="s">
        <v>563</v>
      </c>
    </row>
    <row r="60" spans="1:277" ht="19.7" customHeight="1">
      <c r="A60" s="183" t="s">
        <v>576</v>
      </c>
      <c r="B60" s="189" t="s">
        <v>571</v>
      </c>
      <c r="C60" s="196">
        <v>298853.34000000003</v>
      </c>
      <c r="D60" s="197">
        <v>0</v>
      </c>
      <c r="E60" s="187">
        <v>298853.34000000003</v>
      </c>
      <c r="F60" s="188">
        <v>0</v>
      </c>
      <c r="G60" s="172">
        <f t="shared" si="0"/>
        <v>298853.34000000003</v>
      </c>
      <c r="H60" s="172">
        <f t="shared" si="1"/>
        <v>26896.800600000002</v>
      </c>
      <c r="I60" s="173">
        <v>0.09</v>
      </c>
      <c r="J60" s="178">
        <v>0</v>
      </c>
      <c r="K60" s="175">
        <v>0</v>
      </c>
      <c r="L60" s="204" t="s">
        <v>577</v>
      </c>
    </row>
    <row r="61" spans="1:277" ht="19.7" customHeight="1">
      <c r="A61" s="183" t="s">
        <v>578</v>
      </c>
      <c r="B61" s="189" t="s">
        <v>579</v>
      </c>
      <c r="C61" s="185">
        <v>54201.45</v>
      </c>
      <c r="D61" s="186">
        <v>0</v>
      </c>
      <c r="E61" s="187">
        <v>54201.45</v>
      </c>
      <c r="F61" s="188">
        <v>0</v>
      </c>
      <c r="G61" s="172">
        <f t="shared" si="0"/>
        <v>54201.45</v>
      </c>
      <c r="H61" s="172">
        <f t="shared" si="1"/>
        <v>3794.1015000000002</v>
      </c>
      <c r="I61" s="173">
        <v>7.0000000000000007E-2</v>
      </c>
      <c r="J61" s="178">
        <v>0</v>
      </c>
      <c r="K61" s="175">
        <v>0</v>
      </c>
      <c r="L61" s="204" t="s">
        <v>577</v>
      </c>
    </row>
    <row r="62" spans="1:277" ht="19.7" customHeight="1">
      <c r="A62" s="183" t="s">
        <v>580</v>
      </c>
      <c r="B62" s="189" t="s">
        <v>581</v>
      </c>
      <c r="C62" s="185">
        <v>229363</v>
      </c>
      <c r="D62" s="186">
        <v>209835.44</v>
      </c>
      <c r="E62" s="187">
        <v>19527.560000000001</v>
      </c>
      <c r="F62" s="188">
        <v>0</v>
      </c>
      <c r="G62" s="172">
        <f t="shared" si="0"/>
        <v>19527.560000000001</v>
      </c>
      <c r="H62" s="172">
        <f t="shared" si="1"/>
        <v>1562.2048000000002</v>
      </c>
      <c r="I62" s="173">
        <v>0.08</v>
      </c>
      <c r="J62" s="178">
        <v>0</v>
      </c>
      <c r="K62" s="175">
        <v>0</v>
      </c>
      <c r="L62" s="204" t="s">
        <v>577</v>
      </c>
    </row>
    <row r="63" spans="1:277" ht="19.7" customHeight="1">
      <c r="A63" s="183" t="s">
        <v>582</v>
      </c>
      <c r="B63" s="189" t="s">
        <v>583</v>
      </c>
      <c r="C63" s="185">
        <v>141375.5</v>
      </c>
      <c r="D63" s="186">
        <v>65999.649999999994</v>
      </c>
      <c r="E63" s="187">
        <v>75375.850000000006</v>
      </c>
      <c r="F63" s="188">
        <v>0</v>
      </c>
      <c r="G63" s="172">
        <f t="shared" si="0"/>
        <v>75375.850000000006</v>
      </c>
      <c r="H63" s="172">
        <f t="shared" si="1"/>
        <v>6783.8265000000001</v>
      </c>
      <c r="I63" s="173">
        <v>0.09</v>
      </c>
      <c r="J63" s="178">
        <v>0</v>
      </c>
      <c r="K63" s="175">
        <v>0</v>
      </c>
      <c r="L63" s="204" t="s">
        <v>577</v>
      </c>
    </row>
    <row r="64" spans="1:277" ht="19.7" customHeight="1">
      <c r="A64" s="183" t="s">
        <v>584</v>
      </c>
      <c r="B64" s="189" t="s">
        <v>585</v>
      </c>
      <c r="C64" s="185">
        <v>453088.8</v>
      </c>
      <c r="D64" s="186">
        <v>90928.48</v>
      </c>
      <c r="E64" s="187">
        <v>362160.32</v>
      </c>
      <c r="F64" s="188">
        <v>0</v>
      </c>
      <c r="G64" s="172">
        <f t="shared" si="0"/>
        <v>362160.32</v>
      </c>
      <c r="H64" s="172">
        <f t="shared" si="1"/>
        <v>21729.619200000001</v>
      </c>
      <c r="I64" s="173">
        <v>0.06</v>
      </c>
      <c r="J64" s="178">
        <v>0</v>
      </c>
      <c r="K64" s="175">
        <v>0</v>
      </c>
      <c r="L64" s="204" t="s">
        <v>577</v>
      </c>
    </row>
    <row r="65" spans="1:12" ht="19.7" customHeight="1">
      <c r="A65" s="183" t="s">
        <v>586</v>
      </c>
      <c r="B65" s="189" t="s">
        <v>587</v>
      </c>
      <c r="C65" s="185">
        <v>138455.16</v>
      </c>
      <c r="D65" s="186">
        <v>124955.16</v>
      </c>
      <c r="E65" s="187">
        <v>13500</v>
      </c>
      <c r="F65" s="188">
        <v>0</v>
      </c>
      <c r="G65" s="172">
        <f t="shared" si="0"/>
        <v>13500</v>
      </c>
      <c r="H65" s="172">
        <f t="shared" si="1"/>
        <v>945.00000000000011</v>
      </c>
      <c r="I65" s="173">
        <v>7.0000000000000007E-2</v>
      </c>
      <c r="J65" s="178">
        <v>0</v>
      </c>
      <c r="K65" s="175">
        <v>0</v>
      </c>
      <c r="L65" s="204" t="s">
        <v>577</v>
      </c>
    </row>
    <row r="66" spans="1:12" ht="19.7" customHeight="1">
      <c r="A66" s="177" t="s">
        <v>489</v>
      </c>
      <c r="B66" s="168" t="s">
        <v>588</v>
      </c>
      <c r="C66" s="185">
        <v>301600</v>
      </c>
      <c r="D66" s="186">
        <v>290350</v>
      </c>
      <c r="E66" s="187">
        <v>11250</v>
      </c>
      <c r="F66" s="188">
        <v>0</v>
      </c>
      <c r="G66" s="172">
        <f t="shared" si="0"/>
        <v>11250</v>
      </c>
      <c r="H66" s="172">
        <f t="shared" si="1"/>
        <v>900</v>
      </c>
      <c r="I66" s="173">
        <v>0.08</v>
      </c>
      <c r="J66" s="178">
        <v>0</v>
      </c>
      <c r="K66" s="175">
        <v>0</v>
      </c>
      <c r="L66" s="204" t="s">
        <v>577</v>
      </c>
    </row>
    <row r="67" spans="1:12" ht="19.7" customHeight="1">
      <c r="A67" s="194" t="s">
        <v>589</v>
      </c>
      <c r="B67" s="195" t="s">
        <v>590</v>
      </c>
      <c r="C67" s="196">
        <v>68168</v>
      </c>
      <c r="D67" s="197">
        <v>0</v>
      </c>
      <c r="E67" s="187">
        <v>68168</v>
      </c>
      <c r="F67" s="188">
        <v>0</v>
      </c>
      <c r="G67" s="172">
        <f t="shared" si="0"/>
        <v>68168</v>
      </c>
      <c r="H67" s="172">
        <f t="shared" si="1"/>
        <v>5453.4400000000005</v>
      </c>
      <c r="I67" s="173">
        <v>0.08</v>
      </c>
      <c r="J67" s="178">
        <v>0</v>
      </c>
      <c r="K67" s="175">
        <v>0</v>
      </c>
      <c r="L67" s="202" t="s">
        <v>509</v>
      </c>
    </row>
    <row r="68" spans="1:12" ht="19.7" customHeight="1">
      <c r="A68" s="194" t="s">
        <v>529</v>
      </c>
      <c r="B68" s="195" t="s">
        <v>591</v>
      </c>
      <c r="C68" s="196">
        <v>53366</v>
      </c>
      <c r="D68" s="197">
        <v>0</v>
      </c>
      <c r="E68" s="187">
        <v>53366</v>
      </c>
      <c r="F68" s="188">
        <v>0</v>
      </c>
      <c r="G68" s="172">
        <f t="shared" si="0"/>
        <v>53366</v>
      </c>
      <c r="H68" s="172">
        <f t="shared" si="1"/>
        <v>3201.96</v>
      </c>
      <c r="I68" s="173">
        <v>0.06</v>
      </c>
      <c r="J68" s="178">
        <v>0</v>
      </c>
      <c r="K68" s="175">
        <v>0</v>
      </c>
      <c r="L68" s="202" t="s">
        <v>509</v>
      </c>
    </row>
    <row r="69" spans="1:12" ht="19.7" customHeight="1">
      <c r="A69" s="194" t="s">
        <v>592</v>
      </c>
      <c r="B69" s="195" t="s">
        <v>593</v>
      </c>
      <c r="C69" s="196">
        <v>24094.400000000001</v>
      </c>
      <c r="D69" s="197">
        <v>0</v>
      </c>
      <c r="E69" s="187">
        <v>24094.400000000001</v>
      </c>
      <c r="F69" s="188">
        <v>0</v>
      </c>
      <c r="G69" s="172">
        <f t="shared" si="0"/>
        <v>24094.400000000001</v>
      </c>
      <c r="H69" s="172">
        <f t="shared" si="1"/>
        <v>2650.384</v>
      </c>
      <c r="I69" s="173">
        <v>0.11</v>
      </c>
      <c r="J69" s="178">
        <v>0</v>
      </c>
      <c r="K69" s="175">
        <v>0</v>
      </c>
      <c r="L69" s="202" t="s">
        <v>509</v>
      </c>
    </row>
    <row r="70" spans="1:12" ht="19.7" customHeight="1">
      <c r="A70" s="190" t="s">
        <v>594</v>
      </c>
      <c r="B70" s="195" t="s">
        <v>595</v>
      </c>
      <c r="C70" s="196">
        <v>374541.93</v>
      </c>
      <c r="D70" s="197">
        <v>234304.54</v>
      </c>
      <c r="E70" s="187">
        <v>140237.39000000001</v>
      </c>
      <c r="F70" s="188">
        <v>0</v>
      </c>
      <c r="G70" s="172">
        <f t="shared" si="0"/>
        <v>140237.39000000001</v>
      </c>
      <c r="H70" s="172">
        <f t="shared" si="1"/>
        <v>11218.991200000002</v>
      </c>
      <c r="I70" s="173">
        <v>0.08</v>
      </c>
      <c r="J70" s="178">
        <v>0</v>
      </c>
      <c r="K70" s="175">
        <v>0</v>
      </c>
      <c r="L70" s="202" t="s">
        <v>509</v>
      </c>
    </row>
    <row r="71" spans="1:12" ht="19.7" customHeight="1">
      <c r="A71" s="190" t="s">
        <v>596</v>
      </c>
      <c r="B71" s="195" t="s">
        <v>597</v>
      </c>
      <c r="C71" s="196">
        <v>220600</v>
      </c>
      <c r="D71" s="197">
        <v>50000</v>
      </c>
      <c r="E71" s="187">
        <v>170600</v>
      </c>
      <c r="F71" s="188">
        <v>0</v>
      </c>
      <c r="G71" s="172">
        <f t="shared" si="0"/>
        <v>170600</v>
      </c>
      <c r="H71" s="172">
        <f t="shared" si="1"/>
        <v>13648</v>
      </c>
      <c r="I71" s="173">
        <v>0.08</v>
      </c>
      <c r="J71" s="178">
        <v>0</v>
      </c>
      <c r="K71" s="175">
        <v>0</v>
      </c>
      <c r="L71" s="202" t="s">
        <v>509</v>
      </c>
    </row>
    <row r="72" spans="1:12" ht="19.7" customHeight="1">
      <c r="A72" s="190" t="s">
        <v>598</v>
      </c>
      <c r="B72" s="195" t="s">
        <v>599</v>
      </c>
      <c r="C72" s="196">
        <v>310024.76</v>
      </c>
      <c r="D72" s="197">
        <v>218052.4</v>
      </c>
      <c r="E72" s="187">
        <v>91972.36</v>
      </c>
      <c r="F72" s="188">
        <v>0</v>
      </c>
      <c r="G72" s="172">
        <f t="shared" si="0"/>
        <v>91972.36</v>
      </c>
      <c r="H72" s="172">
        <f t="shared" si="1"/>
        <v>3678.8944000000001</v>
      </c>
      <c r="I72" s="173">
        <v>0.04</v>
      </c>
      <c r="J72" s="178">
        <v>0</v>
      </c>
      <c r="K72" s="175">
        <v>0</v>
      </c>
      <c r="L72" s="202" t="s">
        <v>509</v>
      </c>
    </row>
    <row r="73" spans="1:12" ht="19.7" customHeight="1">
      <c r="A73" s="177" t="s">
        <v>574</v>
      </c>
      <c r="B73" s="168" t="s">
        <v>600</v>
      </c>
      <c r="C73" s="196">
        <v>6200</v>
      </c>
      <c r="D73" s="197">
        <v>0</v>
      </c>
      <c r="E73" s="187">
        <v>6200</v>
      </c>
      <c r="F73" s="188">
        <v>0</v>
      </c>
      <c r="G73" s="172">
        <f t="shared" ref="G73:G136" si="2">E73+F73</f>
        <v>6200</v>
      </c>
      <c r="H73" s="172">
        <f t="shared" ref="H73:H136" si="3">G73*I73</f>
        <v>496</v>
      </c>
      <c r="I73" s="173">
        <v>0.08</v>
      </c>
      <c r="J73" s="178">
        <v>0</v>
      </c>
      <c r="K73" s="175">
        <v>0</v>
      </c>
      <c r="L73" s="202" t="s">
        <v>509</v>
      </c>
    </row>
    <row r="74" spans="1:12" ht="19.7" customHeight="1">
      <c r="A74" s="183" t="s">
        <v>514</v>
      </c>
      <c r="B74" s="184" t="s">
        <v>601</v>
      </c>
      <c r="C74" s="196">
        <v>1600</v>
      </c>
      <c r="D74" s="197">
        <v>0</v>
      </c>
      <c r="E74" s="187">
        <v>1600</v>
      </c>
      <c r="F74" s="188">
        <v>0</v>
      </c>
      <c r="G74" s="172">
        <f t="shared" si="2"/>
        <v>1600</v>
      </c>
      <c r="H74" s="172">
        <f t="shared" si="3"/>
        <v>128</v>
      </c>
      <c r="I74" s="173">
        <v>0.08</v>
      </c>
      <c r="J74" s="178">
        <v>0</v>
      </c>
      <c r="K74" s="175">
        <v>0</v>
      </c>
      <c r="L74" s="202" t="s">
        <v>509</v>
      </c>
    </row>
    <row r="75" spans="1:12" ht="19.7" customHeight="1">
      <c r="A75" s="205" t="s">
        <v>534</v>
      </c>
      <c r="B75" s="184" t="s">
        <v>602</v>
      </c>
      <c r="C75" s="196">
        <v>64627.38</v>
      </c>
      <c r="D75" s="197">
        <v>37027.040000000001</v>
      </c>
      <c r="E75" s="187">
        <v>27600.34</v>
      </c>
      <c r="F75" s="188">
        <v>0</v>
      </c>
      <c r="G75" s="172">
        <f t="shared" si="2"/>
        <v>27600.34</v>
      </c>
      <c r="H75" s="172">
        <f t="shared" si="3"/>
        <v>2208.0272</v>
      </c>
      <c r="I75" s="173">
        <v>0.08</v>
      </c>
      <c r="J75" s="178">
        <v>0</v>
      </c>
      <c r="K75" s="175">
        <v>0</v>
      </c>
      <c r="L75" s="202" t="s">
        <v>603</v>
      </c>
    </row>
    <row r="76" spans="1:12" ht="19.7" customHeight="1">
      <c r="A76" s="190" t="s">
        <v>604</v>
      </c>
      <c r="B76" s="195" t="s">
        <v>605</v>
      </c>
      <c r="C76" s="196">
        <v>142796.63</v>
      </c>
      <c r="D76" s="197">
        <v>0</v>
      </c>
      <c r="E76" s="187">
        <v>142796.63</v>
      </c>
      <c r="F76" s="188">
        <v>0</v>
      </c>
      <c r="G76" s="172">
        <f t="shared" si="2"/>
        <v>142796.63</v>
      </c>
      <c r="H76" s="172">
        <f t="shared" si="3"/>
        <v>12851.6967</v>
      </c>
      <c r="I76" s="173">
        <v>0.09</v>
      </c>
      <c r="J76" s="178">
        <v>0</v>
      </c>
      <c r="K76" s="175">
        <v>0</v>
      </c>
      <c r="L76" s="202" t="s">
        <v>606</v>
      </c>
    </row>
    <row r="77" spans="1:12" ht="19.7" customHeight="1">
      <c r="A77" s="190" t="s">
        <v>607</v>
      </c>
      <c r="B77" s="195" t="s">
        <v>608</v>
      </c>
      <c r="C77" s="196">
        <v>406954.72</v>
      </c>
      <c r="D77" s="197">
        <v>260575.22</v>
      </c>
      <c r="E77" s="187">
        <v>146379.5</v>
      </c>
      <c r="F77" s="188">
        <v>0</v>
      </c>
      <c r="G77" s="172">
        <f t="shared" si="2"/>
        <v>146379.5</v>
      </c>
      <c r="H77" s="172">
        <f t="shared" si="3"/>
        <v>8782.77</v>
      </c>
      <c r="I77" s="173">
        <v>0.06</v>
      </c>
      <c r="J77" s="178">
        <v>0</v>
      </c>
      <c r="K77" s="175">
        <v>0</v>
      </c>
      <c r="L77" s="202" t="s">
        <v>606</v>
      </c>
    </row>
    <row r="78" spans="1:12" ht="19.7" customHeight="1">
      <c r="A78" s="190" t="s">
        <v>481</v>
      </c>
      <c r="B78" s="195" t="s">
        <v>609</v>
      </c>
      <c r="C78" s="196">
        <v>285720.42</v>
      </c>
      <c r="D78" s="197">
        <v>0</v>
      </c>
      <c r="E78" s="187">
        <v>285720.42</v>
      </c>
      <c r="F78" s="188">
        <v>0</v>
      </c>
      <c r="G78" s="172">
        <f t="shared" si="2"/>
        <v>285720.42</v>
      </c>
      <c r="H78" s="172">
        <f t="shared" si="3"/>
        <v>22857.633599999997</v>
      </c>
      <c r="I78" s="173">
        <v>0.08</v>
      </c>
      <c r="J78" s="178">
        <v>0</v>
      </c>
      <c r="K78" s="175">
        <v>0</v>
      </c>
      <c r="L78" s="202" t="s">
        <v>606</v>
      </c>
    </row>
    <row r="79" spans="1:12" ht="19.7" customHeight="1">
      <c r="A79" s="190" t="s">
        <v>610</v>
      </c>
      <c r="B79" s="195" t="s">
        <v>611</v>
      </c>
      <c r="C79" s="196">
        <v>218900</v>
      </c>
      <c r="D79" s="197">
        <v>194000</v>
      </c>
      <c r="E79" s="187">
        <v>24900</v>
      </c>
      <c r="F79" s="188">
        <v>0</v>
      </c>
      <c r="G79" s="172">
        <f t="shared" si="2"/>
        <v>24900</v>
      </c>
      <c r="H79" s="172">
        <f t="shared" si="3"/>
        <v>2490</v>
      </c>
      <c r="I79" s="173">
        <v>0.1</v>
      </c>
      <c r="J79" s="178">
        <v>0</v>
      </c>
      <c r="K79" s="175">
        <v>0</v>
      </c>
      <c r="L79" s="202" t="s">
        <v>606</v>
      </c>
    </row>
    <row r="80" spans="1:12" ht="19.7" customHeight="1">
      <c r="A80" s="190" t="s">
        <v>527</v>
      </c>
      <c r="B80" s="195" t="s">
        <v>612</v>
      </c>
      <c r="C80" s="196">
        <v>140441.15</v>
      </c>
      <c r="D80" s="197">
        <v>0</v>
      </c>
      <c r="E80" s="187">
        <v>140441.15</v>
      </c>
      <c r="F80" s="188">
        <v>0</v>
      </c>
      <c r="G80" s="172">
        <f t="shared" si="2"/>
        <v>140441.15</v>
      </c>
      <c r="H80" s="172">
        <f t="shared" si="3"/>
        <v>14044.115</v>
      </c>
      <c r="I80" s="173">
        <v>0.1</v>
      </c>
      <c r="J80" s="178">
        <v>0</v>
      </c>
      <c r="K80" s="175">
        <v>0</v>
      </c>
      <c r="L80" s="202" t="s">
        <v>520</v>
      </c>
    </row>
    <row r="81" spans="1:12" ht="19.7" customHeight="1">
      <c r="A81" s="190" t="s">
        <v>613</v>
      </c>
      <c r="B81" s="195" t="s">
        <v>614</v>
      </c>
      <c r="C81" s="196">
        <v>105484.28</v>
      </c>
      <c r="D81" s="197">
        <v>74139.839999999997</v>
      </c>
      <c r="E81" s="187">
        <v>31344.44</v>
      </c>
      <c r="F81" s="188">
        <v>0</v>
      </c>
      <c r="G81" s="172">
        <f t="shared" si="2"/>
        <v>31344.44</v>
      </c>
      <c r="H81" s="172">
        <f t="shared" si="3"/>
        <v>2194.1107999999999</v>
      </c>
      <c r="I81" s="173">
        <v>7.0000000000000007E-2</v>
      </c>
      <c r="J81" s="178">
        <v>0</v>
      </c>
      <c r="K81" s="175">
        <v>0</v>
      </c>
      <c r="L81" s="202" t="s">
        <v>520</v>
      </c>
    </row>
    <row r="82" spans="1:12" ht="19.7" customHeight="1">
      <c r="A82" s="190" t="s">
        <v>615</v>
      </c>
      <c r="B82" s="195" t="s">
        <v>616</v>
      </c>
      <c r="C82" s="196">
        <v>649941.19999999995</v>
      </c>
      <c r="D82" s="197">
        <v>0</v>
      </c>
      <c r="E82" s="187">
        <v>646941.19999999995</v>
      </c>
      <c r="F82" s="188">
        <v>0</v>
      </c>
      <c r="G82" s="172">
        <f t="shared" si="2"/>
        <v>646941.19999999995</v>
      </c>
      <c r="H82" s="172">
        <f t="shared" si="3"/>
        <v>32347.059999999998</v>
      </c>
      <c r="I82" s="173">
        <v>0.05</v>
      </c>
      <c r="J82" s="178">
        <v>0</v>
      </c>
      <c r="K82" s="175">
        <v>0</v>
      </c>
      <c r="L82" s="204" t="s">
        <v>523</v>
      </c>
    </row>
    <row r="83" spans="1:12" ht="19.7" customHeight="1">
      <c r="A83" s="190" t="s">
        <v>543</v>
      </c>
      <c r="B83" s="195" t="s">
        <v>617</v>
      </c>
      <c r="C83" s="196">
        <v>100798.59</v>
      </c>
      <c r="D83" s="197">
        <v>0</v>
      </c>
      <c r="E83" s="187">
        <v>100798.59</v>
      </c>
      <c r="F83" s="188">
        <v>0</v>
      </c>
      <c r="G83" s="172">
        <f t="shared" si="2"/>
        <v>100798.59</v>
      </c>
      <c r="H83" s="172">
        <f t="shared" si="3"/>
        <v>4031.9436000000001</v>
      </c>
      <c r="I83" s="173">
        <v>0.04</v>
      </c>
      <c r="J83" s="178">
        <v>0</v>
      </c>
      <c r="K83" s="175">
        <v>0</v>
      </c>
      <c r="L83" s="204" t="s">
        <v>503</v>
      </c>
    </row>
    <row r="84" spans="1:12" ht="19.7" customHeight="1">
      <c r="A84" s="190" t="s">
        <v>558</v>
      </c>
      <c r="B84" s="195" t="s">
        <v>618</v>
      </c>
      <c r="C84" s="196">
        <v>114000</v>
      </c>
      <c r="D84" s="197">
        <v>0</v>
      </c>
      <c r="E84" s="187">
        <v>114000</v>
      </c>
      <c r="F84" s="188">
        <v>0</v>
      </c>
      <c r="G84" s="172">
        <f t="shared" si="2"/>
        <v>114000</v>
      </c>
      <c r="H84" s="172">
        <f t="shared" si="3"/>
        <v>7980.0000000000009</v>
      </c>
      <c r="I84" s="173">
        <v>7.0000000000000007E-2</v>
      </c>
      <c r="J84" s="178">
        <v>0</v>
      </c>
      <c r="K84" s="175">
        <v>0</v>
      </c>
      <c r="L84" s="202" t="s">
        <v>493</v>
      </c>
    </row>
    <row r="85" spans="1:12" ht="19.7" customHeight="1">
      <c r="A85" s="206" t="s">
        <v>619</v>
      </c>
      <c r="B85" s="207" t="s">
        <v>620</v>
      </c>
      <c r="C85" s="196">
        <v>32500</v>
      </c>
      <c r="D85" s="197">
        <v>0</v>
      </c>
      <c r="E85" s="187">
        <v>32500</v>
      </c>
      <c r="F85" s="188">
        <v>0</v>
      </c>
      <c r="G85" s="172">
        <f t="shared" si="2"/>
        <v>32500</v>
      </c>
      <c r="H85" s="172">
        <f t="shared" si="3"/>
        <v>1950</v>
      </c>
      <c r="I85" s="173">
        <v>0.06</v>
      </c>
      <c r="J85" s="178">
        <v>0</v>
      </c>
      <c r="K85" s="175">
        <v>0</v>
      </c>
      <c r="L85" s="202" t="s">
        <v>493</v>
      </c>
    </row>
    <row r="86" spans="1:12" ht="19.7" customHeight="1">
      <c r="A86" s="190" t="s">
        <v>621</v>
      </c>
      <c r="B86" s="208" t="s">
        <v>622</v>
      </c>
      <c r="C86" s="196">
        <v>1377319</v>
      </c>
      <c r="D86" s="197">
        <v>0</v>
      </c>
      <c r="E86" s="187">
        <v>270634.73</v>
      </c>
      <c r="F86" s="188">
        <v>0</v>
      </c>
      <c r="G86" s="172">
        <f t="shared" si="2"/>
        <v>270634.73</v>
      </c>
      <c r="H86" s="172">
        <f t="shared" si="3"/>
        <v>16238.083799999999</v>
      </c>
      <c r="I86" s="173">
        <v>0.06</v>
      </c>
      <c r="J86" s="178">
        <f>C86-E86</f>
        <v>1106684.27</v>
      </c>
      <c r="K86" s="175">
        <v>0</v>
      </c>
      <c r="L86" s="204" t="s">
        <v>479</v>
      </c>
    </row>
    <row r="87" spans="1:12" ht="19.7" customHeight="1">
      <c r="A87" s="194" t="s">
        <v>529</v>
      </c>
      <c r="B87" s="195" t="s">
        <v>623</v>
      </c>
      <c r="C87" s="196">
        <v>66186</v>
      </c>
      <c r="D87" s="197">
        <v>0</v>
      </c>
      <c r="E87" s="187">
        <v>66186</v>
      </c>
      <c r="F87" s="188">
        <v>0</v>
      </c>
      <c r="G87" s="172">
        <f t="shared" si="2"/>
        <v>66186</v>
      </c>
      <c r="H87" s="172">
        <f t="shared" si="3"/>
        <v>5294.88</v>
      </c>
      <c r="I87" s="173">
        <v>0.08</v>
      </c>
      <c r="J87" s="178">
        <v>0</v>
      </c>
      <c r="K87" s="175">
        <v>0</v>
      </c>
      <c r="L87" s="176" t="s">
        <v>503</v>
      </c>
    </row>
    <row r="88" spans="1:12" ht="19.7" customHeight="1">
      <c r="A88" s="190" t="s">
        <v>624</v>
      </c>
      <c r="B88" s="184" t="s">
        <v>625</v>
      </c>
      <c r="C88" s="191">
        <v>40847.06</v>
      </c>
      <c r="D88" s="197">
        <v>0</v>
      </c>
      <c r="E88" s="193">
        <v>40847.06</v>
      </c>
      <c r="F88" s="209">
        <v>0</v>
      </c>
      <c r="G88" s="172">
        <f t="shared" si="2"/>
        <v>40847.06</v>
      </c>
      <c r="H88" s="172">
        <f t="shared" si="3"/>
        <v>4493.1765999999998</v>
      </c>
      <c r="I88" s="173">
        <v>0.11</v>
      </c>
      <c r="J88" s="178">
        <v>0</v>
      </c>
      <c r="K88" s="175">
        <v>0</v>
      </c>
      <c r="L88" s="204" t="s">
        <v>493</v>
      </c>
    </row>
    <row r="89" spans="1:12" ht="19.7" customHeight="1">
      <c r="A89" s="190" t="s">
        <v>626</v>
      </c>
      <c r="B89" s="184" t="s">
        <v>627</v>
      </c>
      <c r="C89" s="191">
        <v>41469.919999999998</v>
      </c>
      <c r="D89" s="197">
        <v>0</v>
      </c>
      <c r="E89" s="193">
        <v>41469.919999999998</v>
      </c>
      <c r="F89" s="209">
        <v>0</v>
      </c>
      <c r="G89" s="172">
        <f t="shared" si="2"/>
        <v>41469.919999999998</v>
      </c>
      <c r="H89" s="172">
        <f t="shared" si="3"/>
        <v>3732.2927999999997</v>
      </c>
      <c r="I89" s="173">
        <v>0.09</v>
      </c>
      <c r="J89" s="178">
        <v>0</v>
      </c>
      <c r="K89" s="175">
        <v>0</v>
      </c>
      <c r="L89" s="176" t="s">
        <v>503</v>
      </c>
    </row>
    <row r="90" spans="1:12" ht="19.7" customHeight="1">
      <c r="A90" s="190" t="s">
        <v>628</v>
      </c>
      <c r="B90" s="184" t="s">
        <v>629</v>
      </c>
      <c r="C90" s="191">
        <v>27977.8</v>
      </c>
      <c r="D90" s="197">
        <v>0</v>
      </c>
      <c r="E90" s="193">
        <v>27977.8</v>
      </c>
      <c r="F90" s="209">
        <v>0</v>
      </c>
      <c r="G90" s="172">
        <f t="shared" si="2"/>
        <v>27977.8</v>
      </c>
      <c r="H90" s="172">
        <f t="shared" si="3"/>
        <v>2238.2240000000002</v>
      </c>
      <c r="I90" s="173">
        <v>0.08</v>
      </c>
      <c r="J90" s="178">
        <v>0</v>
      </c>
      <c r="K90" s="175">
        <v>0</v>
      </c>
      <c r="L90" s="204" t="s">
        <v>493</v>
      </c>
    </row>
    <row r="91" spans="1:12" ht="19.7" customHeight="1">
      <c r="A91" s="190" t="s">
        <v>630</v>
      </c>
      <c r="B91" s="184" t="s">
        <v>631</v>
      </c>
      <c r="C91" s="191">
        <v>216084.33</v>
      </c>
      <c r="D91" s="192">
        <v>0</v>
      </c>
      <c r="E91" s="193">
        <v>216084.33</v>
      </c>
      <c r="F91" s="209">
        <v>0</v>
      </c>
      <c r="G91" s="172">
        <f t="shared" si="2"/>
        <v>216084.33</v>
      </c>
      <c r="H91" s="172">
        <f t="shared" si="3"/>
        <v>15125.903100000001</v>
      </c>
      <c r="I91" s="173">
        <v>7.0000000000000007E-2</v>
      </c>
      <c r="J91" s="178">
        <v>0</v>
      </c>
      <c r="K91" s="175">
        <v>0</v>
      </c>
      <c r="L91" s="204" t="s">
        <v>520</v>
      </c>
    </row>
    <row r="92" spans="1:12" ht="19.7" customHeight="1">
      <c r="A92" s="190" t="s">
        <v>632</v>
      </c>
      <c r="B92" s="184" t="s">
        <v>633</v>
      </c>
      <c r="C92" s="191">
        <v>87361.5</v>
      </c>
      <c r="D92" s="192">
        <v>77361.5</v>
      </c>
      <c r="E92" s="193">
        <v>10000</v>
      </c>
      <c r="F92" s="209">
        <v>0</v>
      </c>
      <c r="G92" s="172">
        <f t="shared" si="2"/>
        <v>10000</v>
      </c>
      <c r="H92" s="172">
        <f t="shared" si="3"/>
        <v>700.00000000000011</v>
      </c>
      <c r="I92" s="173">
        <v>7.0000000000000007E-2</v>
      </c>
      <c r="J92" s="178">
        <v>0</v>
      </c>
      <c r="K92" s="175">
        <v>0</v>
      </c>
      <c r="L92" s="204" t="s">
        <v>634</v>
      </c>
    </row>
    <row r="93" spans="1:12" ht="19.7" customHeight="1">
      <c r="A93" s="190" t="s">
        <v>635</v>
      </c>
      <c r="B93" s="184" t="s">
        <v>636</v>
      </c>
      <c r="C93" s="191">
        <v>285000</v>
      </c>
      <c r="D93" s="192">
        <v>260065.26</v>
      </c>
      <c r="E93" s="193">
        <v>24934.74</v>
      </c>
      <c r="F93" s="209">
        <v>0</v>
      </c>
      <c r="G93" s="172">
        <f t="shared" si="2"/>
        <v>24934.74</v>
      </c>
      <c r="H93" s="172">
        <f t="shared" si="3"/>
        <v>2244.1266000000001</v>
      </c>
      <c r="I93" s="173">
        <v>0.09</v>
      </c>
      <c r="J93" s="178">
        <v>0</v>
      </c>
      <c r="K93" s="175">
        <v>0</v>
      </c>
      <c r="L93" s="204" t="s">
        <v>603</v>
      </c>
    </row>
    <row r="94" spans="1:12" ht="19.7" customHeight="1">
      <c r="A94" s="190" t="s">
        <v>481</v>
      </c>
      <c r="B94" s="184" t="s">
        <v>637</v>
      </c>
      <c r="C94" s="191">
        <v>60895.93</v>
      </c>
      <c r="D94" s="192">
        <v>0</v>
      </c>
      <c r="E94" s="193">
        <v>60895.932999999997</v>
      </c>
      <c r="F94" s="209">
        <v>0</v>
      </c>
      <c r="G94" s="172">
        <f t="shared" si="2"/>
        <v>60895.932999999997</v>
      </c>
      <c r="H94" s="172">
        <f t="shared" si="3"/>
        <v>2435.8373200000001</v>
      </c>
      <c r="I94" s="173">
        <v>0.04</v>
      </c>
      <c r="J94" s="178">
        <f>C94-E94</f>
        <v>-2.9999999969732016E-3</v>
      </c>
      <c r="K94" s="175">
        <v>0</v>
      </c>
      <c r="L94" s="176" t="s">
        <v>503</v>
      </c>
    </row>
    <row r="95" spans="1:12" ht="19.7" customHeight="1">
      <c r="A95" s="190" t="s">
        <v>638</v>
      </c>
      <c r="B95" s="184" t="s">
        <v>639</v>
      </c>
      <c r="C95" s="191">
        <v>67519.839999999997</v>
      </c>
      <c r="D95" s="192">
        <v>0</v>
      </c>
      <c r="E95" s="193">
        <v>67519.839999999997</v>
      </c>
      <c r="F95" s="209">
        <v>0</v>
      </c>
      <c r="G95" s="172">
        <f t="shared" si="2"/>
        <v>67519.839999999997</v>
      </c>
      <c r="H95" s="172">
        <f t="shared" si="3"/>
        <v>5401.5871999999999</v>
      </c>
      <c r="I95" s="173">
        <v>0.08</v>
      </c>
      <c r="J95" s="178">
        <v>0</v>
      </c>
      <c r="K95" s="175">
        <v>0</v>
      </c>
      <c r="L95" s="204" t="s">
        <v>493</v>
      </c>
    </row>
    <row r="96" spans="1:12" ht="19.7" customHeight="1">
      <c r="A96" s="190" t="s">
        <v>640</v>
      </c>
      <c r="B96" s="184" t="s">
        <v>641</v>
      </c>
      <c r="C96" s="191">
        <v>50498.02</v>
      </c>
      <c r="D96" s="192">
        <v>0</v>
      </c>
      <c r="E96" s="193">
        <v>50498.02</v>
      </c>
      <c r="F96" s="209">
        <v>0</v>
      </c>
      <c r="G96" s="172">
        <f t="shared" si="2"/>
        <v>50498.02</v>
      </c>
      <c r="H96" s="172">
        <f t="shared" si="3"/>
        <v>5049.8019999999997</v>
      </c>
      <c r="I96" s="173">
        <v>0.1</v>
      </c>
      <c r="J96" s="178">
        <v>0</v>
      </c>
      <c r="K96" s="175">
        <v>0</v>
      </c>
      <c r="L96" s="204" t="s">
        <v>606</v>
      </c>
    </row>
    <row r="97" spans="1:277" ht="19.7" customHeight="1">
      <c r="A97" s="190" t="s">
        <v>642</v>
      </c>
      <c r="B97" s="184" t="s">
        <v>643</v>
      </c>
      <c r="C97" s="191">
        <v>84762.16</v>
      </c>
      <c r="D97" s="192">
        <v>0</v>
      </c>
      <c r="E97" s="193">
        <v>84762.16</v>
      </c>
      <c r="F97" s="209">
        <v>0</v>
      </c>
      <c r="G97" s="172">
        <f t="shared" si="2"/>
        <v>84762.16</v>
      </c>
      <c r="H97" s="172">
        <f t="shared" si="3"/>
        <v>8476.2160000000003</v>
      </c>
      <c r="I97" s="173">
        <v>0.1</v>
      </c>
      <c r="J97" s="178">
        <v>0</v>
      </c>
      <c r="K97" s="175">
        <v>0</v>
      </c>
      <c r="L97" s="204" t="s">
        <v>606</v>
      </c>
    </row>
    <row r="98" spans="1:277" ht="19.7" customHeight="1">
      <c r="A98" s="190" t="s">
        <v>644</v>
      </c>
      <c r="B98" s="184" t="s">
        <v>645</v>
      </c>
      <c r="C98" s="191">
        <v>31071</v>
      </c>
      <c r="D98" s="192">
        <v>0</v>
      </c>
      <c r="E98" s="193">
        <v>31071</v>
      </c>
      <c r="F98" s="209">
        <v>0</v>
      </c>
      <c r="G98" s="172">
        <f t="shared" si="2"/>
        <v>31071</v>
      </c>
      <c r="H98" s="172">
        <f t="shared" si="3"/>
        <v>2485.6799999999998</v>
      </c>
      <c r="I98" s="173">
        <v>0.08</v>
      </c>
      <c r="J98" s="178">
        <v>0</v>
      </c>
      <c r="K98" s="175">
        <v>0</v>
      </c>
      <c r="L98" s="176" t="s">
        <v>503</v>
      </c>
    </row>
    <row r="99" spans="1:277" ht="19.7" customHeight="1">
      <c r="A99" s="190" t="s">
        <v>646</v>
      </c>
      <c r="B99" s="184" t="s">
        <v>647</v>
      </c>
      <c r="C99" s="191">
        <v>274802</v>
      </c>
      <c r="D99" s="192">
        <v>0</v>
      </c>
      <c r="E99" s="193">
        <v>274802</v>
      </c>
      <c r="F99" s="209">
        <v>0</v>
      </c>
      <c r="G99" s="172">
        <f t="shared" si="2"/>
        <v>274802</v>
      </c>
      <c r="H99" s="172">
        <f t="shared" si="3"/>
        <v>32976.239999999998</v>
      </c>
      <c r="I99" s="173">
        <v>0.12</v>
      </c>
      <c r="J99" s="178">
        <v>0</v>
      </c>
      <c r="K99" s="175">
        <v>0</v>
      </c>
      <c r="L99" s="204" t="s">
        <v>606</v>
      </c>
    </row>
    <row r="100" spans="1:277" ht="19.7" customHeight="1">
      <c r="A100" s="190" t="s">
        <v>648</v>
      </c>
      <c r="B100" s="184" t="s">
        <v>645</v>
      </c>
      <c r="C100" s="191">
        <v>684199.42</v>
      </c>
      <c r="D100" s="192">
        <v>656293.12</v>
      </c>
      <c r="E100" s="193">
        <v>23406.3</v>
      </c>
      <c r="F100" s="209">
        <v>4500</v>
      </c>
      <c r="G100" s="172">
        <f t="shared" si="2"/>
        <v>27906.3</v>
      </c>
      <c r="H100" s="172">
        <f t="shared" si="3"/>
        <v>1674.3779999999999</v>
      </c>
      <c r="I100" s="173">
        <v>0.06</v>
      </c>
      <c r="J100" s="178">
        <v>0</v>
      </c>
      <c r="K100" s="175">
        <v>0</v>
      </c>
      <c r="L100" s="204" t="s">
        <v>520</v>
      </c>
    </row>
    <row r="101" spans="1:277" ht="19.7" customHeight="1">
      <c r="A101" s="190" t="s">
        <v>649</v>
      </c>
      <c r="B101" s="184" t="s">
        <v>645</v>
      </c>
      <c r="C101" s="191">
        <v>58850</v>
      </c>
      <c r="D101" s="192">
        <v>0</v>
      </c>
      <c r="E101" s="193">
        <v>58850</v>
      </c>
      <c r="F101" s="209">
        <v>0</v>
      </c>
      <c r="G101" s="172">
        <f t="shared" si="2"/>
        <v>58850</v>
      </c>
      <c r="H101" s="172">
        <f t="shared" si="3"/>
        <v>3531</v>
      </c>
      <c r="I101" s="173">
        <v>0.06</v>
      </c>
      <c r="J101" s="178">
        <v>0</v>
      </c>
      <c r="K101" s="175">
        <v>0</v>
      </c>
      <c r="L101" s="204" t="s">
        <v>577</v>
      </c>
    </row>
    <row r="102" spans="1:277" s="203" customFormat="1" ht="19.7" customHeight="1">
      <c r="A102" s="194" t="s">
        <v>650</v>
      </c>
      <c r="B102" s="195" t="s">
        <v>651</v>
      </c>
      <c r="C102" s="825">
        <v>3600000</v>
      </c>
      <c r="D102" s="187">
        <v>0</v>
      </c>
      <c r="E102" s="187">
        <v>3189911.91</v>
      </c>
      <c r="F102" s="209">
        <v>0</v>
      </c>
      <c r="G102" s="172">
        <f t="shared" si="2"/>
        <v>3189911.91</v>
      </c>
      <c r="H102" s="172">
        <f t="shared" si="3"/>
        <v>318991.19100000005</v>
      </c>
      <c r="I102" s="173">
        <v>0.1</v>
      </c>
      <c r="J102" s="178">
        <f>C102-E102</f>
        <v>410088.08999999985</v>
      </c>
      <c r="K102" s="175">
        <v>0</v>
      </c>
      <c r="L102" s="210" t="s">
        <v>471</v>
      </c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  <c r="DI102"/>
      <c r="DJ102"/>
      <c r="DK102"/>
      <c r="DL102"/>
      <c r="DM102"/>
      <c r="DN102"/>
      <c r="DO102"/>
      <c r="DP102"/>
      <c r="DQ102"/>
      <c r="DR102"/>
      <c r="DS102"/>
      <c r="DT102"/>
      <c r="DU102"/>
      <c r="DV102"/>
      <c r="DW102"/>
      <c r="DX102"/>
      <c r="DY102"/>
      <c r="DZ102"/>
      <c r="EA102"/>
      <c r="EB102"/>
      <c r="EC102"/>
      <c r="ED102"/>
      <c r="EE102"/>
      <c r="EF102"/>
      <c r="EG102"/>
      <c r="EH102"/>
      <c r="EI102"/>
      <c r="EJ102"/>
      <c r="EK102"/>
      <c r="EL102"/>
      <c r="EM102"/>
      <c r="EN102"/>
      <c r="EO102"/>
      <c r="EP102"/>
      <c r="EQ102"/>
      <c r="ER102"/>
      <c r="ES102"/>
      <c r="ET102"/>
      <c r="EU102"/>
      <c r="EV102"/>
      <c r="EW102"/>
      <c r="EX102"/>
      <c r="EY102"/>
      <c r="EZ102"/>
      <c r="FA102"/>
      <c r="FB102"/>
      <c r="FC102"/>
      <c r="FD102"/>
      <c r="FE102"/>
      <c r="FF102"/>
      <c r="FG102"/>
      <c r="FH102"/>
      <c r="FI102"/>
      <c r="FJ102"/>
      <c r="FK102"/>
      <c r="FL102"/>
      <c r="FM102"/>
      <c r="FN102"/>
      <c r="FO102"/>
      <c r="FP102"/>
      <c r="FQ102"/>
      <c r="FR102"/>
      <c r="FS102"/>
      <c r="FT102"/>
      <c r="FU102"/>
      <c r="FV102"/>
      <c r="FW102"/>
      <c r="FX102"/>
      <c r="FY102"/>
      <c r="FZ102"/>
      <c r="GA102"/>
      <c r="GB102"/>
      <c r="GC102"/>
      <c r="GD102"/>
      <c r="GE102"/>
      <c r="GF102"/>
      <c r="GG102"/>
      <c r="GH102"/>
      <c r="GI102"/>
      <c r="GJ102"/>
      <c r="GK102"/>
      <c r="GL102"/>
      <c r="GM102"/>
      <c r="GN102"/>
      <c r="GO102"/>
      <c r="GP102"/>
      <c r="GQ102"/>
      <c r="GR102"/>
      <c r="GS102"/>
      <c r="GT102"/>
      <c r="GU102"/>
      <c r="GV102"/>
      <c r="GW102"/>
      <c r="GX102"/>
      <c r="GY102"/>
      <c r="GZ102"/>
      <c r="HA102"/>
      <c r="HB102"/>
      <c r="HC102"/>
      <c r="HD102"/>
      <c r="HE102"/>
      <c r="HF102"/>
      <c r="HG102"/>
      <c r="HH102"/>
      <c r="HI102"/>
      <c r="HJ102"/>
      <c r="HK102"/>
      <c r="HL102"/>
      <c r="HM102"/>
      <c r="HN102"/>
      <c r="HO102"/>
      <c r="HP102"/>
      <c r="HQ102"/>
      <c r="HR102"/>
      <c r="HS102"/>
      <c r="HT102"/>
      <c r="HU102"/>
      <c r="HV102"/>
      <c r="HW102"/>
      <c r="HX102"/>
      <c r="HY102"/>
      <c r="HZ102"/>
      <c r="IA102"/>
      <c r="IB102"/>
      <c r="IC102"/>
      <c r="ID102"/>
      <c r="IE102"/>
      <c r="IF102"/>
      <c r="IG102"/>
      <c r="IH102"/>
      <c r="II102"/>
      <c r="IJ102"/>
      <c r="IK102"/>
      <c r="IL102"/>
      <c r="IM102"/>
      <c r="IN102"/>
      <c r="IO102"/>
      <c r="IP102"/>
      <c r="IQ102"/>
      <c r="IR102"/>
      <c r="IS102"/>
      <c r="IT102"/>
      <c r="IU102"/>
      <c r="IV102"/>
      <c r="IW102"/>
      <c r="IX102"/>
      <c r="IY102"/>
      <c r="IZ102"/>
      <c r="JA102"/>
      <c r="JB102"/>
      <c r="JC102"/>
      <c r="JD102"/>
      <c r="JE102"/>
      <c r="JF102"/>
      <c r="JG102"/>
      <c r="JH102"/>
      <c r="JI102"/>
      <c r="JJ102"/>
      <c r="JK102"/>
      <c r="JL102"/>
      <c r="JM102"/>
      <c r="JN102"/>
      <c r="JO102"/>
      <c r="JP102"/>
      <c r="JQ102"/>
    </row>
    <row r="103" spans="1:277" ht="19.7" customHeight="1">
      <c r="A103" s="190" t="s">
        <v>652</v>
      </c>
      <c r="B103" s="184" t="s">
        <v>653</v>
      </c>
      <c r="C103" s="191">
        <v>169157.58</v>
      </c>
      <c r="D103" s="192">
        <v>0</v>
      </c>
      <c r="E103" s="193">
        <v>169157.58</v>
      </c>
      <c r="F103" s="209">
        <v>0</v>
      </c>
      <c r="G103" s="172">
        <f t="shared" si="2"/>
        <v>169157.58</v>
      </c>
      <c r="H103" s="172">
        <f t="shared" si="3"/>
        <v>8457.878999999999</v>
      </c>
      <c r="I103" s="173">
        <v>0.05</v>
      </c>
      <c r="J103" s="178">
        <v>0</v>
      </c>
      <c r="K103" s="175">
        <v>0</v>
      </c>
      <c r="L103" s="176" t="s">
        <v>506</v>
      </c>
    </row>
    <row r="104" spans="1:277" ht="19.7" customHeight="1">
      <c r="A104" s="190" t="s">
        <v>654</v>
      </c>
      <c r="B104" s="184" t="s">
        <v>655</v>
      </c>
      <c r="C104" s="191">
        <v>177000</v>
      </c>
      <c r="D104" s="192">
        <v>0</v>
      </c>
      <c r="E104" s="193">
        <v>177000</v>
      </c>
      <c r="F104" s="209">
        <v>0</v>
      </c>
      <c r="G104" s="172">
        <f t="shared" si="2"/>
        <v>177000</v>
      </c>
      <c r="H104" s="172">
        <f t="shared" si="3"/>
        <v>12390.000000000002</v>
      </c>
      <c r="I104" s="173">
        <v>7.0000000000000007E-2</v>
      </c>
      <c r="J104" s="178">
        <f>C104-E104</f>
        <v>0</v>
      </c>
      <c r="K104" s="175">
        <v>0</v>
      </c>
      <c r="L104" s="204" t="s">
        <v>493</v>
      </c>
    </row>
    <row r="105" spans="1:277" ht="19.7" customHeight="1">
      <c r="A105" s="190" t="s">
        <v>656</v>
      </c>
      <c r="B105" s="184" t="s">
        <v>657</v>
      </c>
      <c r="C105" s="191">
        <v>265675.2</v>
      </c>
      <c r="D105" s="192">
        <v>0</v>
      </c>
      <c r="E105" s="193">
        <v>265675.2</v>
      </c>
      <c r="F105" s="209">
        <v>0</v>
      </c>
      <c r="G105" s="172">
        <f t="shared" si="2"/>
        <v>265675.2</v>
      </c>
      <c r="H105" s="172">
        <f t="shared" si="3"/>
        <v>15940.512000000001</v>
      </c>
      <c r="I105" s="173">
        <v>0.06</v>
      </c>
      <c r="J105" s="178">
        <f>C105-E105</f>
        <v>0</v>
      </c>
      <c r="K105" s="175">
        <v>0</v>
      </c>
      <c r="L105" s="176" t="s">
        <v>523</v>
      </c>
    </row>
    <row r="106" spans="1:277" ht="19.7" customHeight="1">
      <c r="A106" s="190" t="s">
        <v>658</v>
      </c>
      <c r="B106" s="184" t="s">
        <v>659</v>
      </c>
      <c r="C106" s="191">
        <v>134688.82999999999</v>
      </c>
      <c r="D106" s="192">
        <v>24475.13</v>
      </c>
      <c r="E106" s="193">
        <v>110213.7</v>
      </c>
      <c r="F106" s="209">
        <v>0</v>
      </c>
      <c r="G106" s="172">
        <f t="shared" si="2"/>
        <v>110213.7</v>
      </c>
      <c r="H106" s="172">
        <f t="shared" si="3"/>
        <v>11021.37</v>
      </c>
      <c r="I106" s="173">
        <v>0.1</v>
      </c>
      <c r="J106" s="178">
        <v>0</v>
      </c>
      <c r="K106" s="175">
        <v>0</v>
      </c>
      <c r="L106" s="202" t="s">
        <v>563</v>
      </c>
    </row>
    <row r="107" spans="1:277" ht="19.7" customHeight="1">
      <c r="A107" s="190" t="s">
        <v>660</v>
      </c>
      <c r="B107" s="184" t="s">
        <v>661</v>
      </c>
      <c r="C107" s="191">
        <v>368332.24</v>
      </c>
      <c r="D107" s="192">
        <v>0</v>
      </c>
      <c r="E107" s="193">
        <v>368332.24</v>
      </c>
      <c r="F107" s="209">
        <v>0</v>
      </c>
      <c r="G107" s="172">
        <f t="shared" si="2"/>
        <v>368332.24</v>
      </c>
      <c r="H107" s="172">
        <f t="shared" si="3"/>
        <v>33149.901599999997</v>
      </c>
      <c r="I107" s="173">
        <v>0.09</v>
      </c>
      <c r="J107" s="211">
        <v>0</v>
      </c>
      <c r="K107" s="175">
        <v>0</v>
      </c>
      <c r="L107" s="202" t="s">
        <v>509</v>
      </c>
    </row>
    <row r="108" spans="1:277" ht="19.7" customHeight="1">
      <c r="A108" s="212" t="s">
        <v>662</v>
      </c>
      <c r="B108" s="213" t="s">
        <v>663</v>
      </c>
      <c r="C108" s="197">
        <v>119264.37</v>
      </c>
      <c r="D108" s="187">
        <v>0</v>
      </c>
      <c r="E108" s="187">
        <v>119264.37</v>
      </c>
      <c r="F108" s="209">
        <v>0</v>
      </c>
      <c r="G108" s="171">
        <f t="shared" si="2"/>
        <v>119264.37</v>
      </c>
      <c r="H108" s="172">
        <f t="shared" si="3"/>
        <v>10733.793299999999</v>
      </c>
      <c r="I108" s="173">
        <v>0.09</v>
      </c>
      <c r="J108" s="211">
        <v>0</v>
      </c>
      <c r="K108" s="175">
        <v>0</v>
      </c>
      <c r="L108" s="210" t="s">
        <v>523</v>
      </c>
    </row>
    <row r="109" spans="1:277" ht="19.7" customHeight="1">
      <c r="A109" s="214" t="s">
        <v>664</v>
      </c>
      <c r="B109" s="215" t="s">
        <v>665</v>
      </c>
      <c r="C109" s="216">
        <v>308452.28000000003</v>
      </c>
      <c r="D109" s="217">
        <v>0</v>
      </c>
      <c r="E109" s="171">
        <v>308452.27999999997</v>
      </c>
      <c r="F109" s="209">
        <v>0</v>
      </c>
      <c r="G109" s="218">
        <f t="shared" si="2"/>
        <v>308452.27999999997</v>
      </c>
      <c r="H109" s="172">
        <f t="shared" si="3"/>
        <v>30845.227999999999</v>
      </c>
      <c r="I109" s="173">
        <v>0.1</v>
      </c>
      <c r="J109" s="211">
        <v>0</v>
      </c>
      <c r="K109" s="175">
        <v>0</v>
      </c>
      <c r="L109" s="204" t="s">
        <v>666</v>
      </c>
    </row>
    <row r="110" spans="1:277" ht="19.7" customHeight="1">
      <c r="A110" s="214" t="s">
        <v>667</v>
      </c>
      <c r="B110" s="215" t="s">
        <v>668</v>
      </c>
      <c r="C110" s="216">
        <v>106623.86</v>
      </c>
      <c r="D110" s="217">
        <v>0</v>
      </c>
      <c r="E110" s="217">
        <v>85623.86</v>
      </c>
      <c r="F110" s="187">
        <v>0</v>
      </c>
      <c r="G110" s="218">
        <f t="shared" si="2"/>
        <v>85623.86</v>
      </c>
      <c r="H110" s="172">
        <f t="shared" si="3"/>
        <v>6849.9088000000002</v>
      </c>
      <c r="I110" s="173">
        <v>0.08</v>
      </c>
      <c r="J110" s="175">
        <v>21000</v>
      </c>
      <c r="K110" s="175">
        <v>0</v>
      </c>
      <c r="L110" s="210" t="s">
        <v>503</v>
      </c>
    </row>
    <row r="111" spans="1:277" ht="19.7" customHeight="1">
      <c r="A111" s="212" t="s">
        <v>613</v>
      </c>
      <c r="B111" s="213" t="s">
        <v>669</v>
      </c>
      <c r="C111" s="197">
        <v>645688.05000000005</v>
      </c>
      <c r="D111" s="187">
        <v>0</v>
      </c>
      <c r="E111" s="217">
        <v>214318</v>
      </c>
      <c r="F111" s="187">
        <v>0</v>
      </c>
      <c r="G111" s="218">
        <f t="shared" si="2"/>
        <v>214318</v>
      </c>
      <c r="H111" s="172">
        <f t="shared" si="3"/>
        <v>12859.08</v>
      </c>
      <c r="I111" s="173">
        <v>0.06</v>
      </c>
      <c r="J111" s="178">
        <f>C111-E111</f>
        <v>431370.05000000005</v>
      </c>
      <c r="K111" s="175">
        <v>0</v>
      </c>
      <c r="L111" s="210" t="s">
        <v>471</v>
      </c>
    </row>
    <row r="112" spans="1:277" s="203" customFormat="1" ht="19.7" customHeight="1">
      <c r="A112" s="212" t="s">
        <v>670</v>
      </c>
      <c r="B112" s="213" t="s">
        <v>671</v>
      </c>
      <c r="C112" s="197">
        <v>56094.02</v>
      </c>
      <c r="D112" s="187">
        <v>0</v>
      </c>
      <c r="E112" s="217">
        <v>56094.02</v>
      </c>
      <c r="F112" s="219">
        <v>0</v>
      </c>
      <c r="G112" s="218">
        <f t="shared" si="2"/>
        <v>56094.02</v>
      </c>
      <c r="H112" s="172">
        <f t="shared" si="3"/>
        <v>1682.8205999999998</v>
      </c>
      <c r="I112" s="173">
        <v>0.03</v>
      </c>
      <c r="J112" s="175">
        <v>0</v>
      </c>
      <c r="K112" s="175">
        <v>0</v>
      </c>
      <c r="L112" s="210" t="s">
        <v>506</v>
      </c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</row>
    <row r="113" spans="1:12" ht="19.7" customHeight="1">
      <c r="A113" s="212" t="s">
        <v>670</v>
      </c>
      <c r="B113" s="213" t="s">
        <v>672</v>
      </c>
      <c r="C113" s="197">
        <v>90000</v>
      </c>
      <c r="D113" s="187">
        <v>0</v>
      </c>
      <c r="E113" s="217">
        <v>79871.399999999994</v>
      </c>
      <c r="F113" s="219">
        <v>0</v>
      </c>
      <c r="G113" s="218">
        <f t="shared" si="2"/>
        <v>79871.399999999994</v>
      </c>
      <c r="H113" s="172">
        <f t="shared" si="3"/>
        <v>2396.1419999999998</v>
      </c>
      <c r="I113" s="173">
        <v>0.03</v>
      </c>
      <c r="J113" s="178">
        <f>C113-E113</f>
        <v>10128.600000000006</v>
      </c>
      <c r="K113" s="175">
        <v>0</v>
      </c>
      <c r="L113" s="210" t="s">
        <v>523</v>
      </c>
    </row>
    <row r="114" spans="1:12" ht="19.7" customHeight="1">
      <c r="A114" s="212" t="s">
        <v>673</v>
      </c>
      <c r="B114" s="213" t="s">
        <v>674</v>
      </c>
      <c r="C114" s="197">
        <v>194734.44</v>
      </c>
      <c r="D114" s="187">
        <v>0</v>
      </c>
      <c r="E114" s="217">
        <v>194734.44</v>
      </c>
      <c r="F114" s="219">
        <v>0</v>
      </c>
      <c r="G114" s="218">
        <f t="shared" si="2"/>
        <v>194734.44</v>
      </c>
      <c r="H114" s="172">
        <f t="shared" si="3"/>
        <v>13631.410800000001</v>
      </c>
      <c r="I114" s="173">
        <v>7.0000000000000007E-2</v>
      </c>
      <c r="J114" s="175">
        <v>0</v>
      </c>
      <c r="K114" s="175">
        <v>0</v>
      </c>
      <c r="L114" s="210" t="s">
        <v>675</v>
      </c>
    </row>
    <row r="115" spans="1:12" ht="19.7" customHeight="1">
      <c r="A115" s="212" t="s">
        <v>676</v>
      </c>
      <c r="B115" s="213" t="s">
        <v>677</v>
      </c>
      <c r="C115" s="197">
        <v>80000</v>
      </c>
      <c r="D115" s="187">
        <v>0</v>
      </c>
      <c r="E115" s="217">
        <v>80000</v>
      </c>
      <c r="F115" s="219">
        <v>0</v>
      </c>
      <c r="G115" s="218">
        <f t="shared" si="2"/>
        <v>80000</v>
      </c>
      <c r="H115" s="172">
        <f t="shared" si="3"/>
        <v>6400</v>
      </c>
      <c r="I115" s="173">
        <v>0.08</v>
      </c>
      <c r="J115" s="175">
        <v>0</v>
      </c>
      <c r="K115" s="175">
        <v>0</v>
      </c>
      <c r="L115" s="210" t="s">
        <v>523</v>
      </c>
    </row>
    <row r="116" spans="1:12" ht="19.7" customHeight="1">
      <c r="A116" s="212" t="s">
        <v>678</v>
      </c>
      <c r="B116" s="213" t="s">
        <v>679</v>
      </c>
      <c r="C116" s="197">
        <v>646554.11</v>
      </c>
      <c r="D116" s="187">
        <v>0</v>
      </c>
      <c r="E116" s="217">
        <v>508923.3</v>
      </c>
      <c r="F116" s="219">
        <v>0</v>
      </c>
      <c r="G116" s="218">
        <f t="shared" si="2"/>
        <v>508923.3</v>
      </c>
      <c r="H116" s="172">
        <f t="shared" si="3"/>
        <v>10178.466</v>
      </c>
      <c r="I116" s="173">
        <v>0.02</v>
      </c>
      <c r="J116" s="178">
        <f>C116-E116</f>
        <v>137630.81</v>
      </c>
      <c r="K116" s="175">
        <v>0</v>
      </c>
      <c r="L116" s="210" t="s">
        <v>680</v>
      </c>
    </row>
    <row r="117" spans="1:12" ht="19.7" customHeight="1">
      <c r="A117" s="212" t="s">
        <v>681</v>
      </c>
      <c r="B117" s="213" t="s">
        <v>682</v>
      </c>
      <c r="C117" s="197">
        <v>2593961.4700000002</v>
      </c>
      <c r="D117" s="187">
        <v>0</v>
      </c>
      <c r="E117" s="217">
        <v>680546.02</v>
      </c>
      <c r="F117" s="219">
        <v>0</v>
      </c>
      <c r="G117" s="218">
        <f t="shared" si="2"/>
        <v>680546.02</v>
      </c>
      <c r="H117" s="172">
        <f t="shared" si="3"/>
        <v>81665.522400000002</v>
      </c>
      <c r="I117" s="173">
        <v>0.12</v>
      </c>
      <c r="J117" s="178">
        <f>C117-E117</f>
        <v>1913415.4500000002</v>
      </c>
      <c r="K117" s="175">
        <v>0</v>
      </c>
      <c r="L117" s="210" t="s">
        <v>560</v>
      </c>
    </row>
    <row r="118" spans="1:12" ht="19.7" customHeight="1">
      <c r="A118" s="212" t="s">
        <v>683</v>
      </c>
      <c r="B118" s="213" t="s">
        <v>684</v>
      </c>
      <c r="C118" s="197">
        <v>3000000</v>
      </c>
      <c r="D118" s="187">
        <v>0</v>
      </c>
      <c r="E118" s="217">
        <v>239997.79</v>
      </c>
      <c r="F118" s="219">
        <v>0</v>
      </c>
      <c r="G118" s="218">
        <f t="shared" si="2"/>
        <v>239997.79</v>
      </c>
      <c r="H118" s="172">
        <f t="shared" si="3"/>
        <v>19199.823200000003</v>
      </c>
      <c r="I118" s="173">
        <v>0.08</v>
      </c>
      <c r="J118" s="175">
        <v>2000000</v>
      </c>
      <c r="K118" s="175">
        <f>C118-D118-E118-J118</f>
        <v>760002.21</v>
      </c>
      <c r="L118" s="210" t="s">
        <v>685</v>
      </c>
    </row>
    <row r="119" spans="1:12" ht="19.7" customHeight="1">
      <c r="A119" s="212" t="s">
        <v>686</v>
      </c>
      <c r="B119" s="213" t="s">
        <v>687</v>
      </c>
      <c r="C119" s="197">
        <v>399000</v>
      </c>
      <c r="D119" s="187">
        <v>0</v>
      </c>
      <c r="E119" s="217">
        <v>399000</v>
      </c>
      <c r="F119" s="219">
        <v>0</v>
      </c>
      <c r="G119" s="218">
        <f t="shared" si="2"/>
        <v>399000</v>
      </c>
      <c r="H119" s="172">
        <f t="shared" si="3"/>
        <v>39900</v>
      </c>
      <c r="I119" s="173">
        <v>0.1</v>
      </c>
      <c r="J119" s="175">
        <v>0</v>
      </c>
      <c r="K119" s="175">
        <v>0</v>
      </c>
      <c r="L119" s="210" t="s">
        <v>523</v>
      </c>
    </row>
    <row r="120" spans="1:12" ht="19.7" customHeight="1">
      <c r="A120" s="212" t="s">
        <v>688</v>
      </c>
      <c r="B120" s="213" t="s">
        <v>689</v>
      </c>
      <c r="C120" s="197">
        <v>107334.88</v>
      </c>
      <c r="D120" s="187">
        <v>0</v>
      </c>
      <c r="E120" s="217">
        <v>107334.88</v>
      </c>
      <c r="F120" s="219">
        <v>0</v>
      </c>
      <c r="G120" s="218">
        <f t="shared" si="2"/>
        <v>107334.88</v>
      </c>
      <c r="H120" s="172">
        <f t="shared" si="3"/>
        <v>8586.7903999999999</v>
      </c>
      <c r="I120" s="173">
        <v>0.08</v>
      </c>
      <c r="J120" s="175">
        <v>0</v>
      </c>
      <c r="K120" s="175">
        <v>0</v>
      </c>
      <c r="L120" s="210" t="s">
        <v>523</v>
      </c>
    </row>
    <row r="121" spans="1:12" ht="19.7" customHeight="1">
      <c r="A121" s="220" t="s">
        <v>690</v>
      </c>
      <c r="B121" s="221" t="s">
        <v>691</v>
      </c>
      <c r="C121" s="826">
        <v>10447702.029999999</v>
      </c>
      <c r="D121" s="193">
        <v>0</v>
      </c>
      <c r="E121" s="187">
        <v>657131.69999999995</v>
      </c>
      <c r="F121" s="187">
        <v>0</v>
      </c>
      <c r="G121" s="218">
        <f t="shared" si="2"/>
        <v>657131.69999999995</v>
      </c>
      <c r="H121" s="172">
        <f t="shared" si="3"/>
        <v>59141.852999999996</v>
      </c>
      <c r="I121" s="173">
        <v>0.09</v>
      </c>
      <c r="J121" s="222">
        <v>6000000</v>
      </c>
      <c r="K121" s="175">
        <f>C121-D121-E121-J121</f>
        <v>3790570.33</v>
      </c>
      <c r="L121" s="223" t="s">
        <v>692</v>
      </c>
    </row>
    <row r="122" spans="1:12" ht="19.7" customHeight="1">
      <c r="A122" s="220" t="s">
        <v>693</v>
      </c>
      <c r="B122" s="221" t="s">
        <v>694</v>
      </c>
      <c r="C122" s="192">
        <v>66614</v>
      </c>
      <c r="D122" s="193">
        <v>0</v>
      </c>
      <c r="E122" s="224">
        <v>66614</v>
      </c>
      <c r="F122" s="224">
        <v>0</v>
      </c>
      <c r="G122" s="218">
        <f t="shared" si="2"/>
        <v>66614</v>
      </c>
      <c r="H122" s="172">
        <f t="shared" si="3"/>
        <v>3330.7000000000003</v>
      </c>
      <c r="I122" s="173">
        <v>0.05</v>
      </c>
      <c r="J122" s="171">
        <v>0</v>
      </c>
      <c r="K122" s="175">
        <v>0</v>
      </c>
      <c r="L122" s="210" t="s">
        <v>506</v>
      </c>
    </row>
    <row r="123" spans="1:12" ht="19.7" customHeight="1">
      <c r="A123" s="195" t="s">
        <v>688</v>
      </c>
      <c r="B123" s="213" t="s">
        <v>695</v>
      </c>
      <c r="C123" s="197">
        <v>31000</v>
      </c>
      <c r="D123" s="187">
        <v>0</v>
      </c>
      <c r="E123" s="187">
        <v>31000</v>
      </c>
      <c r="F123" s="187">
        <v>0</v>
      </c>
      <c r="G123" s="218">
        <f t="shared" si="2"/>
        <v>31000</v>
      </c>
      <c r="H123" s="172">
        <f t="shared" si="3"/>
        <v>3100</v>
      </c>
      <c r="I123" s="173">
        <v>0.1</v>
      </c>
      <c r="J123" s="171">
        <v>0</v>
      </c>
      <c r="K123" s="175">
        <v>0</v>
      </c>
      <c r="L123" s="210" t="s">
        <v>506</v>
      </c>
    </row>
    <row r="124" spans="1:12" ht="19.7" customHeight="1">
      <c r="A124" s="212" t="s">
        <v>696</v>
      </c>
      <c r="B124" s="213" t="s">
        <v>697</v>
      </c>
      <c r="C124" s="197">
        <v>53501</v>
      </c>
      <c r="D124" s="187">
        <v>0</v>
      </c>
      <c r="E124" s="187">
        <v>53501</v>
      </c>
      <c r="F124" s="187">
        <v>0</v>
      </c>
      <c r="G124" s="218">
        <f t="shared" si="2"/>
        <v>53501</v>
      </c>
      <c r="H124" s="172">
        <f t="shared" si="3"/>
        <v>4280.08</v>
      </c>
      <c r="I124" s="173">
        <v>0.08</v>
      </c>
      <c r="J124" s="171">
        <v>0</v>
      </c>
      <c r="K124" s="175">
        <v>0</v>
      </c>
      <c r="L124" s="210" t="s">
        <v>506</v>
      </c>
    </row>
    <row r="125" spans="1:12" ht="19.7" customHeight="1">
      <c r="A125" s="212" t="s">
        <v>698</v>
      </c>
      <c r="B125" s="213" t="s">
        <v>699</v>
      </c>
      <c r="C125" s="197">
        <v>800000</v>
      </c>
      <c r="D125" s="187">
        <v>0</v>
      </c>
      <c r="E125" s="187">
        <v>472748.92</v>
      </c>
      <c r="F125" s="187">
        <v>0</v>
      </c>
      <c r="G125" s="218">
        <f t="shared" si="2"/>
        <v>472748.92</v>
      </c>
      <c r="H125" s="172">
        <f t="shared" si="3"/>
        <v>28364.935199999996</v>
      </c>
      <c r="I125" s="173">
        <v>0.06</v>
      </c>
      <c r="J125" s="178">
        <f t="shared" ref="J125:J141" si="4">C125-E125</f>
        <v>327251.08</v>
      </c>
      <c r="K125" s="175">
        <v>0</v>
      </c>
      <c r="L125" s="210" t="s">
        <v>471</v>
      </c>
    </row>
    <row r="126" spans="1:12" ht="19.7" customHeight="1">
      <c r="A126" s="212" t="s">
        <v>700</v>
      </c>
      <c r="B126" s="213" t="s">
        <v>701</v>
      </c>
      <c r="C126" s="197">
        <v>160000</v>
      </c>
      <c r="D126" s="187">
        <v>0</v>
      </c>
      <c r="E126" s="187">
        <v>169460.28</v>
      </c>
      <c r="F126" s="188">
        <v>0</v>
      </c>
      <c r="G126" s="218">
        <f t="shared" si="2"/>
        <v>169460.28</v>
      </c>
      <c r="H126" s="172">
        <f t="shared" si="3"/>
        <v>10167.6168</v>
      </c>
      <c r="I126" s="173">
        <v>0.06</v>
      </c>
      <c r="J126" s="178">
        <f t="shared" si="4"/>
        <v>-9460.2799999999988</v>
      </c>
      <c r="K126" s="175">
        <v>0</v>
      </c>
      <c r="L126" s="210" t="s">
        <v>702</v>
      </c>
    </row>
    <row r="127" spans="1:12" ht="19.7" customHeight="1">
      <c r="A127" s="177" t="s">
        <v>472</v>
      </c>
      <c r="B127" s="168" t="s">
        <v>703</v>
      </c>
      <c r="C127" s="196">
        <v>413083.88</v>
      </c>
      <c r="D127" s="187">
        <v>0</v>
      </c>
      <c r="E127" s="187">
        <v>239334.79</v>
      </c>
      <c r="F127" s="187">
        <v>0</v>
      </c>
      <c r="G127" s="218">
        <f t="shared" si="2"/>
        <v>239334.79</v>
      </c>
      <c r="H127" s="172">
        <f t="shared" si="3"/>
        <v>11966.739500000001</v>
      </c>
      <c r="I127" s="173">
        <v>0.05</v>
      </c>
      <c r="J127" s="178">
        <f t="shared" si="4"/>
        <v>173749.09</v>
      </c>
      <c r="K127" s="175">
        <v>0</v>
      </c>
      <c r="L127" s="210" t="s">
        <v>471</v>
      </c>
    </row>
    <row r="128" spans="1:12" ht="19.7" customHeight="1">
      <c r="A128" s="177" t="s">
        <v>472</v>
      </c>
      <c r="B128" s="168" t="s">
        <v>704</v>
      </c>
      <c r="C128" s="196">
        <v>649617.55000000005</v>
      </c>
      <c r="D128" s="187">
        <v>0</v>
      </c>
      <c r="E128" s="188">
        <v>270635.2</v>
      </c>
      <c r="F128" s="188">
        <v>0</v>
      </c>
      <c r="G128" s="218">
        <f>E128+F128</f>
        <v>270635.2</v>
      </c>
      <c r="H128" s="172">
        <f t="shared" si="3"/>
        <v>29769.872000000003</v>
      </c>
      <c r="I128" s="173">
        <v>0.11</v>
      </c>
      <c r="J128" s="178">
        <f>C128-E128-F128</f>
        <v>378982.35000000003</v>
      </c>
      <c r="K128" s="175">
        <v>0</v>
      </c>
      <c r="L128" s="210" t="s">
        <v>471</v>
      </c>
    </row>
    <row r="129" spans="1:12" ht="19.7" customHeight="1">
      <c r="A129" s="220" t="s">
        <v>705</v>
      </c>
      <c r="B129" s="221" t="s">
        <v>706</v>
      </c>
      <c r="C129" s="192">
        <v>390000</v>
      </c>
      <c r="D129" s="193">
        <v>320233.09999999998</v>
      </c>
      <c r="E129" s="187">
        <v>44710.15</v>
      </c>
      <c r="F129" s="188">
        <v>0</v>
      </c>
      <c r="G129" s="218">
        <f t="shared" si="2"/>
        <v>44710.15</v>
      </c>
      <c r="H129" s="172">
        <f t="shared" si="3"/>
        <v>3576.8120000000004</v>
      </c>
      <c r="I129" s="173">
        <v>0.08</v>
      </c>
      <c r="J129" s="178">
        <f t="shared" si="4"/>
        <v>345289.85</v>
      </c>
      <c r="K129" s="222">
        <v>0</v>
      </c>
      <c r="L129" s="210" t="s">
        <v>471</v>
      </c>
    </row>
    <row r="130" spans="1:12" ht="19.7" customHeight="1">
      <c r="A130" s="200" t="s">
        <v>707</v>
      </c>
      <c r="B130" s="221" t="s">
        <v>708</v>
      </c>
      <c r="C130" s="197">
        <v>500000</v>
      </c>
      <c r="D130" s="187">
        <v>0</v>
      </c>
      <c r="E130" s="217">
        <v>211152.52</v>
      </c>
      <c r="F130" s="219">
        <v>0</v>
      </c>
      <c r="G130" s="218">
        <f t="shared" si="2"/>
        <v>211152.52</v>
      </c>
      <c r="H130" s="172">
        <f t="shared" si="3"/>
        <v>14780.6764</v>
      </c>
      <c r="I130" s="173">
        <v>7.0000000000000007E-2</v>
      </c>
      <c r="J130" s="175">
        <f t="shared" si="4"/>
        <v>288847.48</v>
      </c>
      <c r="K130" s="175">
        <v>0</v>
      </c>
      <c r="L130" s="210" t="s">
        <v>709</v>
      </c>
    </row>
    <row r="131" spans="1:12" ht="19.7" customHeight="1">
      <c r="A131" s="225" t="s">
        <v>547</v>
      </c>
      <c r="B131" s="226" t="s">
        <v>710</v>
      </c>
      <c r="C131" s="196">
        <v>135000</v>
      </c>
      <c r="D131" s="187">
        <v>0</v>
      </c>
      <c r="E131" s="217">
        <v>81903.19</v>
      </c>
      <c r="F131" s="219">
        <v>0</v>
      </c>
      <c r="G131" s="218">
        <f t="shared" si="2"/>
        <v>81903.19</v>
      </c>
      <c r="H131" s="172">
        <f t="shared" si="3"/>
        <v>6552.2552000000005</v>
      </c>
      <c r="I131" s="173">
        <v>0.08</v>
      </c>
      <c r="J131" s="175">
        <f t="shared" si="4"/>
        <v>53096.81</v>
      </c>
      <c r="K131" s="222">
        <v>0</v>
      </c>
      <c r="L131" s="210" t="s">
        <v>680</v>
      </c>
    </row>
    <row r="132" spans="1:12" ht="19.7" customHeight="1">
      <c r="A132" s="212" t="s">
        <v>534</v>
      </c>
      <c r="B132" s="221" t="s">
        <v>711</v>
      </c>
      <c r="C132" s="197">
        <v>308890.63</v>
      </c>
      <c r="D132" s="187">
        <v>0</v>
      </c>
      <c r="E132" s="217">
        <v>65904.08</v>
      </c>
      <c r="F132" s="219">
        <v>0</v>
      </c>
      <c r="G132" s="218">
        <f t="shared" si="2"/>
        <v>65904.08</v>
      </c>
      <c r="H132" s="172">
        <f t="shared" si="3"/>
        <v>3954.2447999999999</v>
      </c>
      <c r="I132" s="173">
        <v>0.06</v>
      </c>
      <c r="J132" s="175">
        <f t="shared" si="4"/>
        <v>242986.55</v>
      </c>
      <c r="K132" s="222">
        <v>0</v>
      </c>
      <c r="L132" s="210" t="s">
        <v>471</v>
      </c>
    </row>
    <row r="133" spans="1:12" ht="19.7" customHeight="1">
      <c r="A133" s="212" t="s">
        <v>712</v>
      </c>
      <c r="B133" s="221" t="s">
        <v>713</v>
      </c>
      <c r="C133" s="197">
        <v>280000</v>
      </c>
      <c r="D133" s="187">
        <v>0</v>
      </c>
      <c r="E133" s="217">
        <v>14365.84</v>
      </c>
      <c r="F133" s="219">
        <v>0</v>
      </c>
      <c r="G133" s="218">
        <f t="shared" si="2"/>
        <v>14365.84</v>
      </c>
      <c r="H133" s="172">
        <f t="shared" si="3"/>
        <v>718.29200000000003</v>
      </c>
      <c r="I133" s="173">
        <v>0.05</v>
      </c>
      <c r="J133" s="175">
        <f t="shared" si="4"/>
        <v>265634.15999999997</v>
      </c>
      <c r="K133" s="175">
        <v>0</v>
      </c>
      <c r="L133" s="210" t="s">
        <v>702</v>
      </c>
    </row>
    <row r="134" spans="1:12" ht="19.7" customHeight="1">
      <c r="A134" s="220" t="s">
        <v>714</v>
      </c>
      <c r="B134" s="221" t="s">
        <v>699</v>
      </c>
      <c r="C134" s="192">
        <v>107122.62</v>
      </c>
      <c r="D134" s="187">
        <v>0</v>
      </c>
      <c r="E134" s="217">
        <v>67594.740000000005</v>
      </c>
      <c r="F134" s="219">
        <v>0</v>
      </c>
      <c r="G134" s="218">
        <f t="shared" si="2"/>
        <v>67594.740000000005</v>
      </c>
      <c r="H134" s="172">
        <f t="shared" si="3"/>
        <v>6759.4740000000011</v>
      </c>
      <c r="I134" s="173">
        <v>0.1</v>
      </c>
      <c r="J134" s="175">
        <f t="shared" si="4"/>
        <v>39527.87999999999</v>
      </c>
      <c r="K134" s="175">
        <v>0</v>
      </c>
      <c r="L134" s="210" t="s">
        <v>715</v>
      </c>
    </row>
    <row r="135" spans="1:12" ht="19.7" customHeight="1">
      <c r="A135" s="220" t="s">
        <v>716</v>
      </c>
      <c r="B135" s="221" t="s">
        <v>717</v>
      </c>
      <c r="C135" s="192">
        <v>648093</v>
      </c>
      <c r="D135" s="187">
        <v>644093</v>
      </c>
      <c r="E135" s="217">
        <v>0</v>
      </c>
      <c r="F135" s="219">
        <v>4000</v>
      </c>
      <c r="G135" s="218">
        <f t="shared" si="2"/>
        <v>4000</v>
      </c>
      <c r="H135" s="172">
        <f t="shared" si="3"/>
        <v>240</v>
      </c>
      <c r="I135" s="173">
        <v>0.06</v>
      </c>
      <c r="J135" s="175">
        <v>0</v>
      </c>
      <c r="K135" s="175">
        <v>0</v>
      </c>
      <c r="L135" s="210" t="s">
        <v>603</v>
      </c>
    </row>
    <row r="136" spans="1:12" ht="19.7" customHeight="1">
      <c r="A136" s="220" t="s">
        <v>486</v>
      </c>
      <c r="B136" s="221" t="s">
        <v>718</v>
      </c>
      <c r="C136" s="192">
        <v>90000</v>
      </c>
      <c r="D136" s="187">
        <v>0</v>
      </c>
      <c r="E136" s="217">
        <v>49223</v>
      </c>
      <c r="F136" s="219">
        <v>0</v>
      </c>
      <c r="G136" s="218">
        <f t="shared" si="2"/>
        <v>49223</v>
      </c>
      <c r="H136" s="172">
        <f t="shared" si="3"/>
        <v>4922.3</v>
      </c>
      <c r="I136" s="173">
        <v>0.1</v>
      </c>
      <c r="J136" s="175">
        <f t="shared" si="4"/>
        <v>40777</v>
      </c>
      <c r="K136" s="175">
        <v>0</v>
      </c>
      <c r="L136" s="210" t="s">
        <v>709</v>
      </c>
    </row>
    <row r="137" spans="1:12" ht="19.7" customHeight="1">
      <c r="A137" s="220" t="s">
        <v>719</v>
      </c>
      <c r="B137" s="221" t="s">
        <v>720</v>
      </c>
      <c r="C137" s="192">
        <v>377827.93</v>
      </c>
      <c r="D137" s="187">
        <v>0</v>
      </c>
      <c r="E137" s="217">
        <v>0</v>
      </c>
      <c r="F137" s="219">
        <v>0</v>
      </c>
      <c r="G137" s="218">
        <f t="shared" ref="G137:G143" si="5">E137+F137</f>
        <v>0</v>
      </c>
      <c r="H137" s="172">
        <f t="shared" ref="H137:H143" si="6">G137*I137</f>
        <v>0</v>
      </c>
      <c r="I137" s="173"/>
      <c r="J137" s="175">
        <f t="shared" si="4"/>
        <v>377827.93</v>
      </c>
      <c r="K137" s="175">
        <v>0</v>
      </c>
      <c r="L137" s="210" t="s">
        <v>680</v>
      </c>
    </row>
    <row r="138" spans="1:12" ht="19.7" customHeight="1">
      <c r="A138" s="220" t="s">
        <v>535</v>
      </c>
      <c r="B138" s="221" t="s">
        <v>721</v>
      </c>
      <c r="C138" s="192">
        <v>825000</v>
      </c>
      <c r="D138" s="187">
        <v>0</v>
      </c>
      <c r="E138" s="217">
        <v>0</v>
      </c>
      <c r="F138" s="219">
        <v>0</v>
      </c>
      <c r="G138" s="218">
        <f t="shared" si="5"/>
        <v>0</v>
      </c>
      <c r="H138" s="172">
        <f t="shared" si="6"/>
        <v>0</v>
      </c>
      <c r="I138" s="173"/>
      <c r="J138" s="175">
        <f t="shared" si="4"/>
        <v>825000</v>
      </c>
      <c r="K138" s="175"/>
      <c r="L138" s="210" t="s">
        <v>560</v>
      </c>
    </row>
    <row r="139" spans="1:12" ht="19.7" customHeight="1">
      <c r="A139" s="220" t="s">
        <v>722</v>
      </c>
      <c r="B139" s="221" t="s">
        <v>723</v>
      </c>
      <c r="C139" s="192">
        <v>99040</v>
      </c>
      <c r="D139" s="187">
        <v>0</v>
      </c>
      <c r="E139" s="217">
        <v>0</v>
      </c>
      <c r="F139" s="219">
        <v>0</v>
      </c>
      <c r="G139" s="218">
        <f t="shared" si="5"/>
        <v>0</v>
      </c>
      <c r="H139" s="172">
        <f t="shared" si="6"/>
        <v>0</v>
      </c>
      <c r="I139" s="173"/>
      <c r="J139" s="175">
        <f t="shared" si="4"/>
        <v>99040</v>
      </c>
      <c r="K139" s="175">
        <v>0</v>
      </c>
      <c r="L139" s="210" t="s">
        <v>702</v>
      </c>
    </row>
    <row r="140" spans="1:12" ht="19.7" customHeight="1">
      <c r="A140" s="212" t="s">
        <v>724</v>
      </c>
      <c r="B140" s="221" t="s">
        <v>725</v>
      </c>
      <c r="C140" s="197">
        <v>136995.79</v>
      </c>
      <c r="D140" s="187">
        <v>0</v>
      </c>
      <c r="E140" s="217">
        <v>0</v>
      </c>
      <c r="F140" s="219">
        <v>0</v>
      </c>
      <c r="G140" s="218">
        <f t="shared" si="5"/>
        <v>0</v>
      </c>
      <c r="H140" s="172">
        <f t="shared" si="6"/>
        <v>0</v>
      </c>
      <c r="I140" s="173"/>
      <c r="J140" s="175">
        <f t="shared" si="4"/>
        <v>136995.79</v>
      </c>
      <c r="K140" s="175">
        <v>0</v>
      </c>
      <c r="L140" s="210" t="s">
        <v>471</v>
      </c>
    </row>
    <row r="141" spans="1:12" ht="19.7" customHeight="1">
      <c r="A141" s="212" t="s">
        <v>726</v>
      </c>
      <c r="B141" s="221" t="s">
        <v>727</v>
      </c>
      <c r="C141" s="197">
        <v>118597.34</v>
      </c>
      <c r="D141" s="187">
        <v>0</v>
      </c>
      <c r="E141" s="217">
        <v>118597.34</v>
      </c>
      <c r="F141" s="219">
        <v>0</v>
      </c>
      <c r="G141" s="218">
        <f t="shared" si="5"/>
        <v>118597.34</v>
      </c>
      <c r="H141" s="172">
        <f t="shared" si="6"/>
        <v>8301.8137999999999</v>
      </c>
      <c r="I141" s="173">
        <v>7.0000000000000007E-2</v>
      </c>
      <c r="J141" s="175">
        <f t="shared" si="4"/>
        <v>0</v>
      </c>
      <c r="K141" s="175">
        <v>0</v>
      </c>
      <c r="L141" s="210" t="s">
        <v>542</v>
      </c>
    </row>
    <row r="142" spans="1:12" ht="19.7" customHeight="1">
      <c r="A142" s="212" t="s">
        <v>728</v>
      </c>
      <c r="B142" s="221" t="s">
        <v>729</v>
      </c>
      <c r="C142" s="197">
        <v>250000</v>
      </c>
      <c r="D142" s="187">
        <v>0</v>
      </c>
      <c r="E142" s="217">
        <v>0</v>
      </c>
      <c r="F142" s="219">
        <v>0</v>
      </c>
      <c r="G142" s="218">
        <f t="shared" si="5"/>
        <v>0</v>
      </c>
      <c r="H142" s="172">
        <f t="shared" si="6"/>
        <v>0</v>
      </c>
      <c r="I142" s="173"/>
      <c r="J142" s="175">
        <f>C142-D142-E142</f>
        <v>250000</v>
      </c>
      <c r="K142" s="175">
        <v>0</v>
      </c>
      <c r="L142" s="210" t="s">
        <v>680</v>
      </c>
    </row>
    <row r="143" spans="1:12" ht="19.7" customHeight="1" thickBot="1">
      <c r="A143" s="212" t="s">
        <v>730</v>
      </c>
      <c r="B143" s="221" t="s">
        <v>731</v>
      </c>
      <c r="C143" s="197">
        <v>317351.21000000002</v>
      </c>
      <c r="D143" s="187">
        <v>0</v>
      </c>
      <c r="E143" s="219">
        <v>178225.2</v>
      </c>
      <c r="F143" s="219">
        <v>0</v>
      </c>
      <c r="G143" s="227">
        <f t="shared" si="5"/>
        <v>178225.2</v>
      </c>
      <c r="H143" s="172">
        <f t="shared" si="6"/>
        <v>0</v>
      </c>
      <c r="I143" s="173"/>
      <c r="J143" s="175">
        <f>C143-D143-E143</f>
        <v>139126.01</v>
      </c>
      <c r="K143" s="175">
        <v>0</v>
      </c>
      <c r="L143" s="210" t="s">
        <v>471</v>
      </c>
    </row>
    <row r="144" spans="1:12" ht="19.7" customHeight="1" thickBot="1">
      <c r="A144" s="1558" t="s">
        <v>732</v>
      </c>
      <c r="B144" s="1559"/>
      <c r="C144" s="1559"/>
      <c r="D144" s="1559"/>
      <c r="E144" s="1559"/>
      <c r="F144" s="1559"/>
      <c r="G144" s="1559"/>
      <c r="H144" s="1559"/>
      <c r="I144" s="1559"/>
      <c r="J144" s="1559"/>
      <c r="K144" s="1559"/>
      <c r="L144" s="1560"/>
    </row>
    <row r="145" spans="1:12" ht="19.7" customHeight="1">
      <c r="A145" s="228" t="s">
        <v>676</v>
      </c>
      <c r="B145" s="229" t="s">
        <v>733</v>
      </c>
      <c r="C145" s="230">
        <v>55890</v>
      </c>
      <c r="D145" s="231">
        <v>0</v>
      </c>
      <c r="E145" s="232">
        <v>0</v>
      </c>
      <c r="F145" s="232">
        <v>0</v>
      </c>
      <c r="G145" s="232">
        <v>0</v>
      </c>
      <c r="H145" s="233"/>
      <c r="I145" s="233"/>
      <c r="J145" s="234">
        <f>C145-D145-E145</f>
        <v>55890</v>
      </c>
      <c r="K145" s="234">
        <v>0</v>
      </c>
      <c r="L145" s="235" t="s">
        <v>474</v>
      </c>
    </row>
    <row r="146" spans="1:12" ht="19.7" customHeight="1">
      <c r="A146" s="228" t="s">
        <v>613</v>
      </c>
      <c r="B146" s="229" t="s">
        <v>734</v>
      </c>
      <c r="C146" s="230">
        <v>148020.48000000001</v>
      </c>
      <c r="D146" s="231">
        <v>0</v>
      </c>
      <c r="E146" s="232">
        <v>0</v>
      </c>
      <c r="F146" s="232">
        <v>0</v>
      </c>
      <c r="G146" s="232">
        <v>0</v>
      </c>
      <c r="H146" s="233"/>
      <c r="I146" s="233"/>
      <c r="J146" s="234">
        <v>148020.48000000001</v>
      </c>
      <c r="K146" s="234">
        <v>0</v>
      </c>
      <c r="L146" s="235" t="s">
        <v>735</v>
      </c>
    </row>
    <row r="147" spans="1:12" ht="19.7" customHeight="1">
      <c r="A147" s="228" t="s">
        <v>534</v>
      </c>
      <c r="B147" s="236" t="s">
        <v>736</v>
      </c>
      <c r="C147" s="230">
        <v>303823.38</v>
      </c>
      <c r="D147" s="231">
        <v>0</v>
      </c>
      <c r="E147" s="232">
        <v>0</v>
      </c>
      <c r="F147" s="232">
        <v>0</v>
      </c>
      <c r="G147" s="232">
        <v>0</v>
      </c>
      <c r="H147" s="233"/>
      <c r="I147" s="233"/>
      <c r="J147" s="234">
        <f>C147-D147-E147</f>
        <v>303823.38</v>
      </c>
      <c r="K147" s="234">
        <v>0</v>
      </c>
      <c r="L147" s="235" t="s">
        <v>474</v>
      </c>
    </row>
    <row r="148" spans="1:12" ht="19.7" customHeight="1">
      <c r="A148" s="228" t="s">
        <v>534</v>
      </c>
      <c r="B148" s="236" t="s">
        <v>737</v>
      </c>
      <c r="C148" s="230">
        <v>950019.91</v>
      </c>
      <c r="D148" s="231">
        <v>0</v>
      </c>
      <c r="E148" s="232">
        <v>0</v>
      </c>
      <c r="F148" s="232">
        <v>0</v>
      </c>
      <c r="G148" s="232">
        <v>0</v>
      </c>
      <c r="H148" s="233"/>
      <c r="I148" s="233"/>
      <c r="J148" s="234">
        <f>C148-D148-E148</f>
        <v>950019.91</v>
      </c>
      <c r="K148" s="234">
        <v>0</v>
      </c>
      <c r="L148" s="235" t="s">
        <v>479</v>
      </c>
    </row>
    <row r="149" spans="1:12" ht="19.7" customHeight="1">
      <c r="A149" s="228" t="s">
        <v>738</v>
      </c>
      <c r="B149" s="236" t="s">
        <v>739</v>
      </c>
      <c r="C149" s="230">
        <v>57689.43</v>
      </c>
      <c r="D149" s="231">
        <v>0</v>
      </c>
      <c r="E149" s="232">
        <v>0</v>
      </c>
      <c r="F149" s="232">
        <v>0</v>
      </c>
      <c r="G149" s="232">
        <v>0</v>
      </c>
      <c r="H149" s="233"/>
      <c r="I149" s="233"/>
      <c r="J149" s="234">
        <f>C149-D149-E149</f>
        <v>57689.43</v>
      </c>
      <c r="K149" s="234">
        <v>0</v>
      </c>
      <c r="L149" s="235" t="s">
        <v>474</v>
      </c>
    </row>
    <row r="150" spans="1:12" ht="19.7" customHeight="1">
      <c r="A150" s="228" t="s">
        <v>740</v>
      </c>
      <c r="B150" s="236" t="s">
        <v>741</v>
      </c>
      <c r="C150" s="230">
        <v>50000</v>
      </c>
      <c r="D150" s="231">
        <v>0</v>
      </c>
      <c r="E150" s="232">
        <v>0</v>
      </c>
      <c r="F150" s="232">
        <v>0</v>
      </c>
      <c r="G150" s="232">
        <v>0</v>
      </c>
      <c r="H150" s="233"/>
      <c r="I150" s="233"/>
      <c r="J150" s="234">
        <v>50000</v>
      </c>
      <c r="K150" s="234">
        <v>0</v>
      </c>
      <c r="L150" s="235" t="s">
        <v>680</v>
      </c>
    </row>
    <row r="151" spans="1:12" ht="19.7" customHeight="1">
      <c r="A151" s="237" t="s">
        <v>742</v>
      </c>
      <c r="B151" s="236" t="s">
        <v>743</v>
      </c>
      <c r="C151" s="238">
        <v>250000</v>
      </c>
      <c r="D151" s="239">
        <v>0</v>
      </c>
      <c r="E151" s="232">
        <v>0</v>
      </c>
      <c r="F151" s="232">
        <v>0</v>
      </c>
      <c r="G151" s="232">
        <v>0</v>
      </c>
      <c r="H151" s="233"/>
      <c r="I151" s="233"/>
      <c r="J151" s="234">
        <f t="shared" ref="J151:J162" si="7">C151-D151-E151</f>
        <v>250000</v>
      </c>
      <c r="K151" s="234">
        <v>0</v>
      </c>
      <c r="L151" s="235" t="s">
        <v>560</v>
      </c>
    </row>
    <row r="152" spans="1:12" ht="19.7" customHeight="1">
      <c r="A152" s="237" t="s">
        <v>722</v>
      </c>
      <c r="B152" s="240" t="s">
        <v>744</v>
      </c>
      <c r="C152" s="241">
        <v>92000</v>
      </c>
      <c r="D152" s="239">
        <v>0</v>
      </c>
      <c r="E152" s="232">
        <v>0</v>
      </c>
      <c r="F152" s="232">
        <v>0</v>
      </c>
      <c r="G152" s="232">
        <v>0</v>
      </c>
      <c r="H152" s="233"/>
      <c r="I152" s="233"/>
      <c r="J152" s="234">
        <f t="shared" si="7"/>
        <v>92000</v>
      </c>
      <c r="K152" s="234">
        <v>0</v>
      </c>
      <c r="L152" s="235" t="s">
        <v>680</v>
      </c>
    </row>
    <row r="153" spans="1:12" ht="19.7" customHeight="1">
      <c r="A153" s="237" t="s">
        <v>745</v>
      </c>
      <c r="B153" s="240" t="s">
        <v>746</v>
      </c>
      <c r="C153" s="241">
        <v>330000</v>
      </c>
      <c r="D153" s="239">
        <v>0</v>
      </c>
      <c r="E153" s="232">
        <v>0</v>
      </c>
      <c r="F153" s="232">
        <v>0</v>
      </c>
      <c r="G153" s="232">
        <v>0</v>
      </c>
      <c r="H153" s="233"/>
      <c r="I153" s="233"/>
      <c r="J153" s="242">
        <f t="shared" si="7"/>
        <v>330000</v>
      </c>
      <c r="K153" s="234">
        <v>0</v>
      </c>
      <c r="L153" s="235" t="s">
        <v>474</v>
      </c>
    </row>
    <row r="154" spans="1:12" ht="19.7" customHeight="1">
      <c r="A154" s="237" t="s">
        <v>747</v>
      </c>
      <c r="B154" s="240" t="s">
        <v>748</v>
      </c>
      <c r="C154" s="241">
        <v>230000</v>
      </c>
      <c r="D154" s="239">
        <v>0</v>
      </c>
      <c r="E154" s="232">
        <v>0</v>
      </c>
      <c r="F154" s="232">
        <v>0</v>
      </c>
      <c r="G154" s="232">
        <v>0</v>
      </c>
      <c r="H154" s="233"/>
      <c r="I154" s="233"/>
      <c r="J154" s="242">
        <f t="shared" si="7"/>
        <v>230000</v>
      </c>
      <c r="K154" s="234">
        <v>0</v>
      </c>
      <c r="L154" s="235" t="s">
        <v>474</v>
      </c>
    </row>
    <row r="155" spans="1:12" ht="19.7" customHeight="1">
      <c r="A155" s="237" t="s">
        <v>749</v>
      </c>
      <c r="B155" s="240" t="s">
        <v>750</v>
      </c>
      <c r="C155" s="241">
        <v>40000</v>
      </c>
      <c r="D155" s="239">
        <v>0</v>
      </c>
      <c r="E155" s="232">
        <v>0</v>
      </c>
      <c r="F155" s="232">
        <v>0</v>
      </c>
      <c r="G155" s="232">
        <v>0</v>
      </c>
      <c r="H155" s="233"/>
      <c r="I155" s="233"/>
      <c r="J155" s="234">
        <f t="shared" si="7"/>
        <v>40000</v>
      </c>
      <c r="K155" s="234">
        <v>0</v>
      </c>
      <c r="L155" s="235" t="s">
        <v>471</v>
      </c>
    </row>
    <row r="156" spans="1:12" ht="19.7" customHeight="1">
      <c r="A156" s="237" t="s">
        <v>751</v>
      </c>
      <c r="B156" s="240" t="s">
        <v>752</v>
      </c>
      <c r="C156" s="241">
        <v>155880.12</v>
      </c>
      <c r="D156" s="239">
        <v>0</v>
      </c>
      <c r="E156" s="232">
        <v>0</v>
      </c>
      <c r="F156" s="232">
        <v>0</v>
      </c>
      <c r="G156" s="232">
        <v>0</v>
      </c>
      <c r="H156" s="233"/>
      <c r="I156" s="233"/>
      <c r="J156" s="234">
        <f t="shared" si="7"/>
        <v>155880.12</v>
      </c>
      <c r="K156" s="234">
        <v>0</v>
      </c>
      <c r="L156" s="235" t="s">
        <v>474</v>
      </c>
    </row>
    <row r="157" spans="1:12" ht="19.7" customHeight="1">
      <c r="A157" s="237" t="s">
        <v>753</v>
      </c>
      <c r="B157" s="240" t="s">
        <v>754</v>
      </c>
      <c r="C157" s="243">
        <v>100740</v>
      </c>
      <c r="D157" s="239">
        <v>0</v>
      </c>
      <c r="E157" s="232">
        <v>0</v>
      </c>
      <c r="F157" s="232">
        <v>0</v>
      </c>
      <c r="G157" s="232">
        <v>0</v>
      </c>
      <c r="H157" s="233"/>
      <c r="I157" s="233"/>
      <c r="J157" s="242">
        <f t="shared" si="7"/>
        <v>100740</v>
      </c>
      <c r="K157" s="234">
        <v>0</v>
      </c>
      <c r="L157" s="235" t="s">
        <v>680</v>
      </c>
    </row>
    <row r="158" spans="1:12" ht="19.7" customHeight="1">
      <c r="A158" s="237" t="s">
        <v>755</v>
      </c>
      <c r="B158" s="240" t="s">
        <v>756</v>
      </c>
      <c r="C158" s="241">
        <v>423000</v>
      </c>
      <c r="D158" s="239">
        <v>0</v>
      </c>
      <c r="E158" s="232">
        <v>0</v>
      </c>
      <c r="F158" s="232">
        <v>0</v>
      </c>
      <c r="G158" s="232">
        <v>0</v>
      </c>
      <c r="H158" s="233"/>
      <c r="I158" s="233"/>
      <c r="J158" s="234">
        <f t="shared" si="7"/>
        <v>423000</v>
      </c>
      <c r="K158" s="234">
        <v>0</v>
      </c>
      <c r="L158" s="235" t="s">
        <v>539</v>
      </c>
    </row>
    <row r="159" spans="1:12" ht="19.7" customHeight="1">
      <c r="A159" s="237" t="s">
        <v>755</v>
      </c>
      <c r="B159" s="240" t="s">
        <v>757</v>
      </c>
      <c r="C159" s="241">
        <v>65142.44</v>
      </c>
      <c r="D159" s="239">
        <v>0</v>
      </c>
      <c r="E159" s="232">
        <v>0</v>
      </c>
      <c r="F159" s="232">
        <v>0</v>
      </c>
      <c r="G159" s="232">
        <v>0</v>
      </c>
      <c r="H159" s="233"/>
      <c r="I159" s="233"/>
      <c r="J159" s="242">
        <f t="shared" si="7"/>
        <v>65142.44</v>
      </c>
      <c r="K159" s="234">
        <v>0</v>
      </c>
      <c r="L159" s="235" t="s">
        <v>680</v>
      </c>
    </row>
    <row r="160" spans="1:12" ht="19.7" customHeight="1">
      <c r="A160" s="237" t="s">
        <v>755</v>
      </c>
      <c r="B160" s="240" t="s">
        <v>758</v>
      </c>
      <c r="C160" s="241">
        <v>212900</v>
      </c>
      <c r="D160" s="239">
        <v>0</v>
      </c>
      <c r="E160" s="232">
        <v>0</v>
      </c>
      <c r="F160" s="232">
        <v>0</v>
      </c>
      <c r="G160" s="232">
        <v>0</v>
      </c>
      <c r="H160" s="233"/>
      <c r="I160" s="233"/>
      <c r="J160" s="242">
        <f t="shared" si="7"/>
        <v>212900</v>
      </c>
      <c r="K160" s="234">
        <v>0</v>
      </c>
      <c r="L160" s="235" t="s">
        <v>735</v>
      </c>
    </row>
    <row r="161" spans="1:12" ht="19.7" customHeight="1">
      <c r="A161" s="237" t="s">
        <v>755</v>
      </c>
      <c r="B161" s="240" t="s">
        <v>759</v>
      </c>
      <c r="C161" s="241">
        <v>188500</v>
      </c>
      <c r="D161" s="239">
        <v>0</v>
      </c>
      <c r="E161" s="232">
        <v>0</v>
      </c>
      <c r="F161" s="232">
        <v>0</v>
      </c>
      <c r="G161" s="232">
        <v>0</v>
      </c>
      <c r="H161" s="233"/>
      <c r="I161" s="233"/>
      <c r="J161" s="242">
        <f t="shared" si="7"/>
        <v>188500</v>
      </c>
      <c r="K161" s="234">
        <v>0</v>
      </c>
      <c r="L161" s="235" t="s">
        <v>560</v>
      </c>
    </row>
    <row r="162" spans="1:12" ht="19.7" customHeight="1">
      <c r="A162" s="237" t="s">
        <v>760</v>
      </c>
      <c r="B162" s="240" t="s">
        <v>679</v>
      </c>
      <c r="C162" s="241">
        <v>1200000</v>
      </c>
      <c r="D162" s="239">
        <v>0</v>
      </c>
      <c r="E162" s="232">
        <v>0</v>
      </c>
      <c r="F162" s="232">
        <v>0</v>
      </c>
      <c r="G162" s="232">
        <v>0</v>
      </c>
      <c r="H162" s="233"/>
      <c r="I162" s="233"/>
      <c r="J162" s="234">
        <f t="shared" si="7"/>
        <v>1200000</v>
      </c>
      <c r="K162" s="234">
        <v>0</v>
      </c>
      <c r="L162" s="235" t="s">
        <v>735</v>
      </c>
    </row>
    <row r="163" spans="1:12" ht="19.7" customHeight="1">
      <c r="A163" s="237" t="s">
        <v>481</v>
      </c>
      <c r="B163" s="240" t="s">
        <v>761</v>
      </c>
      <c r="C163" s="241">
        <v>990000</v>
      </c>
      <c r="D163" s="239">
        <v>0</v>
      </c>
      <c r="E163" s="232">
        <v>0</v>
      </c>
      <c r="F163" s="232">
        <v>0</v>
      </c>
      <c r="G163" s="232">
        <v>0</v>
      </c>
      <c r="H163" s="233"/>
      <c r="I163" s="233"/>
      <c r="J163" s="242">
        <v>600000</v>
      </c>
      <c r="K163" s="234">
        <f>C163-D163-E163-J163</f>
        <v>390000</v>
      </c>
      <c r="L163" s="235" t="s">
        <v>685</v>
      </c>
    </row>
    <row r="164" spans="1:12" ht="19.7" customHeight="1">
      <c r="A164" s="237" t="s">
        <v>762</v>
      </c>
      <c r="B164" s="240" t="s">
        <v>763</v>
      </c>
      <c r="C164" s="241">
        <v>60000</v>
      </c>
      <c r="D164" s="239">
        <v>0</v>
      </c>
      <c r="E164" s="232">
        <v>0</v>
      </c>
      <c r="F164" s="232">
        <v>0</v>
      </c>
      <c r="G164" s="232">
        <v>0</v>
      </c>
      <c r="H164" s="233"/>
      <c r="I164" s="233"/>
      <c r="J164" s="234">
        <f>C164-D164-E164</f>
        <v>60000</v>
      </c>
      <c r="K164" s="234">
        <v>0</v>
      </c>
      <c r="L164" s="235" t="s">
        <v>471</v>
      </c>
    </row>
    <row r="165" spans="1:12" ht="19.7" customHeight="1">
      <c r="A165" s="244" t="s">
        <v>540</v>
      </c>
      <c r="B165" s="240" t="s">
        <v>764</v>
      </c>
      <c r="C165" s="241">
        <v>90000</v>
      </c>
      <c r="D165" s="239">
        <v>0</v>
      </c>
      <c r="E165" s="232">
        <v>0</v>
      </c>
      <c r="F165" s="232">
        <v>0</v>
      </c>
      <c r="G165" s="232">
        <v>0</v>
      </c>
      <c r="H165" s="233"/>
      <c r="I165" s="233"/>
      <c r="J165" s="234">
        <f>C165-D165-E165</f>
        <v>90000</v>
      </c>
      <c r="K165" s="242"/>
      <c r="L165" s="235" t="s">
        <v>709</v>
      </c>
    </row>
    <row r="166" spans="1:12" ht="19.7" customHeight="1">
      <c r="A166" s="244" t="s">
        <v>765</v>
      </c>
      <c r="B166" s="240" t="s">
        <v>766</v>
      </c>
      <c r="C166" s="241">
        <v>5700000</v>
      </c>
      <c r="D166" s="239">
        <v>0</v>
      </c>
      <c r="E166" s="232">
        <v>0</v>
      </c>
      <c r="F166" s="232">
        <v>0</v>
      </c>
      <c r="G166" s="232">
        <v>0</v>
      </c>
      <c r="H166" s="233"/>
      <c r="I166" s="233"/>
      <c r="J166" s="242">
        <v>2000000</v>
      </c>
      <c r="K166" s="234">
        <f>C166-D166-E166-J166</f>
        <v>3700000</v>
      </c>
      <c r="L166" s="235" t="s">
        <v>692</v>
      </c>
    </row>
    <row r="167" spans="1:12" ht="19.7" customHeight="1">
      <c r="A167" s="244" t="s">
        <v>765</v>
      </c>
      <c r="B167" s="240" t="s">
        <v>766</v>
      </c>
      <c r="C167" s="241">
        <v>11700000</v>
      </c>
      <c r="D167" s="239">
        <v>0</v>
      </c>
      <c r="E167" s="232">
        <v>0</v>
      </c>
      <c r="F167" s="232">
        <v>0</v>
      </c>
      <c r="G167" s="232">
        <v>0</v>
      </c>
      <c r="H167" s="233"/>
      <c r="I167" s="233"/>
      <c r="J167" s="242">
        <v>3000000</v>
      </c>
      <c r="K167" s="234">
        <f>C167-D167-E167-J167</f>
        <v>8700000</v>
      </c>
      <c r="L167" s="235" t="s">
        <v>767</v>
      </c>
    </row>
    <row r="168" spans="1:12" ht="19.7" customHeight="1">
      <c r="A168" s="244" t="s">
        <v>592</v>
      </c>
      <c r="B168" s="240" t="s">
        <v>768</v>
      </c>
      <c r="C168" s="241">
        <v>60000</v>
      </c>
      <c r="D168" s="239">
        <v>0</v>
      </c>
      <c r="E168" s="239">
        <v>0</v>
      </c>
      <c r="F168" s="239">
        <v>0</v>
      </c>
      <c r="G168" s="239">
        <v>0</v>
      </c>
      <c r="H168" s="233"/>
      <c r="I168" s="233"/>
      <c r="J168" s="234">
        <f>C168-D168-E168</f>
        <v>60000</v>
      </c>
      <c r="K168" s="234">
        <v>0</v>
      </c>
      <c r="L168" s="235" t="s">
        <v>471</v>
      </c>
    </row>
    <row r="169" spans="1:12" ht="19.7" customHeight="1" thickBot="1">
      <c r="A169" s="245" t="s">
        <v>769</v>
      </c>
      <c r="B169" s="246" t="s">
        <v>770</v>
      </c>
      <c r="C169" s="247">
        <v>1600000</v>
      </c>
      <c r="D169" s="239">
        <v>0</v>
      </c>
      <c r="E169" s="239">
        <v>0</v>
      </c>
      <c r="F169" s="239">
        <v>0</v>
      </c>
      <c r="G169" s="239">
        <v>0</v>
      </c>
      <c r="H169" s="248"/>
      <c r="I169" s="248"/>
      <c r="J169" s="234">
        <f>C169-D169-E169</f>
        <v>1600000</v>
      </c>
      <c r="K169" s="234">
        <v>0</v>
      </c>
      <c r="L169" s="235" t="s">
        <v>479</v>
      </c>
    </row>
    <row r="170" spans="1:12" ht="19.7" customHeight="1" thickBot="1">
      <c r="A170" s="1530" t="s">
        <v>771</v>
      </c>
      <c r="B170" s="1531"/>
      <c r="C170" s="249">
        <f>SUM(C8:C169)</f>
        <v>150130548.86000007</v>
      </c>
      <c r="D170" s="249">
        <f>SUM(D8:D169)</f>
        <v>26215559.670000002</v>
      </c>
      <c r="E170" s="249">
        <f>SUM(E6:E169)</f>
        <v>55916981.79300005</v>
      </c>
      <c r="F170" s="249">
        <f>SUM(F6:F169)</f>
        <v>749750.98</v>
      </c>
      <c r="G170" s="249">
        <f>SUM(G6:G169)+E6</f>
        <v>56666732.773000047</v>
      </c>
      <c r="H170" s="249">
        <f>SUM(H6:H169)</f>
        <v>4145958.1728200018</v>
      </c>
      <c r="I170" s="250">
        <f>H170/G170</f>
        <v>7.316388240395294E-2</v>
      </c>
      <c r="J170" s="251">
        <f>SUM(J6:J169)</f>
        <v>50496130.326999985</v>
      </c>
      <c r="K170" s="251">
        <f>SUM(K6:K169)</f>
        <v>20711036.759999998</v>
      </c>
      <c r="L170" s="252"/>
    </row>
    <row r="171" spans="1:12" ht="19.7" customHeight="1">
      <c r="A171" s="1532" t="s">
        <v>772</v>
      </c>
      <c r="B171" s="1533"/>
      <c r="C171" s="1533"/>
      <c r="D171" s="1533"/>
      <c r="E171" s="1533"/>
      <c r="F171" s="1533"/>
      <c r="G171" s="1533"/>
      <c r="H171" s="1533"/>
      <c r="I171" s="1533"/>
      <c r="J171" s="1533"/>
      <c r="K171" s="1533"/>
      <c r="L171" s="1534"/>
    </row>
    <row r="172" spans="1:12" ht="19.7" customHeight="1" thickBot="1">
      <c r="A172" s="253" t="s">
        <v>755</v>
      </c>
      <c r="B172" s="246" t="s">
        <v>773</v>
      </c>
      <c r="C172" s="254">
        <v>500000</v>
      </c>
      <c r="D172" s="254"/>
      <c r="E172" s="254"/>
      <c r="F172" s="254"/>
      <c r="G172" s="254"/>
      <c r="H172" s="254"/>
      <c r="I172" s="254"/>
      <c r="J172" s="812">
        <f>+SUM(J145:J169)/J170</f>
        <v>0.2428622882700919</v>
      </c>
      <c r="K172" s="255"/>
      <c r="L172" s="256" t="s">
        <v>774</v>
      </c>
    </row>
    <row r="173" spans="1:12" ht="19.7" customHeight="1">
      <c r="A173" s="257"/>
      <c r="B173" s="257"/>
      <c r="C173" s="257"/>
      <c r="D173" s="257"/>
      <c r="E173" s="257"/>
      <c r="F173" s="257"/>
      <c r="G173" s="257"/>
      <c r="H173" s="257"/>
      <c r="I173" s="258"/>
    </row>
    <row r="174" spans="1:12" ht="19.7" customHeight="1"/>
    <row r="175" spans="1:12" ht="19.7" customHeight="1">
      <c r="C175" s="259"/>
      <c r="D175" s="259"/>
      <c r="E175" s="259"/>
      <c r="F175" s="259"/>
      <c r="G175" s="259"/>
      <c r="H175" s="259"/>
      <c r="I175" s="259"/>
      <c r="J175" s="259"/>
      <c r="K175" s="259"/>
      <c r="L175" s="259"/>
    </row>
    <row r="176" spans="1:12" ht="19.7" customHeight="1">
      <c r="C176" s="259"/>
      <c r="D176" s="259"/>
      <c r="E176" s="259"/>
      <c r="F176" s="259"/>
      <c r="G176" s="259"/>
      <c r="H176" s="259"/>
      <c r="I176" s="259"/>
      <c r="J176" s="259"/>
      <c r="K176" s="259"/>
      <c r="L176" s="259"/>
    </row>
    <row r="177" spans="3:12" ht="19.7" customHeight="1">
      <c r="C177" s="259"/>
      <c r="D177" s="259"/>
      <c r="E177" s="259"/>
      <c r="F177" s="259"/>
      <c r="G177" s="259"/>
      <c r="H177" s="259"/>
      <c r="I177" s="259"/>
      <c r="J177" s="259"/>
      <c r="K177" s="259"/>
      <c r="L177" s="259"/>
    </row>
    <row r="178" spans="3:12" ht="19.7" customHeight="1">
      <c r="C178" s="259"/>
      <c r="D178" s="259"/>
      <c r="E178" s="259"/>
      <c r="F178" s="259"/>
      <c r="G178" s="259"/>
      <c r="H178" s="259"/>
      <c r="I178" s="259"/>
      <c r="J178" s="259"/>
      <c r="K178" s="259"/>
      <c r="L178" s="259"/>
    </row>
    <row r="179" spans="3:12" ht="19.7" customHeight="1">
      <c r="C179" s="259"/>
      <c r="D179" s="259"/>
      <c r="E179" s="259"/>
      <c r="F179" s="259"/>
      <c r="G179" s="259"/>
      <c r="H179" s="259"/>
      <c r="I179" s="259"/>
      <c r="J179" s="259"/>
      <c r="K179" s="259"/>
      <c r="L179" s="259"/>
    </row>
    <row r="180" spans="3:12" ht="19.7" customHeight="1">
      <c r="C180" s="259"/>
      <c r="D180" s="259"/>
      <c r="E180" s="259"/>
      <c r="F180" s="259"/>
      <c r="G180" s="259"/>
      <c r="H180" s="259"/>
      <c r="I180" s="259"/>
      <c r="J180" s="259"/>
      <c r="K180" s="259"/>
      <c r="L180" s="259"/>
    </row>
    <row r="181" spans="3:12" ht="19.7" customHeight="1">
      <c r="C181" s="259"/>
      <c r="D181" s="259"/>
      <c r="E181" s="259"/>
      <c r="F181" s="259"/>
      <c r="G181" s="259"/>
      <c r="H181" s="259"/>
      <c r="I181" s="259"/>
      <c r="J181" s="259"/>
      <c r="K181" s="259"/>
      <c r="L181" s="259"/>
    </row>
    <row r="182" spans="3:12" ht="19.7" customHeight="1">
      <c r="C182" s="259"/>
      <c r="D182" s="259"/>
      <c r="E182" s="259"/>
      <c r="F182" s="259"/>
      <c r="G182" s="259"/>
      <c r="H182" s="259"/>
      <c r="I182" s="259"/>
      <c r="J182" s="259"/>
      <c r="K182" s="259"/>
      <c r="L182" s="259"/>
    </row>
    <row r="183" spans="3:12" ht="19.7" customHeight="1">
      <c r="C183" s="259"/>
      <c r="D183" s="259"/>
      <c r="E183" s="259"/>
      <c r="F183" s="259"/>
      <c r="G183" s="259"/>
      <c r="H183" s="259"/>
      <c r="I183" s="259"/>
      <c r="J183" s="259"/>
      <c r="K183" s="259"/>
      <c r="L183" s="259"/>
    </row>
    <row r="184" spans="3:12" ht="19.7" customHeight="1">
      <c r="C184" s="259"/>
      <c r="D184" s="259"/>
      <c r="E184" s="259"/>
      <c r="F184" s="259"/>
      <c r="G184" s="259"/>
      <c r="H184" s="259"/>
      <c r="I184" s="259"/>
      <c r="J184" s="259"/>
      <c r="K184" s="259"/>
      <c r="L184" s="259"/>
    </row>
    <row r="185" spans="3:12" ht="19.7" customHeight="1">
      <c r="C185" s="259"/>
      <c r="D185" s="259"/>
      <c r="E185" s="259"/>
      <c r="F185" s="259"/>
      <c r="G185" s="259"/>
      <c r="H185" s="259"/>
      <c r="I185" s="259"/>
      <c r="J185" s="259"/>
      <c r="K185" s="259"/>
      <c r="L185" s="259"/>
    </row>
    <row r="186" spans="3:12" ht="19.7" customHeight="1">
      <c r="C186" s="259"/>
      <c r="D186" s="259"/>
      <c r="E186" s="259"/>
      <c r="F186" s="259"/>
      <c r="G186" s="259"/>
      <c r="H186" s="259"/>
      <c r="I186" s="259"/>
      <c r="J186" s="259"/>
      <c r="K186" s="259"/>
      <c r="L186" s="259"/>
    </row>
    <row r="187" spans="3:12" ht="19.7" customHeight="1">
      <c r="C187" s="259"/>
      <c r="D187" s="259"/>
      <c r="E187" s="259"/>
      <c r="F187" s="259"/>
      <c r="G187" s="259"/>
      <c r="H187" s="259"/>
      <c r="I187" s="259"/>
      <c r="J187" s="259"/>
      <c r="K187" s="259"/>
      <c r="L187" s="259"/>
    </row>
    <row r="188" spans="3:12" ht="19.7" customHeight="1">
      <c r="C188" s="259"/>
      <c r="D188" s="259"/>
      <c r="E188" s="259"/>
      <c r="F188" s="259"/>
      <c r="G188" s="259"/>
      <c r="H188" s="259"/>
      <c r="I188" s="259"/>
      <c r="J188" s="259"/>
      <c r="K188" s="259"/>
      <c r="L188" s="259"/>
    </row>
    <row r="189" spans="3:12" ht="19.7" customHeight="1">
      <c r="C189" s="259"/>
      <c r="D189" s="259"/>
      <c r="E189" s="259"/>
      <c r="F189" s="259"/>
      <c r="G189" s="259"/>
      <c r="H189" s="259"/>
      <c r="I189" s="259"/>
      <c r="J189" s="259"/>
      <c r="K189" s="259"/>
      <c r="L189" s="259"/>
    </row>
    <row r="190" spans="3:12" ht="19.7" customHeight="1">
      <c r="C190" s="259"/>
      <c r="D190" s="259"/>
      <c r="E190" s="259"/>
      <c r="F190" s="259"/>
      <c r="G190" s="259"/>
      <c r="H190" s="259"/>
      <c r="I190" s="259"/>
      <c r="J190" s="259"/>
      <c r="K190" s="259"/>
      <c r="L190" s="259"/>
    </row>
    <row r="191" spans="3:12" ht="19.7" customHeight="1">
      <c r="C191" s="259"/>
      <c r="D191" s="259"/>
      <c r="E191" s="259"/>
      <c r="F191" s="259"/>
      <c r="G191" s="259"/>
      <c r="H191" s="259"/>
      <c r="I191" s="259"/>
      <c r="J191" s="259"/>
      <c r="K191" s="259"/>
      <c r="L191" s="259"/>
    </row>
    <row r="192" spans="3:12" ht="19.7" customHeight="1">
      <c r="C192" s="259"/>
      <c r="D192" s="259"/>
      <c r="E192" s="259"/>
      <c r="F192" s="259"/>
      <c r="G192" s="259"/>
      <c r="H192" s="259"/>
      <c r="I192" s="259"/>
      <c r="J192" s="259"/>
      <c r="K192" s="259"/>
      <c r="L192" s="259"/>
    </row>
    <row r="193" spans="3:12" ht="19.7" customHeight="1">
      <c r="C193" s="259"/>
      <c r="D193" s="259"/>
      <c r="E193" s="259"/>
      <c r="F193" s="259"/>
      <c r="G193" s="259"/>
      <c r="H193" s="259"/>
      <c r="I193" s="259"/>
      <c r="J193" s="259"/>
      <c r="K193" s="259"/>
      <c r="L193" s="259"/>
    </row>
    <row r="194" spans="3:12" ht="19.7" customHeight="1">
      <c r="C194" s="259"/>
      <c r="D194" s="259"/>
      <c r="E194" s="259"/>
      <c r="F194" s="259"/>
      <c r="G194" s="259"/>
      <c r="H194" s="259"/>
      <c r="I194" s="259"/>
      <c r="J194" s="259"/>
      <c r="K194" s="259"/>
      <c r="L194" s="259"/>
    </row>
    <row r="195" spans="3:12" ht="19.7" customHeight="1">
      <c r="C195" s="259"/>
      <c r="D195" s="259"/>
      <c r="E195" s="259"/>
      <c r="F195" s="259"/>
      <c r="G195" s="259"/>
      <c r="H195" s="259"/>
      <c r="I195" s="259"/>
      <c r="J195" s="259"/>
      <c r="K195" s="259"/>
      <c r="L195" s="259"/>
    </row>
    <row r="196" spans="3:12" ht="19.7" customHeight="1">
      <c r="C196" s="259"/>
      <c r="D196" s="259"/>
      <c r="E196" s="259"/>
      <c r="F196" s="259"/>
      <c r="G196" s="259"/>
      <c r="H196" s="259"/>
      <c r="I196" s="259"/>
      <c r="J196" s="259"/>
      <c r="K196" s="259"/>
      <c r="L196" s="259"/>
    </row>
    <row r="197" spans="3:12" ht="19.7" customHeight="1">
      <c r="C197" s="259"/>
      <c r="D197" s="259"/>
      <c r="E197" s="259"/>
      <c r="F197" s="259"/>
      <c r="G197" s="259"/>
      <c r="H197" s="259"/>
      <c r="I197" s="259"/>
      <c r="J197" s="259"/>
      <c r="K197" s="259"/>
      <c r="L197" s="259"/>
    </row>
    <row r="198" spans="3:12" ht="19.7" customHeight="1">
      <c r="C198" s="259"/>
      <c r="D198" s="259"/>
      <c r="E198" s="259"/>
      <c r="F198" s="259"/>
      <c r="G198" s="259"/>
      <c r="H198" s="259"/>
      <c r="I198" s="259"/>
      <c r="J198" s="259"/>
      <c r="K198" s="259"/>
      <c r="L198" s="259"/>
    </row>
    <row r="199" spans="3:12" ht="19.7" customHeight="1">
      <c r="C199" s="259"/>
      <c r="D199" s="259"/>
      <c r="E199" s="259"/>
      <c r="F199" s="259"/>
      <c r="G199" s="259"/>
      <c r="H199" s="259"/>
      <c r="I199" s="259"/>
      <c r="J199" s="259"/>
      <c r="K199" s="259"/>
      <c r="L199" s="259"/>
    </row>
    <row r="200" spans="3:12" ht="19.7" customHeight="1">
      <c r="C200" s="259"/>
      <c r="D200" s="259"/>
      <c r="E200" s="259"/>
      <c r="F200" s="259"/>
      <c r="G200" s="259"/>
      <c r="H200" s="259"/>
      <c r="I200" s="259"/>
      <c r="J200" s="259"/>
      <c r="K200" s="259"/>
      <c r="L200" s="259"/>
    </row>
    <row r="201" spans="3:12" ht="19.7" customHeight="1">
      <c r="C201" s="259"/>
      <c r="D201" s="259"/>
      <c r="E201" s="259"/>
      <c r="F201" s="259"/>
      <c r="G201" s="259"/>
      <c r="H201" s="259"/>
      <c r="I201" s="259"/>
      <c r="J201" s="259"/>
      <c r="K201" s="259"/>
      <c r="L201" s="259"/>
    </row>
    <row r="202" spans="3:12" ht="19.7" customHeight="1">
      <c r="C202" s="259"/>
      <c r="D202" s="259"/>
      <c r="E202" s="259"/>
      <c r="F202" s="259"/>
      <c r="G202" s="259"/>
      <c r="H202" s="259"/>
      <c r="I202" s="259"/>
      <c r="J202" s="259"/>
      <c r="K202" s="259"/>
      <c r="L202" s="259"/>
    </row>
    <row r="203" spans="3:12" ht="19.7" customHeight="1">
      <c r="C203" s="259"/>
      <c r="D203" s="259"/>
      <c r="E203" s="259"/>
      <c r="F203" s="259"/>
      <c r="G203" s="259"/>
      <c r="H203" s="259"/>
      <c r="I203" s="259"/>
      <c r="J203" s="259"/>
      <c r="K203" s="259"/>
      <c r="L203" s="259"/>
    </row>
    <row r="204" spans="3:12" ht="19.7" customHeight="1">
      <c r="C204" s="259"/>
      <c r="D204" s="259"/>
      <c r="E204" s="259"/>
      <c r="F204" s="259"/>
      <c r="G204" s="259"/>
      <c r="H204" s="259"/>
      <c r="I204" s="259"/>
      <c r="J204" s="259"/>
      <c r="K204" s="259"/>
      <c r="L204" s="259"/>
    </row>
    <row r="205" spans="3:12" ht="19.7" customHeight="1">
      <c r="C205" s="259"/>
      <c r="D205" s="259"/>
      <c r="E205" s="259"/>
      <c r="F205" s="259"/>
      <c r="G205" s="259"/>
      <c r="H205" s="259"/>
      <c r="I205" s="259"/>
      <c r="J205" s="259"/>
      <c r="K205" s="259"/>
      <c r="L205" s="259"/>
    </row>
    <row r="206" spans="3:12" ht="19.7" customHeight="1">
      <c r="C206" s="259"/>
      <c r="D206" s="259"/>
      <c r="E206" s="259"/>
      <c r="F206" s="259"/>
      <c r="G206" s="259"/>
      <c r="H206" s="259"/>
      <c r="I206" s="259"/>
      <c r="J206" s="259"/>
      <c r="K206" s="259"/>
      <c r="L206" s="259"/>
    </row>
    <row r="207" spans="3:12" ht="19.7" customHeight="1">
      <c r="C207" s="259"/>
      <c r="D207" s="259"/>
      <c r="E207" s="259"/>
      <c r="F207" s="259"/>
      <c r="G207" s="259"/>
      <c r="H207" s="259"/>
      <c r="I207" s="259"/>
      <c r="J207" s="259"/>
      <c r="K207" s="259"/>
      <c r="L207" s="259"/>
    </row>
    <row r="208" spans="3:12" ht="19.7" customHeight="1">
      <c r="C208" s="259"/>
      <c r="D208" s="259"/>
      <c r="E208" s="259"/>
      <c r="F208" s="259"/>
      <c r="G208" s="259"/>
      <c r="H208" s="259"/>
      <c r="I208" s="259"/>
      <c r="J208" s="259"/>
      <c r="K208" s="259"/>
      <c r="L208" s="259"/>
    </row>
    <row r="209" spans="3:12" ht="19.7" customHeight="1">
      <c r="C209" s="259"/>
      <c r="D209" s="259"/>
      <c r="E209" s="259"/>
      <c r="F209" s="259"/>
      <c r="G209" s="259"/>
      <c r="H209" s="259"/>
      <c r="I209" s="259"/>
      <c r="J209" s="259"/>
      <c r="K209" s="259"/>
      <c r="L209" s="259"/>
    </row>
    <row r="210" spans="3:12" ht="19.7" customHeight="1">
      <c r="C210" s="259"/>
      <c r="D210" s="259"/>
      <c r="E210" s="259"/>
      <c r="F210" s="259"/>
      <c r="G210" s="259"/>
      <c r="H210" s="259"/>
      <c r="I210" s="259"/>
      <c r="J210" s="259"/>
      <c r="K210" s="259"/>
      <c r="L210" s="259"/>
    </row>
    <row r="211" spans="3:12" ht="19.7" customHeight="1">
      <c r="C211" s="259"/>
      <c r="D211" s="259"/>
      <c r="E211" s="259"/>
      <c r="F211" s="259"/>
      <c r="G211" s="259"/>
      <c r="H211" s="259"/>
      <c r="I211" s="259"/>
      <c r="J211" s="259"/>
      <c r="K211" s="259"/>
      <c r="L211" s="259"/>
    </row>
    <row r="212" spans="3:12" ht="19.7" customHeight="1">
      <c r="C212" s="259"/>
      <c r="D212" s="259"/>
      <c r="E212" s="259"/>
      <c r="F212" s="259"/>
      <c r="G212" s="259"/>
      <c r="H212" s="259"/>
      <c r="I212" s="259"/>
      <c r="J212" s="259"/>
      <c r="K212" s="259"/>
      <c r="L212" s="259"/>
    </row>
    <row r="213" spans="3:12" ht="19.7" customHeight="1">
      <c r="C213" s="259"/>
      <c r="D213" s="259"/>
      <c r="E213" s="259"/>
      <c r="F213" s="259"/>
      <c r="G213" s="259"/>
      <c r="H213" s="259"/>
      <c r="I213" s="259"/>
      <c r="J213" s="259"/>
      <c r="K213" s="259"/>
      <c r="L213" s="259"/>
    </row>
    <row r="214" spans="3:12" ht="19.7" customHeight="1">
      <c r="C214" s="259"/>
      <c r="D214" s="259"/>
      <c r="E214" s="259"/>
      <c r="F214" s="259"/>
      <c r="G214" s="259"/>
      <c r="H214" s="259"/>
      <c r="I214" s="259"/>
      <c r="J214" s="259"/>
      <c r="K214" s="259"/>
      <c r="L214" s="259"/>
    </row>
    <row r="215" spans="3:12" ht="19.7" customHeight="1">
      <c r="C215" s="259"/>
      <c r="D215" s="259"/>
      <c r="E215" s="259"/>
      <c r="F215" s="259"/>
      <c r="G215" s="259"/>
      <c r="H215" s="259"/>
      <c r="I215" s="259"/>
      <c r="J215" s="259"/>
      <c r="K215" s="259"/>
      <c r="L215" s="259"/>
    </row>
    <row r="216" spans="3:12" ht="19.7" customHeight="1">
      <c r="C216" s="259"/>
      <c r="D216" s="259"/>
      <c r="E216" s="259"/>
      <c r="F216" s="259"/>
      <c r="G216" s="259"/>
      <c r="H216" s="259"/>
      <c r="I216" s="259"/>
      <c r="J216" s="259"/>
      <c r="K216" s="259"/>
      <c r="L216" s="259"/>
    </row>
    <row r="217" spans="3:12" ht="19.7" customHeight="1">
      <c r="C217" s="259"/>
      <c r="D217" s="259"/>
      <c r="E217" s="259"/>
      <c r="F217" s="259"/>
      <c r="G217" s="259"/>
      <c r="H217" s="259"/>
      <c r="I217" s="259"/>
      <c r="J217" s="259"/>
      <c r="K217" s="259"/>
      <c r="L217" s="259"/>
    </row>
    <row r="218" spans="3:12" ht="19.7" customHeight="1">
      <c r="C218" s="259"/>
      <c r="D218" s="259"/>
      <c r="E218" s="259"/>
      <c r="F218" s="259"/>
      <c r="G218" s="259"/>
      <c r="H218" s="259"/>
      <c r="I218" s="259"/>
      <c r="J218" s="259"/>
      <c r="K218" s="259"/>
      <c r="L218" s="259"/>
    </row>
    <row r="219" spans="3:12" ht="19.7" customHeight="1">
      <c r="C219" s="259"/>
      <c r="D219" s="259"/>
      <c r="E219" s="259"/>
      <c r="F219" s="259"/>
      <c r="G219" s="259"/>
      <c r="H219" s="259"/>
      <c r="I219" s="259"/>
      <c r="J219" s="259"/>
      <c r="K219" s="259"/>
      <c r="L219" s="259"/>
    </row>
    <row r="220" spans="3:12" ht="19.7" customHeight="1">
      <c r="C220" s="259"/>
      <c r="D220" s="259"/>
      <c r="E220" s="259"/>
      <c r="F220" s="259"/>
      <c r="G220" s="259"/>
      <c r="H220" s="259"/>
      <c r="I220" s="259"/>
      <c r="J220" s="259"/>
      <c r="K220" s="259"/>
      <c r="L220" s="259"/>
    </row>
    <row r="221" spans="3:12" ht="19.7" customHeight="1">
      <c r="C221" s="259"/>
      <c r="D221" s="259"/>
      <c r="E221" s="259"/>
      <c r="F221" s="259"/>
      <c r="G221" s="259"/>
      <c r="H221" s="259"/>
      <c r="I221" s="259"/>
      <c r="J221" s="259"/>
      <c r="K221" s="259"/>
      <c r="L221" s="259"/>
    </row>
    <row r="222" spans="3:12" ht="19.7" customHeight="1">
      <c r="C222" s="259"/>
      <c r="D222" s="259"/>
      <c r="E222" s="259"/>
      <c r="F222" s="259"/>
      <c r="G222" s="259"/>
      <c r="H222" s="259"/>
      <c r="I222" s="259"/>
      <c r="J222" s="259"/>
      <c r="K222" s="259"/>
      <c r="L222" s="259"/>
    </row>
    <row r="223" spans="3:12" ht="19.7" customHeight="1">
      <c r="C223" s="259"/>
      <c r="D223" s="259"/>
      <c r="E223" s="259"/>
      <c r="F223" s="259"/>
      <c r="G223" s="259"/>
      <c r="H223" s="259"/>
      <c r="I223" s="259"/>
      <c r="J223" s="259"/>
      <c r="K223" s="259"/>
      <c r="L223" s="259"/>
    </row>
    <row r="224" spans="3:12" ht="19.7" customHeight="1">
      <c r="C224" s="259"/>
      <c r="D224" s="259"/>
      <c r="E224" s="259"/>
      <c r="F224" s="259"/>
      <c r="G224" s="259"/>
      <c r="H224" s="259"/>
      <c r="I224" s="259"/>
      <c r="J224" s="259"/>
      <c r="K224" s="259"/>
      <c r="L224" s="259"/>
    </row>
    <row r="225" spans="3:12" ht="19.7" customHeight="1">
      <c r="C225" s="259"/>
      <c r="D225" s="259"/>
      <c r="E225" s="259"/>
      <c r="F225" s="259"/>
      <c r="G225" s="259"/>
      <c r="H225" s="259"/>
      <c r="I225" s="259"/>
      <c r="J225" s="259"/>
      <c r="K225" s="259"/>
      <c r="L225" s="259"/>
    </row>
    <row r="226" spans="3:12" ht="19.7" customHeight="1">
      <c r="C226" s="259"/>
      <c r="D226" s="259"/>
      <c r="E226" s="259"/>
      <c r="F226" s="259"/>
      <c r="G226" s="259"/>
      <c r="H226" s="259"/>
      <c r="I226" s="259"/>
      <c r="J226" s="259"/>
      <c r="K226" s="259"/>
      <c r="L226" s="259"/>
    </row>
    <row r="227" spans="3:12" ht="19.7" customHeight="1">
      <c r="C227" s="259"/>
      <c r="D227" s="259"/>
      <c r="E227" s="259"/>
      <c r="F227" s="259"/>
      <c r="G227" s="259"/>
      <c r="H227" s="259"/>
      <c r="I227" s="259"/>
      <c r="J227" s="259"/>
      <c r="K227" s="259"/>
      <c r="L227" s="259"/>
    </row>
    <row r="228" spans="3:12" ht="19.7" customHeight="1">
      <c r="C228" s="259"/>
      <c r="D228" s="259"/>
      <c r="E228" s="259"/>
      <c r="F228" s="259"/>
      <c r="G228" s="259"/>
      <c r="H228" s="259"/>
      <c r="I228" s="259"/>
      <c r="J228" s="259"/>
      <c r="K228" s="259"/>
      <c r="L228" s="259"/>
    </row>
    <row r="229" spans="3:12" ht="19.7" customHeight="1">
      <c r="C229" s="259"/>
      <c r="D229" s="259"/>
      <c r="E229" s="259"/>
      <c r="F229" s="259"/>
      <c r="G229" s="259"/>
      <c r="H229" s="259"/>
      <c r="I229" s="259"/>
      <c r="J229" s="259"/>
      <c r="K229" s="259"/>
      <c r="L229" s="259"/>
    </row>
    <row r="230" spans="3:12" ht="19.7" customHeight="1"/>
    <row r="231" spans="3:12" ht="19.7" customHeight="1"/>
    <row r="232" spans="3:12" ht="19.7" customHeight="1"/>
    <row r="233" spans="3:12" ht="19.7" customHeight="1"/>
    <row r="234" spans="3:12" ht="19.7" customHeight="1"/>
    <row r="235" spans="3:12" ht="19.7" customHeight="1"/>
    <row r="236" spans="3:12" ht="19.7" customHeight="1"/>
    <row r="237" spans="3:12" ht="19.7" customHeight="1"/>
    <row r="238" spans="3:12" ht="19.7" customHeight="1"/>
    <row r="239" spans="3:12" ht="19.7" customHeight="1"/>
    <row r="240" spans="3:12" ht="19.7" customHeight="1"/>
    <row r="241" ht="19.7" customHeight="1"/>
    <row r="242" ht="19.7" customHeight="1"/>
    <row r="243" ht="19.7" customHeight="1"/>
    <row r="244" ht="19.7" customHeight="1"/>
    <row r="245" ht="19.7" customHeight="1"/>
    <row r="246" ht="19.7" customHeight="1"/>
    <row r="247" ht="19.7" customHeight="1"/>
    <row r="248" ht="19.7" customHeight="1"/>
    <row r="249" ht="19.7" customHeight="1"/>
    <row r="250" ht="19.7" customHeight="1"/>
    <row r="251" ht="19.7" customHeight="1"/>
    <row r="252" ht="19.7" customHeight="1"/>
    <row r="253" ht="19.7" customHeight="1"/>
    <row r="254" ht="19.7" customHeight="1"/>
    <row r="255" ht="19.7" customHeight="1"/>
    <row r="256" ht="19.7" customHeight="1"/>
    <row r="257" ht="19.7" customHeight="1"/>
    <row r="258" ht="19.7" customHeight="1"/>
    <row r="259" ht="19.7" customHeight="1"/>
    <row r="260" ht="19.7" customHeight="1"/>
    <row r="261" ht="19.7" customHeight="1"/>
    <row r="262" ht="19.7" customHeight="1"/>
    <row r="263" ht="19.7" customHeight="1"/>
    <row r="264" ht="19.7" customHeight="1"/>
    <row r="265" ht="19.7" customHeight="1"/>
    <row r="266" ht="19.7" customHeight="1"/>
    <row r="267" ht="19.7" customHeight="1"/>
    <row r="268" ht="19.7" customHeight="1"/>
    <row r="269" ht="19.7" customHeight="1"/>
    <row r="270" ht="19.7" customHeight="1"/>
    <row r="271" ht="19.7" customHeight="1"/>
    <row r="272" ht="19.7" customHeight="1"/>
    <row r="273" ht="19.7" customHeight="1"/>
    <row r="274" ht="19.7" customHeight="1"/>
    <row r="275" ht="19.7" customHeight="1"/>
    <row r="276" ht="19.7" customHeight="1"/>
    <row r="277" ht="19.7" customHeight="1"/>
    <row r="278" ht="19.7" customHeight="1"/>
    <row r="279" ht="19.7" customHeight="1"/>
    <row r="280" ht="19.7" customHeight="1"/>
    <row r="281" ht="19.7" customHeight="1"/>
    <row r="282" ht="19.7" customHeight="1"/>
    <row r="283" ht="19.7" customHeight="1"/>
    <row r="284" ht="19.7" customHeight="1"/>
    <row r="285" ht="19.7" customHeight="1"/>
    <row r="286" ht="19.7" customHeight="1"/>
    <row r="287" ht="19.7" customHeight="1"/>
    <row r="288" ht="19.7" customHeight="1"/>
    <row r="289" ht="19.7" customHeight="1"/>
    <row r="290" ht="19.7" customHeight="1"/>
    <row r="291" ht="19.7" customHeight="1"/>
    <row r="292" ht="19.7" customHeight="1"/>
    <row r="293" ht="19.7" customHeight="1"/>
    <row r="294" ht="19.7" customHeight="1"/>
    <row r="295" ht="19.7" customHeight="1"/>
    <row r="296" ht="19.7" customHeight="1"/>
    <row r="297" ht="19.7" customHeight="1"/>
    <row r="298" ht="19.7" customHeight="1"/>
    <row r="299" ht="19.7" customHeight="1"/>
    <row r="300" ht="19.7" customHeight="1"/>
    <row r="301" ht="19.7" customHeight="1"/>
    <row r="302" ht="19.7" customHeight="1"/>
    <row r="303" ht="19.7" customHeight="1"/>
    <row r="304" ht="19.7" customHeight="1"/>
    <row r="305" ht="19.7" customHeight="1"/>
    <row r="306" ht="19.7" customHeight="1"/>
    <row r="307" ht="19.7" customHeight="1"/>
    <row r="308" ht="19.7" customHeight="1"/>
    <row r="309" ht="19.7" customHeight="1"/>
    <row r="310" ht="19.7" customHeight="1"/>
    <row r="311" ht="19.7" customHeight="1"/>
    <row r="312" ht="19.7" customHeight="1"/>
    <row r="313" ht="19.7" customHeight="1"/>
    <row r="314" ht="19.7" customHeight="1"/>
    <row r="315" ht="19.7" customHeight="1"/>
    <row r="316" ht="19.7" customHeight="1"/>
    <row r="317" ht="19.7" customHeight="1"/>
    <row r="318" ht="19.7" customHeight="1"/>
    <row r="319" ht="19.7" customHeight="1"/>
    <row r="320" ht="19.7" customHeight="1"/>
    <row r="321" ht="19.7" customHeight="1"/>
    <row r="322" ht="19.7" customHeight="1"/>
    <row r="323" ht="19.7" customHeight="1"/>
    <row r="324" ht="19.7" customHeight="1"/>
    <row r="325" ht="19.7" customHeight="1"/>
    <row r="326" ht="19.7" customHeight="1"/>
    <row r="327" ht="19.7" customHeight="1"/>
    <row r="328" ht="19.7" customHeight="1"/>
    <row r="329" ht="19.7" customHeight="1"/>
    <row r="330" ht="19.7" customHeight="1"/>
    <row r="331" ht="19.7" customHeight="1"/>
    <row r="332" ht="19.7" customHeight="1"/>
    <row r="333" ht="19.7" customHeight="1"/>
    <row r="334" ht="19.7" customHeight="1"/>
    <row r="335" ht="19.7" customHeight="1"/>
    <row r="336" ht="19.7" customHeight="1"/>
    <row r="337" ht="19.7" customHeight="1"/>
    <row r="338" ht="19.7" customHeight="1"/>
    <row r="339" ht="19.7" customHeight="1"/>
    <row r="340" ht="19.7" customHeight="1"/>
    <row r="341" ht="19.7" customHeight="1"/>
    <row r="342" ht="19.7" customHeight="1"/>
    <row r="343" ht="19.7" customHeight="1"/>
    <row r="344" ht="19.7" customHeight="1"/>
    <row r="345" ht="19.7" customHeight="1"/>
    <row r="346" ht="19.7" customHeight="1"/>
    <row r="347" ht="19.7" customHeight="1"/>
    <row r="348" ht="19.7" customHeight="1"/>
    <row r="349" ht="19.7" customHeight="1"/>
    <row r="350" ht="19.7" customHeight="1"/>
    <row r="351" ht="19.7" customHeight="1"/>
    <row r="352" ht="19.7" customHeight="1"/>
    <row r="353" ht="19.7" customHeight="1"/>
    <row r="354" ht="19.7" customHeight="1"/>
    <row r="355" ht="19.7" customHeight="1"/>
    <row r="356" ht="19.7" customHeight="1"/>
    <row r="357" ht="19.7" customHeight="1"/>
    <row r="358" ht="19.7" customHeight="1"/>
    <row r="359" ht="19.7" customHeight="1"/>
    <row r="360" ht="19.7" customHeight="1"/>
    <row r="361" ht="19.7" customHeight="1"/>
    <row r="362" ht="19.7" customHeight="1"/>
    <row r="363" ht="19.7" customHeight="1"/>
    <row r="364" ht="19.7" customHeight="1"/>
    <row r="365" ht="19.7" customHeight="1"/>
    <row r="366" ht="19.7" customHeight="1"/>
    <row r="367" ht="19.7" customHeight="1"/>
    <row r="368" ht="19.7" customHeight="1"/>
    <row r="369" ht="19.7" customHeight="1"/>
    <row r="370" ht="19.7" customHeight="1"/>
    <row r="371" ht="19.7" customHeight="1"/>
    <row r="372" ht="19.7" customHeight="1"/>
    <row r="373" ht="19.7" customHeight="1"/>
    <row r="374" ht="19.7" customHeight="1"/>
    <row r="375" ht="19.7" customHeight="1"/>
    <row r="376" ht="19.7" customHeight="1"/>
    <row r="377" ht="19.7" customHeight="1"/>
    <row r="378" ht="19.7" customHeight="1"/>
    <row r="379" ht="19.7" customHeight="1"/>
    <row r="380" ht="19.7" customHeight="1"/>
    <row r="381" ht="19.7" customHeight="1"/>
    <row r="382" ht="19.7" customHeight="1"/>
    <row r="383" ht="19.7" customHeight="1"/>
    <row r="384" ht="19.7" customHeight="1"/>
    <row r="385" ht="19.7" customHeight="1"/>
    <row r="386" ht="19.7" customHeight="1"/>
    <row r="387" ht="19.7" customHeight="1"/>
    <row r="388" ht="19.7" customHeight="1"/>
    <row r="389" ht="19.7" customHeight="1"/>
    <row r="390" ht="19.7" customHeight="1"/>
    <row r="391" ht="19.7" customHeight="1"/>
    <row r="392" ht="19.7" customHeight="1"/>
    <row r="393" ht="19.7" customHeight="1"/>
    <row r="394" ht="19.7" customHeight="1"/>
    <row r="395" ht="19.7" customHeight="1"/>
    <row r="396" ht="19.7" customHeight="1"/>
    <row r="397" ht="19.7" customHeight="1"/>
    <row r="398" ht="19.7" customHeight="1"/>
    <row r="399" ht="19.7" customHeight="1"/>
    <row r="400" ht="19.7" customHeight="1"/>
    <row r="401" ht="19.7" customHeight="1"/>
    <row r="402" ht="19.7" customHeight="1"/>
    <row r="403" ht="19.7" customHeight="1"/>
    <row r="404" ht="19.7" customHeight="1"/>
    <row r="405" ht="19.7" customHeight="1"/>
    <row r="406" ht="19.7" customHeight="1"/>
    <row r="407" ht="19.7" customHeight="1"/>
    <row r="408" ht="19.7" customHeight="1"/>
    <row r="409" ht="19.7" customHeight="1"/>
    <row r="410" ht="19.7" customHeight="1"/>
    <row r="411" ht="19.7" customHeight="1"/>
    <row r="412" ht="19.7" customHeight="1"/>
    <row r="413" ht="19.7" customHeight="1"/>
    <row r="414" ht="19.7" customHeight="1"/>
    <row r="415" ht="19.7" customHeight="1"/>
    <row r="416" ht="19.7" customHeight="1"/>
    <row r="417" ht="19.7" customHeight="1"/>
    <row r="418" ht="19.7" customHeight="1"/>
    <row r="419" ht="19.7" customHeight="1"/>
    <row r="420" ht="19.7" customHeight="1"/>
    <row r="421" ht="19.7" customHeight="1"/>
    <row r="422" ht="19.7" customHeight="1"/>
    <row r="423" ht="19.7" customHeight="1"/>
    <row r="424" ht="19.7" customHeight="1"/>
    <row r="425" ht="19.7" customHeight="1"/>
    <row r="426" ht="19.7" customHeight="1"/>
    <row r="427" ht="19.7" customHeight="1"/>
    <row r="428" ht="19.7" customHeight="1"/>
    <row r="429" ht="19.7" customHeight="1"/>
    <row r="430" ht="19.7" customHeight="1"/>
    <row r="431" ht="19.7" customHeight="1"/>
    <row r="432" ht="19.7" customHeight="1"/>
    <row r="433" ht="19.7" customHeight="1"/>
    <row r="434" ht="19.7" customHeight="1"/>
    <row r="435" ht="19.7" customHeight="1"/>
    <row r="436" ht="19.7" customHeight="1"/>
    <row r="437" ht="19.7" customHeight="1"/>
    <row r="438" ht="19.7" customHeight="1"/>
    <row r="439" ht="19.7" customHeight="1"/>
    <row r="440" ht="19.7" customHeight="1"/>
    <row r="441" ht="19.7" customHeight="1"/>
    <row r="442" ht="19.7" customHeight="1"/>
    <row r="443" ht="19.7" customHeight="1"/>
    <row r="444" ht="19.7" customHeight="1"/>
    <row r="445" ht="19.7" customHeight="1"/>
    <row r="446" ht="19.7" customHeight="1"/>
    <row r="447" ht="19.7" customHeight="1"/>
    <row r="448" ht="19.7" customHeight="1"/>
    <row r="449" ht="19.7" customHeight="1"/>
    <row r="450" ht="19.7" customHeight="1"/>
    <row r="451" ht="19.7" customHeight="1"/>
    <row r="452" ht="19.7" customHeight="1"/>
    <row r="453" ht="19.7" customHeight="1"/>
    <row r="454" ht="19.7" customHeight="1"/>
    <row r="455" ht="19.7" customHeight="1"/>
    <row r="456" ht="19.7" customHeight="1"/>
  </sheetData>
  <mergeCells count="8">
    <mergeCell ref="A170:B170"/>
    <mergeCell ref="A171:L171"/>
    <mergeCell ref="A1:B4"/>
    <mergeCell ref="C1:L2"/>
    <mergeCell ref="C3:L4"/>
    <mergeCell ref="A6:B6"/>
    <mergeCell ref="A7:L7"/>
    <mergeCell ref="A144:L144"/>
  </mergeCells>
  <pageMargins left="0.51181102362204722" right="0.51181102362204722" top="0.55118110236220474" bottom="0.55118110236220474" header="0.31496062992125984" footer="0.31496062992125984"/>
  <pageSetup paperSize="8" scale="42" orientation="landscape" r:id="rId1"/>
  <rowBreaks count="2" manualBreakCount="2">
    <brk id="71" max="8" man="1"/>
    <brk id="143" max="8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B2"/>
  <sheetViews>
    <sheetView showGridLines="0" workbookViewId="0">
      <selection activeCell="F9" sqref="F9"/>
    </sheetView>
  </sheetViews>
  <sheetFormatPr defaultColWidth="8.7109375" defaultRowHeight="15"/>
  <cols>
    <col min="1" max="16384" width="8.7109375" style="154"/>
  </cols>
  <sheetData>
    <row r="2" spans="2:2" ht="49.5">
      <c r="B2" s="155" t="s">
        <v>452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R21"/>
  <sheetViews>
    <sheetView showGridLines="0" topLeftCell="A4" zoomScale="89" workbookViewId="0">
      <selection activeCell="A4" sqref="A4"/>
    </sheetView>
  </sheetViews>
  <sheetFormatPr defaultRowHeight="15"/>
  <cols>
    <col min="1" max="1" width="23.5703125" style="1" customWidth="1"/>
    <col min="2" max="2" width="14.42578125" customWidth="1"/>
    <col min="3" max="3" width="16.5703125" style="321" customWidth="1"/>
    <col min="4" max="4" width="15.5703125" style="321" customWidth="1"/>
    <col min="5" max="5" width="35.7109375" hidden="1" customWidth="1"/>
    <col min="6" max="6" width="17.42578125" style="265" customWidth="1"/>
    <col min="7" max="7" width="21.42578125" style="321" hidden="1" customWidth="1"/>
    <col min="8" max="8" width="19.5703125" hidden="1" customWidth="1"/>
    <col min="9" max="9" width="11.85546875" hidden="1" customWidth="1"/>
    <col min="10" max="10" width="13.140625" style="1129" bestFit="1" customWidth="1"/>
    <col min="11" max="11" width="13.140625" style="321" customWidth="1"/>
    <col min="12" max="12" width="14.28515625" style="321" customWidth="1"/>
    <col min="13" max="13" width="13.140625" style="1129" bestFit="1" customWidth="1"/>
    <col min="14" max="14" width="13.140625" style="1129" customWidth="1"/>
    <col min="15" max="16" width="13.140625" style="321" customWidth="1"/>
    <col min="17" max="17" width="17" style="264" customWidth="1"/>
    <col min="18" max="18" width="10.28515625" customWidth="1"/>
  </cols>
  <sheetData>
    <row r="1" spans="1:18" s="265" customFormat="1" ht="18.75">
      <c r="A1" s="1090" t="s">
        <v>4186</v>
      </c>
      <c r="E1" s="1091"/>
      <c r="F1" s="1561"/>
      <c r="G1" s="1562"/>
      <c r="H1" s="1091"/>
      <c r="I1" s="1091"/>
      <c r="J1" s="1561" t="s">
        <v>4187</v>
      </c>
      <c r="K1" s="1562"/>
      <c r="L1" s="1563" t="s">
        <v>4188</v>
      </c>
      <c r="M1" s="1564"/>
      <c r="N1" s="1564"/>
      <c r="O1" s="1564"/>
      <c r="P1" s="1564"/>
      <c r="Q1" s="1564"/>
    </row>
    <row r="2" spans="1:18" s="265" customFormat="1" ht="60">
      <c r="A2" s="1092"/>
      <c r="B2" s="1093"/>
      <c r="C2" s="1093"/>
      <c r="D2" s="1094"/>
      <c r="E2" s="1093"/>
      <c r="F2" s="1091"/>
      <c r="G2" s="1093"/>
      <c r="H2" s="1093"/>
      <c r="I2" s="1093"/>
      <c r="J2" s="1095" t="s">
        <v>4189</v>
      </c>
      <c r="K2" s="1096" t="s">
        <v>4190</v>
      </c>
      <c r="L2" s="1097" t="s">
        <v>4191</v>
      </c>
      <c r="M2" s="1098" t="s">
        <v>4192</v>
      </c>
      <c r="N2" s="1095" t="s">
        <v>4193</v>
      </c>
      <c r="O2" s="1096" t="s">
        <v>4190</v>
      </c>
      <c r="P2" s="1098" t="s">
        <v>4194</v>
      </c>
      <c r="Q2" s="1099" t="s">
        <v>4195</v>
      </c>
    </row>
    <row r="3" spans="1:18" s="891" customFormat="1">
      <c r="A3" s="1100"/>
      <c r="B3" s="1100" t="s">
        <v>909</v>
      </c>
      <c r="C3" s="1098" t="s">
        <v>4196</v>
      </c>
      <c r="D3" s="1098" t="s">
        <v>4197</v>
      </c>
      <c r="E3" s="1100"/>
      <c r="F3" s="1100" t="s">
        <v>911</v>
      </c>
      <c r="G3" s="1095" t="s">
        <v>914</v>
      </c>
      <c r="H3" s="1095" t="s">
        <v>915</v>
      </c>
      <c r="I3" s="1095" t="s">
        <v>916</v>
      </c>
      <c r="J3" s="1101">
        <v>45291</v>
      </c>
      <c r="K3" s="1101">
        <v>45291</v>
      </c>
      <c r="L3" s="1101">
        <v>45107</v>
      </c>
      <c r="M3" s="1101">
        <v>45473</v>
      </c>
      <c r="N3" s="1101">
        <v>45473</v>
      </c>
      <c r="O3" s="1101">
        <v>45473</v>
      </c>
      <c r="P3" s="1101"/>
      <c r="Q3" s="1102"/>
    </row>
    <row r="4" spans="1:18" s="265" customFormat="1" ht="25.5">
      <c r="A4" s="1103" t="s">
        <v>922</v>
      </c>
      <c r="B4" s="1104" t="s">
        <v>923</v>
      </c>
      <c r="C4" s="1104" t="s">
        <v>924</v>
      </c>
      <c r="D4" s="1104" t="s">
        <v>4198</v>
      </c>
      <c r="E4" s="1105" t="s">
        <v>925</v>
      </c>
      <c r="F4" s="1106">
        <v>900000</v>
      </c>
      <c r="G4" s="1107">
        <v>43247</v>
      </c>
      <c r="H4" s="1108">
        <v>45531</v>
      </c>
      <c r="I4" s="1096">
        <v>60</v>
      </c>
      <c r="J4" s="1109">
        <v>182825.16</v>
      </c>
      <c r="K4" s="1110">
        <v>123085.86</v>
      </c>
      <c r="L4" s="1110">
        <v>91681.89</v>
      </c>
      <c r="M4" s="1109">
        <f>K4-O4-0.01</f>
        <v>92223.67</v>
      </c>
      <c r="N4" s="1109">
        <f>L4+M4</f>
        <v>183905.56</v>
      </c>
      <c r="O4" s="1110">
        <v>30862.18</v>
      </c>
      <c r="P4" s="1110">
        <f>SUM(N4:O4)</f>
        <v>214767.74</v>
      </c>
      <c r="Q4" s="1111">
        <v>214767.74</v>
      </c>
    </row>
    <row r="5" spans="1:18" s="265" customFormat="1" ht="25.5">
      <c r="A5" s="1103" t="s">
        <v>926</v>
      </c>
      <c r="B5" s="1104" t="s">
        <v>927</v>
      </c>
      <c r="C5" s="1104" t="s">
        <v>928</v>
      </c>
      <c r="D5" s="1104" t="s">
        <v>4199</v>
      </c>
      <c r="E5" s="1105" t="s">
        <v>929</v>
      </c>
      <c r="F5" s="1106">
        <v>1000000</v>
      </c>
      <c r="G5" s="1107">
        <v>43830</v>
      </c>
      <c r="H5" s="1108">
        <v>45838</v>
      </c>
      <c r="I5" s="1096">
        <v>10</v>
      </c>
      <c r="J5" s="1109">
        <v>200000</v>
      </c>
      <c r="K5" s="1110">
        <v>300000</v>
      </c>
      <c r="L5" s="1110">
        <v>100000</v>
      </c>
      <c r="M5" s="1109">
        <f t="shared" ref="M5:M10" si="0">K5-O5</f>
        <v>100000</v>
      </c>
      <c r="N5" s="1109">
        <f t="shared" ref="N5:N16" si="1">L5+M5</f>
        <v>200000</v>
      </c>
      <c r="O5" s="1110">
        <v>200000</v>
      </c>
      <c r="P5" s="1110">
        <f t="shared" ref="P5:P16" si="2">SUM(N5:O5)</f>
        <v>400000</v>
      </c>
      <c r="Q5" s="1111">
        <v>400000</v>
      </c>
    </row>
    <row r="6" spans="1:18" s="265" customFormat="1" ht="25.5">
      <c r="A6" s="1103" t="s">
        <v>931</v>
      </c>
      <c r="B6" s="1104" t="s">
        <v>932</v>
      </c>
      <c r="C6" s="1104" t="s">
        <v>933</v>
      </c>
      <c r="D6" s="1104" t="s">
        <v>4200</v>
      </c>
      <c r="E6" s="1112" t="s">
        <v>934</v>
      </c>
      <c r="F6" s="1106">
        <v>500000</v>
      </c>
      <c r="G6" s="1107">
        <v>44229</v>
      </c>
      <c r="H6" s="1113">
        <v>46328</v>
      </c>
      <c r="I6" s="1096">
        <v>24</v>
      </c>
      <c r="J6" s="1109">
        <v>98491.88</v>
      </c>
      <c r="K6" s="1110">
        <v>304479.88</v>
      </c>
      <c r="L6" s="1110">
        <v>49430.27</v>
      </c>
      <c r="M6" s="1109">
        <f t="shared" si="0"/>
        <v>49801.679999999993</v>
      </c>
      <c r="N6" s="1109">
        <f t="shared" si="1"/>
        <v>99231.949999999983</v>
      </c>
      <c r="O6" s="1110">
        <v>254678.2</v>
      </c>
      <c r="P6" s="1110">
        <f t="shared" si="2"/>
        <v>353910.15</v>
      </c>
      <c r="Q6" s="1111">
        <v>353910.15</v>
      </c>
    </row>
    <row r="7" spans="1:18" s="265" customFormat="1" ht="30">
      <c r="A7" s="1098" t="s">
        <v>935</v>
      </c>
      <c r="B7" s="1114" t="s">
        <v>936</v>
      </c>
      <c r="C7" s="1096">
        <v>150175</v>
      </c>
      <c r="D7" s="1096" t="s">
        <v>4201</v>
      </c>
      <c r="E7" s="1114" t="s">
        <v>937</v>
      </c>
      <c r="F7" s="1115">
        <v>1300000</v>
      </c>
      <c r="G7" s="1107">
        <v>44228</v>
      </c>
      <c r="H7" s="1113">
        <v>46415</v>
      </c>
      <c r="I7" s="1096">
        <v>72</v>
      </c>
      <c r="J7" s="1109">
        <v>293624.90000000002</v>
      </c>
      <c r="K7" s="1110">
        <v>1006375.1</v>
      </c>
      <c r="L7" s="1110">
        <v>160471.85999999999</v>
      </c>
      <c r="M7" s="1109">
        <f t="shared" si="0"/>
        <v>161225.94999999995</v>
      </c>
      <c r="N7" s="1109">
        <f t="shared" si="1"/>
        <v>321697.80999999994</v>
      </c>
      <c r="O7" s="1110">
        <v>845149.15</v>
      </c>
      <c r="P7" s="1110">
        <f t="shared" si="2"/>
        <v>1166846.96</v>
      </c>
      <c r="Q7" s="1111">
        <v>1166846.96</v>
      </c>
    </row>
    <row r="8" spans="1:18" ht="38.25">
      <c r="A8" s="1116" t="s">
        <v>938</v>
      </c>
      <c r="B8" s="1096">
        <v>1062359</v>
      </c>
      <c r="C8" s="1096">
        <v>150104</v>
      </c>
      <c r="D8" s="1096" t="s">
        <v>4202</v>
      </c>
      <c r="E8" s="1105" t="s">
        <v>939</v>
      </c>
      <c r="F8" s="1106">
        <v>800000</v>
      </c>
      <c r="G8" s="1107">
        <v>44287</v>
      </c>
      <c r="H8" s="1107">
        <v>46296</v>
      </c>
      <c r="I8" s="1096">
        <v>12</v>
      </c>
      <c r="J8" s="1109">
        <v>114285.71</v>
      </c>
      <c r="K8" s="1110">
        <v>685714.29</v>
      </c>
      <c r="L8" s="1110">
        <v>114285.71</v>
      </c>
      <c r="M8" s="1109">
        <f t="shared" si="0"/>
        <v>114285.71000000008</v>
      </c>
      <c r="N8" s="1109">
        <f t="shared" si="1"/>
        <v>228571.4200000001</v>
      </c>
      <c r="O8" s="1110">
        <v>571428.57999999996</v>
      </c>
      <c r="P8" s="1110">
        <f t="shared" si="2"/>
        <v>800000</v>
      </c>
      <c r="Q8" s="1111">
        <v>800000</v>
      </c>
    </row>
    <row r="9" spans="1:18" ht="38.25">
      <c r="A9" s="1116" t="s">
        <v>942</v>
      </c>
      <c r="B9" s="1096" t="s">
        <v>943</v>
      </c>
      <c r="C9" s="1096">
        <v>150176</v>
      </c>
      <c r="D9" s="1096" t="s">
        <v>4203</v>
      </c>
      <c r="E9" s="1105" t="s">
        <v>944</v>
      </c>
      <c r="F9" s="1106">
        <v>450000</v>
      </c>
      <c r="G9" s="1107">
        <v>44322</v>
      </c>
      <c r="H9" s="1107">
        <v>46118</v>
      </c>
      <c r="I9" s="1096">
        <v>60</v>
      </c>
      <c r="J9" s="1109">
        <v>107516.05</v>
      </c>
      <c r="K9" s="1110">
        <v>253378.6</v>
      </c>
      <c r="L9" s="1110">
        <v>53838.64</v>
      </c>
      <c r="M9" s="1109">
        <f t="shared" si="0"/>
        <v>54000.369999999995</v>
      </c>
      <c r="N9" s="1109">
        <f t="shared" si="1"/>
        <v>107839.01</v>
      </c>
      <c r="O9" s="1110">
        <v>199378.23</v>
      </c>
      <c r="P9" s="1110">
        <f t="shared" si="2"/>
        <v>307217.24</v>
      </c>
      <c r="Q9" s="1111">
        <v>307217.24</v>
      </c>
    </row>
    <row r="10" spans="1:18" s="265" customFormat="1" ht="30" customHeight="1">
      <c r="A10" s="1100" t="s">
        <v>945</v>
      </c>
      <c r="B10" s="1096">
        <v>994148952</v>
      </c>
      <c r="C10" s="1096">
        <v>150177</v>
      </c>
      <c r="D10" s="1096" t="s">
        <v>4204</v>
      </c>
      <c r="E10" s="1114" t="s">
        <v>946</v>
      </c>
      <c r="F10" s="1106">
        <v>650000</v>
      </c>
      <c r="G10" s="1107">
        <v>44347</v>
      </c>
      <c r="H10" s="1107">
        <v>46507</v>
      </c>
      <c r="I10" s="1096">
        <v>60</v>
      </c>
      <c r="J10" s="1117">
        <v>129999.96</v>
      </c>
      <c r="K10" s="1118">
        <v>433333.4</v>
      </c>
      <c r="L10" s="1118">
        <v>64999.98</v>
      </c>
      <c r="M10" s="1109">
        <f t="shared" si="0"/>
        <v>64999.98000000004</v>
      </c>
      <c r="N10" s="1109">
        <f t="shared" si="1"/>
        <v>129999.96000000005</v>
      </c>
      <c r="O10" s="1118">
        <v>368333.42</v>
      </c>
      <c r="P10" s="1110">
        <f t="shared" si="2"/>
        <v>498333.38</v>
      </c>
      <c r="Q10" s="1111">
        <v>498333.38</v>
      </c>
    </row>
    <row r="11" spans="1:18" ht="45">
      <c r="A11" s="1098" t="s">
        <v>947</v>
      </c>
      <c r="B11" s="1096">
        <v>88044</v>
      </c>
      <c r="C11" s="1096">
        <v>150178</v>
      </c>
      <c r="D11" s="1096" t="s">
        <v>4205</v>
      </c>
      <c r="E11" s="1097" t="s">
        <v>4206</v>
      </c>
      <c r="F11" s="1119" t="s">
        <v>949</v>
      </c>
      <c r="G11" s="1107">
        <v>44986</v>
      </c>
      <c r="H11" s="1107">
        <v>46631</v>
      </c>
      <c r="I11" s="1096">
        <v>10</v>
      </c>
      <c r="J11" s="1120">
        <v>96050</v>
      </c>
      <c r="K11" s="1121">
        <v>384200</v>
      </c>
      <c r="L11" s="1121">
        <v>48025</v>
      </c>
      <c r="M11" s="1109">
        <f>24012.5*2</f>
        <v>48025</v>
      </c>
      <c r="N11" s="1109">
        <f t="shared" si="1"/>
        <v>96050</v>
      </c>
      <c r="O11" s="1121">
        <f>K11-M11</f>
        <v>336175</v>
      </c>
      <c r="P11" s="1110">
        <f t="shared" si="2"/>
        <v>432225</v>
      </c>
      <c r="Q11" s="1111">
        <v>432225</v>
      </c>
    </row>
    <row r="12" spans="1:18" ht="30">
      <c r="A12" s="1098" t="s">
        <v>950</v>
      </c>
      <c r="B12" s="1096" t="s">
        <v>951</v>
      </c>
      <c r="C12" s="1096"/>
      <c r="D12" s="1096" t="s">
        <v>4207</v>
      </c>
      <c r="E12" s="1097" t="s">
        <v>952</v>
      </c>
      <c r="F12" s="1119">
        <v>500000</v>
      </c>
      <c r="G12" s="1107">
        <v>44651</v>
      </c>
      <c r="H12" s="1107">
        <v>45016</v>
      </c>
      <c r="I12" s="1096">
        <v>13</v>
      </c>
      <c r="J12" s="1120">
        <v>166666.70000000001</v>
      </c>
      <c r="K12" s="1121">
        <v>0</v>
      </c>
      <c r="L12" s="1121">
        <v>0</v>
      </c>
      <c r="M12" s="1109">
        <f>K12-O12</f>
        <v>0</v>
      </c>
      <c r="N12" s="1109">
        <f t="shared" si="1"/>
        <v>0</v>
      </c>
      <c r="O12" s="1121"/>
      <c r="P12" s="1110">
        <f t="shared" si="2"/>
        <v>0</v>
      </c>
      <c r="Q12" s="1122">
        <v>0</v>
      </c>
    </row>
    <row r="13" spans="1:18" s="257" customFormat="1" ht="30.75" thickBot="1">
      <c r="A13" s="1217" t="s">
        <v>4208</v>
      </c>
      <c r="B13" s="1193">
        <v>5657541</v>
      </c>
      <c r="C13" s="1193">
        <v>150180</v>
      </c>
      <c r="D13" s="1193" t="s">
        <v>4209</v>
      </c>
      <c r="E13" s="1194" t="s">
        <v>958</v>
      </c>
      <c r="F13" s="1218">
        <v>1000000</v>
      </c>
      <c r="G13" s="1196">
        <v>44742</v>
      </c>
      <c r="H13" s="1196">
        <v>46538</v>
      </c>
      <c r="I13" s="1193">
        <v>60</v>
      </c>
      <c r="J13" s="1198">
        <v>210872.89</v>
      </c>
      <c r="K13" s="1199">
        <v>789127.11</v>
      </c>
      <c r="L13" s="1199">
        <v>106899.23</v>
      </c>
      <c r="M13" s="1200">
        <f>K13-O13</f>
        <v>108595.28000000003</v>
      </c>
      <c r="N13" s="1200">
        <f t="shared" si="1"/>
        <v>215494.51</v>
      </c>
      <c r="O13" s="1199">
        <v>680531.83</v>
      </c>
      <c r="P13" s="1201">
        <f t="shared" si="2"/>
        <v>896026.34</v>
      </c>
      <c r="Q13" s="1199">
        <v>895487.06</v>
      </c>
      <c r="R13" s="1219">
        <f>P13-Q13</f>
        <v>539.27999999991152</v>
      </c>
    </row>
    <row r="14" spans="1:18" ht="30">
      <c r="A14" s="1230" t="s">
        <v>4210</v>
      </c>
      <c r="B14" s="1220">
        <v>110500</v>
      </c>
      <c r="C14" s="1220"/>
      <c r="D14" s="1220" t="s">
        <v>4211</v>
      </c>
      <c r="E14" s="1221" t="s">
        <v>960</v>
      </c>
      <c r="F14" s="1222">
        <v>1000000</v>
      </c>
      <c r="G14" s="1223">
        <v>45016</v>
      </c>
      <c r="H14" s="1223">
        <v>46387</v>
      </c>
      <c r="I14" s="1220">
        <v>16</v>
      </c>
      <c r="J14" s="1224">
        <f>1000000-750000</f>
        <v>250000</v>
      </c>
      <c r="K14" s="1225">
        <v>750000</v>
      </c>
      <c r="L14" s="1225">
        <v>125000</v>
      </c>
      <c r="M14" s="1226">
        <f>K14-O14</f>
        <v>125000</v>
      </c>
      <c r="N14" s="1226">
        <f t="shared" si="1"/>
        <v>250000</v>
      </c>
      <c r="O14" s="1225">
        <v>625000</v>
      </c>
      <c r="P14" s="1227">
        <f t="shared" si="2"/>
        <v>875000</v>
      </c>
      <c r="Q14" s="1225">
        <v>875000</v>
      </c>
      <c r="R14" s="1228"/>
    </row>
    <row r="15" spans="1:18" ht="30.75" thickBot="1">
      <c r="A15" s="1231" t="s">
        <v>4212</v>
      </c>
      <c r="B15" s="1193" t="s">
        <v>4213</v>
      </c>
      <c r="C15" s="1193"/>
      <c r="D15" s="1193" t="s">
        <v>4214</v>
      </c>
      <c r="E15" s="1194" t="s">
        <v>4215</v>
      </c>
      <c r="F15" s="1195">
        <v>1000000</v>
      </c>
      <c r="G15" s="1196">
        <v>45138</v>
      </c>
      <c r="H15" s="1196">
        <v>45382</v>
      </c>
      <c r="I15" s="1197" t="s">
        <v>4216</v>
      </c>
      <c r="J15" s="1198">
        <f>1000000-333333.34</f>
        <v>666666.65999999992</v>
      </c>
      <c r="K15" s="1199">
        <v>333333.34000000003</v>
      </c>
      <c r="L15" s="1199">
        <v>666666.66</v>
      </c>
      <c r="M15" s="1200">
        <f>K15-O15</f>
        <v>333333.34000000003</v>
      </c>
      <c r="N15" s="1200">
        <f t="shared" si="1"/>
        <v>1000000</v>
      </c>
      <c r="O15" s="1199">
        <v>0</v>
      </c>
      <c r="P15" s="1201">
        <f t="shared" si="2"/>
        <v>1000000</v>
      </c>
      <c r="Q15" s="1199">
        <v>1000000</v>
      </c>
      <c r="R15" s="1229"/>
    </row>
    <row r="16" spans="1:18" s="265" customFormat="1" ht="37.700000000000003" customHeight="1" thickBot="1">
      <c r="A16" s="1232" t="s">
        <v>4217</v>
      </c>
      <c r="B16" s="1207">
        <v>2285990</v>
      </c>
      <c r="C16" s="1208"/>
      <c r="D16" s="1208" t="s">
        <v>4218</v>
      </c>
      <c r="E16" s="1207" t="s">
        <v>4219</v>
      </c>
      <c r="F16" s="1209">
        <v>1000000</v>
      </c>
      <c r="G16" s="1210">
        <v>45107</v>
      </c>
      <c r="H16" s="1210">
        <v>45473</v>
      </c>
      <c r="I16" s="1208">
        <v>13</v>
      </c>
      <c r="J16" s="1211">
        <f>1000000-466513.95</f>
        <v>533486.05000000005</v>
      </c>
      <c r="K16" s="1212">
        <v>466513.95</v>
      </c>
      <c r="L16" s="1212">
        <v>457975.83</v>
      </c>
      <c r="M16" s="1213">
        <f>K16-O16</f>
        <v>466513.95</v>
      </c>
      <c r="N16" s="1213">
        <f t="shared" si="1"/>
        <v>924489.78</v>
      </c>
      <c r="O16" s="1212">
        <v>0</v>
      </c>
      <c r="P16" s="1214">
        <f t="shared" si="2"/>
        <v>924489.78</v>
      </c>
      <c r="Q16" s="1215">
        <v>924489.78</v>
      </c>
      <c r="R16" s="1216" t="s">
        <v>4251</v>
      </c>
    </row>
    <row r="17" spans="1:17" s="265" customFormat="1" ht="37.700000000000003" customHeight="1">
      <c r="A17" s="1202"/>
      <c r="B17" s="1203"/>
      <c r="C17" s="1204"/>
      <c r="D17" s="1204"/>
      <c r="E17" s="1203"/>
      <c r="F17" s="1205"/>
      <c r="G17" s="1206"/>
      <c r="H17" s="1206"/>
      <c r="I17" s="1204"/>
      <c r="J17" s="1123"/>
      <c r="K17" s="1124"/>
      <c r="L17" s="1124"/>
      <c r="M17" s="1125"/>
      <c r="N17" s="1125"/>
      <c r="O17" s="1124"/>
      <c r="P17" s="1126"/>
      <c r="Q17" s="1127"/>
    </row>
    <row r="21" spans="1:17">
      <c r="A21" s="1128" t="s">
        <v>4220</v>
      </c>
    </row>
  </sheetData>
  <mergeCells count="3">
    <mergeCell ref="F1:G1"/>
    <mergeCell ref="J1:K1"/>
    <mergeCell ref="L1:Q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2:Z34"/>
  <sheetViews>
    <sheetView showGridLines="0" topLeftCell="A5" zoomScale="59" workbookViewId="0">
      <selection activeCell="A5" sqref="A5"/>
    </sheetView>
  </sheetViews>
  <sheetFormatPr defaultColWidth="9.28515625" defaultRowHeight="18"/>
  <cols>
    <col min="1" max="1" width="12.7109375" style="393" customWidth="1"/>
    <col min="2" max="2" width="9.28515625" style="1130"/>
    <col min="3" max="3" width="27.140625" style="438" customWidth="1"/>
    <col min="4" max="4" width="16.28515625" style="438" customWidth="1"/>
    <col min="5" max="5" width="38.7109375" style="1131" customWidth="1"/>
    <col min="6" max="6" width="21.28515625" style="1132" customWidth="1"/>
    <col min="7" max="7" width="18.85546875" style="438" customWidth="1"/>
    <col min="8" max="8" width="22.140625" style="438" customWidth="1"/>
    <col min="9" max="9" width="20.5703125" style="1133" customWidth="1"/>
    <col min="10" max="10" width="22" style="1133" customWidth="1"/>
    <col min="11" max="12" width="19.5703125" style="1133" customWidth="1"/>
    <col min="13" max="13" width="16.85546875" style="1133" customWidth="1"/>
    <col min="14" max="14" width="19.28515625" style="1133" customWidth="1"/>
    <col min="15" max="16" width="20.5703125" style="438" customWidth="1"/>
    <col min="17" max="17" width="18.5703125" style="438" customWidth="1"/>
    <col min="18" max="20" width="18.140625" style="438" customWidth="1"/>
    <col min="21" max="21" width="18" style="438" bestFit="1" customWidth="1"/>
    <col min="22" max="22" width="16.5703125" style="438" customWidth="1"/>
    <col min="23" max="23" width="15.42578125" style="438" bestFit="1" customWidth="1"/>
    <col min="24" max="16384" width="9.28515625" style="393"/>
  </cols>
  <sheetData>
    <row r="2" spans="1:26">
      <c r="Q2" s="1134"/>
    </row>
    <row r="3" spans="1:26">
      <c r="C3" s="1135" t="s">
        <v>1077</v>
      </c>
      <c r="D3" s="1136"/>
      <c r="E3" s="1136"/>
      <c r="F3" s="1136"/>
      <c r="G3" s="1136"/>
      <c r="H3" s="1137"/>
      <c r="I3" s="1138"/>
      <c r="J3" s="1138"/>
      <c r="Q3" s="1134"/>
    </row>
    <row r="4" spans="1:26" s="333" customFormat="1" ht="90">
      <c r="B4" s="1139" t="s">
        <v>970</v>
      </c>
      <c r="C4" s="1140" t="s">
        <v>971</v>
      </c>
      <c r="D4" s="1141" t="s">
        <v>972</v>
      </c>
      <c r="E4" s="1140" t="s">
        <v>973</v>
      </c>
      <c r="F4" s="1141" t="s">
        <v>1078</v>
      </c>
      <c r="G4" s="1142" t="s">
        <v>4221</v>
      </c>
      <c r="H4" s="1142" t="s">
        <v>4222</v>
      </c>
      <c r="I4" s="1143" t="s">
        <v>4223</v>
      </c>
      <c r="J4" s="1143" t="s">
        <v>4224</v>
      </c>
      <c r="K4" s="1144" t="s">
        <v>4225</v>
      </c>
      <c r="L4" s="1145" t="s">
        <v>4226</v>
      </c>
      <c r="M4" s="1146" t="s">
        <v>4227</v>
      </c>
      <c r="N4" s="1147" t="s">
        <v>4228</v>
      </c>
      <c r="O4" s="1148" t="s">
        <v>4229</v>
      </c>
      <c r="P4" s="1149" t="s">
        <v>4230</v>
      </c>
      <c r="Q4" s="1150" t="s">
        <v>4231</v>
      </c>
      <c r="R4" s="1130"/>
      <c r="S4" s="1130"/>
      <c r="T4" s="1148" t="s">
        <v>4232</v>
      </c>
      <c r="U4" s="1148" t="s">
        <v>4233</v>
      </c>
      <c r="V4" s="1130"/>
      <c r="W4" s="1130"/>
      <c r="X4" s="1130"/>
      <c r="Y4" s="1130"/>
      <c r="Z4" s="1130"/>
    </row>
    <row r="5" spans="1:26" ht="18.75">
      <c r="A5" s="1151" t="s">
        <v>4234</v>
      </c>
      <c r="B5" s="1139">
        <v>99</v>
      </c>
      <c r="C5" s="1152" t="s">
        <v>1001</v>
      </c>
      <c r="D5" s="1152">
        <v>1482846</v>
      </c>
      <c r="E5" s="1152" t="s">
        <v>1044</v>
      </c>
      <c r="F5" s="1153">
        <v>57168.5</v>
      </c>
      <c r="G5" s="1154">
        <v>1691.88</v>
      </c>
      <c r="H5" s="1154">
        <v>3069.53</v>
      </c>
      <c r="I5" s="1154">
        <f>G5*5</f>
        <v>8459.4000000000015</v>
      </c>
      <c r="J5" s="1154">
        <v>11730.71</v>
      </c>
      <c r="K5" s="1154"/>
      <c r="L5" s="1155">
        <v>45120</v>
      </c>
      <c r="M5" s="1156">
        <v>194</v>
      </c>
      <c r="N5" s="1157">
        <v>181</v>
      </c>
      <c r="O5" s="1158">
        <f>J5</f>
        <v>11730.71</v>
      </c>
      <c r="P5" s="1159">
        <f>I5+H5</f>
        <v>11528.930000000002</v>
      </c>
      <c r="Q5" s="1160">
        <f t="shared" ref="Q5:Q13" si="0">P5-O5</f>
        <v>-201.77999999999702</v>
      </c>
      <c r="R5" s="1161" t="s">
        <v>4235</v>
      </c>
      <c r="T5" s="1158">
        <f>344.65-325.4</f>
        <v>19.25</v>
      </c>
      <c r="U5" s="1158">
        <f>T5</f>
        <v>19.25</v>
      </c>
      <c r="X5" s="438"/>
      <c r="Y5" s="438"/>
      <c r="Z5" s="438"/>
    </row>
    <row r="6" spans="1:26" ht="18.75">
      <c r="A6" s="1151" t="s">
        <v>4236</v>
      </c>
      <c r="B6" s="1139">
        <v>100</v>
      </c>
      <c r="C6" s="1152" t="s">
        <v>1045</v>
      </c>
      <c r="D6" s="1152">
        <v>3746303</v>
      </c>
      <c r="E6" s="1152" t="s">
        <v>1046</v>
      </c>
      <c r="F6" s="1153">
        <v>54540.37</v>
      </c>
      <c r="G6" s="1154">
        <v>1532.46</v>
      </c>
      <c r="H6" s="1154">
        <v>2560.79</v>
      </c>
      <c r="I6" s="1162">
        <f>G6*2</f>
        <v>3064.92</v>
      </c>
      <c r="J6" s="1163">
        <v>5625.71</v>
      </c>
      <c r="K6" s="1162"/>
      <c r="L6" s="1155">
        <v>45024</v>
      </c>
      <c r="M6" s="1156">
        <v>98</v>
      </c>
      <c r="N6" s="1157">
        <v>54</v>
      </c>
      <c r="O6" s="1158">
        <f>J6</f>
        <v>5625.71</v>
      </c>
      <c r="P6" s="1159">
        <f t="shared" ref="P6:P7" si="1">I6+H6</f>
        <v>5625.71</v>
      </c>
      <c r="Q6" s="1160">
        <f t="shared" si="0"/>
        <v>0</v>
      </c>
      <c r="R6" s="435" t="s">
        <v>4237</v>
      </c>
      <c r="T6" s="1158">
        <f>157.31-148.1</f>
        <v>9.210000000000008</v>
      </c>
      <c r="U6" s="1158">
        <f t="shared" ref="U6" si="2">T6</f>
        <v>9.210000000000008</v>
      </c>
      <c r="X6" s="438"/>
      <c r="Y6" s="438"/>
      <c r="Z6" s="438"/>
    </row>
    <row r="7" spans="1:26" ht="18.75">
      <c r="A7" s="1151" t="s">
        <v>4238</v>
      </c>
      <c r="B7" s="1139">
        <v>102</v>
      </c>
      <c r="C7" s="1164" t="s">
        <v>1045</v>
      </c>
      <c r="D7" s="1164">
        <v>3872047</v>
      </c>
      <c r="E7" s="1152" t="s">
        <v>1047</v>
      </c>
      <c r="F7" s="1153">
        <v>58684.02</v>
      </c>
      <c r="G7" s="1154">
        <v>1500.78</v>
      </c>
      <c r="H7" s="1154">
        <v>3827.71</v>
      </c>
      <c r="I7" s="1162">
        <f>G7*6</f>
        <v>9004.68</v>
      </c>
      <c r="J7" s="1162">
        <v>18718.939999999999</v>
      </c>
      <c r="K7" s="1162"/>
      <c r="L7" s="1165">
        <v>45263</v>
      </c>
      <c r="M7" s="1156">
        <v>337</v>
      </c>
      <c r="N7" s="1157">
        <v>160</v>
      </c>
      <c r="O7" s="1158">
        <v>9422.48</v>
      </c>
      <c r="P7" s="1159">
        <f t="shared" si="1"/>
        <v>12832.39</v>
      </c>
      <c r="Q7" s="1160">
        <f t="shared" si="0"/>
        <v>3409.91</v>
      </c>
      <c r="R7" s="341" t="s">
        <v>4239</v>
      </c>
      <c r="T7" s="1158">
        <f>349.39-330.38</f>
        <v>19.009999999999991</v>
      </c>
      <c r="U7" s="1158"/>
      <c r="X7" s="438"/>
      <c r="Y7" s="438"/>
      <c r="Z7" s="438"/>
    </row>
    <row r="8" spans="1:26" ht="18.75">
      <c r="A8" s="1151" t="s">
        <v>4240</v>
      </c>
      <c r="B8" s="1139">
        <v>109</v>
      </c>
      <c r="C8" s="1152" t="s">
        <v>1045</v>
      </c>
      <c r="D8" s="1152">
        <v>3968835</v>
      </c>
      <c r="E8" s="1152" t="s">
        <v>1058</v>
      </c>
      <c r="F8" s="1153">
        <v>32840.980000000003</v>
      </c>
      <c r="G8" s="1154">
        <v>936.37</v>
      </c>
      <c r="H8" s="1154">
        <v>109.4</v>
      </c>
      <c r="I8" s="1154">
        <f t="shared" ref="I8:I9" si="3">G8*12</f>
        <v>11236.44</v>
      </c>
      <c r="J8" s="1154">
        <v>11226.16</v>
      </c>
      <c r="K8" s="1154"/>
      <c r="L8" s="1166">
        <v>45508</v>
      </c>
      <c r="M8" s="1167">
        <v>365</v>
      </c>
      <c r="N8" s="1168">
        <v>181</v>
      </c>
      <c r="O8" s="1158">
        <f>J8/M8*181</f>
        <v>5566.9450958904108</v>
      </c>
      <c r="P8" s="1159">
        <f>I8/2+H8</f>
        <v>5727.62</v>
      </c>
      <c r="Q8" s="1169">
        <f t="shared" si="0"/>
        <v>160.67490410958908</v>
      </c>
      <c r="T8" s="1158">
        <f>344.97-233.78</f>
        <v>111.19000000000003</v>
      </c>
      <c r="U8" s="1158">
        <f>T8/M8*N8</f>
        <v>55.138054794520556</v>
      </c>
      <c r="X8" s="438"/>
      <c r="Y8" s="438"/>
      <c r="Z8" s="438"/>
    </row>
    <row r="9" spans="1:26" ht="18.75">
      <c r="A9" s="1151" t="s">
        <v>4241</v>
      </c>
      <c r="B9" s="1139">
        <v>110</v>
      </c>
      <c r="C9" s="1152" t="s">
        <v>1045</v>
      </c>
      <c r="D9" s="1152">
        <v>3968841</v>
      </c>
      <c r="E9" s="1152" t="s">
        <v>1059</v>
      </c>
      <c r="F9" s="1153">
        <v>32840.980000000003</v>
      </c>
      <c r="G9" s="1154">
        <v>936.37</v>
      </c>
      <c r="H9" s="1154">
        <v>78.64</v>
      </c>
      <c r="I9" s="1154">
        <f t="shared" si="3"/>
        <v>11236.44</v>
      </c>
      <c r="J9" s="1154">
        <v>11226.16</v>
      </c>
      <c r="K9" s="1154"/>
      <c r="L9" s="1166">
        <v>45507</v>
      </c>
      <c r="M9" s="1167">
        <v>365</v>
      </c>
      <c r="N9" s="1168">
        <v>181</v>
      </c>
      <c r="O9" s="1158">
        <f t="shared" ref="O9:O10" si="4">J9/M9*181</f>
        <v>5566.9450958904108</v>
      </c>
      <c r="P9" s="1159">
        <f>I9/2+H9</f>
        <v>5696.8600000000006</v>
      </c>
      <c r="Q9" s="1169">
        <f t="shared" si="0"/>
        <v>129.91490410958977</v>
      </c>
      <c r="T9" s="1158">
        <f>344.97-233.79</f>
        <v>111.18000000000004</v>
      </c>
      <c r="U9" s="1158">
        <f>T9/M9*N9</f>
        <v>55.133095890410971</v>
      </c>
      <c r="X9" s="438"/>
      <c r="Y9" s="438"/>
      <c r="Z9" s="438"/>
    </row>
    <row r="10" spans="1:26" ht="18.75">
      <c r="A10" s="1151" t="s">
        <v>4242</v>
      </c>
      <c r="B10" s="1139">
        <v>124</v>
      </c>
      <c r="C10" s="1170" t="s">
        <v>1045</v>
      </c>
      <c r="D10" s="1170">
        <v>4233123</v>
      </c>
      <c r="E10" s="1170" t="s">
        <v>1070</v>
      </c>
      <c r="F10" s="1153">
        <v>55737.7</v>
      </c>
      <c r="G10" s="1154">
        <v>1471.89</v>
      </c>
      <c r="H10" s="1154">
        <v>988.41</v>
      </c>
      <c r="I10" s="1154">
        <f>G10*12</f>
        <v>17662.68</v>
      </c>
      <c r="J10" s="1154">
        <v>17646.48</v>
      </c>
      <c r="K10" s="1154"/>
      <c r="L10" s="1166">
        <v>46012</v>
      </c>
      <c r="M10" s="1167">
        <v>365</v>
      </c>
      <c r="N10" s="1168">
        <v>181</v>
      </c>
      <c r="O10" s="1158">
        <f t="shared" si="4"/>
        <v>8750.7202191780816</v>
      </c>
      <c r="P10" s="1159">
        <f>I10/2+H10</f>
        <v>9819.75</v>
      </c>
      <c r="Q10" s="1169">
        <f t="shared" si="0"/>
        <v>1069.0297808219184</v>
      </c>
      <c r="T10" s="1158">
        <f>2201.01-1557.59</f>
        <v>643.4200000000003</v>
      </c>
      <c r="U10" s="1158">
        <f>T10/M10*N10</f>
        <v>319.06580821917822</v>
      </c>
      <c r="X10" s="438"/>
      <c r="Y10" s="438"/>
      <c r="Z10" s="438"/>
    </row>
    <row r="11" spans="1:26" s="540" customFormat="1" ht="36">
      <c r="A11" s="1171" t="s">
        <v>4243</v>
      </c>
      <c r="B11" s="1139">
        <v>125</v>
      </c>
      <c r="C11" s="1170" t="s">
        <v>4244</v>
      </c>
      <c r="D11" s="1170">
        <v>2720370</v>
      </c>
      <c r="E11" s="1170" t="s">
        <v>4245</v>
      </c>
      <c r="F11" s="1153">
        <v>77685.75</v>
      </c>
      <c r="G11" s="1154">
        <f>1791.2+236.44</f>
        <v>2027.64</v>
      </c>
      <c r="H11" s="1154"/>
      <c r="I11" s="1154">
        <v>30277.84</v>
      </c>
      <c r="J11" s="1154">
        <v>15848.97</v>
      </c>
      <c r="K11" s="1166">
        <v>45097</v>
      </c>
      <c r="L11" s="1166">
        <v>46192</v>
      </c>
      <c r="M11" s="1172">
        <f>"01/01/2024"-K11</f>
        <v>195</v>
      </c>
      <c r="N11" s="1146">
        <f>30-19</f>
        <v>11</v>
      </c>
      <c r="O11" s="1173">
        <f>J11/M11*181</f>
        <v>14711.095230769231</v>
      </c>
      <c r="P11" s="1174">
        <v>18112</v>
      </c>
      <c r="Q11" s="1175">
        <f t="shared" si="0"/>
        <v>3400.9047692307686</v>
      </c>
      <c r="R11" s="1176"/>
      <c r="S11" s="1176"/>
      <c r="T11" s="1173">
        <f>1074.98-773.81</f>
        <v>301.17000000000007</v>
      </c>
      <c r="U11" s="1158">
        <f t="shared" ref="U11:U13" si="5">T11/M11*N11</f>
        <v>16.989076923076926</v>
      </c>
      <c r="V11" s="1176"/>
      <c r="W11" s="1176"/>
      <c r="X11" s="1176"/>
      <c r="Y11" s="1176"/>
      <c r="Z11" s="1176"/>
    </row>
    <row r="12" spans="1:26" ht="18.75">
      <c r="A12" s="1151" t="s">
        <v>4246</v>
      </c>
      <c r="B12" s="1139">
        <v>126</v>
      </c>
      <c r="C12" s="1170" t="s">
        <v>1045</v>
      </c>
      <c r="D12" s="1170">
        <v>4386285</v>
      </c>
      <c r="E12" s="1170" t="s">
        <v>4247</v>
      </c>
      <c r="F12" s="1153">
        <v>87595.08</v>
      </c>
      <c r="G12" s="1154">
        <v>2082.7199999999998</v>
      </c>
      <c r="H12" s="1154"/>
      <c r="I12" s="1154">
        <v>36847.89</v>
      </c>
      <c r="J12" s="1154">
        <v>16769.75</v>
      </c>
      <c r="K12" s="1166">
        <v>45103</v>
      </c>
      <c r="L12" s="1166">
        <v>46198</v>
      </c>
      <c r="M12" s="1172">
        <f t="shared" ref="M12:M13" si="6">"01/01/2024"-K12</f>
        <v>189</v>
      </c>
      <c r="N12" s="1168">
        <f>30-25</f>
        <v>5</v>
      </c>
      <c r="O12" s="1158">
        <f>J12/M12*181</f>
        <v>16059.919312169312</v>
      </c>
      <c r="P12" s="1159">
        <v>24351.57</v>
      </c>
      <c r="Q12" s="1169">
        <f t="shared" si="0"/>
        <v>8291.6506878306882</v>
      </c>
      <c r="T12" s="1158">
        <f>1405.09-1353.87</f>
        <v>51.220000000000027</v>
      </c>
      <c r="U12" s="1158">
        <f t="shared" si="5"/>
        <v>1.3550264550264557</v>
      </c>
      <c r="X12" s="438"/>
      <c r="Y12" s="438"/>
      <c r="Z12" s="438"/>
    </row>
    <row r="13" spans="1:26" ht="18.75">
      <c r="A13" s="1151" t="s">
        <v>4248</v>
      </c>
      <c r="B13" s="1139">
        <v>127</v>
      </c>
      <c r="C13" s="1170" t="s">
        <v>1045</v>
      </c>
      <c r="D13" s="1170">
        <v>4313238</v>
      </c>
      <c r="E13" s="1170" t="s">
        <v>4249</v>
      </c>
      <c r="F13" s="1153">
        <v>86775.41</v>
      </c>
      <c r="G13" s="1177">
        <v>1892.08</v>
      </c>
      <c r="H13" s="1177"/>
      <c r="I13" s="1177">
        <v>40298.11</v>
      </c>
      <c r="J13" s="1177">
        <v>24937.27</v>
      </c>
      <c r="K13" s="1166">
        <v>44980</v>
      </c>
      <c r="L13" s="1166">
        <v>46075</v>
      </c>
      <c r="M13" s="1172">
        <f t="shared" si="6"/>
        <v>312</v>
      </c>
      <c r="N13" s="1168">
        <f>28-22+31+30+31+30</f>
        <v>128</v>
      </c>
      <c r="O13" s="1158">
        <f>J13/M13*181</f>
        <v>14466.813685897436</v>
      </c>
      <c r="P13" s="1159">
        <v>28945.63</v>
      </c>
      <c r="Q13" s="1169">
        <f t="shared" si="0"/>
        <v>14478.816314102565</v>
      </c>
      <c r="T13" s="1158">
        <f>2416.6-2327.67</f>
        <v>88.929999999999836</v>
      </c>
      <c r="U13" s="1158">
        <f t="shared" si="5"/>
        <v>36.4841025641025</v>
      </c>
      <c r="X13" s="438"/>
      <c r="Y13" s="438"/>
      <c r="Z13" s="438"/>
    </row>
    <row r="14" spans="1:26">
      <c r="C14" s="341"/>
      <c r="D14" s="341"/>
      <c r="E14" s="1178"/>
      <c r="F14" s="1179"/>
      <c r="G14" s="1180"/>
      <c r="H14" s="1180"/>
      <c r="I14" s="1181"/>
      <c r="J14" s="1181"/>
      <c r="K14" s="1181"/>
      <c r="L14" s="1182"/>
      <c r="M14" s="431"/>
      <c r="N14" s="1183"/>
      <c r="O14" s="1133"/>
      <c r="Q14" s="1134"/>
      <c r="T14" s="1133"/>
      <c r="U14" s="1133"/>
      <c r="X14" s="438"/>
    </row>
    <row r="15" spans="1:26">
      <c r="C15" s="1184"/>
      <c r="D15" s="1184"/>
      <c r="E15" s="1185"/>
      <c r="F15" s="1186"/>
      <c r="G15" s="1187"/>
      <c r="H15" s="1187">
        <f>SUM(H5:H14)</f>
        <v>10634.479999999998</v>
      </c>
      <c r="I15" s="1187">
        <f>SUM(I5:I10)</f>
        <v>60664.560000000005</v>
      </c>
      <c r="J15" s="1187">
        <f>SUM(J5:J11)</f>
        <v>92023.13</v>
      </c>
      <c r="K15" s="1187"/>
      <c r="L15" s="1188"/>
      <c r="M15" s="431"/>
      <c r="N15" s="1183"/>
      <c r="O15" s="1133"/>
      <c r="P15" s="1158">
        <f>SUM(P5:P14)</f>
        <v>122640.46000000002</v>
      </c>
      <c r="Q15" s="1189">
        <f>SUM(Q8:Q13)</f>
        <v>27530.99136020512</v>
      </c>
      <c r="R15" s="1419">
        <f>+P15-Q15</f>
        <v>95109.468639794897</v>
      </c>
      <c r="T15" s="1158">
        <f>SUM(T5:T14)</f>
        <v>1354.5800000000002</v>
      </c>
      <c r="U15" s="1158">
        <f>SUM(U5:U13)</f>
        <v>512.62516484631567</v>
      </c>
      <c r="X15" s="438"/>
    </row>
    <row r="16" spans="1:26">
      <c r="R16" s="440">
        <f>+R15-Costi!H112</f>
        <v>-1.3602051039924845E-3</v>
      </c>
      <c r="S16" s="438" t="s">
        <v>4384</v>
      </c>
    </row>
    <row r="17" spans="1:26">
      <c r="I17" s="1187"/>
    </row>
    <row r="22" spans="1:26">
      <c r="B22" s="1190"/>
      <c r="C22" s="1191"/>
    </row>
    <row r="23" spans="1:26" ht="18.75" thickBot="1">
      <c r="B23" s="1190"/>
      <c r="C23" s="1192"/>
    </row>
    <row r="24" spans="1:26">
      <c r="B24" s="1190"/>
      <c r="C24" s="341"/>
      <c r="D24" s="1142" t="s">
        <v>4221</v>
      </c>
      <c r="E24" s="1178" t="s">
        <v>4385</v>
      </c>
      <c r="F24" s="1178" t="s">
        <v>4386</v>
      </c>
      <c r="G24" s="1178" t="s">
        <v>4387</v>
      </c>
      <c r="H24" s="1178" t="s">
        <v>4388</v>
      </c>
      <c r="I24" s="1422">
        <v>2023</v>
      </c>
      <c r="J24" s="1423">
        <f>+I24+1</f>
        <v>2024</v>
      </c>
      <c r="K24" s="1423">
        <f>+J24+1</f>
        <v>2025</v>
      </c>
      <c r="L24" s="1424">
        <f>+K24+1</f>
        <v>2026</v>
      </c>
    </row>
    <row r="25" spans="1:26">
      <c r="B25" s="1190"/>
      <c r="C25" s="1152" t="s">
        <v>1001</v>
      </c>
      <c r="D25" s="1154">
        <v>1691.88</v>
      </c>
      <c r="E25" s="1420">
        <v>7</v>
      </c>
      <c r="F25" s="1421">
        <v>0</v>
      </c>
      <c r="G25" s="1421">
        <v>0</v>
      </c>
      <c r="H25" s="1421">
        <v>0</v>
      </c>
      <c r="I25" s="1425">
        <f>+$D25*E25</f>
        <v>11843.16</v>
      </c>
      <c r="J25" s="1183">
        <f>+$D25*F25</f>
        <v>0</v>
      </c>
      <c r="K25" s="1183">
        <f t="shared" ref="K25:L26" si="7">+$D25*G25</f>
        <v>0</v>
      </c>
      <c r="L25" s="1426">
        <f t="shared" si="7"/>
        <v>0</v>
      </c>
    </row>
    <row r="26" spans="1:26">
      <c r="B26" s="1190"/>
      <c r="C26" s="1152" t="s">
        <v>1045</v>
      </c>
      <c r="D26" s="1154">
        <v>1532.46</v>
      </c>
      <c r="E26" s="1420">
        <v>4</v>
      </c>
      <c r="F26" s="1421">
        <v>0</v>
      </c>
      <c r="G26" s="1421">
        <v>0</v>
      </c>
      <c r="H26" s="1421">
        <v>0</v>
      </c>
      <c r="I26" s="1425">
        <f t="shared" ref="I26:I33" si="8">+$D26*E26</f>
        <v>6129.84</v>
      </c>
      <c r="J26" s="1183">
        <f t="shared" ref="J26" si="9">+$D26*F26</f>
        <v>0</v>
      </c>
      <c r="K26" s="1183">
        <f t="shared" si="7"/>
        <v>0</v>
      </c>
      <c r="L26" s="1426">
        <f t="shared" si="7"/>
        <v>0</v>
      </c>
    </row>
    <row r="27" spans="1:26">
      <c r="C27" s="1164" t="s">
        <v>1045</v>
      </c>
      <c r="D27" s="1154">
        <v>1500.78</v>
      </c>
      <c r="E27" s="1420">
        <v>12</v>
      </c>
      <c r="F27" s="1421">
        <v>0</v>
      </c>
      <c r="G27" s="1421">
        <v>0</v>
      </c>
      <c r="H27" s="1421">
        <v>0</v>
      </c>
      <c r="I27" s="1425">
        <f t="shared" si="8"/>
        <v>18009.36</v>
      </c>
      <c r="J27" s="1183">
        <f t="shared" ref="J27:J33" si="10">+$D27*F27</f>
        <v>0</v>
      </c>
      <c r="K27" s="1183">
        <f t="shared" ref="K27:K33" si="11">+$D27*G27</f>
        <v>0</v>
      </c>
      <c r="L27" s="1426">
        <f t="shared" ref="L27:L33" si="12">+$D27*H27</f>
        <v>0</v>
      </c>
    </row>
    <row r="28" spans="1:26" s="1131" customFormat="1">
      <c r="A28" s="393"/>
      <c r="B28" s="1130"/>
      <c r="C28" s="1152" t="s">
        <v>1045</v>
      </c>
      <c r="D28" s="1154">
        <v>936.37</v>
      </c>
      <c r="E28" s="1420">
        <v>12</v>
      </c>
      <c r="F28" s="1421">
        <v>8</v>
      </c>
      <c r="G28" s="1420">
        <v>0</v>
      </c>
      <c r="H28" s="1420">
        <v>0</v>
      </c>
      <c r="I28" s="1425">
        <f t="shared" si="8"/>
        <v>11236.44</v>
      </c>
      <c r="J28" s="1183">
        <f t="shared" si="10"/>
        <v>7490.96</v>
      </c>
      <c r="K28" s="1183">
        <f t="shared" si="11"/>
        <v>0</v>
      </c>
      <c r="L28" s="1426">
        <f t="shared" si="12"/>
        <v>0</v>
      </c>
      <c r="M28" s="1133"/>
      <c r="N28" s="1133"/>
      <c r="O28" s="438"/>
      <c r="P28" s="438"/>
      <c r="Q28" s="438"/>
      <c r="R28" s="438"/>
      <c r="S28" s="438"/>
      <c r="T28" s="438"/>
      <c r="U28" s="438"/>
      <c r="V28" s="438"/>
      <c r="W28" s="438"/>
      <c r="X28" s="393"/>
      <c r="Y28" s="393"/>
      <c r="Z28" s="393"/>
    </row>
    <row r="29" spans="1:26">
      <c r="C29" s="1152" t="s">
        <v>1045</v>
      </c>
      <c r="D29" s="1154">
        <v>936.37</v>
      </c>
      <c r="E29" s="1420">
        <v>12</v>
      </c>
      <c r="F29" s="1421">
        <v>8</v>
      </c>
      <c r="G29" s="1420">
        <v>0</v>
      </c>
      <c r="H29" s="1420">
        <v>0</v>
      </c>
      <c r="I29" s="1425">
        <f t="shared" si="8"/>
        <v>11236.44</v>
      </c>
      <c r="J29" s="1183">
        <f t="shared" si="10"/>
        <v>7490.96</v>
      </c>
      <c r="K29" s="1183">
        <f t="shared" si="11"/>
        <v>0</v>
      </c>
      <c r="L29" s="1426">
        <f t="shared" si="12"/>
        <v>0</v>
      </c>
    </row>
    <row r="30" spans="1:26">
      <c r="C30" s="1170" t="s">
        <v>1045</v>
      </c>
      <c r="D30" s="1154">
        <v>1471.89</v>
      </c>
      <c r="E30" s="1420">
        <v>12</v>
      </c>
      <c r="F30" s="1421">
        <v>12</v>
      </c>
      <c r="G30" s="1420">
        <v>12</v>
      </c>
      <c r="H30" s="1420">
        <v>0</v>
      </c>
      <c r="I30" s="1425">
        <f t="shared" si="8"/>
        <v>17662.68</v>
      </c>
      <c r="J30" s="1183">
        <f t="shared" si="10"/>
        <v>17662.68</v>
      </c>
      <c r="K30" s="1183">
        <f t="shared" si="11"/>
        <v>17662.68</v>
      </c>
      <c r="L30" s="1426">
        <f t="shared" si="12"/>
        <v>0</v>
      </c>
    </row>
    <row r="31" spans="1:26" ht="36">
      <c r="C31" s="1170" t="s">
        <v>4244</v>
      </c>
      <c r="D31" s="1154">
        <f>1791.2+236.44</f>
        <v>2027.64</v>
      </c>
      <c r="E31" s="1420">
        <v>6</v>
      </c>
      <c r="F31" s="1421">
        <v>12</v>
      </c>
      <c r="G31" s="1420">
        <v>12</v>
      </c>
      <c r="H31" s="1420">
        <v>6</v>
      </c>
      <c r="I31" s="1425">
        <f t="shared" si="8"/>
        <v>12165.84</v>
      </c>
      <c r="J31" s="1183">
        <f t="shared" si="10"/>
        <v>24331.68</v>
      </c>
      <c r="K31" s="1183">
        <f t="shared" si="11"/>
        <v>24331.68</v>
      </c>
      <c r="L31" s="1426">
        <f t="shared" si="12"/>
        <v>12165.84</v>
      </c>
    </row>
    <row r="32" spans="1:26">
      <c r="C32" s="1170" t="s">
        <v>1045</v>
      </c>
      <c r="D32" s="1154">
        <v>2082.7199999999998</v>
      </c>
      <c r="E32" s="1420">
        <v>6</v>
      </c>
      <c r="F32" s="1421">
        <v>12</v>
      </c>
      <c r="G32" s="1420">
        <v>12</v>
      </c>
      <c r="H32" s="1420">
        <v>6</v>
      </c>
      <c r="I32" s="1425">
        <f t="shared" si="8"/>
        <v>12496.32</v>
      </c>
      <c r="J32" s="1183">
        <f t="shared" si="10"/>
        <v>24992.639999999999</v>
      </c>
      <c r="K32" s="1183">
        <f t="shared" si="11"/>
        <v>24992.639999999999</v>
      </c>
      <c r="L32" s="1426">
        <f t="shared" si="12"/>
        <v>12496.32</v>
      </c>
    </row>
    <row r="33" spans="3:12">
      <c r="C33" s="1170" t="s">
        <v>1045</v>
      </c>
      <c r="D33" s="1177">
        <v>1892.08</v>
      </c>
      <c r="E33" s="1420">
        <v>6</v>
      </c>
      <c r="F33" s="1421">
        <v>12</v>
      </c>
      <c r="G33" s="1420">
        <v>12</v>
      </c>
      <c r="H33" s="1420">
        <v>2</v>
      </c>
      <c r="I33" s="1425">
        <f t="shared" si="8"/>
        <v>11352.48</v>
      </c>
      <c r="J33" s="1183">
        <f t="shared" si="10"/>
        <v>22704.959999999999</v>
      </c>
      <c r="K33" s="1183">
        <f t="shared" si="11"/>
        <v>22704.959999999999</v>
      </c>
      <c r="L33" s="1426">
        <f t="shared" si="12"/>
        <v>3784.16</v>
      </c>
    </row>
    <row r="34" spans="3:12" ht="18.75" thickBot="1">
      <c r="I34" s="1427">
        <f>+SUM(I25:I33)</f>
        <v>112132.56000000001</v>
      </c>
      <c r="J34" s="1428">
        <f t="shared" ref="J34:L34" si="13">+SUM(J25:J33)</f>
        <v>104673.88</v>
      </c>
      <c r="K34" s="1428">
        <f t="shared" si="13"/>
        <v>89691.959999999992</v>
      </c>
      <c r="L34" s="1429">
        <f t="shared" si="13"/>
        <v>28446.32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2:L204"/>
  <sheetViews>
    <sheetView showGridLines="0" topLeftCell="A166" zoomScale="91" workbookViewId="0">
      <selection activeCell="B4" sqref="B4:B188"/>
    </sheetView>
  </sheetViews>
  <sheetFormatPr defaultColWidth="9.28515625" defaultRowHeight="12.75"/>
  <cols>
    <col min="1" max="1" width="2.85546875" style="927" customWidth="1"/>
    <col min="2" max="2" width="60.85546875" style="927" bestFit="1" customWidth="1"/>
    <col min="3" max="3" width="12.28515625" style="927" bestFit="1" customWidth="1"/>
    <col min="4" max="4" width="11.5703125" style="927" bestFit="1" customWidth="1"/>
    <col min="5" max="5" width="16.42578125" style="927" customWidth="1"/>
    <col min="6" max="7" width="11.5703125" style="927" bestFit="1" customWidth="1"/>
    <col min="8" max="8" width="16.42578125" style="927" customWidth="1"/>
    <col min="9" max="9" width="10.42578125" style="927" bestFit="1" customWidth="1"/>
    <col min="10" max="10" width="11.5703125" style="927" bestFit="1" customWidth="1"/>
    <col min="11" max="11" width="16.42578125" style="927" customWidth="1"/>
    <col min="12" max="12" width="17.7109375" style="927" customWidth="1"/>
    <col min="13" max="16384" width="9.28515625" style="927"/>
  </cols>
  <sheetData>
    <row r="2" spans="2:12" ht="13.5" thickBot="1"/>
    <row r="3" spans="2:12" ht="15">
      <c r="B3" s="5" t="s">
        <v>3887</v>
      </c>
      <c r="C3" s="929" t="s">
        <v>3888</v>
      </c>
      <c r="D3" s="929" t="s">
        <v>3889</v>
      </c>
      <c r="E3" s="931" t="s">
        <v>3883</v>
      </c>
      <c r="F3" s="929" t="s">
        <v>3890</v>
      </c>
      <c r="G3" s="929" t="s">
        <v>3891</v>
      </c>
      <c r="H3" s="931" t="s">
        <v>3884</v>
      </c>
      <c r="I3" s="929" t="s">
        <v>3892</v>
      </c>
      <c r="J3" s="929" t="s">
        <v>3893</v>
      </c>
      <c r="K3" s="931" t="s">
        <v>3885</v>
      </c>
      <c r="L3" s="783" t="s">
        <v>327</v>
      </c>
    </row>
    <row r="4" spans="2:12" ht="15">
      <c r="B4" t="s">
        <v>4553</v>
      </c>
      <c r="C4" s="595"/>
      <c r="D4" s="595"/>
      <c r="E4" s="932"/>
      <c r="F4" s="595">
        <v>75375.850000000006</v>
      </c>
      <c r="G4" s="595"/>
      <c r="H4" s="932">
        <v>75375.850000000006</v>
      </c>
      <c r="I4" s="595"/>
      <c r="J4" s="595"/>
      <c r="K4" s="932"/>
      <c r="L4" s="595">
        <v>75375.850000000006</v>
      </c>
    </row>
    <row r="5" spans="2:12" ht="15">
      <c r="B5" t="s">
        <v>4554</v>
      </c>
      <c r="C5" s="595"/>
      <c r="D5" s="595">
        <v>5077.6499999999996</v>
      </c>
      <c r="E5" s="932">
        <v>5077.6499999999996</v>
      </c>
      <c r="F5" s="595"/>
      <c r="G5" s="595"/>
      <c r="H5" s="932"/>
      <c r="I5" s="595">
        <v>117914.86</v>
      </c>
      <c r="J5" s="595"/>
      <c r="K5" s="932">
        <v>117914.86</v>
      </c>
      <c r="L5" s="595">
        <v>122992.51</v>
      </c>
    </row>
    <row r="6" spans="2:12" ht="15">
      <c r="B6" t="s">
        <v>4555</v>
      </c>
      <c r="C6" s="595">
        <v>119600</v>
      </c>
      <c r="D6" s="595"/>
      <c r="E6" s="932">
        <v>119600</v>
      </c>
      <c r="F6" s="595">
        <v>24900</v>
      </c>
      <c r="G6" s="595"/>
      <c r="H6" s="932">
        <v>24900</v>
      </c>
      <c r="I6" s="595"/>
      <c r="J6" s="595"/>
      <c r="K6" s="932"/>
      <c r="L6" s="595">
        <v>144500</v>
      </c>
    </row>
    <row r="7" spans="2:12" ht="15">
      <c r="B7" t="s">
        <v>4556</v>
      </c>
      <c r="C7" s="595"/>
      <c r="D7" s="595">
        <v>226921.68999999997</v>
      </c>
      <c r="E7" s="932">
        <v>226921.68999999997</v>
      </c>
      <c r="F7" s="595"/>
      <c r="G7" s="595">
        <v>479515.03</v>
      </c>
      <c r="H7" s="932">
        <v>479515.03</v>
      </c>
      <c r="I7" s="595"/>
      <c r="J7" s="595">
        <v>71014.600000000006</v>
      </c>
      <c r="K7" s="932">
        <v>71014.600000000006</v>
      </c>
      <c r="L7" s="595">
        <v>777451.32</v>
      </c>
    </row>
    <row r="8" spans="2:12" ht="15">
      <c r="B8" t="s">
        <v>4557</v>
      </c>
      <c r="C8" s="595">
        <v>152981.97999999998</v>
      </c>
      <c r="D8" s="595"/>
      <c r="E8" s="932">
        <v>152981.97999999998</v>
      </c>
      <c r="F8" s="595"/>
      <c r="G8" s="595"/>
      <c r="H8" s="932"/>
      <c r="I8" s="595"/>
      <c r="J8" s="595"/>
      <c r="K8" s="932"/>
      <c r="L8" s="595">
        <v>152981.97999999998</v>
      </c>
    </row>
    <row r="9" spans="2:12" ht="15">
      <c r="B9" t="s">
        <v>4558</v>
      </c>
      <c r="C9" s="595"/>
      <c r="D9" s="595">
        <v>11164.38</v>
      </c>
      <c r="E9" s="932">
        <v>11164.38</v>
      </c>
      <c r="F9" s="595"/>
      <c r="G9" s="595"/>
      <c r="H9" s="932"/>
      <c r="I9" s="595"/>
      <c r="J9" s="595"/>
      <c r="K9" s="932"/>
      <c r="L9" s="595">
        <v>11164.38</v>
      </c>
    </row>
    <row r="10" spans="2:12" ht="15">
      <c r="B10" t="s">
        <v>4559</v>
      </c>
      <c r="C10" s="595">
        <v>80000</v>
      </c>
      <c r="D10" s="595"/>
      <c r="E10" s="932">
        <v>80000</v>
      </c>
      <c r="F10" s="595">
        <v>60000</v>
      </c>
      <c r="G10" s="595"/>
      <c r="H10" s="932">
        <v>60000</v>
      </c>
      <c r="I10" s="595"/>
      <c r="J10" s="595"/>
      <c r="K10" s="932"/>
      <c r="L10" s="595">
        <v>140000</v>
      </c>
    </row>
    <row r="11" spans="2:12" ht="15">
      <c r="B11" t="s">
        <v>4560</v>
      </c>
      <c r="C11" s="595"/>
      <c r="D11" s="595">
        <v>117193.39</v>
      </c>
      <c r="E11" s="932">
        <v>117193.39</v>
      </c>
      <c r="F11" s="595"/>
      <c r="G11" s="595">
        <v>480620.49</v>
      </c>
      <c r="H11" s="932">
        <v>480620.49</v>
      </c>
      <c r="I11" s="595"/>
      <c r="J11" s="595">
        <v>214244.90999999997</v>
      </c>
      <c r="K11" s="932">
        <v>214244.90999999997</v>
      </c>
      <c r="L11" s="595">
        <v>812058.79</v>
      </c>
    </row>
    <row r="12" spans="2:12" ht="15">
      <c r="B12" t="s">
        <v>4561</v>
      </c>
      <c r="C12" s="595"/>
      <c r="D12" s="595"/>
      <c r="E12" s="932"/>
      <c r="F12" s="595"/>
      <c r="G12" s="595">
        <v>322401.97000000003</v>
      </c>
      <c r="H12" s="932">
        <v>322401.97000000003</v>
      </c>
      <c r="I12" s="595"/>
      <c r="J12" s="595">
        <v>1847871.7200000002</v>
      </c>
      <c r="K12" s="932">
        <v>1847871.7200000002</v>
      </c>
      <c r="L12" s="595">
        <v>2170273.6900000004</v>
      </c>
    </row>
    <row r="13" spans="2:12" ht="15">
      <c r="B13" t="s">
        <v>4562</v>
      </c>
      <c r="C13" s="595"/>
      <c r="D13" s="595"/>
      <c r="E13" s="932"/>
      <c r="F13" s="595"/>
      <c r="G13" s="595">
        <v>9.3132257461547852E-10</v>
      </c>
      <c r="H13" s="932">
        <v>9.3132257461547852E-10</v>
      </c>
      <c r="I13" s="595"/>
      <c r="J13" s="595">
        <v>4582949.24</v>
      </c>
      <c r="K13" s="932">
        <v>4582949.24</v>
      </c>
      <c r="L13" s="595">
        <v>4582949.2400000012</v>
      </c>
    </row>
    <row r="14" spans="2:12" ht="15">
      <c r="B14" t="s">
        <v>4563</v>
      </c>
      <c r="C14" s="595">
        <v>54548</v>
      </c>
      <c r="D14" s="595"/>
      <c r="E14" s="932">
        <v>54548</v>
      </c>
      <c r="F14" s="595"/>
      <c r="G14" s="595"/>
      <c r="H14" s="932"/>
      <c r="I14" s="595"/>
      <c r="J14" s="595"/>
      <c r="K14" s="932"/>
      <c r="L14" s="595">
        <v>54548</v>
      </c>
    </row>
    <row r="15" spans="2:12" ht="15">
      <c r="B15" t="s">
        <v>4564</v>
      </c>
      <c r="C15" s="595">
        <v>1101824.43</v>
      </c>
      <c r="D15" s="595"/>
      <c r="E15" s="932">
        <v>1101824.43</v>
      </c>
      <c r="F15" s="595">
        <v>390659.82</v>
      </c>
      <c r="G15" s="595"/>
      <c r="H15" s="932">
        <v>390659.82</v>
      </c>
      <c r="I15" s="595"/>
      <c r="J15" s="595"/>
      <c r="K15" s="932"/>
      <c r="L15" s="595">
        <v>1492484.25</v>
      </c>
    </row>
    <row r="16" spans="2:12" ht="15">
      <c r="B16" t="s">
        <v>4565</v>
      </c>
      <c r="C16" s="595"/>
      <c r="D16" s="595"/>
      <c r="E16" s="932"/>
      <c r="F16" s="595">
        <v>119264.37</v>
      </c>
      <c r="G16" s="595"/>
      <c r="H16" s="932">
        <v>119264.37</v>
      </c>
      <c r="I16" s="595"/>
      <c r="J16" s="595"/>
      <c r="K16" s="932"/>
      <c r="L16" s="595">
        <v>119264.37</v>
      </c>
    </row>
    <row r="17" spans="2:12" ht="15">
      <c r="B17" t="s">
        <v>4566</v>
      </c>
      <c r="C17" s="595">
        <v>562075.8600000001</v>
      </c>
      <c r="D17" s="595"/>
      <c r="E17" s="932">
        <v>562075.8600000001</v>
      </c>
      <c r="F17" s="595">
        <v>113347.62</v>
      </c>
      <c r="G17" s="595"/>
      <c r="H17" s="932">
        <v>113347.62</v>
      </c>
      <c r="I17" s="595"/>
      <c r="J17" s="595"/>
      <c r="K17" s="932"/>
      <c r="L17" s="595">
        <v>675423.4800000001</v>
      </c>
    </row>
    <row r="18" spans="2:12" ht="15">
      <c r="B18" t="s">
        <v>4567</v>
      </c>
      <c r="C18" s="595"/>
      <c r="D18" s="595"/>
      <c r="E18" s="932"/>
      <c r="F18" s="595">
        <v>18000</v>
      </c>
      <c r="G18" s="595"/>
      <c r="H18" s="932">
        <v>18000</v>
      </c>
      <c r="I18" s="595"/>
      <c r="J18" s="595"/>
      <c r="K18" s="932"/>
      <c r="L18" s="595">
        <v>18000</v>
      </c>
    </row>
    <row r="19" spans="2:12" ht="15">
      <c r="B19" t="s">
        <v>4568</v>
      </c>
      <c r="C19" s="595">
        <v>19422.7</v>
      </c>
      <c r="D19" s="595"/>
      <c r="E19" s="932">
        <v>19422.7</v>
      </c>
      <c r="F19" s="595"/>
      <c r="G19" s="595"/>
      <c r="H19" s="932"/>
      <c r="I19" s="595"/>
      <c r="J19" s="595"/>
      <c r="K19" s="932"/>
      <c r="L19" s="595">
        <v>19422.7</v>
      </c>
    </row>
    <row r="20" spans="2:12" ht="15">
      <c r="B20" t="s">
        <v>4569</v>
      </c>
      <c r="C20" s="595"/>
      <c r="D20" s="595"/>
      <c r="E20" s="932"/>
      <c r="F20" s="595">
        <v>368332.24</v>
      </c>
      <c r="G20" s="595"/>
      <c r="H20" s="932">
        <v>368332.24</v>
      </c>
      <c r="I20" s="595"/>
      <c r="J20" s="595"/>
      <c r="K20" s="932"/>
      <c r="L20" s="595">
        <v>368332.24</v>
      </c>
    </row>
    <row r="21" spans="2:12" ht="15">
      <c r="B21" t="s">
        <v>4570</v>
      </c>
      <c r="C21" s="595"/>
      <c r="D21" s="595">
        <v>2104033.3899999997</v>
      </c>
      <c r="E21" s="932">
        <v>2104033.3899999997</v>
      </c>
      <c r="F21" s="595"/>
      <c r="G21" s="595">
        <v>147500</v>
      </c>
      <c r="H21" s="932">
        <v>147500</v>
      </c>
      <c r="I21" s="595"/>
      <c r="J21" s="595"/>
      <c r="K21" s="932"/>
      <c r="L21" s="595">
        <v>2251533.3899999997</v>
      </c>
    </row>
    <row r="22" spans="2:12" ht="15">
      <c r="B22" t="s">
        <v>4571</v>
      </c>
      <c r="C22" s="595"/>
      <c r="D22" s="595"/>
      <c r="E22" s="932"/>
      <c r="F22" s="595"/>
      <c r="G22" s="595">
        <v>36650</v>
      </c>
      <c r="H22" s="932">
        <v>36650</v>
      </c>
      <c r="I22" s="595"/>
      <c r="J22" s="595">
        <v>145890</v>
      </c>
      <c r="K22" s="932">
        <v>145890</v>
      </c>
      <c r="L22" s="595">
        <v>182540</v>
      </c>
    </row>
    <row r="23" spans="2:12" ht="15">
      <c r="B23" t="s">
        <v>4572</v>
      </c>
      <c r="C23" s="595"/>
      <c r="D23" s="595"/>
      <c r="E23" s="932"/>
      <c r="F23" s="595"/>
      <c r="G23" s="595"/>
      <c r="H23" s="932"/>
      <c r="I23" s="595">
        <v>168000</v>
      </c>
      <c r="J23" s="595"/>
      <c r="K23" s="932">
        <v>168000</v>
      </c>
      <c r="L23" s="595">
        <v>168000</v>
      </c>
    </row>
    <row r="24" spans="2:12" ht="15">
      <c r="B24" t="s">
        <v>4573</v>
      </c>
      <c r="C24" s="595">
        <v>453995.7</v>
      </c>
      <c r="D24" s="595"/>
      <c r="E24" s="932">
        <v>453995.7</v>
      </c>
      <c r="F24" s="595">
        <v>71940</v>
      </c>
      <c r="G24" s="595"/>
      <c r="H24" s="932">
        <v>71940</v>
      </c>
      <c r="I24" s="595"/>
      <c r="J24" s="595"/>
      <c r="K24" s="932"/>
      <c r="L24" s="595">
        <v>525935.69999999995</v>
      </c>
    </row>
    <row r="25" spans="2:12" ht="15">
      <c r="B25" t="s">
        <v>4574</v>
      </c>
      <c r="C25" s="595"/>
      <c r="D25" s="595">
        <v>110725.09</v>
      </c>
      <c r="E25" s="932">
        <v>110725.09</v>
      </c>
      <c r="F25" s="595"/>
      <c r="G25" s="595"/>
      <c r="H25" s="932"/>
      <c r="I25" s="595"/>
      <c r="J25" s="595">
        <v>95492.24</v>
      </c>
      <c r="K25" s="932">
        <v>95492.24</v>
      </c>
      <c r="L25" s="595">
        <v>206217.33000000002</v>
      </c>
    </row>
    <row r="26" spans="2:12" ht="15">
      <c r="B26" t="s">
        <v>4575</v>
      </c>
      <c r="C26" s="595"/>
      <c r="D26" s="595"/>
      <c r="E26" s="932"/>
      <c r="F26" s="595">
        <v>277607.05</v>
      </c>
      <c r="G26" s="595"/>
      <c r="H26" s="932">
        <v>277607.05</v>
      </c>
      <c r="I26" s="595"/>
      <c r="J26" s="595"/>
      <c r="K26" s="932"/>
      <c r="L26" s="595">
        <v>277607.05</v>
      </c>
    </row>
    <row r="27" spans="2:12" ht="15">
      <c r="B27" t="s">
        <v>4576</v>
      </c>
      <c r="C27" s="595"/>
      <c r="D27" s="595"/>
      <c r="E27" s="932"/>
      <c r="F27" s="595">
        <v>378340</v>
      </c>
      <c r="G27" s="595"/>
      <c r="H27" s="932">
        <v>378340</v>
      </c>
      <c r="I27" s="595"/>
      <c r="J27" s="595"/>
      <c r="K27" s="932"/>
      <c r="L27" s="595">
        <v>378340</v>
      </c>
    </row>
    <row r="28" spans="2:12" ht="15">
      <c r="B28" t="s">
        <v>4577</v>
      </c>
      <c r="C28" s="595"/>
      <c r="D28" s="595"/>
      <c r="E28" s="932"/>
      <c r="F28" s="595">
        <v>8000</v>
      </c>
      <c r="G28" s="595"/>
      <c r="H28" s="932">
        <v>8000</v>
      </c>
      <c r="I28" s="595"/>
      <c r="J28" s="595"/>
      <c r="K28" s="932"/>
      <c r="L28" s="595">
        <v>8000</v>
      </c>
    </row>
    <row r="29" spans="2:12" ht="15">
      <c r="B29" t="s">
        <v>4578</v>
      </c>
      <c r="C29" s="595">
        <v>367735.61</v>
      </c>
      <c r="D29" s="595"/>
      <c r="E29" s="932">
        <v>367735.61</v>
      </c>
      <c r="F29" s="595"/>
      <c r="G29" s="595"/>
      <c r="H29" s="932"/>
      <c r="I29" s="595"/>
      <c r="J29" s="595"/>
      <c r="K29" s="932"/>
      <c r="L29" s="595">
        <v>367735.61</v>
      </c>
    </row>
    <row r="30" spans="2:12" ht="15">
      <c r="B30" t="s">
        <v>4579</v>
      </c>
      <c r="C30" s="595"/>
      <c r="D30" s="595"/>
      <c r="E30" s="932"/>
      <c r="F30" s="595"/>
      <c r="G30" s="595"/>
      <c r="H30" s="932"/>
      <c r="I30" s="595">
        <v>404205.96</v>
      </c>
      <c r="J30" s="595"/>
      <c r="K30" s="932">
        <v>404205.96</v>
      </c>
      <c r="L30" s="595">
        <v>404205.96</v>
      </c>
    </row>
    <row r="31" spans="2:12" ht="15">
      <c r="B31" t="s">
        <v>4580</v>
      </c>
      <c r="C31" s="595">
        <v>118367.96</v>
      </c>
      <c r="D31" s="595"/>
      <c r="E31" s="932">
        <v>118367.96</v>
      </c>
      <c r="F31" s="595">
        <v>135656.81</v>
      </c>
      <c r="G31" s="595"/>
      <c r="H31" s="932">
        <v>135656.81</v>
      </c>
      <c r="I31" s="595"/>
      <c r="J31" s="595"/>
      <c r="K31" s="932"/>
      <c r="L31" s="595">
        <v>254024.77000000002</v>
      </c>
    </row>
    <row r="32" spans="2:12" ht="15">
      <c r="B32" t="s">
        <v>4581</v>
      </c>
      <c r="C32" s="595">
        <v>19012.22</v>
      </c>
      <c r="D32" s="595"/>
      <c r="E32" s="932">
        <v>19012.22</v>
      </c>
      <c r="F32" s="595"/>
      <c r="G32" s="595"/>
      <c r="H32" s="932"/>
      <c r="I32" s="595"/>
      <c r="J32" s="595"/>
      <c r="K32" s="932"/>
      <c r="L32" s="595">
        <v>19012.22</v>
      </c>
    </row>
    <row r="33" spans="2:12" ht="15">
      <c r="B33" t="s">
        <v>4582</v>
      </c>
      <c r="C33" s="595"/>
      <c r="D33" s="595">
        <v>299940.37</v>
      </c>
      <c r="E33" s="932">
        <v>299940.37</v>
      </c>
      <c r="F33" s="595"/>
      <c r="G33" s="595">
        <v>2863050.56</v>
      </c>
      <c r="H33" s="932">
        <v>2863050.56</v>
      </c>
      <c r="I33" s="595">
        <v>891123.55999999982</v>
      </c>
      <c r="J33" s="595">
        <v>90832.8</v>
      </c>
      <c r="K33" s="932">
        <v>981956.35999999987</v>
      </c>
      <c r="L33" s="595">
        <v>4144947.29</v>
      </c>
    </row>
    <row r="34" spans="2:12" ht="15">
      <c r="B34" t="s">
        <v>4583</v>
      </c>
      <c r="C34" s="595"/>
      <c r="D34" s="595">
        <v>162474.49</v>
      </c>
      <c r="E34" s="932">
        <v>162474.49</v>
      </c>
      <c r="F34" s="595"/>
      <c r="G34" s="595">
        <v>353067.47</v>
      </c>
      <c r="H34" s="932">
        <v>353067.47</v>
      </c>
      <c r="I34" s="595"/>
      <c r="J34" s="595"/>
      <c r="K34" s="932"/>
      <c r="L34" s="595">
        <v>515541.95999999996</v>
      </c>
    </row>
    <row r="35" spans="2:12" ht="15">
      <c r="B35" t="s">
        <v>4584</v>
      </c>
      <c r="C35" s="595">
        <v>50000</v>
      </c>
      <c r="D35" s="595"/>
      <c r="E35" s="932">
        <v>50000</v>
      </c>
      <c r="F35" s="595"/>
      <c r="G35" s="595"/>
      <c r="H35" s="932"/>
      <c r="I35" s="595"/>
      <c r="J35" s="595"/>
      <c r="K35" s="932"/>
      <c r="L35" s="595">
        <v>50000</v>
      </c>
    </row>
    <row r="36" spans="2:12" ht="15">
      <c r="B36" t="s">
        <v>4585</v>
      </c>
      <c r="C36" s="595">
        <v>47500</v>
      </c>
      <c r="D36" s="595"/>
      <c r="E36" s="932">
        <v>47500</v>
      </c>
      <c r="F36" s="595">
        <v>112500</v>
      </c>
      <c r="G36" s="595"/>
      <c r="H36" s="932">
        <v>112500</v>
      </c>
      <c r="I36" s="595"/>
      <c r="J36" s="595"/>
      <c r="K36" s="932"/>
      <c r="L36" s="595">
        <v>160000</v>
      </c>
    </row>
    <row r="37" spans="2:12" ht="15">
      <c r="B37" t="s">
        <v>4586</v>
      </c>
      <c r="C37" s="595"/>
      <c r="D37" s="595"/>
      <c r="E37" s="932"/>
      <c r="F37" s="595">
        <v>31071</v>
      </c>
      <c r="G37" s="595"/>
      <c r="H37" s="932">
        <v>31071</v>
      </c>
      <c r="I37" s="595"/>
      <c r="J37" s="595"/>
      <c r="K37" s="932"/>
      <c r="L37" s="595">
        <v>31071</v>
      </c>
    </row>
    <row r="38" spans="2:12" ht="15">
      <c r="B38" t="s">
        <v>4587</v>
      </c>
      <c r="C38" s="595"/>
      <c r="D38" s="595">
        <v>25161.06</v>
      </c>
      <c r="E38" s="932">
        <v>25161.06</v>
      </c>
      <c r="F38" s="595"/>
      <c r="G38" s="595"/>
      <c r="H38" s="932"/>
      <c r="I38" s="595"/>
      <c r="J38" s="595"/>
      <c r="K38" s="932"/>
      <c r="L38" s="595">
        <v>25161.06</v>
      </c>
    </row>
    <row r="39" spans="2:12" ht="15">
      <c r="B39" t="s">
        <v>4588</v>
      </c>
      <c r="C39" s="595"/>
      <c r="D39" s="595">
        <v>1738602.0999999996</v>
      </c>
      <c r="E39" s="932">
        <v>1738602.0999999996</v>
      </c>
      <c r="F39" s="595"/>
      <c r="G39" s="595">
        <v>2163225.5699999994</v>
      </c>
      <c r="H39" s="932">
        <v>2163225.5699999994</v>
      </c>
      <c r="I39" s="595"/>
      <c r="J39" s="595">
        <v>1324557.6299999999</v>
      </c>
      <c r="K39" s="932">
        <v>1324557.6299999999</v>
      </c>
      <c r="L39" s="595">
        <v>5226385.2999999989</v>
      </c>
    </row>
    <row r="40" spans="2:12" ht="15">
      <c r="B40" t="s">
        <v>4589</v>
      </c>
      <c r="C40" s="595">
        <v>124955.16</v>
      </c>
      <c r="D40" s="595"/>
      <c r="E40" s="932">
        <v>124955.16</v>
      </c>
      <c r="F40" s="595">
        <v>13500</v>
      </c>
      <c r="G40" s="595"/>
      <c r="H40" s="932">
        <v>13500</v>
      </c>
      <c r="I40" s="595"/>
      <c r="J40" s="595"/>
      <c r="K40" s="932"/>
      <c r="L40" s="595">
        <v>138455.16</v>
      </c>
    </row>
    <row r="41" spans="2:12" ht="15">
      <c r="B41" t="s">
        <v>4590</v>
      </c>
      <c r="C41" s="595"/>
      <c r="D41" s="595">
        <v>129664.14</v>
      </c>
      <c r="E41" s="932">
        <v>129664.14</v>
      </c>
      <c r="F41" s="595"/>
      <c r="G41" s="595"/>
      <c r="H41" s="932"/>
      <c r="I41" s="595"/>
      <c r="J41" s="595"/>
      <c r="K41" s="932"/>
      <c r="L41" s="595">
        <v>129664.14</v>
      </c>
    </row>
    <row r="42" spans="2:12" ht="15">
      <c r="B42" t="s">
        <v>4591</v>
      </c>
      <c r="C42" s="595"/>
      <c r="D42" s="595"/>
      <c r="E42" s="932"/>
      <c r="F42" s="595">
        <v>37322.94</v>
      </c>
      <c r="G42" s="595"/>
      <c r="H42" s="932">
        <v>37322.94</v>
      </c>
      <c r="I42" s="595"/>
      <c r="J42" s="595">
        <v>16390.29</v>
      </c>
      <c r="K42" s="932">
        <v>16390.29</v>
      </c>
      <c r="L42" s="595">
        <v>53713.23</v>
      </c>
    </row>
    <row r="43" spans="2:12" ht="15">
      <c r="B43" t="s">
        <v>4592</v>
      </c>
      <c r="C43" s="595"/>
      <c r="D43" s="595"/>
      <c r="E43" s="932"/>
      <c r="F43" s="595"/>
      <c r="G43" s="595"/>
      <c r="H43" s="932"/>
      <c r="I43" s="595"/>
      <c r="J43" s="595">
        <v>189031.28</v>
      </c>
      <c r="K43" s="932">
        <v>189031.28</v>
      </c>
      <c r="L43" s="595">
        <v>189031.28</v>
      </c>
    </row>
    <row r="44" spans="2:12" ht="15">
      <c r="B44" t="s">
        <v>4593</v>
      </c>
      <c r="C44" s="595"/>
      <c r="D44" s="595">
        <v>403634.88</v>
      </c>
      <c r="E44" s="932">
        <v>403634.88</v>
      </c>
      <c r="F44" s="595"/>
      <c r="G44" s="595">
        <v>299631.91000000003</v>
      </c>
      <c r="H44" s="932">
        <v>299631.91000000003</v>
      </c>
      <c r="I44" s="595"/>
      <c r="J44" s="595">
        <v>94400</v>
      </c>
      <c r="K44" s="932">
        <v>94400</v>
      </c>
      <c r="L44" s="595">
        <v>797666.79</v>
      </c>
    </row>
    <row r="45" spans="2:12" ht="15">
      <c r="B45" t="s">
        <v>4594</v>
      </c>
      <c r="C45" s="595">
        <v>52000</v>
      </c>
      <c r="D45" s="595"/>
      <c r="E45" s="932">
        <v>52000</v>
      </c>
      <c r="F45" s="595"/>
      <c r="G45" s="595"/>
      <c r="H45" s="932"/>
      <c r="I45" s="595"/>
      <c r="J45" s="595"/>
      <c r="K45" s="932"/>
      <c r="L45" s="595">
        <v>52000</v>
      </c>
    </row>
    <row r="46" spans="2:12" ht="15">
      <c r="B46" t="s">
        <v>4595</v>
      </c>
      <c r="C46" s="595">
        <v>138372.32999999999</v>
      </c>
      <c r="D46" s="595"/>
      <c r="E46" s="932">
        <v>138372.32999999999</v>
      </c>
      <c r="F46" s="595"/>
      <c r="G46" s="595"/>
      <c r="H46" s="932"/>
      <c r="I46" s="595"/>
      <c r="J46" s="595"/>
      <c r="K46" s="932"/>
      <c r="L46" s="595">
        <v>138372.32999999999</v>
      </c>
    </row>
    <row r="47" spans="2:12" ht="15">
      <c r="B47" t="s">
        <v>4596</v>
      </c>
      <c r="C47" s="595"/>
      <c r="D47" s="595"/>
      <c r="E47" s="932"/>
      <c r="F47" s="595"/>
      <c r="G47" s="595">
        <v>685878.35000000009</v>
      </c>
      <c r="H47" s="932">
        <v>685878.35000000009</v>
      </c>
      <c r="I47" s="595"/>
      <c r="J47" s="595">
        <v>96078.85</v>
      </c>
      <c r="K47" s="932">
        <v>96078.85</v>
      </c>
      <c r="L47" s="595">
        <v>781957.20000000007</v>
      </c>
    </row>
    <row r="48" spans="2:12" ht="15">
      <c r="B48" t="s">
        <v>4597</v>
      </c>
      <c r="C48" s="595"/>
      <c r="D48" s="595">
        <v>142352.36000000002</v>
      </c>
      <c r="E48" s="932">
        <v>142352.36000000002</v>
      </c>
      <c r="F48" s="595"/>
      <c r="G48" s="595">
        <v>122312.89000000001</v>
      </c>
      <c r="H48" s="932">
        <v>122312.89000000001</v>
      </c>
      <c r="I48" s="595"/>
      <c r="J48" s="595"/>
      <c r="K48" s="932"/>
      <c r="L48" s="595">
        <v>264665.25</v>
      </c>
    </row>
    <row r="49" spans="2:12" ht="15">
      <c r="B49" t="s">
        <v>4598</v>
      </c>
      <c r="C49" s="595"/>
      <c r="D49" s="595">
        <v>452942.30000000005</v>
      </c>
      <c r="E49" s="932">
        <v>452942.30000000005</v>
      </c>
      <c r="F49" s="595"/>
      <c r="G49" s="595"/>
      <c r="H49" s="932"/>
      <c r="I49" s="595"/>
      <c r="J49" s="595"/>
      <c r="K49" s="932"/>
      <c r="L49" s="595">
        <v>452942.30000000005</v>
      </c>
    </row>
    <row r="50" spans="2:12" ht="15">
      <c r="B50" t="s">
        <v>4599</v>
      </c>
      <c r="C50" s="595"/>
      <c r="D50" s="595">
        <v>174720.58000000002</v>
      </c>
      <c r="E50" s="932">
        <v>174720.58000000002</v>
      </c>
      <c r="F50" s="595"/>
      <c r="G50" s="595"/>
      <c r="H50" s="932"/>
      <c r="I50" s="595"/>
      <c r="J50" s="595"/>
      <c r="K50" s="932"/>
      <c r="L50" s="595">
        <v>174720.58000000002</v>
      </c>
    </row>
    <row r="51" spans="2:12" ht="15">
      <c r="B51" t="s">
        <v>4600</v>
      </c>
      <c r="C51" s="595"/>
      <c r="D51" s="595">
        <v>4990</v>
      </c>
      <c r="E51" s="932">
        <v>4990</v>
      </c>
      <c r="F51" s="595"/>
      <c r="G51" s="595"/>
      <c r="H51" s="932"/>
      <c r="I51" s="595"/>
      <c r="J51" s="595"/>
      <c r="K51" s="932"/>
      <c r="L51" s="595">
        <v>4990</v>
      </c>
    </row>
    <row r="52" spans="2:12" ht="15">
      <c r="B52" t="s">
        <v>4601</v>
      </c>
      <c r="C52" s="595"/>
      <c r="D52" s="595"/>
      <c r="E52" s="932"/>
      <c r="F52" s="595"/>
      <c r="G52" s="595">
        <v>8985104.6600000001</v>
      </c>
      <c r="H52" s="932">
        <v>8985104.6600000001</v>
      </c>
      <c r="I52" s="595">
        <v>0</v>
      </c>
      <c r="J52" s="595">
        <v>6834869.629999999</v>
      </c>
      <c r="K52" s="932">
        <v>6834869.629999999</v>
      </c>
      <c r="L52" s="595">
        <v>15819974.289999999</v>
      </c>
    </row>
    <row r="53" spans="2:12" ht="15">
      <c r="B53" t="s">
        <v>4602</v>
      </c>
      <c r="C53" s="595"/>
      <c r="D53" s="595"/>
      <c r="E53" s="932"/>
      <c r="F53" s="595"/>
      <c r="G53" s="595">
        <v>3649993.4400000004</v>
      </c>
      <c r="H53" s="932">
        <v>3649993.4400000004</v>
      </c>
      <c r="I53" s="595"/>
      <c r="J53" s="595"/>
      <c r="K53" s="932"/>
      <c r="L53" s="595">
        <v>3649993.4400000004</v>
      </c>
    </row>
    <row r="54" spans="2:12" ht="15">
      <c r="B54" t="s">
        <v>4603</v>
      </c>
      <c r="C54" s="595"/>
      <c r="D54" s="595">
        <v>575514.29</v>
      </c>
      <c r="E54" s="932">
        <v>575514.29</v>
      </c>
      <c r="F54" s="595"/>
      <c r="G54" s="595">
        <v>988098.47</v>
      </c>
      <c r="H54" s="932">
        <v>988098.47</v>
      </c>
      <c r="I54" s="595">
        <v>4690</v>
      </c>
      <c r="J54" s="595"/>
      <c r="K54" s="932">
        <v>4690</v>
      </c>
      <c r="L54" s="595">
        <v>1568302.76</v>
      </c>
    </row>
    <row r="55" spans="2:12" ht="15">
      <c r="B55" t="s">
        <v>4604</v>
      </c>
      <c r="C55" s="595"/>
      <c r="D55" s="595"/>
      <c r="E55" s="932"/>
      <c r="F55" s="595">
        <v>349633.54000000004</v>
      </c>
      <c r="G55" s="595"/>
      <c r="H55" s="932">
        <v>349633.54000000004</v>
      </c>
      <c r="I55" s="595">
        <v>302386.30999999994</v>
      </c>
      <c r="J55" s="595"/>
      <c r="K55" s="932">
        <v>302386.30999999994</v>
      </c>
      <c r="L55" s="595">
        <v>652019.85</v>
      </c>
    </row>
    <row r="56" spans="2:12" ht="15">
      <c r="B56" t="s">
        <v>4605</v>
      </c>
      <c r="C56" s="595"/>
      <c r="D56" s="595"/>
      <c r="E56" s="932"/>
      <c r="F56" s="595">
        <v>50122.8</v>
      </c>
      <c r="G56" s="595"/>
      <c r="H56" s="932">
        <v>50122.8</v>
      </c>
      <c r="I56" s="595"/>
      <c r="J56" s="595"/>
      <c r="K56" s="932"/>
      <c r="L56" s="595">
        <v>50122.8</v>
      </c>
    </row>
    <row r="57" spans="2:12" ht="15">
      <c r="B57" t="s">
        <v>4606</v>
      </c>
      <c r="C57" s="595">
        <v>68223.45</v>
      </c>
      <c r="D57" s="595"/>
      <c r="E57" s="932">
        <v>68223.45</v>
      </c>
      <c r="F57" s="595"/>
      <c r="G57" s="595"/>
      <c r="H57" s="932"/>
      <c r="I57" s="595"/>
      <c r="J57" s="595"/>
      <c r="K57" s="932"/>
      <c r="L57" s="595">
        <v>68223.45</v>
      </c>
    </row>
    <row r="58" spans="2:12" ht="15">
      <c r="B58" t="s">
        <v>4607</v>
      </c>
      <c r="C58" s="595">
        <v>50502.720000000001</v>
      </c>
      <c r="D58" s="595"/>
      <c r="E58" s="932">
        <v>50502.720000000001</v>
      </c>
      <c r="F58" s="595"/>
      <c r="G58" s="595"/>
      <c r="H58" s="932"/>
      <c r="I58" s="595"/>
      <c r="J58" s="595"/>
      <c r="K58" s="932"/>
      <c r="L58" s="595">
        <v>50502.720000000001</v>
      </c>
    </row>
    <row r="59" spans="2:12" ht="15">
      <c r="B59" t="s">
        <v>4608</v>
      </c>
      <c r="C59" s="595"/>
      <c r="D59" s="595"/>
      <c r="E59" s="932"/>
      <c r="F59" s="595"/>
      <c r="G59" s="595"/>
      <c r="H59" s="932"/>
      <c r="I59" s="595"/>
      <c r="J59" s="595">
        <v>406130.95</v>
      </c>
      <c r="K59" s="932">
        <v>406130.95</v>
      </c>
      <c r="L59" s="595">
        <v>406130.95</v>
      </c>
    </row>
    <row r="60" spans="2:12" ht="15">
      <c r="B60" t="s">
        <v>4609</v>
      </c>
      <c r="C60" s="595"/>
      <c r="D60" s="595">
        <v>422468.76000000007</v>
      </c>
      <c r="E60" s="932">
        <v>422468.76000000007</v>
      </c>
      <c r="F60" s="595"/>
      <c r="G60" s="595">
        <v>372864.18</v>
      </c>
      <c r="H60" s="932">
        <v>372864.18</v>
      </c>
      <c r="I60" s="595"/>
      <c r="J60" s="595"/>
      <c r="K60" s="932"/>
      <c r="L60" s="595">
        <v>795332.94000000006</v>
      </c>
    </row>
    <row r="61" spans="2:12" ht="15">
      <c r="B61" t="s">
        <v>4610</v>
      </c>
      <c r="C61" s="595"/>
      <c r="D61" s="595"/>
      <c r="E61" s="932"/>
      <c r="F61" s="595">
        <v>38796</v>
      </c>
      <c r="G61" s="595"/>
      <c r="H61" s="932">
        <v>38796</v>
      </c>
      <c r="I61" s="595"/>
      <c r="J61" s="595"/>
      <c r="K61" s="932"/>
      <c r="L61" s="595">
        <v>38796</v>
      </c>
    </row>
    <row r="62" spans="2:12" ht="15">
      <c r="B62" t="s">
        <v>4611</v>
      </c>
      <c r="C62" s="595"/>
      <c r="D62" s="595">
        <v>157604.01</v>
      </c>
      <c r="E62" s="932">
        <v>157604.01</v>
      </c>
      <c r="F62" s="595">
        <v>82775.12</v>
      </c>
      <c r="G62" s="595"/>
      <c r="H62" s="932">
        <v>82775.12</v>
      </c>
      <c r="I62" s="595"/>
      <c r="J62" s="595"/>
      <c r="K62" s="932"/>
      <c r="L62" s="595">
        <v>240379.13</v>
      </c>
    </row>
    <row r="63" spans="2:12" ht="15">
      <c r="B63" t="s">
        <v>4612</v>
      </c>
      <c r="C63" s="595"/>
      <c r="D63" s="595"/>
      <c r="E63" s="932"/>
      <c r="F63" s="595"/>
      <c r="G63" s="595"/>
      <c r="H63" s="932"/>
      <c r="I63" s="595">
        <v>149907.64000000001</v>
      </c>
      <c r="J63" s="595"/>
      <c r="K63" s="932">
        <v>149907.64000000001</v>
      </c>
      <c r="L63" s="595">
        <v>149907.64000000001</v>
      </c>
    </row>
    <row r="64" spans="2:12" ht="15">
      <c r="B64" t="s">
        <v>4613</v>
      </c>
      <c r="C64" s="595">
        <v>116272.51</v>
      </c>
      <c r="D64" s="595"/>
      <c r="E64" s="932">
        <v>116272.51</v>
      </c>
      <c r="F64" s="595">
        <v>3690454.37</v>
      </c>
      <c r="G64" s="595"/>
      <c r="H64" s="932">
        <v>3690454.37</v>
      </c>
      <c r="I64" s="595"/>
      <c r="J64" s="595"/>
      <c r="K64" s="932"/>
      <c r="L64" s="595">
        <v>3806726.88</v>
      </c>
    </row>
    <row r="65" spans="2:12" ht="15">
      <c r="B65" t="s">
        <v>4614</v>
      </c>
      <c r="C65" s="595"/>
      <c r="D65" s="595"/>
      <c r="E65" s="932"/>
      <c r="F65" s="595"/>
      <c r="G65" s="595">
        <v>823362.5</v>
      </c>
      <c r="H65" s="932">
        <v>823362.5</v>
      </c>
      <c r="I65" s="595"/>
      <c r="J65" s="595">
        <v>271041.96000000002</v>
      </c>
      <c r="K65" s="932">
        <v>271041.96000000002</v>
      </c>
      <c r="L65" s="595">
        <v>1094404.46</v>
      </c>
    </row>
    <row r="66" spans="2:12" ht="15">
      <c r="B66" t="s">
        <v>4615</v>
      </c>
      <c r="C66" s="595"/>
      <c r="D66" s="595"/>
      <c r="E66" s="932"/>
      <c r="F66" s="595">
        <v>114597.34</v>
      </c>
      <c r="G66" s="595"/>
      <c r="H66" s="932">
        <v>114597.34</v>
      </c>
      <c r="I66" s="595"/>
      <c r="J66" s="595"/>
      <c r="K66" s="932"/>
      <c r="L66" s="595">
        <v>114597.34</v>
      </c>
    </row>
    <row r="67" spans="2:12" ht="15">
      <c r="B67" t="s">
        <v>4616</v>
      </c>
      <c r="C67" s="595"/>
      <c r="D67" s="595"/>
      <c r="E67" s="932"/>
      <c r="F67" s="595">
        <v>215998.01</v>
      </c>
      <c r="G67" s="595"/>
      <c r="H67" s="932">
        <v>215998.01</v>
      </c>
      <c r="I67" s="595"/>
      <c r="J67" s="595">
        <v>1133998.3900000001</v>
      </c>
      <c r="K67" s="932">
        <v>1133998.3900000001</v>
      </c>
      <c r="L67" s="595">
        <v>1349996.4000000001</v>
      </c>
    </row>
    <row r="68" spans="2:12" ht="15">
      <c r="B68" t="s">
        <v>4617</v>
      </c>
      <c r="C68" s="595"/>
      <c r="D68" s="595">
        <v>316074.62</v>
      </c>
      <c r="E68" s="932">
        <v>316074.62</v>
      </c>
      <c r="F68" s="595"/>
      <c r="G68" s="595">
        <v>75428.59</v>
      </c>
      <c r="H68" s="932">
        <v>75428.59</v>
      </c>
      <c r="I68" s="595"/>
      <c r="J68" s="595">
        <v>181737.90999999997</v>
      </c>
      <c r="K68" s="932">
        <v>181737.90999999997</v>
      </c>
      <c r="L68" s="595">
        <v>573241.11999999988</v>
      </c>
    </row>
    <row r="69" spans="2:12" ht="15">
      <c r="B69" t="s">
        <v>4618</v>
      </c>
      <c r="C69" s="595"/>
      <c r="D69" s="595"/>
      <c r="E69" s="932"/>
      <c r="F69" s="595"/>
      <c r="G69" s="595"/>
      <c r="H69" s="932"/>
      <c r="I69" s="595">
        <v>39643.120000000003</v>
      </c>
      <c r="J69" s="595"/>
      <c r="K69" s="932">
        <v>39643.120000000003</v>
      </c>
      <c r="L69" s="595">
        <v>39643.120000000003</v>
      </c>
    </row>
    <row r="70" spans="2:12" ht="15">
      <c r="B70" t="s">
        <v>4619</v>
      </c>
      <c r="C70" s="595">
        <v>125216.44</v>
      </c>
      <c r="D70" s="595"/>
      <c r="E70" s="932">
        <v>125216.44</v>
      </c>
      <c r="F70" s="595"/>
      <c r="G70" s="595"/>
      <c r="H70" s="932"/>
      <c r="I70" s="595"/>
      <c r="J70" s="595"/>
      <c r="K70" s="932"/>
      <c r="L70" s="595">
        <v>125216.44</v>
      </c>
    </row>
    <row r="71" spans="2:12" ht="15">
      <c r="B71" t="s">
        <v>4620</v>
      </c>
      <c r="C71" s="595"/>
      <c r="D71" s="595"/>
      <c r="E71" s="932"/>
      <c r="F71" s="595"/>
      <c r="G71" s="595"/>
      <c r="H71" s="932"/>
      <c r="I71" s="595">
        <v>68334.28</v>
      </c>
      <c r="J71" s="595"/>
      <c r="K71" s="932">
        <v>68334.28</v>
      </c>
      <c r="L71" s="595">
        <v>68334.28</v>
      </c>
    </row>
    <row r="72" spans="2:12" ht="15">
      <c r="B72" t="s">
        <v>4621</v>
      </c>
      <c r="C72" s="595">
        <v>140556.34</v>
      </c>
      <c r="D72" s="595"/>
      <c r="E72" s="932">
        <v>140556.34</v>
      </c>
      <c r="F72" s="595"/>
      <c r="G72" s="595"/>
      <c r="H72" s="932"/>
      <c r="I72" s="595"/>
      <c r="J72" s="595"/>
      <c r="K72" s="932"/>
      <c r="L72" s="595">
        <v>140556.34</v>
      </c>
    </row>
    <row r="73" spans="2:12" ht="15">
      <c r="B73" t="s">
        <v>4622</v>
      </c>
      <c r="C73" s="595"/>
      <c r="D73" s="595"/>
      <c r="E73" s="932"/>
      <c r="F73" s="595">
        <v>36762.35</v>
      </c>
      <c r="G73" s="595"/>
      <c r="H73" s="932">
        <v>36762.35</v>
      </c>
      <c r="I73" s="595"/>
      <c r="J73" s="595"/>
      <c r="K73" s="932"/>
      <c r="L73" s="595">
        <v>36762.35</v>
      </c>
    </row>
    <row r="74" spans="2:12" ht="15">
      <c r="B74" t="s">
        <v>4623</v>
      </c>
      <c r="C74" s="595">
        <v>351815.67000000004</v>
      </c>
      <c r="D74" s="595"/>
      <c r="E74" s="932">
        <v>351815.67000000004</v>
      </c>
      <c r="F74" s="595">
        <v>18551.18</v>
      </c>
      <c r="G74" s="595"/>
      <c r="H74" s="932">
        <v>18551.18</v>
      </c>
      <c r="I74" s="595"/>
      <c r="J74" s="595"/>
      <c r="K74" s="932"/>
      <c r="L74" s="595">
        <v>370366.85000000003</v>
      </c>
    </row>
    <row r="75" spans="2:12" ht="15">
      <c r="B75" t="s">
        <v>4624</v>
      </c>
      <c r="C75" s="595">
        <v>0</v>
      </c>
      <c r="D75" s="595"/>
      <c r="E75" s="932">
        <v>0</v>
      </c>
      <c r="F75" s="595"/>
      <c r="G75" s="595"/>
      <c r="H75" s="932"/>
      <c r="I75" s="595"/>
      <c r="J75" s="595"/>
      <c r="K75" s="932"/>
      <c r="L75" s="595">
        <v>0</v>
      </c>
    </row>
    <row r="76" spans="2:12" ht="15">
      <c r="B76" t="s">
        <v>4625</v>
      </c>
      <c r="C76" s="595">
        <v>72486.399999999994</v>
      </c>
      <c r="D76" s="595"/>
      <c r="E76" s="932">
        <v>72486.399999999994</v>
      </c>
      <c r="F76" s="595"/>
      <c r="G76" s="595"/>
      <c r="H76" s="932"/>
      <c r="I76" s="595"/>
      <c r="J76" s="595"/>
      <c r="K76" s="932"/>
      <c r="L76" s="595">
        <v>72486.399999999994</v>
      </c>
    </row>
    <row r="77" spans="2:12" ht="15">
      <c r="B77" t="s">
        <v>4626</v>
      </c>
      <c r="C77" s="595">
        <v>75000</v>
      </c>
      <c r="D77" s="595"/>
      <c r="E77" s="932">
        <v>75000</v>
      </c>
      <c r="F77" s="595"/>
      <c r="G77" s="595"/>
      <c r="H77" s="932"/>
      <c r="I77" s="595"/>
      <c r="J77" s="595"/>
      <c r="K77" s="932"/>
      <c r="L77" s="595">
        <v>75000</v>
      </c>
    </row>
    <row r="78" spans="2:12" ht="15">
      <c r="B78" t="s">
        <v>4627</v>
      </c>
      <c r="C78" s="595">
        <v>69500</v>
      </c>
      <c r="D78" s="595"/>
      <c r="E78" s="932">
        <v>69500</v>
      </c>
      <c r="F78" s="595"/>
      <c r="G78" s="595"/>
      <c r="H78" s="932"/>
      <c r="I78" s="595"/>
      <c r="J78" s="595"/>
      <c r="K78" s="932"/>
      <c r="L78" s="595">
        <v>69500</v>
      </c>
    </row>
    <row r="79" spans="2:12" ht="15">
      <c r="B79" t="s">
        <v>4628</v>
      </c>
      <c r="C79" s="595"/>
      <c r="D79" s="595">
        <v>109515.78</v>
      </c>
      <c r="E79" s="932">
        <v>109515.78</v>
      </c>
      <c r="F79" s="595"/>
      <c r="G79" s="595"/>
      <c r="H79" s="932"/>
      <c r="I79" s="595"/>
      <c r="J79" s="595"/>
      <c r="K79" s="932"/>
      <c r="L79" s="595">
        <v>109515.78</v>
      </c>
    </row>
    <row r="80" spans="2:12" ht="15">
      <c r="B80" t="s">
        <v>4629</v>
      </c>
      <c r="C80" s="595"/>
      <c r="D80" s="595"/>
      <c r="E80" s="932"/>
      <c r="F80" s="595"/>
      <c r="G80" s="595"/>
      <c r="H80" s="932"/>
      <c r="I80" s="595">
        <v>47133.1</v>
      </c>
      <c r="J80" s="595"/>
      <c r="K80" s="932">
        <v>47133.1</v>
      </c>
      <c r="L80" s="595">
        <v>47133.1</v>
      </c>
    </row>
    <row r="81" spans="2:12" ht="15">
      <c r="B81" t="s">
        <v>4630</v>
      </c>
      <c r="C81" s="595"/>
      <c r="D81" s="595"/>
      <c r="E81" s="932"/>
      <c r="F81" s="595">
        <v>68168</v>
      </c>
      <c r="G81" s="595"/>
      <c r="H81" s="932">
        <v>68168</v>
      </c>
      <c r="I81" s="595"/>
      <c r="J81" s="595"/>
      <c r="K81" s="932"/>
      <c r="L81" s="595">
        <v>68168</v>
      </c>
    </row>
    <row r="82" spans="2:12" ht="15">
      <c r="B82" t="s">
        <v>4631</v>
      </c>
      <c r="C82" s="595"/>
      <c r="D82" s="595"/>
      <c r="E82" s="932"/>
      <c r="F82" s="595"/>
      <c r="G82" s="595">
        <v>32613</v>
      </c>
      <c r="H82" s="932">
        <v>32613</v>
      </c>
      <c r="I82" s="595"/>
      <c r="J82" s="595"/>
      <c r="K82" s="932"/>
      <c r="L82" s="595">
        <v>32613</v>
      </c>
    </row>
    <row r="83" spans="2:12" ht="15">
      <c r="B83" t="s">
        <v>4632</v>
      </c>
      <c r="C83" s="595"/>
      <c r="D83" s="595">
        <v>1570470.17</v>
      </c>
      <c r="E83" s="932">
        <v>1570470.17</v>
      </c>
      <c r="F83" s="595"/>
      <c r="G83" s="595">
        <v>1062906.5</v>
      </c>
      <c r="H83" s="932">
        <v>1062906.5</v>
      </c>
      <c r="I83" s="595">
        <v>40414.800000000003</v>
      </c>
      <c r="J83" s="595">
        <v>1780570.4500000002</v>
      </c>
      <c r="K83" s="932">
        <v>1820985.2500000002</v>
      </c>
      <c r="L83" s="595">
        <v>4454361.92</v>
      </c>
    </row>
    <row r="84" spans="2:12" ht="15">
      <c r="B84" t="s">
        <v>4633</v>
      </c>
      <c r="C84" s="595"/>
      <c r="D84" s="595"/>
      <c r="E84" s="932"/>
      <c r="F84" s="595"/>
      <c r="G84" s="595">
        <v>703555.77</v>
      </c>
      <c r="H84" s="932">
        <v>703555.77</v>
      </c>
      <c r="I84" s="595"/>
      <c r="J84" s="595"/>
      <c r="K84" s="932"/>
      <c r="L84" s="595">
        <v>703555.77</v>
      </c>
    </row>
    <row r="85" spans="2:12" ht="15">
      <c r="B85" t="s">
        <v>4634</v>
      </c>
      <c r="C85" s="595">
        <v>78517.8</v>
      </c>
      <c r="D85" s="595"/>
      <c r="E85" s="932">
        <v>78517.8</v>
      </c>
      <c r="F85" s="595"/>
      <c r="G85" s="595"/>
      <c r="H85" s="932"/>
      <c r="I85" s="595"/>
      <c r="J85" s="595"/>
      <c r="K85" s="932"/>
      <c r="L85" s="595">
        <v>78517.8</v>
      </c>
    </row>
    <row r="86" spans="2:12" ht="15">
      <c r="B86" t="s">
        <v>4635</v>
      </c>
      <c r="C86" s="595">
        <v>12734.75</v>
      </c>
      <c r="D86" s="595"/>
      <c r="E86" s="932">
        <v>12734.75</v>
      </c>
      <c r="F86" s="595"/>
      <c r="G86" s="595"/>
      <c r="H86" s="932"/>
      <c r="I86" s="595"/>
      <c r="J86" s="595"/>
      <c r="K86" s="932"/>
      <c r="L86" s="595">
        <v>12734.75</v>
      </c>
    </row>
    <row r="87" spans="2:12" ht="15">
      <c r="B87" t="s">
        <v>4636</v>
      </c>
      <c r="C87" s="595"/>
      <c r="D87" s="595"/>
      <c r="E87" s="932"/>
      <c r="F87" s="595">
        <v>274802</v>
      </c>
      <c r="G87" s="595"/>
      <c r="H87" s="932">
        <v>274802</v>
      </c>
      <c r="I87" s="595"/>
      <c r="J87" s="595"/>
      <c r="K87" s="932"/>
      <c r="L87" s="595">
        <v>274802</v>
      </c>
    </row>
    <row r="88" spans="2:12" ht="15">
      <c r="B88" t="s">
        <v>4637</v>
      </c>
      <c r="C88" s="595"/>
      <c r="D88" s="595"/>
      <c r="E88" s="932"/>
      <c r="F88" s="595"/>
      <c r="G88" s="595">
        <v>99969.42</v>
      </c>
      <c r="H88" s="932">
        <v>99969.42</v>
      </c>
      <c r="I88" s="595"/>
      <c r="J88" s="595"/>
      <c r="K88" s="932"/>
      <c r="L88" s="595">
        <v>99969.42</v>
      </c>
    </row>
    <row r="89" spans="2:12" ht="15">
      <c r="B89" t="s">
        <v>4638</v>
      </c>
      <c r="C89" s="595"/>
      <c r="D89" s="595">
        <v>76364.86</v>
      </c>
      <c r="E89" s="932">
        <v>76364.86</v>
      </c>
      <c r="F89" s="595">
        <v>60336</v>
      </c>
      <c r="G89" s="595"/>
      <c r="H89" s="932">
        <v>60336</v>
      </c>
      <c r="I89" s="595"/>
      <c r="J89" s="595"/>
      <c r="K89" s="932"/>
      <c r="L89" s="595">
        <v>136700.85999999999</v>
      </c>
    </row>
    <row r="90" spans="2:12" ht="15">
      <c r="B90" t="s">
        <v>4639</v>
      </c>
      <c r="C90" s="595">
        <v>246725.49</v>
      </c>
      <c r="D90" s="595"/>
      <c r="E90" s="932">
        <v>246725.49</v>
      </c>
      <c r="F90" s="595"/>
      <c r="G90" s="595"/>
      <c r="H90" s="932"/>
      <c r="I90" s="595"/>
      <c r="J90" s="595"/>
      <c r="K90" s="932"/>
      <c r="L90" s="595">
        <v>246725.49</v>
      </c>
    </row>
    <row r="91" spans="2:12" ht="15">
      <c r="B91" t="s">
        <v>4640</v>
      </c>
      <c r="C91" s="595">
        <v>300910.59999999998</v>
      </c>
      <c r="D91" s="595"/>
      <c r="E91" s="932">
        <v>300910.59999999998</v>
      </c>
      <c r="F91" s="595">
        <v>69797.77</v>
      </c>
      <c r="G91" s="595"/>
      <c r="H91" s="932">
        <v>69797.77</v>
      </c>
      <c r="I91" s="595"/>
      <c r="J91" s="595"/>
      <c r="K91" s="932"/>
      <c r="L91" s="595">
        <v>370708.37</v>
      </c>
    </row>
    <row r="92" spans="2:12" ht="15">
      <c r="B92" t="s">
        <v>4641</v>
      </c>
      <c r="C92" s="595">
        <v>312000</v>
      </c>
      <c r="D92" s="595"/>
      <c r="E92" s="932">
        <v>312000</v>
      </c>
      <c r="F92" s="595"/>
      <c r="G92" s="595"/>
      <c r="H92" s="932"/>
      <c r="I92" s="595"/>
      <c r="J92" s="595"/>
      <c r="K92" s="932"/>
      <c r="L92" s="595">
        <v>312000</v>
      </c>
    </row>
    <row r="93" spans="2:12" ht="15">
      <c r="B93" t="s">
        <v>4642</v>
      </c>
      <c r="C93" s="595"/>
      <c r="D93" s="595"/>
      <c r="E93" s="932"/>
      <c r="F93" s="595">
        <v>11308.76</v>
      </c>
      <c r="G93" s="595"/>
      <c r="H93" s="932">
        <v>11308.76</v>
      </c>
      <c r="I93" s="595"/>
      <c r="J93" s="595"/>
      <c r="K93" s="932"/>
      <c r="L93" s="595">
        <v>11308.76</v>
      </c>
    </row>
    <row r="94" spans="2:12" ht="15">
      <c r="B94" t="s">
        <v>4643</v>
      </c>
      <c r="C94" s="595">
        <v>39655.89</v>
      </c>
      <c r="D94" s="595"/>
      <c r="E94" s="932">
        <v>39655.89</v>
      </c>
      <c r="F94" s="595"/>
      <c r="G94" s="595"/>
      <c r="H94" s="932"/>
      <c r="I94" s="595"/>
      <c r="J94" s="595"/>
      <c r="K94" s="932"/>
      <c r="L94" s="595">
        <v>39655.89</v>
      </c>
    </row>
    <row r="95" spans="2:12" ht="15">
      <c r="B95" t="s">
        <v>4644</v>
      </c>
      <c r="C95" s="595"/>
      <c r="D95" s="595">
        <v>504511.88</v>
      </c>
      <c r="E95" s="932">
        <v>504511.88</v>
      </c>
      <c r="F95" s="595"/>
      <c r="G95" s="595">
        <v>415261.26999999996</v>
      </c>
      <c r="H95" s="932">
        <v>415261.26999999996</v>
      </c>
      <c r="I95" s="595"/>
      <c r="J95" s="595">
        <v>106353.84</v>
      </c>
      <c r="K95" s="932">
        <v>106353.84</v>
      </c>
      <c r="L95" s="595">
        <v>1026126.9899999999</v>
      </c>
    </row>
    <row r="96" spans="2:12" ht="15">
      <c r="B96" t="s">
        <v>4645</v>
      </c>
      <c r="C96" s="595"/>
      <c r="D96" s="595">
        <v>51941.64</v>
      </c>
      <c r="E96" s="932">
        <v>51941.64</v>
      </c>
      <c r="F96" s="595"/>
      <c r="G96" s="595"/>
      <c r="H96" s="932"/>
      <c r="I96" s="595"/>
      <c r="J96" s="595"/>
      <c r="K96" s="932"/>
      <c r="L96" s="595">
        <v>51941.64</v>
      </c>
    </row>
    <row r="97" spans="2:12" ht="15">
      <c r="B97" t="s">
        <v>4646</v>
      </c>
      <c r="C97" s="595">
        <v>175739.4</v>
      </c>
      <c r="D97" s="595"/>
      <c r="E97" s="932">
        <v>175739.4</v>
      </c>
      <c r="F97" s="595"/>
      <c r="G97" s="595"/>
      <c r="H97" s="932"/>
      <c r="I97" s="595"/>
      <c r="J97" s="595"/>
      <c r="K97" s="932"/>
      <c r="L97" s="595">
        <v>175739.4</v>
      </c>
    </row>
    <row r="98" spans="2:12" ht="15">
      <c r="B98" t="s">
        <v>4647</v>
      </c>
      <c r="C98" s="595"/>
      <c r="D98" s="595"/>
      <c r="E98" s="932"/>
      <c r="F98" s="595">
        <v>72000</v>
      </c>
      <c r="G98" s="595"/>
      <c r="H98" s="932">
        <v>72000</v>
      </c>
      <c r="I98" s="595"/>
      <c r="J98" s="595"/>
      <c r="K98" s="932"/>
      <c r="L98" s="595">
        <v>72000</v>
      </c>
    </row>
    <row r="99" spans="2:12" ht="15">
      <c r="B99" t="s">
        <v>4648</v>
      </c>
      <c r="C99" s="595"/>
      <c r="D99" s="595">
        <v>163050.40000000002</v>
      </c>
      <c r="E99" s="932">
        <v>163050.40000000002</v>
      </c>
      <c r="F99" s="595"/>
      <c r="G99" s="595"/>
      <c r="H99" s="932"/>
      <c r="I99" s="595"/>
      <c r="J99" s="595"/>
      <c r="K99" s="932"/>
      <c r="L99" s="595">
        <v>163050.40000000002</v>
      </c>
    </row>
    <row r="100" spans="2:12" ht="15">
      <c r="B100" t="s">
        <v>4649</v>
      </c>
      <c r="C100" s="595"/>
      <c r="D100" s="595"/>
      <c r="E100" s="932"/>
      <c r="F100" s="595"/>
      <c r="G100" s="595"/>
      <c r="H100" s="932"/>
      <c r="I100" s="595">
        <v>24124.799999999999</v>
      </c>
      <c r="J100" s="595"/>
      <c r="K100" s="932">
        <v>24124.799999999999</v>
      </c>
      <c r="L100" s="595">
        <v>24124.799999999999</v>
      </c>
    </row>
    <row r="101" spans="2:12" ht="15">
      <c r="B101" t="s">
        <v>4650</v>
      </c>
      <c r="C101" s="595"/>
      <c r="D101" s="595">
        <v>416426.5</v>
      </c>
      <c r="E101" s="932">
        <v>416426.5</v>
      </c>
      <c r="F101" s="595"/>
      <c r="G101" s="595"/>
      <c r="H101" s="932"/>
      <c r="I101" s="595"/>
      <c r="J101" s="595"/>
      <c r="K101" s="932"/>
      <c r="L101" s="595">
        <v>416426.5</v>
      </c>
    </row>
    <row r="102" spans="2:12" ht="15">
      <c r="B102" t="s">
        <v>4651</v>
      </c>
      <c r="C102" s="595">
        <v>102017.34</v>
      </c>
      <c r="D102" s="595"/>
      <c r="E102" s="932">
        <v>102017.34</v>
      </c>
      <c r="F102" s="595"/>
      <c r="G102" s="595"/>
      <c r="H102" s="932"/>
      <c r="I102" s="595"/>
      <c r="J102" s="595"/>
      <c r="K102" s="932"/>
      <c r="L102" s="595">
        <v>102017.34</v>
      </c>
    </row>
    <row r="103" spans="2:12" ht="15">
      <c r="B103" t="s">
        <v>4652</v>
      </c>
      <c r="C103" s="595"/>
      <c r="D103" s="595">
        <v>1267250.6600000001</v>
      </c>
      <c r="E103" s="932">
        <v>1267250.6600000001</v>
      </c>
      <c r="F103" s="595"/>
      <c r="G103" s="595">
        <v>67381.16</v>
      </c>
      <c r="H103" s="932">
        <v>67381.16</v>
      </c>
      <c r="I103" s="595">
        <v>298364.08</v>
      </c>
      <c r="J103" s="595"/>
      <c r="K103" s="932">
        <v>298364.08</v>
      </c>
      <c r="L103" s="595">
        <v>1632995.9000000001</v>
      </c>
    </row>
    <row r="104" spans="2:12" ht="15">
      <c r="B104" t="s">
        <v>4653</v>
      </c>
      <c r="C104" s="595"/>
      <c r="D104" s="595"/>
      <c r="E104" s="932"/>
      <c r="F104" s="595"/>
      <c r="G104" s="595">
        <v>178225.2</v>
      </c>
      <c r="H104" s="932">
        <v>178225.2</v>
      </c>
      <c r="I104" s="595"/>
      <c r="J104" s="595"/>
      <c r="K104" s="932"/>
      <c r="L104" s="595">
        <v>178225.2</v>
      </c>
    </row>
    <row r="105" spans="2:12" ht="15">
      <c r="B105" t="s">
        <v>4654</v>
      </c>
      <c r="C105" s="595"/>
      <c r="D105" s="595"/>
      <c r="E105" s="932"/>
      <c r="F105" s="595"/>
      <c r="G105" s="595">
        <v>266361.16000000003</v>
      </c>
      <c r="H105" s="932">
        <v>266361.16000000003</v>
      </c>
      <c r="I105" s="595"/>
      <c r="J105" s="595"/>
      <c r="K105" s="932"/>
      <c r="L105" s="595">
        <v>266361.16000000003</v>
      </c>
    </row>
    <row r="106" spans="2:12" ht="15">
      <c r="B106" t="s">
        <v>4655</v>
      </c>
      <c r="C106" s="595">
        <v>119138.72</v>
      </c>
      <c r="D106" s="595"/>
      <c r="E106" s="932">
        <v>119138.72</v>
      </c>
      <c r="F106" s="595"/>
      <c r="G106" s="595"/>
      <c r="H106" s="932"/>
      <c r="I106" s="595"/>
      <c r="J106" s="595"/>
      <c r="K106" s="932"/>
      <c r="L106" s="595">
        <v>119138.72</v>
      </c>
    </row>
    <row r="107" spans="2:12" ht="15">
      <c r="B107" t="s">
        <v>4656</v>
      </c>
      <c r="C107" s="595"/>
      <c r="D107" s="595"/>
      <c r="E107" s="932"/>
      <c r="F107" s="595"/>
      <c r="G107" s="595">
        <v>620989.44999999995</v>
      </c>
      <c r="H107" s="932">
        <v>620989.44999999995</v>
      </c>
      <c r="I107" s="595">
        <v>22932.21</v>
      </c>
      <c r="J107" s="595">
        <v>1597052.9100000001</v>
      </c>
      <c r="K107" s="932">
        <v>1619985.12</v>
      </c>
      <c r="L107" s="595">
        <v>2240974.5700000003</v>
      </c>
    </row>
    <row r="108" spans="2:12" ht="15">
      <c r="B108" t="s">
        <v>4657</v>
      </c>
      <c r="C108" s="595">
        <v>11457.19</v>
      </c>
      <c r="D108" s="595"/>
      <c r="E108" s="932">
        <v>11457.19</v>
      </c>
      <c r="F108" s="595"/>
      <c r="G108" s="595"/>
      <c r="H108" s="932"/>
      <c r="I108" s="595"/>
      <c r="J108" s="595"/>
      <c r="K108" s="932"/>
      <c r="L108" s="595">
        <v>11457.19</v>
      </c>
    </row>
    <row r="109" spans="2:12" ht="15">
      <c r="B109" t="s">
        <v>4658</v>
      </c>
      <c r="C109" s="595">
        <v>75335</v>
      </c>
      <c r="D109" s="595"/>
      <c r="E109" s="932">
        <v>75335</v>
      </c>
      <c r="F109" s="595">
        <v>614594.14</v>
      </c>
      <c r="G109" s="595"/>
      <c r="H109" s="932">
        <v>614594.14</v>
      </c>
      <c r="I109" s="595"/>
      <c r="J109" s="595"/>
      <c r="K109" s="932"/>
      <c r="L109" s="595">
        <v>689929.14</v>
      </c>
    </row>
    <row r="110" spans="2:12" ht="15">
      <c r="B110" t="s">
        <v>4659</v>
      </c>
      <c r="C110" s="595"/>
      <c r="D110" s="595">
        <v>116183.7</v>
      </c>
      <c r="E110" s="932">
        <v>116183.7</v>
      </c>
      <c r="F110" s="595"/>
      <c r="G110" s="595"/>
      <c r="H110" s="932"/>
      <c r="I110" s="595"/>
      <c r="J110" s="595"/>
      <c r="K110" s="932"/>
      <c r="L110" s="595">
        <v>116183.7</v>
      </c>
    </row>
    <row r="111" spans="2:12" ht="15">
      <c r="B111" t="s">
        <v>4660</v>
      </c>
      <c r="C111" s="595"/>
      <c r="D111" s="595">
        <v>340806.9</v>
      </c>
      <c r="E111" s="932">
        <v>340806.9</v>
      </c>
      <c r="F111" s="595"/>
      <c r="G111" s="595"/>
      <c r="H111" s="932"/>
      <c r="I111" s="595"/>
      <c r="J111" s="595"/>
      <c r="K111" s="932"/>
      <c r="L111" s="595">
        <v>340806.9</v>
      </c>
    </row>
    <row r="112" spans="2:12" ht="15">
      <c r="B112" t="s">
        <v>4661</v>
      </c>
      <c r="C112" s="595"/>
      <c r="D112" s="595">
        <v>28000</v>
      </c>
      <c r="E112" s="932">
        <v>28000</v>
      </c>
      <c r="F112" s="595"/>
      <c r="G112" s="595"/>
      <c r="H112" s="932"/>
      <c r="I112" s="595"/>
      <c r="J112" s="595"/>
      <c r="K112" s="932"/>
      <c r="L112" s="595">
        <v>28000</v>
      </c>
    </row>
    <row r="113" spans="2:12" ht="15">
      <c r="B113" t="s">
        <v>4662</v>
      </c>
      <c r="C113" s="595"/>
      <c r="D113" s="595">
        <v>525481.42999999993</v>
      </c>
      <c r="E113" s="932">
        <v>525481.42999999993</v>
      </c>
      <c r="F113" s="595"/>
      <c r="G113" s="595">
        <v>401956.95999999996</v>
      </c>
      <c r="H113" s="932">
        <v>401956.95999999996</v>
      </c>
      <c r="I113" s="595"/>
      <c r="J113" s="595">
        <v>237130.05</v>
      </c>
      <c r="K113" s="932">
        <v>237130.05</v>
      </c>
      <c r="L113" s="595">
        <v>1164568.44</v>
      </c>
    </row>
    <row r="114" spans="2:12" ht="15">
      <c r="B114" t="s">
        <v>4663</v>
      </c>
      <c r="C114" s="595"/>
      <c r="D114" s="595">
        <v>284395.82</v>
      </c>
      <c r="E114" s="932">
        <v>284395.82</v>
      </c>
      <c r="F114" s="595"/>
      <c r="G114" s="595"/>
      <c r="H114" s="932"/>
      <c r="I114" s="595"/>
      <c r="J114" s="595"/>
      <c r="K114" s="932"/>
      <c r="L114" s="595">
        <v>284395.82</v>
      </c>
    </row>
    <row r="115" spans="2:12" ht="15">
      <c r="B115" t="s">
        <v>4664</v>
      </c>
      <c r="C115" s="595"/>
      <c r="D115" s="595">
        <v>51575.74</v>
      </c>
      <c r="E115" s="932">
        <v>51575.74</v>
      </c>
      <c r="F115" s="595"/>
      <c r="G115" s="595">
        <v>1265920.9200000002</v>
      </c>
      <c r="H115" s="932">
        <v>1265920.9200000002</v>
      </c>
      <c r="I115" s="595">
        <v>325276.64999999997</v>
      </c>
      <c r="J115" s="595"/>
      <c r="K115" s="932">
        <v>325276.64999999997</v>
      </c>
      <c r="L115" s="595">
        <v>1642773.31</v>
      </c>
    </row>
    <row r="116" spans="2:12" ht="15">
      <c r="B116" t="s">
        <v>4665</v>
      </c>
      <c r="C116" s="595"/>
      <c r="D116" s="595"/>
      <c r="E116" s="932"/>
      <c r="F116" s="595"/>
      <c r="G116" s="595"/>
      <c r="H116" s="932"/>
      <c r="I116" s="595">
        <v>409689.13</v>
      </c>
      <c r="J116" s="595"/>
      <c r="K116" s="932">
        <v>409689.13</v>
      </c>
      <c r="L116" s="595">
        <v>409689.13</v>
      </c>
    </row>
    <row r="117" spans="2:12" ht="15">
      <c r="B117" t="s">
        <v>4666</v>
      </c>
      <c r="C117" s="595"/>
      <c r="D117" s="595">
        <v>33614.130000000005</v>
      </c>
      <c r="E117" s="932">
        <v>33614.130000000005</v>
      </c>
      <c r="F117" s="595"/>
      <c r="G117" s="595">
        <v>410756.31</v>
      </c>
      <c r="H117" s="932">
        <v>410756.31</v>
      </c>
      <c r="I117" s="595"/>
      <c r="J117" s="595"/>
      <c r="K117" s="932"/>
      <c r="L117" s="595">
        <v>444370.44</v>
      </c>
    </row>
    <row r="118" spans="2:12" ht="15">
      <c r="B118" t="s">
        <v>4667</v>
      </c>
      <c r="C118" s="595">
        <v>24475.13</v>
      </c>
      <c r="D118" s="595"/>
      <c r="E118" s="932">
        <v>24475.13</v>
      </c>
      <c r="F118" s="595">
        <v>110213.69999999998</v>
      </c>
      <c r="G118" s="595"/>
      <c r="H118" s="932">
        <v>110213.69999999998</v>
      </c>
      <c r="I118" s="595"/>
      <c r="J118" s="595"/>
      <c r="K118" s="932"/>
      <c r="L118" s="595">
        <v>134688.82999999999</v>
      </c>
    </row>
    <row r="119" spans="2:12" ht="15">
      <c r="B119" t="s">
        <v>4668</v>
      </c>
      <c r="C119" s="595"/>
      <c r="D119" s="595">
        <v>148416.43</v>
      </c>
      <c r="E119" s="932">
        <v>148416.43</v>
      </c>
      <c r="F119" s="595"/>
      <c r="G119" s="595">
        <v>972163.4</v>
      </c>
      <c r="H119" s="932">
        <v>972163.4</v>
      </c>
      <c r="I119" s="595">
        <v>68738.55</v>
      </c>
      <c r="J119" s="595">
        <v>347086.77999999997</v>
      </c>
      <c r="K119" s="932">
        <v>415825.32999999996</v>
      </c>
      <c r="L119" s="595">
        <v>1536405.1600000001</v>
      </c>
    </row>
    <row r="120" spans="2:12" ht="15">
      <c r="B120" t="s">
        <v>4669</v>
      </c>
      <c r="C120" s="595"/>
      <c r="D120" s="595"/>
      <c r="E120" s="932"/>
      <c r="F120" s="595">
        <v>169197.58000000002</v>
      </c>
      <c r="G120" s="595"/>
      <c r="H120" s="932">
        <v>169197.58000000002</v>
      </c>
      <c r="I120" s="595"/>
      <c r="J120" s="595"/>
      <c r="K120" s="932"/>
      <c r="L120" s="595">
        <v>169197.58000000002</v>
      </c>
    </row>
    <row r="121" spans="2:12" ht="15">
      <c r="B121" t="s">
        <v>4670</v>
      </c>
      <c r="C121" s="595"/>
      <c r="D121" s="595"/>
      <c r="E121" s="932"/>
      <c r="F121" s="595">
        <v>84762.16</v>
      </c>
      <c r="G121" s="595"/>
      <c r="H121" s="932">
        <v>84762.16</v>
      </c>
      <c r="I121" s="595"/>
      <c r="J121" s="595"/>
      <c r="K121" s="932"/>
      <c r="L121" s="595">
        <v>84762.16</v>
      </c>
    </row>
    <row r="122" spans="2:12" ht="15">
      <c r="B122" t="s">
        <v>4671</v>
      </c>
      <c r="C122" s="595"/>
      <c r="D122" s="595"/>
      <c r="E122" s="932"/>
      <c r="F122" s="595"/>
      <c r="G122" s="595">
        <v>50558.44</v>
      </c>
      <c r="H122" s="932">
        <v>50558.44</v>
      </c>
      <c r="I122" s="595"/>
      <c r="J122" s="595">
        <v>170541.1</v>
      </c>
      <c r="K122" s="932">
        <v>170541.1</v>
      </c>
      <c r="L122" s="595">
        <v>221099.54</v>
      </c>
    </row>
    <row r="123" spans="2:12" ht="15">
      <c r="B123" t="s">
        <v>4672</v>
      </c>
      <c r="C123" s="595">
        <v>223700.64</v>
      </c>
      <c r="D123" s="595"/>
      <c r="E123" s="932">
        <v>223700.64</v>
      </c>
      <c r="F123" s="595"/>
      <c r="G123" s="595"/>
      <c r="H123" s="932"/>
      <c r="I123" s="595"/>
      <c r="J123" s="595"/>
      <c r="K123" s="932"/>
      <c r="L123" s="595">
        <v>223700.64</v>
      </c>
    </row>
    <row r="124" spans="2:12" ht="15">
      <c r="B124" t="s">
        <v>4673</v>
      </c>
      <c r="C124" s="595"/>
      <c r="D124" s="595"/>
      <c r="E124" s="932"/>
      <c r="F124" s="595"/>
      <c r="G124" s="595"/>
      <c r="H124" s="932"/>
      <c r="I124" s="595"/>
      <c r="J124" s="595">
        <v>215828.91</v>
      </c>
      <c r="K124" s="932">
        <v>215828.91</v>
      </c>
      <c r="L124" s="595">
        <v>215828.91</v>
      </c>
    </row>
    <row r="125" spans="2:12" ht="15">
      <c r="B125" t="s">
        <v>4674</v>
      </c>
      <c r="C125" s="595"/>
      <c r="D125" s="595"/>
      <c r="E125" s="932"/>
      <c r="F125" s="595"/>
      <c r="G125" s="595"/>
      <c r="H125" s="932"/>
      <c r="I125" s="595"/>
      <c r="J125" s="595">
        <v>30472.28</v>
      </c>
      <c r="K125" s="932">
        <v>30472.28</v>
      </c>
      <c r="L125" s="595">
        <v>30472.28</v>
      </c>
    </row>
    <row r="126" spans="2:12" ht="15">
      <c r="B126" t="s">
        <v>4675</v>
      </c>
      <c r="C126" s="595"/>
      <c r="D126" s="595"/>
      <c r="E126" s="932"/>
      <c r="F126" s="595"/>
      <c r="G126" s="595">
        <v>216615.95</v>
      </c>
      <c r="H126" s="932">
        <v>216615.95</v>
      </c>
      <c r="I126" s="595"/>
      <c r="J126" s="595">
        <v>306829.54000000004</v>
      </c>
      <c r="K126" s="932">
        <v>306829.54000000004</v>
      </c>
      <c r="L126" s="595">
        <v>523445.49000000005</v>
      </c>
    </row>
    <row r="127" spans="2:12" ht="15">
      <c r="B127" t="s">
        <v>4676</v>
      </c>
      <c r="C127" s="595"/>
      <c r="D127" s="595"/>
      <c r="E127" s="932"/>
      <c r="F127" s="595"/>
      <c r="G127" s="595">
        <v>36454.9</v>
      </c>
      <c r="H127" s="932">
        <v>36454.9</v>
      </c>
      <c r="I127" s="595"/>
      <c r="J127" s="595"/>
      <c r="K127" s="932"/>
      <c r="L127" s="595">
        <v>36454.9</v>
      </c>
    </row>
    <row r="128" spans="2:12" ht="15">
      <c r="B128" t="s">
        <v>4677</v>
      </c>
      <c r="C128" s="595">
        <v>294400.33999999997</v>
      </c>
      <c r="D128" s="595"/>
      <c r="E128" s="932">
        <v>294400.33999999997</v>
      </c>
      <c r="F128" s="595"/>
      <c r="G128" s="595"/>
      <c r="H128" s="932"/>
      <c r="I128" s="595"/>
      <c r="J128" s="595"/>
      <c r="K128" s="932"/>
      <c r="L128" s="595">
        <v>294400.33999999997</v>
      </c>
    </row>
    <row r="129" spans="2:12" ht="15">
      <c r="B129" t="s">
        <v>4678</v>
      </c>
      <c r="C129" s="595">
        <v>106466.9</v>
      </c>
      <c r="D129" s="595"/>
      <c r="E129" s="932">
        <v>106466.9</v>
      </c>
      <c r="F129" s="595"/>
      <c r="G129" s="595"/>
      <c r="H129" s="932"/>
      <c r="I129" s="595"/>
      <c r="J129" s="595"/>
      <c r="K129" s="932"/>
      <c r="L129" s="595">
        <v>106466.9</v>
      </c>
    </row>
    <row r="130" spans="2:12" ht="15">
      <c r="B130" t="s">
        <v>4679</v>
      </c>
      <c r="C130" s="595"/>
      <c r="D130" s="595"/>
      <c r="E130" s="932"/>
      <c r="F130" s="595"/>
      <c r="G130" s="595"/>
      <c r="H130" s="932"/>
      <c r="I130" s="595">
        <v>173415.4</v>
      </c>
      <c r="J130" s="595"/>
      <c r="K130" s="932">
        <v>173415.4</v>
      </c>
      <c r="L130" s="595">
        <v>173415.4</v>
      </c>
    </row>
    <row r="131" spans="2:12" ht="15">
      <c r="B131" t="s">
        <v>4680</v>
      </c>
      <c r="C131" s="595"/>
      <c r="D131" s="595">
        <v>175770.19999999998</v>
      </c>
      <c r="E131" s="932">
        <v>175770.19999999998</v>
      </c>
      <c r="F131" s="595"/>
      <c r="G131" s="595">
        <v>108746.5</v>
      </c>
      <c r="H131" s="932">
        <v>108746.5</v>
      </c>
      <c r="I131" s="595"/>
      <c r="J131" s="595">
        <v>346680.84</v>
      </c>
      <c r="K131" s="932">
        <v>346680.84</v>
      </c>
      <c r="L131" s="595">
        <v>631197.54</v>
      </c>
    </row>
    <row r="132" spans="2:12" ht="15">
      <c r="B132" t="s">
        <v>4681</v>
      </c>
      <c r="C132" s="595">
        <v>178318.71999999997</v>
      </c>
      <c r="D132" s="595"/>
      <c r="E132" s="932">
        <v>178318.71999999997</v>
      </c>
      <c r="F132" s="595">
        <v>357188.8</v>
      </c>
      <c r="G132" s="595"/>
      <c r="H132" s="932">
        <v>357188.8</v>
      </c>
      <c r="I132" s="595"/>
      <c r="J132" s="595"/>
      <c r="K132" s="932"/>
      <c r="L132" s="595">
        <v>535507.52</v>
      </c>
    </row>
    <row r="133" spans="2:12" ht="15">
      <c r="B133" t="s">
        <v>4682</v>
      </c>
      <c r="C133" s="595"/>
      <c r="D133" s="595">
        <v>459594.5</v>
      </c>
      <c r="E133" s="932">
        <v>459594.5</v>
      </c>
      <c r="F133" s="595"/>
      <c r="G133" s="595">
        <v>287301.77</v>
      </c>
      <c r="H133" s="932">
        <v>287301.77</v>
      </c>
      <c r="I133" s="595"/>
      <c r="J133" s="595">
        <v>208100.01</v>
      </c>
      <c r="K133" s="932">
        <v>208100.01</v>
      </c>
      <c r="L133" s="595">
        <v>954996.28</v>
      </c>
    </row>
    <row r="134" spans="2:12" ht="15">
      <c r="B134" t="s">
        <v>4683</v>
      </c>
      <c r="C134" s="595"/>
      <c r="D134" s="595"/>
      <c r="E134" s="932"/>
      <c r="F134" s="595">
        <v>194475.9</v>
      </c>
      <c r="G134" s="595"/>
      <c r="H134" s="932">
        <v>194475.9</v>
      </c>
      <c r="I134" s="595"/>
      <c r="J134" s="595"/>
      <c r="K134" s="932"/>
      <c r="L134" s="595">
        <v>194475.9</v>
      </c>
    </row>
    <row r="135" spans="2:12" ht="15">
      <c r="B135" t="s">
        <v>4684</v>
      </c>
      <c r="C135" s="595"/>
      <c r="D135" s="595"/>
      <c r="E135" s="932"/>
      <c r="F135" s="595"/>
      <c r="G135" s="595"/>
      <c r="H135" s="932"/>
      <c r="I135" s="595"/>
      <c r="J135" s="595">
        <v>96779.599999999991</v>
      </c>
      <c r="K135" s="932">
        <v>96779.599999999991</v>
      </c>
      <c r="L135" s="595">
        <v>96779.599999999991</v>
      </c>
    </row>
    <row r="136" spans="2:12" ht="15">
      <c r="B136" t="s">
        <v>4685</v>
      </c>
      <c r="C136" s="595"/>
      <c r="D136" s="595">
        <v>520528.84</v>
      </c>
      <c r="E136" s="932">
        <v>520528.84</v>
      </c>
      <c r="F136" s="595"/>
      <c r="G136" s="595">
        <v>640759.55999999982</v>
      </c>
      <c r="H136" s="932">
        <v>640759.55999999982</v>
      </c>
      <c r="I136" s="595"/>
      <c r="J136" s="595">
        <v>131205.35999999999</v>
      </c>
      <c r="K136" s="932">
        <v>131205.35999999999</v>
      </c>
      <c r="L136" s="595">
        <v>1292493.7599999998</v>
      </c>
    </row>
    <row r="137" spans="2:12" ht="15">
      <c r="B137" t="s">
        <v>4686</v>
      </c>
      <c r="C137" s="595"/>
      <c r="D137" s="595"/>
      <c r="E137" s="932"/>
      <c r="F137" s="595"/>
      <c r="G137" s="595">
        <v>143241.92000000001</v>
      </c>
      <c r="H137" s="932">
        <v>143241.92000000001</v>
      </c>
      <c r="I137" s="595"/>
      <c r="J137" s="595"/>
      <c r="K137" s="932"/>
      <c r="L137" s="595">
        <v>143241.92000000001</v>
      </c>
    </row>
    <row r="138" spans="2:12" ht="15">
      <c r="B138" t="s">
        <v>4687</v>
      </c>
      <c r="C138" s="595"/>
      <c r="D138" s="595">
        <v>596741.79999999993</v>
      </c>
      <c r="E138" s="932">
        <v>596741.79999999993</v>
      </c>
      <c r="F138" s="595"/>
      <c r="G138" s="595">
        <v>65901.59</v>
      </c>
      <c r="H138" s="932">
        <v>65901.59</v>
      </c>
      <c r="I138" s="595"/>
      <c r="J138" s="595">
        <v>903754.29999999993</v>
      </c>
      <c r="K138" s="932">
        <v>903754.29999999993</v>
      </c>
      <c r="L138" s="595">
        <v>1566397.69</v>
      </c>
    </row>
    <row r="139" spans="2:12" ht="15">
      <c r="B139" t="s">
        <v>4688</v>
      </c>
      <c r="C139" s="595"/>
      <c r="D139" s="595">
        <v>227535.46000000002</v>
      </c>
      <c r="E139" s="932">
        <v>227535.46000000002</v>
      </c>
      <c r="F139" s="595"/>
      <c r="G139" s="595">
        <v>42474.65</v>
      </c>
      <c r="H139" s="932">
        <v>42474.65</v>
      </c>
      <c r="I139" s="595"/>
      <c r="J139" s="595"/>
      <c r="K139" s="932"/>
      <c r="L139" s="595">
        <v>270010.11000000004</v>
      </c>
    </row>
    <row r="140" spans="2:12" ht="15">
      <c r="B140" t="s">
        <v>4689</v>
      </c>
      <c r="C140" s="595"/>
      <c r="D140" s="595"/>
      <c r="E140" s="932"/>
      <c r="F140" s="595">
        <v>13647.55</v>
      </c>
      <c r="G140" s="595"/>
      <c r="H140" s="932">
        <v>13647.55</v>
      </c>
      <c r="I140" s="595">
        <v>130125.95</v>
      </c>
      <c r="J140" s="595"/>
      <c r="K140" s="932">
        <v>130125.95</v>
      </c>
      <c r="L140" s="595">
        <v>143773.5</v>
      </c>
    </row>
    <row r="141" spans="2:12" ht="15">
      <c r="B141" t="s">
        <v>4690</v>
      </c>
      <c r="C141" s="595"/>
      <c r="D141" s="595">
        <v>196990.71</v>
      </c>
      <c r="E141" s="932">
        <v>196990.71</v>
      </c>
      <c r="F141" s="595"/>
      <c r="G141" s="595">
        <v>489990.89999999997</v>
      </c>
      <c r="H141" s="932">
        <v>489990.89999999997</v>
      </c>
      <c r="I141" s="595"/>
      <c r="J141" s="595"/>
      <c r="K141" s="932"/>
      <c r="L141" s="595">
        <v>686981.61</v>
      </c>
    </row>
    <row r="142" spans="2:12" ht="15">
      <c r="B142" t="s">
        <v>4691</v>
      </c>
      <c r="C142" s="595">
        <v>13000</v>
      </c>
      <c r="D142" s="595"/>
      <c r="E142" s="932">
        <v>13000</v>
      </c>
      <c r="F142" s="595"/>
      <c r="G142" s="595"/>
      <c r="H142" s="932"/>
      <c r="I142" s="595"/>
      <c r="J142" s="595"/>
      <c r="K142" s="932"/>
      <c r="L142" s="595">
        <v>13000</v>
      </c>
    </row>
    <row r="143" spans="2:12" ht="15">
      <c r="B143" t="s">
        <v>4692</v>
      </c>
      <c r="C143" s="595">
        <v>1253100.7999999998</v>
      </c>
      <c r="D143" s="595"/>
      <c r="E143" s="932">
        <v>1253100.7999999998</v>
      </c>
      <c r="F143" s="595">
        <v>77918.69</v>
      </c>
      <c r="G143" s="595"/>
      <c r="H143" s="932">
        <v>77918.69</v>
      </c>
      <c r="I143" s="595"/>
      <c r="J143" s="595"/>
      <c r="K143" s="932"/>
      <c r="L143" s="595">
        <v>1331019.4899999998</v>
      </c>
    </row>
    <row r="144" spans="2:12" ht="15">
      <c r="B144" t="s">
        <v>4693</v>
      </c>
      <c r="C144" s="595"/>
      <c r="D144" s="595"/>
      <c r="E144" s="932"/>
      <c r="F144" s="595">
        <v>67519.839999999997</v>
      </c>
      <c r="G144" s="595"/>
      <c r="H144" s="932">
        <v>67519.839999999997</v>
      </c>
      <c r="I144" s="595"/>
      <c r="J144" s="595"/>
      <c r="K144" s="932"/>
      <c r="L144" s="595">
        <v>67519.839999999997</v>
      </c>
    </row>
    <row r="145" spans="2:12" ht="15">
      <c r="B145" t="s">
        <v>4694</v>
      </c>
      <c r="C145" s="595"/>
      <c r="D145" s="595">
        <v>248770.43000000002</v>
      </c>
      <c r="E145" s="932">
        <v>248770.43000000002</v>
      </c>
      <c r="F145" s="595"/>
      <c r="G145" s="595">
        <v>95407.040000000008</v>
      </c>
      <c r="H145" s="932">
        <v>95407.040000000008</v>
      </c>
      <c r="I145" s="595"/>
      <c r="J145" s="595"/>
      <c r="K145" s="932"/>
      <c r="L145" s="595">
        <v>344177.47000000003</v>
      </c>
    </row>
    <row r="146" spans="2:12" ht="15">
      <c r="B146" t="s">
        <v>4695</v>
      </c>
      <c r="C146" s="595">
        <v>772478.87</v>
      </c>
      <c r="D146" s="595"/>
      <c r="E146" s="932">
        <v>772478.87</v>
      </c>
      <c r="F146" s="595"/>
      <c r="G146" s="595"/>
      <c r="H146" s="932"/>
      <c r="I146" s="595"/>
      <c r="J146" s="595"/>
      <c r="K146" s="932"/>
      <c r="L146" s="595">
        <v>772478.87</v>
      </c>
    </row>
    <row r="147" spans="2:12" ht="15">
      <c r="B147" t="s">
        <v>4696</v>
      </c>
      <c r="C147" s="595">
        <v>24738</v>
      </c>
      <c r="D147" s="595"/>
      <c r="E147" s="932">
        <v>24738</v>
      </c>
      <c r="F147" s="595"/>
      <c r="G147" s="595"/>
      <c r="H147" s="932"/>
      <c r="I147" s="595"/>
      <c r="J147" s="595"/>
      <c r="K147" s="932"/>
      <c r="L147" s="595">
        <v>24738</v>
      </c>
    </row>
    <row r="148" spans="2:12" ht="15">
      <c r="B148" t="s">
        <v>4697</v>
      </c>
      <c r="C148" s="595">
        <v>98000</v>
      </c>
      <c r="D148" s="595"/>
      <c r="E148" s="932">
        <v>98000</v>
      </c>
      <c r="F148" s="595"/>
      <c r="G148" s="595"/>
      <c r="H148" s="932"/>
      <c r="I148" s="595"/>
      <c r="J148" s="595"/>
      <c r="K148" s="932"/>
      <c r="L148" s="595">
        <v>98000</v>
      </c>
    </row>
    <row r="149" spans="2:12" ht="15">
      <c r="B149" t="s">
        <v>4698</v>
      </c>
      <c r="C149" s="595"/>
      <c r="D149" s="595">
        <v>394319.41000000003</v>
      </c>
      <c r="E149" s="932">
        <v>394319.41000000003</v>
      </c>
      <c r="F149" s="595"/>
      <c r="G149" s="595">
        <v>445955.91000000003</v>
      </c>
      <c r="H149" s="932">
        <v>445955.91000000003</v>
      </c>
      <c r="I149" s="595"/>
      <c r="J149" s="595">
        <v>422504.93</v>
      </c>
      <c r="K149" s="932">
        <v>422504.93</v>
      </c>
      <c r="L149" s="595">
        <v>1262780.25</v>
      </c>
    </row>
    <row r="150" spans="2:12" ht="15">
      <c r="B150" t="s">
        <v>4699</v>
      </c>
      <c r="C150" s="595">
        <v>61181.5</v>
      </c>
      <c r="D150" s="595"/>
      <c r="E150" s="932">
        <v>61181.5</v>
      </c>
      <c r="F150" s="595"/>
      <c r="G150" s="595"/>
      <c r="H150" s="932"/>
      <c r="I150" s="595"/>
      <c r="J150" s="595"/>
      <c r="K150" s="932"/>
      <c r="L150" s="595">
        <v>61181.5</v>
      </c>
    </row>
    <row r="151" spans="2:12" ht="15">
      <c r="B151" t="s">
        <v>4700</v>
      </c>
      <c r="C151" s="595"/>
      <c r="D151" s="595">
        <v>354702.66</v>
      </c>
      <c r="E151" s="932">
        <v>354702.66</v>
      </c>
      <c r="F151" s="595"/>
      <c r="G151" s="595"/>
      <c r="H151" s="932"/>
      <c r="I151" s="595"/>
      <c r="J151" s="595"/>
      <c r="K151" s="932"/>
      <c r="L151" s="595">
        <v>354702.66</v>
      </c>
    </row>
    <row r="152" spans="2:12" ht="15">
      <c r="B152" t="s">
        <v>4701</v>
      </c>
      <c r="C152" s="595"/>
      <c r="D152" s="595"/>
      <c r="E152" s="932"/>
      <c r="F152" s="595"/>
      <c r="G152" s="595"/>
      <c r="H152" s="932"/>
      <c r="I152" s="595"/>
      <c r="J152" s="595">
        <v>91908.239999999991</v>
      </c>
      <c r="K152" s="932">
        <v>91908.239999999991</v>
      </c>
      <c r="L152" s="595">
        <v>91908.239999999991</v>
      </c>
    </row>
    <row r="153" spans="2:12" ht="15">
      <c r="B153" t="s">
        <v>4702</v>
      </c>
      <c r="C153" s="595"/>
      <c r="D153" s="595"/>
      <c r="E153" s="932"/>
      <c r="F153" s="595"/>
      <c r="G153" s="595"/>
      <c r="H153" s="932"/>
      <c r="I153" s="595">
        <v>138589.53</v>
      </c>
      <c r="J153" s="595"/>
      <c r="K153" s="932">
        <v>138589.53</v>
      </c>
      <c r="L153" s="595">
        <v>138589.53</v>
      </c>
    </row>
    <row r="154" spans="2:12" ht="15">
      <c r="B154" t="s">
        <v>4703</v>
      </c>
      <c r="C154" s="595"/>
      <c r="D154" s="595"/>
      <c r="E154" s="932"/>
      <c r="F154" s="595"/>
      <c r="G154" s="595">
        <v>200594.88999999998</v>
      </c>
      <c r="H154" s="932">
        <v>200594.88999999998</v>
      </c>
      <c r="I154" s="595"/>
      <c r="J154" s="595">
        <v>523903.67</v>
      </c>
      <c r="K154" s="932">
        <v>523903.67</v>
      </c>
      <c r="L154" s="595">
        <v>724498.55999999994</v>
      </c>
    </row>
    <row r="155" spans="2:12" ht="15">
      <c r="B155" t="s">
        <v>4704</v>
      </c>
      <c r="C155" s="595">
        <v>141286.9</v>
      </c>
      <c r="D155" s="595"/>
      <c r="E155" s="932">
        <v>141286.9</v>
      </c>
      <c r="F155" s="595">
        <v>27977.8</v>
      </c>
      <c r="G155" s="595"/>
      <c r="H155" s="932">
        <v>27977.8</v>
      </c>
      <c r="I155" s="595"/>
      <c r="J155" s="595"/>
      <c r="K155" s="932"/>
      <c r="L155" s="595">
        <v>169264.69999999998</v>
      </c>
    </row>
    <row r="156" spans="2:12" ht="15">
      <c r="B156" t="s">
        <v>4705</v>
      </c>
      <c r="C156" s="595"/>
      <c r="D156" s="595">
        <v>60393.19</v>
      </c>
      <c r="E156" s="932">
        <v>60393.19</v>
      </c>
      <c r="F156" s="595"/>
      <c r="G156" s="595"/>
      <c r="H156" s="932"/>
      <c r="I156" s="595"/>
      <c r="J156" s="595"/>
      <c r="K156" s="932"/>
      <c r="L156" s="595">
        <v>60393.19</v>
      </c>
    </row>
    <row r="157" spans="2:12" ht="15">
      <c r="B157" t="s">
        <v>4706</v>
      </c>
      <c r="C157" s="595"/>
      <c r="D157" s="595"/>
      <c r="E157" s="932"/>
      <c r="F157" s="595"/>
      <c r="G157" s="595">
        <v>87834.62</v>
      </c>
      <c r="H157" s="932">
        <v>87834.62</v>
      </c>
      <c r="I157" s="595">
        <v>20759.400000000001</v>
      </c>
      <c r="J157" s="595"/>
      <c r="K157" s="932">
        <v>20759.400000000001</v>
      </c>
      <c r="L157" s="595">
        <v>108594.01999999999</v>
      </c>
    </row>
    <row r="158" spans="2:12" ht="15">
      <c r="B158" t="s">
        <v>4707</v>
      </c>
      <c r="C158" s="595">
        <v>1080191.99</v>
      </c>
      <c r="D158" s="595"/>
      <c r="E158" s="932">
        <v>1080191.99</v>
      </c>
      <c r="F158" s="595">
        <v>555005.22</v>
      </c>
      <c r="G158" s="595"/>
      <c r="H158" s="932">
        <v>555005.22</v>
      </c>
      <c r="I158" s="595"/>
      <c r="J158" s="595"/>
      <c r="K158" s="932"/>
      <c r="L158" s="595">
        <v>1635197.21</v>
      </c>
    </row>
    <row r="159" spans="2:12" ht="15">
      <c r="B159" t="s">
        <v>4708</v>
      </c>
      <c r="C159" s="595"/>
      <c r="D159" s="595"/>
      <c r="E159" s="932"/>
      <c r="F159" s="595"/>
      <c r="G159" s="595"/>
      <c r="H159" s="932"/>
      <c r="I159" s="595">
        <v>32325</v>
      </c>
      <c r="J159" s="595"/>
      <c r="K159" s="932">
        <v>32325</v>
      </c>
      <c r="L159" s="595">
        <v>32325</v>
      </c>
    </row>
    <row r="160" spans="2:12" ht="15">
      <c r="B160" t="s">
        <v>4709</v>
      </c>
      <c r="C160" s="595"/>
      <c r="D160" s="595"/>
      <c r="E160" s="932"/>
      <c r="F160" s="595">
        <v>66614</v>
      </c>
      <c r="G160" s="595"/>
      <c r="H160" s="932">
        <v>66614</v>
      </c>
      <c r="I160" s="595"/>
      <c r="J160" s="595"/>
      <c r="K160" s="932"/>
      <c r="L160" s="595">
        <v>66614</v>
      </c>
    </row>
    <row r="161" spans="2:12" ht="15">
      <c r="B161" t="s">
        <v>4710</v>
      </c>
      <c r="C161" s="595"/>
      <c r="D161" s="595"/>
      <c r="E161" s="932"/>
      <c r="F161" s="595">
        <v>5535.93</v>
      </c>
      <c r="G161" s="595"/>
      <c r="H161" s="932">
        <v>5535.93</v>
      </c>
      <c r="I161" s="595"/>
      <c r="J161" s="595"/>
      <c r="K161" s="932"/>
      <c r="L161" s="595">
        <v>5535.93</v>
      </c>
    </row>
    <row r="162" spans="2:12" ht="15">
      <c r="B162" t="s">
        <v>4711</v>
      </c>
      <c r="C162" s="595"/>
      <c r="D162" s="595">
        <v>148598.46</v>
      </c>
      <c r="E162" s="932">
        <v>148598.46</v>
      </c>
      <c r="F162" s="595"/>
      <c r="G162" s="595"/>
      <c r="H162" s="932"/>
      <c r="I162" s="595"/>
      <c r="J162" s="595"/>
      <c r="K162" s="932"/>
      <c r="L162" s="595">
        <v>148598.46</v>
      </c>
    </row>
    <row r="163" spans="2:12" ht="15">
      <c r="B163" t="s">
        <v>4712</v>
      </c>
      <c r="C163" s="595"/>
      <c r="D163" s="595"/>
      <c r="E163" s="932"/>
      <c r="F163" s="595"/>
      <c r="G163" s="595"/>
      <c r="H163" s="932"/>
      <c r="I163" s="595"/>
      <c r="J163" s="595">
        <v>55503.199999999997</v>
      </c>
      <c r="K163" s="932">
        <v>55503.199999999997</v>
      </c>
      <c r="L163" s="595">
        <v>55503.199999999997</v>
      </c>
    </row>
    <row r="164" spans="2:12" ht="15">
      <c r="B164" t="s">
        <v>4713</v>
      </c>
      <c r="C164" s="595"/>
      <c r="D164" s="595">
        <v>137296.99</v>
      </c>
      <c r="E164" s="932">
        <v>137296.99</v>
      </c>
      <c r="F164" s="595"/>
      <c r="G164" s="595">
        <v>293455.56</v>
      </c>
      <c r="H164" s="932">
        <v>293455.56</v>
      </c>
      <c r="I164" s="595"/>
      <c r="J164" s="595"/>
      <c r="K164" s="932"/>
      <c r="L164" s="595">
        <v>430752.55</v>
      </c>
    </row>
    <row r="165" spans="2:12" ht="15">
      <c r="B165" t="s">
        <v>4714</v>
      </c>
      <c r="C165" s="595"/>
      <c r="D165" s="595">
        <v>142666.25</v>
      </c>
      <c r="E165" s="932">
        <v>142666.25</v>
      </c>
      <c r="F165" s="595"/>
      <c r="G165" s="595"/>
      <c r="H165" s="932"/>
      <c r="I165" s="595"/>
      <c r="J165" s="595"/>
      <c r="K165" s="932"/>
      <c r="L165" s="595">
        <v>142666.25</v>
      </c>
    </row>
    <row r="166" spans="2:12" ht="15">
      <c r="B166" t="s">
        <v>4715</v>
      </c>
      <c r="C166" s="595"/>
      <c r="D166" s="595"/>
      <c r="E166" s="932"/>
      <c r="F166" s="595"/>
      <c r="G166" s="595"/>
      <c r="H166" s="932"/>
      <c r="I166" s="595">
        <v>98124</v>
      </c>
      <c r="J166" s="595"/>
      <c r="K166" s="932">
        <v>98124</v>
      </c>
      <c r="L166" s="595">
        <v>98124</v>
      </c>
    </row>
    <row r="167" spans="2:12" ht="15">
      <c r="B167" t="s">
        <v>4716</v>
      </c>
      <c r="C167" s="595"/>
      <c r="D167" s="595"/>
      <c r="E167" s="932"/>
      <c r="F167" s="595">
        <v>147459.68</v>
      </c>
      <c r="G167" s="595"/>
      <c r="H167" s="932">
        <v>147459.68</v>
      </c>
      <c r="I167" s="595"/>
      <c r="J167" s="595">
        <v>86006.8</v>
      </c>
      <c r="K167" s="932">
        <v>86006.8</v>
      </c>
      <c r="L167" s="595">
        <v>233466.47999999998</v>
      </c>
    </row>
    <row r="168" spans="2:12" ht="15">
      <c r="B168" t="s">
        <v>4717</v>
      </c>
      <c r="C168" s="595"/>
      <c r="D168" s="595"/>
      <c r="E168" s="932"/>
      <c r="F168" s="595">
        <v>22000</v>
      </c>
      <c r="G168" s="595"/>
      <c r="H168" s="932">
        <v>22000</v>
      </c>
      <c r="I168" s="595"/>
      <c r="J168" s="595"/>
      <c r="K168" s="932"/>
      <c r="L168" s="595">
        <v>22000</v>
      </c>
    </row>
    <row r="169" spans="2:12" ht="15">
      <c r="B169" t="s">
        <v>4718</v>
      </c>
      <c r="C169" s="595"/>
      <c r="D169" s="595">
        <v>21726.16</v>
      </c>
      <c r="E169" s="932">
        <v>21726.16</v>
      </c>
      <c r="F169" s="595"/>
      <c r="G169" s="595"/>
      <c r="H169" s="932"/>
      <c r="I169" s="595"/>
      <c r="J169" s="595"/>
      <c r="K169" s="932"/>
      <c r="L169" s="595">
        <v>21726.16</v>
      </c>
    </row>
    <row r="170" spans="2:12" ht="15">
      <c r="B170" t="s">
        <v>4719</v>
      </c>
      <c r="C170" s="595"/>
      <c r="D170" s="595"/>
      <c r="E170" s="932"/>
      <c r="F170" s="595"/>
      <c r="G170" s="595">
        <v>251063.06</v>
      </c>
      <c r="H170" s="932">
        <v>251063.06</v>
      </c>
      <c r="I170" s="595"/>
      <c r="J170" s="595"/>
      <c r="K170" s="932"/>
      <c r="L170" s="595">
        <v>251063.06</v>
      </c>
    </row>
    <row r="171" spans="2:12" ht="15">
      <c r="B171" t="s">
        <v>4720</v>
      </c>
      <c r="C171" s="595"/>
      <c r="D171" s="595"/>
      <c r="E171" s="932"/>
      <c r="F171" s="595">
        <v>175261</v>
      </c>
      <c r="G171" s="595"/>
      <c r="H171" s="932">
        <v>175261</v>
      </c>
      <c r="I171" s="595"/>
      <c r="J171" s="595"/>
      <c r="K171" s="932"/>
      <c r="L171" s="595">
        <v>175261</v>
      </c>
    </row>
    <row r="172" spans="2:12" ht="15">
      <c r="B172" t="s">
        <v>4721</v>
      </c>
      <c r="C172" s="595"/>
      <c r="D172" s="595"/>
      <c r="E172" s="932"/>
      <c r="F172" s="595">
        <v>54201.45</v>
      </c>
      <c r="G172" s="595"/>
      <c r="H172" s="932">
        <v>54201.45</v>
      </c>
      <c r="I172" s="595"/>
      <c r="J172" s="595"/>
      <c r="K172" s="932"/>
      <c r="L172" s="595">
        <v>54201.45</v>
      </c>
    </row>
    <row r="173" spans="2:12" ht="15">
      <c r="B173" t="s">
        <v>4722</v>
      </c>
      <c r="C173" s="595"/>
      <c r="D173" s="595">
        <v>248979.61</v>
      </c>
      <c r="E173" s="932">
        <v>248979.61</v>
      </c>
      <c r="F173" s="595"/>
      <c r="G173" s="595">
        <v>139865.61000000002</v>
      </c>
      <c r="H173" s="932">
        <v>139865.61000000002</v>
      </c>
      <c r="I173" s="595"/>
      <c r="J173" s="595"/>
      <c r="K173" s="932"/>
      <c r="L173" s="595">
        <v>388845.22</v>
      </c>
    </row>
    <row r="174" spans="2:12" ht="15">
      <c r="B174" t="s">
        <v>4723</v>
      </c>
      <c r="C174" s="595">
        <v>118074.38999999998</v>
      </c>
      <c r="D174" s="595"/>
      <c r="E174" s="932">
        <v>118074.38999999998</v>
      </c>
      <c r="F174" s="595">
        <v>317084.28000000003</v>
      </c>
      <c r="G174" s="595"/>
      <c r="H174" s="932">
        <v>317084.28000000003</v>
      </c>
      <c r="I174" s="595">
        <v>66276</v>
      </c>
      <c r="J174" s="595"/>
      <c r="K174" s="932">
        <v>66276</v>
      </c>
      <c r="L174" s="595">
        <v>501434.67000000004</v>
      </c>
    </row>
    <row r="175" spans="2:12" ht="15">
      <c r="B175" t="s">
        <v>4724</v>
      </c>
      <c r="C175" s="595"/>
      <c r="D175" s="595"/>
      <c r="E175" s="932"/>
      <c r="F175" s="595"/>
      <c r="G175" s="595"/>
      <c r="H175" s="932"/>
      <c r="I175" s="595">
        <v>208402.93</v>
      </c>
      <c r="J175" s="595"/>
      <c r="K175" s="932">
        <v>208402.93</v>
      </c>
      <c r="L175" s="595">
        <v>208402.93</v>
      </c>
    </row>
    <row r="176" spans="2:12" ht="15">
      <c r="B176" t="s">
        <v>4725</v>
      </c>
      <c r="C176" s="595"/>
      <c r="D176" s="595"/>
      <c r="E176" s="932"/>
      <c r="F176" s="595">
        <v>177000</v>
      </c>
      <c r="G176" s="595"/>
      <c r="H176" s="932">
        <v>177000</v>
      </c>
      <c r="I176" s="595"/>
      <c r="J176" s="595"/>
      <c r="K176" s="932"/>
      <c r="L176" s="595">
        <v>177000</v>
      </c>
    </row>
    <row r="177" spans="2:12" ht="15">
      <c r="B177" t="s">
        <v>4726</v>
      </c>
      <c r="C177" s="595"/>
      <c r="D177" s="595"/>
      <c r="E177" s="932"/>
      <c r="F177" s="595"/>
      <c r="G177" s="595"/>
      <c r="H177" s="932"/>
      <c r="I177" s="595"/>
      <c r="J177" s="595">
        <v>27687.72</v>
      </c>
      <c r="K177" s="932">
        <v>27687.72</v>
      </c>
      <c r="L177" s="595">
        <v>27687.72</v>
      </c>
    </row>
    <row r="178" spans="2:12" ht="15">
      <c r="B178" t="s">
        <v>4727</v>
      </c>
      <c r="C178" s="595"/>
      <c r="D178" s="595"/>
      <c r="E178" s="932"/>
      <c r="F178" s="595"/>
      <c r="G178" s="595">
        <v>3038263.57</v>
      </c>
      <c r="H178" s="932">
        <v>3038263.57</v>
      </c>
      <c r="I178" s="595"/>
      <c r="J178" s="595">
        <v>2126932.0500000003</v>
      </c>
      <c r="K178" s="932">
        <v>2126932.0500000003</v>
      </c>
      <c r="L178" s="595">
        <v>5165195.62</v>
      </c>
    </row>
    <row r="179" spans="2:12" ht="15">
      <c r="B179" t="s">
        <v>4728</v>
      </c>
      <c r="C179" s="595"/>
      <c r="D179" s="595"/>
      <c r="E179" s="932"/>
      <c r="F179" s="595"/>
      <c r="G179" s="595">
        <v>491220.83</v>
      </c>
      <c r="H179" s="932">
        <v>491220.83</v>
      </c>
      <c r="I179" s="595"/>
      <c r="J179" s="595"/>
      <c r="K179" s="932"/>
      <c r="L179" s="595">
        <v>491220.83</v>
      </c>
    </row>
    <row r="180" spans="2:12" ht="15">
      <c r="B180" t="s">
        <v>4729</v>
      </c>
      <c r="C180" s="595"/>
      <c r="D180" s="595">
        <v>25774.16</v>
      </c>
      <c r="E180" s="932">
        <v>25774.16</v>
      </c>
      <c r="F180" s="595"/>
      <c r="G180" s="595"/>
      <c r="H180" s="932"/>
      <c r="I180" s="595"/>
      <c r="J180" s="595"/>
      <c r="K180" s="932"/>
      <c r="L180" s="595">
        <v>25774.16</v>
      </c>
    </row>
    <row r="181" spans="2:12" ht="15">
      <c r="B181" t="s">
        <v>4730</v>
      </c>
      <c r="C181" s="595"/>
      <c r="D181" s="595">
        <v>91972.72</v>
      </c>
      <c r="E181" s="932">
        <v>91972.72</v>
      </c>
      <c r="F181" s="595"/>
      <c r="G181" s="595"/>
      <c r="H181" s="932"/>
      <c r="I181" s="595"/>
      <c r="J181" s="595"/>
      <c r="K181" s="932"/>
      <c r="L181" s="595">
        <v>91972.72</v>
      </c>
    </row>
    <row r="182" spans="2:12" ht="15">
      <c r="B182" t="s">
        <v>4731</v>
      </c>
      <c r="C182" s="595">
        <v>898241.83</v>
      </c>
      <c r="D182" s="595"/>
      <c r="E182" s="932">
        <v>898241.83</v>
      </c>
      <c r="F182" s="595"/>
      <c r="G182" s="595"/>
      <c r="H182" s="932"/>
      <c r="I182" s="595"/>
      <c r="J182" s="595"/>
      <c r="K182" s="932"/>
      <c r="L182" s="595">
        <v>898241.83</v>
      </c>
    </row>
    <row r="183" spans="2:12" ht="15">
      <c r="B183" t="s">
        <v>4732</v>
      </c>
      <c r="C183" s="595"/>
      <c r="D183" s="595">
        <v>34614.06</v>
      </c>
      <c r="E183" s="932">
        <v>34614.06</v>
      </c>
      <c r="F183" s="595"/>
      <c r="G183" s="595">
        <v>626981.47</v>
      </c>
      <c r="H183" s="932">
        <v>626981.47</v>
      </c>
      <c r="I183" s="595"/>
      <c r="J183" s="595">
        <v>13395.67</v>
      </c>
      <c r="K183" s="932">
        <v>13395.67</v>
      </c>
      <c r="L183" s="595">
        <v>674991.20000000007</v>
      </c>
    </row>
    <row r="184" spans="2:12" ht="15">
      <c r="B184" t="s">
        <v>4733</v>
      </c>
      <c r="C184" s="595"/>
      <c r="D184" s="595"/>
      <c r="E184" s="932"/>
      <c r="F184" s="595">
        <v>64848.19</v>
      </c>
      <c r="G184" s="595"/>
      <c r="H184" s="932">
        <v>64848.19</v>
      </c>
      <c r="I184" s="595">
        <v>107000.77</v>
      </c>
      <c r="J184" s="595"/>
      <c r="K184" s="932">
        <v>107000.77</v>
      </c>
      <c r="L184" s="595">
        <v>171848.96000000002</v>
      </c>
    </row>
    <row r="185" spans="2:12" ht="15">
      <c r="B185" t="s">
        <v>4734</v>
      </c>
      <c r="C185" s="595">
        <v>100000</v>
      </c>
      <c r="D185" s="595"/>
      <c r="E185" s="932">
        <v>100000</v>
      </c>
      <c r="F185" s="595"/>
      <c r="G185" s="595"/>
      <c r="H185" s="932"/>
      <c r="I185" s="595"/>
      <c r="J185" s="595"/>
      <c r="K185" s="932"/>
      <c r="L185" s="595">
        <v>100000</v>
      </c>
    </row>
    <row r="186" spans="2:12" ht="15">
      <c r="B186" t="s">
        <v>4735</v>
      </c>
      <c r="C186" s="595"/>
      <c r="D186" s="595"/>
      <c r="E186" s="932"/>
      <c r="F186" s="595">
        <v>22438.240000000002</v>
      </c>
      <c r="G186" s="595"/>
      <c r="H186" s="932">
        <v>22438.240000000002</v>
      </c>
      <c r="I186" s="595"/>
      <c r="J186" s="595"/>
      <c r="K186" s="932"/>
      <c r="L186" s="595">
        <v>22438.240000000002</v>
      </c>
    </row>
    <row r="187" spans="2:12" ht="15">
      <c r="B187" t="s">
        <v>4736</v>
      </c>
      <c r="C187" s="595"/>
      <c r="D187" s="595"/>
      <c r="E187" s="932"/>
      <c r="F187" s="595"/>
      <c r="G187" s="595"/>
      <c r="H187" s="932"/>
      <c r="I187" s="595"/>
      <c r="J187" s="595">
        <v>181634.4</v>
      </c>
      <c r="K187" s="932">
        <v>181634.4</v>
      </c>
      <c r="L187" s="595">
        <v>181634.4</v>
      </c>
    </row>
    <row r="188" spans="2:12" ht="15">
      <c r="B188" t="s">
        <v>4737</v>
      </c>
      <c r="C188" s="595">
        <v>159073.04</v>
      </c>
      <c r="D188" s="595"/>
      <c r="E188" s="932">
        <v>159073.04</v>
      </c>
      <c r="F188" s="595">
        <v>109718.26000000001</v>
      </c>
      <c r="G188" s="595"/>
      <c r="H188" s="932">
        <v>109718.26000000001</v>
      </c>
      <c r="I188" s="595">
        <v>89759.14</v>
      </c>
      <c r="J188" s="595"/>
      <c r="K188" s="932">
        <v>89759.14</v>
      </c>
      <c r="L188" s="595">
        <v>358550.44000000006</v>
      </c>
    </row>
    <row r="189" spans="2:12" ht="15">
      <c r="B189" t="s">
        <v>3886</v>
      </c>
      <c r="C189" s="595"/>
      <c r="D189" s="595"/>
      <c r="E189" s="932"/>
      <c r="F189" s="595"/>
      <c r="G189" s="595"/>
      <c r="H189" s="932"/>
      <c r="I189" s="595"/>
      <c r="J189" s="595">
        <v>-4582949.24</v>
      </c>
      <c r="K189" s="932">
        <v>-4582949.24</v>
      </c>
      <c r="L189" s="595">
        <v>-4582949.24</v>
      </c>
    </row>
    <row r="190" spans="2:12" ht="15.75" thickBot="1">
      <c r="B190" s="699" t="s">
        <v>327</v>
      </c>
      <c r="C190" s="930">
        <v>11552926.709999999</v>
      </c>
      <c r="D190" s="930">
        <v>17356241.199999999</v>
      </c>
      <c r="E190" s="933">
        <v>28909167.909999985</v>
      </c>
      <c r="F190" s="930">
        <v>10824583.349999998</v>
      </c>
      <c r="G190" s="930">
        <v>37099455.339999989</v>
      </c>
      <c r="H190" s="933">
        <v>47924038.690000005</v>
      </c>
      <c r="I190" s="930">
        <v>4447657.1699999981</v>
      </c>
      <c r="J190" s="930">
        <v>23021445.810000002</v>
      </c>
      <c r="K190" s="933">
        <v>27469102.979999997</v>
      </c>
      <c r="L190" s="930">
        <v>104302309.58000004</v>
      </c>
    </row>
    <row r="191" spans="2:12" ht="13.5" thickTop="1">
      <c r="C191" s="928">
        <f>+C190/E190</f>
        <v>0.39962847585120981</v>
      </c>
      <c r="D191" s="928">
        <f>+D190/E190</f>
        <v>0.60037152414879058</v>
      </c>
      <c r="F191" s="928">
        <f>+F190/H190</f>
        <v>0.2258695979280789</v>
      </c>
      <c r="G191" s="928">
        <f>+G190/H190</f>
        <v>0.77413040207192074</v>
      </c>
      <c r="I191" s="928">
        <f>+I190/K190</f>
        <v>0.16191490392818056</v>
      </c>
      <c r="J191" s="928">
        <f>+J190/K190</f>
        <v>0.83808509607181958</v>
      </c>
    </row>
    <row r="195" spans="2:4">
      <c r="B195" s="927" t="s">
        <v>3894</v>
      </c>
      <c r="C195" s="934">
        <f>+D190+G190+J190</f>
        <v>77477142.349999994</v>
      </c>
      <c r="D195" s="937">
        <f>+C195/C197</f>
        <v>0.74281329590861023</v>
      </c>
    </row>
    <row r="196" spans="2:4">
      <c r="B196" s="927" t="s">
        <v>3895</v>
      </c>
      <c r="C196" s="934">
        <f>+C190+F190+I190</f>
        <v>26825167.229999993</v>
      </c>
      <c r="D196" s="937">
        <f>+C196/C197</f>
        <v>0.25718670409138983</v>
      </c>
    </row>
    <row r="197" spans="2:4" ht="13.5" thickBot="1">
      <c r="B197" s="935" t="s">
        <v>3896</v>
      </c>
      <c r="C197" s="936">
        <f>+C195+C196</f>
        <v>104302309.57999998</v>
      </c>
      <c r="D197" s="938">
        <f>+D195+D196</f>
        <v>1</v>
      </c>
    </row>
    <row r="198" spans="2:4" ht="13.5" thickTop="1">
      <c r="C198" s="934">
        <f>+C197-L190</f>
        <v>0</v>
      </c>
    </row>
    <row r="201" spans="2:4">
      <c r="B201" s="927" t="s">
        <v>3897</v>
      </c>
      <c r="C201" s="939">
        <f>+AVERAGE(D191,G191,J191)</f>
        <v>0.73752900743084349</v>
      </c>
    </row>
    <row r="202" spans="2:4">
      <c r="B202" s="927" t="s">
        <v>3898</v>
      </c>
      <c r="C202" s="939">
        <f>+AVERAGE(C191,F191,I191)</f>
        <v>0.2624709925691564</v>
      </c>
    </row>
    <row r="203" spans="2:4" ht="13.5" thickBot="1">
      <c r="B203" s="935" t="s">
        <v>0</v>
      </c>
      <c r="C203" s="940">
        <f>+C201+C202</f>
        <v>0.99999999999999989</v>
      </c>
    </row>
    <row r="204" spans="2:4" ht="13.5" thickTop="1"/>
  </sheetData>
  <phoneticPr fontId="72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499984740745262"/>
  </sheetPr>
  <dimension ref="A1:R68"/>
  <sheetViews>
    <sheetView showGridLines="0" zoomScale="40" workbookViewId="0">
      <selection activeCell="D3" sqref="D3"/>
    </sheetView>
  </sheetViews>
  <sheetFormatPr defaultColWidth="9.28515625" defaultRowHeight="18"/>
  <cols>
    <col min="1" max="1" width="15.140625" style="360" customWidth="1"/>
    <col min="2" max="2" width="9.28515625" style="333"/>
    <col min="3" max="3" width="27.140625" style="393" customWidth="1"/>
    <col min="4" max="4" width="16.28515625" style="393" customWidth="1"/>
    <col min="5" max="5" width="38.7109375" style="436" customWidth="1"/>
    <col min="6" max="6" width="21.28515625" style="442" customWidth="1"/>
    <col min="7" max="7" width="18.85546875" style="393" customWidth="1"/>
    <col min="8" max="9" width="22.140625" style="393" customWidth="1"/>
    <col min="10" max="10" width="20.5703125" style="437" customWidth="1"/>
    <col min="11" max="11" width="22" style="437" customWidth="1"/>
    <col min="12" max="12" width="22.140625" style="1418" customWidth="1"/>
    <col min="13" max="15" width="19.5703125" style="437" customWidth="1"/>
    <col min="16" max="16" width="18" style="393" bestFit="1" customWidth="1"/>
    <col min="17" max="17" width="16.5703125" style="393" customWidth="1"/>
    <col min="18" max="18" width="29.140625" style="393" customWidth="1"/>
    <col min="19" max="16384" width="9.28515625" style="393"/>
  </cols>
  <sheetData>
    <row r="1" spans="1:18" s="340" customFormat="1" ht="29.25" customHeight="1">
      <c r="A1" s="360"/>
      <c r="B1" s="333"/>
      <c r="C1" s="443" t="s">
        <v>4552</v>
      </c>
      <c r="D1" s="444"/>
      <c r="E1" s="445"/>
      <c r="F1" s="337"/>
      <c r="G1" s="1283" t="s">
        <v>4283</v>
      </c>
      <c r="H1" s="1284" t="s">
        <v>4284</v>
      </c>
      <c r="I1" s="1285"/>
      <c r="J1" s="1286" t="s">
        <v>4285</v>
      </c>
      <c r="K1" s="1287"/>
      <c r="L1" s="1288" t="s">
        <v>4286</v>
      </c>
      <c r="M1" s="1289"/>
    </row>
    <row r="2" spans="1:18" s="340" customFormat="1" ht="20.100000000000001" customHeight="1">
      <c r="A2" s="360"/>
      <c r="B2" s="333"/>
      <c r="C2" s="1290" t="s">
        <v>1074</v>
      </c>
      <c r="D2" s="1291"/>
      <c r="E2" s="1292">
        <f ca="1">TODAY()</f>
        <v>45444</v>
      </c>
      <c r="F2" s="1293"/>
      <c r="G2" s="1294"/>
      <c r="H2" s="1294" t="s">
        <v>4287</v>
      </c>
      <c r="I2" s="1294"/>
      <c r="J2" s="1168"/>
      <c r="K2" s="1168"/>
      <c r="L2" s="1157"/>
      <c r="M2" s="1168"/>
      <c r="N2" s="1168"/>
      <c r="O2" s="1168"/>
      <c r="P2" s="1295"/>
      <c r="Q2" s="1291"/>
    </row>
    <row r="3" spans="1:18" s="340" customFormat="1" ht="20.100000000000001" customHeight="1">
      <c r="A3" s="360"/>
      <c r="B3" s="333"/>
      <c r="C3" s="461" t="s">
        <v>1077</v>
      </c>
      <c r="D3" s="462"/>
      <c r="E3" s="462"/>
      <c r="F3" s="462"/>
      <c r="G3" s="462"/>
      <c r="H3" s="1296"/>
      <c r="I3" s="1296"/>
      <c r="J3" s="1297"/>
      <c r="K3" s="1297"/>
      <c r="L3" s="1298"/>
      <c r="M3" s="1297"/>
      <c r="N3" s="1297"/>
      <c r="O3" s="1297"/>
      <c r="P3" s="1299"/>
      <c r="Q3" s="1300"/>
    </row>
    <row r="4" spans="1:18" s="360" customFormat="1" ht="90">
      <c r="A4" s="1301"/>
      <c r="B4" s="1146" t="s">
        <v>970</v>
      </c>
      <c r="C4" s="1302" t="s">
        <v>971</v>
      </c>
      <c r="D4" s="1303" t="s">
        <v>972</v>
      </c>
      <c r="E4" s="1302" t="s">
        <v>973</v>
      </c>
      <c r="F4" s="1303" t="s">
        <v>1078</v>
      </c>
      <c r="G4" s="1304" t="s">
        <v>4221</v>
      </c>
      <c r="H4" s="1304" t="s">
        <v>4288</v>
      </c>
      <c r="I4" s="1304" t="s">
        <v>4289</v>
      </c>
      <c r="J4" s="1303" t="s">
        <v>4290</v>
      </c>
      <c r="K4" s="1303" t="s">
        <v>4291</v>
      </c>
      <c r="L4" s="1305" t="s">
        <v>4292</v>
      </c>
      <c r="M4" s="1303" t="s">
        <v>4293</v>
      </c>
      <c r="N4" s="1303" t="s">
        <v>4294</v>
      </c>
      <c r="O4" s="1303" t="s">
        <v>4295</v>
      </c>
      <c r="P4" s="1303" t="s">
        <v>4296</v>
      </c>
      <c r="Q4" s="1303" t="s">
        <v>4226</v>
      </c>
      <c r="R4" s="360" t="s">
        <v>4297</v>
      </c>
    </row>
    <row r="5" spans="1:18" s="341" customFormat="1" ht="54">
      <c r="A5" s="1306" t="s">
        <v>4298</v>
      </c>
      <c r="B5" s="1307">
        <v>40</v>
      </c>
      <c r="C5" s="1308" t="s">
        <v>1001</v>
      </c>
      <c r="D5" s="1308">
        <v>1457279</v>
      </c>
      <c r="E5" s="1308" t="s">
        <v>1002</v>
      </c>
      <c r="F5" s="1309">
        <v>410000</v>
      </c>
      <c r="G5" s="1310">
        <v>6754.24</v>
      </c>
      <c r="H5" s="1310">
        <v>910.42</v>
      </c>
      <c r="I5" s="1310">
        <v>-6754.24</v>
      </c>
      <c r="J5" s="1310">
        <v>13508.48</v>
      </c>
      <c r="K5" s="1310">
        <v>12580.38</v>
      </c>
      <c r="L5" s="1310">
        <f>H5+J5+I5</f>
        <v>7664.66</v>
      </c>
      <c r="M5" s="1310">
        <f>K5</f>
        <v>12580.38</v>
      </c>
      <c r="N5" s="1310">
        <f>L5</f>
        <v>7664.66</v>
      </c>
      <c r="O5" s="1310">
        <f t="shared" ref="O5:O59" si="0">L5-M5</f>
        <v>-4915.7199999999993</v>
      </c>
      <c r="P5" s="1311">
        <v>42734</v>
      </c>
      <c r="Q5" s="1312">
        <v>45016</v>
      </c>
      <c r="R5" s="1313" t="s">
        <v>4299</v>
      </c>
    </row>
    <row r="6" spans="1:18" s="341" customFormat="1" ht="72">
      <c r="A6" s="1314" t="s">
        <v>4300</v>
      </c>
      <c r="B6" s="1315">
        <v>41</v>
      </c>
      <c r="C6" s="1316" t="s">
        <v>1003</v>
      </c>
      <c r="D6" s="1317">
        <v>1010343</v>
      </c>
      <c r="E6" s="1316" t="s">
        <v>1004</v>
      </c>
      <c r="F6" s="1318">
        <v>610000</v>
      </c>
      <c r="G6" s="1319">
        <v>10497.12</v>
      </c>
      <c r="H6" s="1319">
        <v>11678.06</v>
      </c>
      <c r="I6" s="1319">
        <v>-14314.25</v>
      </c>
      <c r="J6" s="1319">
        <v>31491.360000000001</v>
      </c>
      <c r="K6" s="1319">
        <v>18733.12</v>
      </c>
      <c r="L6" s="1310">
        <f>H6+I6+G6*2</f>
        <v>18358.050000000003</v>
      </c>
      <c r="M6" s="1319">
        <f>K6</f>
        <v>18733.12</v>
      </c>
      <c r="N6" s="1319">
        <f>L6</f>
        <v>18358.050000000003</v>
      </c>
      <c r="O6" s="1319">
        <f t="shared" si="0"/>
        <v>-375.06999999999607</v>
      </c>
      <c r="P6" s="1320">
        <v>42767</v>
      </c>
      <c r="Q6" s="1321">
        <v>45017</v>
      </c>
      <c r="R6" s="1184" t="s">
        <v>4301</v>
      </c>
    </row>
    <row r="7" spans="1:18" s="341" customFormat="1" ht="72">
      <c r="A7" s="1322" t="s">
        <v>4302</v>
      </c>
      <c r="B7" s="1323">
        <v>45</v>
      </c>
      <c r="C7" s="1324" t="s">
        <v>1003</v>
      </c>
      <c r="D7" s="1325">
        <v>1012818</v>
      </c>
      <c r="E7" s="1324" t="s">
        <v>1005</v>
      </c>
      <c r="F7" s="1326">
        <v>1130000</v>
      </c>
      <c r="G7" s="1327">
        <v>19300.54</v>
      </c>
      <c r="H7" s="1327">
        <v>22786.5</v>
      </c>
      <c r="I7" s="1327">
        <v>-62037.45</v>
      </c>
      <c r="J7" s="1327">
        <v>173704.86</v>
      </c>
      <c r="K7" s="1327">
        <v>115374.44</v>
      </c>
      <c r="L7" s="1328">
        <f>G7*6+H7+I7</f>
        <v>76552.289999999994</v>
      </c>
      <c r="M7" s="1327">
        <f>K7/278*181</f>
        <v>75117.89079136691</v>
      </c>
      <c r="N7" s="1327">
        <f t="shared" ref="N7:N16" si="1">L7</f>
        <v>76552.289999999994</v>
      </c>
      <c r="O7" s="1327">
        <f t="shared" si="0"/>
        <v>1434.3992086330836</v>
      </c>
      <c r="P7" s="1329">
        <v>42954</v>
      </c>
      <c r="Q7" s="1330">
        <v>45204</v>
      </c>
      <c r="R7" s="1331"/>
    </row>
    <row r="8" spans="1:18" s="438" customFormat="1" ht="36">
      <c r="A8" s="1301" t="s">
        <v>4303</v>
      </c>
      <c r="B8" s="1146">
        <v>49</v>
      </c>
      <c r="C8" s="1332" t="s">
        <v>1006</v>
      </c>
      <c r="D8" s="1332">
        <v>372734</v>
      </c>
      <c r="E8" s="1333" t="s">
        <v>1007</v>
      </c>
      <c r="F8" s="1334">
        <v>675000</v>
      </c>
      <c r="G8" s="1335">
        <v>10564.18</v>
      </c>
      <c r="H8" s="1163">
        <v>14992.82</v>
      </c>
      <c r="I8" s="1163">
        <v>-34291.69</v>
      </c>
      <c r="J8" s="1163">
        <f>G8*12</f>
        <v>126770.16</v>
      </c>
      <c r="K8" s="1163">
        <v>97210.5</v>
      </c>
      <c r="L8" s="1162">
        <f>J8/2+H8+I8</f>
        <v>44086.209999999992</v>
      </c>
      <c r="M8" s="1163">
        <f>K8/2</f>
        <v>48605.25</v>
      </c>
      <c r="N8" s="1163">
        <f t="shared" si="1"/>
        <v>44086.209999999992</v>
      </c>
      <c r="O8" s="1163">
        <f t="shared" si="0"/>
        <v>-4519.0400000000081</v>
      </c>
      <c r="P8" s="1336">
        <v>43101</v>
      </c>
      <c r="Q8" s="1337">
        <v>45339</v>
      </c>
      <c r="R8" s="1338"/>
    </row>
    <row r="9" spans="1:18" s="341" customFormat="1" ht="54">
      <c r="A9" s="1339" t="s">
        <v>4304</v>
      </c>
      <c r="B9" s="1340">
        <v>50</v>
      </c>
      <c r="C9" s="1341" t="s">
        <v>1017</v>
      </c>
      <c r="D9" s="1341">
        <v>3908725</v>
      </c>
      <c r="E9" s="1341" t="s">
        <v>1094</v>
      </c>
      <c r="F9" s="1342">
        <v>17000</v>
      </c>
      <c r="G9" s="1310">
        <v>309.39999999999998</v>
      </c>
      <c r="H9" s="1310">
        <v>304.99</v>
      </c>
      <c r="I9" s="1310"/>
      <c r="J9" s="1310"/>
      <c r="K9" s="1310">
        <v>304.99</v>
      </c>
      <c r="L9" s="1310">
        <f>H9+J9</f>
        <v>304.99</v>
      </c>
      <c r="M9" s="1310">
        <f>K9</f>
        <v>304.99</v>
      </c>
      <c r="N9" s="1310">
        <f t="shared" si="1"/>
        <v>304.99</v>
      </c>
      <c r="O9" s="1310">
        <f t="shared" si="0"/>
        <v>0</v>
      </c>
      <c r="P9" s="1343">
        <v>43131</v>
      </c>
      <c r="Q9" s="1343">
        <v>44956</v>
      </c>
      <c r="R9" s="1184" t="s">
        <v>4305</v>
      </c>
    </row>
    <row r="10" spans="1:18" s="435" customFormat="1" ht="63.2" customHeight="1">
      <c r="A10" s="1339" t="s">
        <v>4306</v>
      </c>
      <c r="B10" s="1307">
        <v>51</v>
      </c>
      <c r="C10" s="1344" t="s">
        <v>1017</v>
      </c>
      <c r="D10" s="1344">
        <v>3908703</v>
      </c>
      <c r="E10" s="1344" t="s">
        <v>1095</v>
      </c>
      <c r="F10" s="1309">
        <v>15000</v>
      </c>
      <c r="G10" s="1310">
        <v>273</v>
      </c>
      <c r="H10" s="1310">
        <v>269.10000000000002</v>
      </c>
      <c r="I10" s="1310"/>
      <c r="J10" s="1310"/>
      <c r="K10" s="1310">
        <v>269.10000000000002</v>
      </c>
      <c r="L10" s="1310">
        <f>H10+J10</f>
        <v>269.10000000000002</v>
      </c>
      <c r="M10" s="1310">
        <f>K10</f>
        <v>269.10000000000002</v>
      </c>
      <c r="N10" s="1310">
        <f t="shared" si="1"/>
        <v>269.10000000000002</v>
      </c>
      <c r="O10" s="1310">
        <f t="shared" si="0"/>
        <v>0</v>
      </c>
      <c r="P10" s="1343">
        <v>43131</v>
      </c>
      <c r="Q10" s="1343">
        <v>44956</v>
      </c>
      <c r="R10" s="1184" t="s">
        <v>4305</v>
      </c>
    </row>
    <row r="11" spans="1:18" s="341" customFormat="1" ht="36">
      <c r="A11" s="1188" t="s">
        <v>4307</v>
      </c>
      <c r="B11" s="1139">
        <v>52</v>
      </c>
      <c r="C11" s="1152" t="s">
        <v>1001</v>
      </c>
      <c r="D11" s="1152">
        <v>1469055</v>
      </c>
      <c r="E11" s="1152" t="s">
        <v>1008</v>
      </c>
      <c r="F11" s="1153">
        <v>90000</v>
      </c>
      <c r="G11" s="1154">
        <v>1572.63</v>
      </c>
      <c r="H11" s="1154">
        <v>1259.75</v>
      </c>
      <c r="I11" s="1154">
        <v>-5391.87</v>
      </c>
      <c r="J11" s="1154">
        <f>G11*12</f>
        <v>18871.560000000001</v>
      </c>
      <c r="K11" s="1154">
        <v>13579.84</v>
      </c>
      <c r="L11" s="1162">
        <f>J11/2+H11+I11</f>
        <v>5303.6600000000008</v>
      </c>
      <c r="M11" s="1154">
        <f>K11/2</f>
        <v>6789.92</v>
      </c>
      <c r="N11" s="1154">
        <f t="shared" si="1"/>
        <v>5303.6600000000008</v>
      </c>
      <c r="O11" s="1154">
        <f t="shared" si="0"/>
        <v>-1486.2599999999993</v>
      </c>
      <c r="P11" s="1155">
        <v>43204</v>
      </c>
      <c r="Q11" s="1345">
        <v>45454</v>
      </c>
    </row>
    <row r="12" spans="1:18" s="1351" customFormat="1" ht="36">
      <c r="A12" s="1346" t="s">
        <v>4308</v>
      </c>
      <c r="B12" s="1347">
        <v>53</v>
      </c>
      <c r="C12" s="1348" t="s">
        <v>1009</v>
      </c>
      <c r="D12" s="1348">
        <v>1674136</v>
      </c>
      <c r="E12" s="1349" t="s">
        <v>1010</v>
      </c>
      <c r="F12" s="1350">
        <v>188019.74</v>
      </c>
      <c r="G12" s="1319">
        <v>3059.13</v>
      </c>
      <c r="H12" s="1319">
        <f>3173.07+967.76</f>
        <v>4140.83</v>
      </c>
      <c r="I12" s="1319"/>
      <c r="J12" s="1319">
        <v>6118.26</v>
      </c>
      <c r="K12" s="1319">
        <v>10259.11</v>
      </c>
      <c r="L12" s="1310">
        <f>H12+J12</f>
        <v>10259.09</v>
      </c>
      <c r="M12" s="1319">
        <f>K12</f>
        <v>10259.11</v>
      </c>
      <c r="N12" s="1319">
        <f t="shared" si="1"/>
        <v>10259.09</v>
      </c>
      <c r="O12" s="1319">
        <f t="shared" si="0"/>
        <v>-2.0000000000436557E-2</v>
      </c>
      <c r="P12" s="1321">
        <v>43221</v>
      </c>
      <c r="Q12" s="1321">
        <v>45020</v>
      </c>
      <c r="R12" s="1351" t="s">
        <v>4309</v>
      </c>
    </row>
    <row r="13" spans="1:18" s="341" customFormat="1" ht="36">
      <c r="A13" s="1188" t="s">
        <v>4310</v>
      </c>
      <c r="B13" s="1139">
        <v>60</v>
      </c>
      <c r="C13" s="1152" t="s">
        <v>1001</v>
      </c>
      <c r="D13" s="1152">
        <v>1470378</v>
      </c>
      <c r="E13" s="1152" t="s">
        <v>1011</v>
      </c>
      <c r="F13" s="1153">
        <v>90000</v>
      </c>
      <c r="G13" s="1154">
        <v>1580.43</v>
      </c>
      <c r="H13" s="1154">
        <v>1335.07</v>
      </c>
      <c r="I13" s="1154">
        <v>-5125.72</v>
      </c>
      <c r="J13" s="1154">
        <f>G13*12</f>
        <v>18965.16</v>
      </c>
      <c r="K13" s="1154">
        <v>13904.55</v>
      </c>
      <c r="L13" s="1162">
        <f>J13/2+H13+I13</f>
        <v>5691.9299999999994</v>
      </c>
      <c r="M13" s="1154">
        <f>K13/2</f>
        <v>6952.2749999999996</v>
      </c>
      <c r="N13" s="1154">
        <f t="shared" si="1"/>
        <v>5691.9299999999994</v>
      </c>
      <c r="O13" s="1154">
        <f t="shared" si="0"/>
        <v>-1260.3450000000003</v>
      </c>
      <c r="P13" s="1155">
        <v>43266</v>
      </c>
      <c r="Q13" s="1345">
        <v>45516</v>
      </c>
    </row>
    <row r="14" spans="1:18" s="1331" customFormat="1" ht="72">
      <c r="A14" s="1352" t="s">
        <v>4311</v>
      </c>
      <c r="B14" s="1146">
        <v>71</v>
      </c>
      <c r="C14" s="1333" t="s">
        <v>1003</v>
      </c>
      <c r="D14" s="1333">
        <v>1019737</v>
      </c>
      <c r="E14" s="1333" t="s">
        <v>4312</v>
      </c>
      <c r="F14" s="1334">
        <f>380000/2</f>
        <v>190000</v>
      </c>
      <c r="G14" s="1163">
        <f>6394.34/2</f>
        <v>3197.17</v>
      </c>
      <c r="H14" s="1163">
        <v>2716.62</v>
      </c>
      <c r="I14" s="1163">
        <v>-8525.7800000000007</v>
      </c>
      <c r="J14" s="1163">
        <f>G14*12</f>
        <v>38366.04</v>
      </c>
      <c r="K14" s="1163">
        <f>57971.94/2</f>
        <v>28985.97</v>
      </c>
      <c r="L14" s="1162">
        <f>J14/2+H14+I14</f>
        <v>13373.859999999999</v>
      </c>
      <c r="M14" s="1163">
        <f>K14/2</f>
        <v>14492.985000000001</v>
      </c>
      <c r="N14" s="1163">
        <f t="shared" si="1"/>
        <v>13373.859999999999</v>
      </c>
      <c r="O14" s="1163">
        <f t="shared" si="0"/>
        <v>-1119.1250000000018</v>
      </c>
      <c r="P14" s="1353">
        <v>43466</v>
      </c>
      <c r="Q14" s="1354">
        <v>45734</v>
      </c>
    </row>
    <row r="15" spans="1:18" s="341" customFormat="1" ht="56.25" customHeight="1">
      <c r="A15" s="1352" t="s">
        <v>4313</v>
      </c>
      <c r="B15" s="1146">
        <v>71</v>
      </c>
      <c r="C15" s="1333" t="s">
        <v>1003</v>
      </c>
      <c r="D15" s="1333">
        <v>1019737</v>
      </c>
      <c r="E15" s="1333" t="s">
        <v>4314</v>
      </c>
      <c r="F15" s="1334">
        <f>380000/2</f>
        <v>190000</v>
      </c>
      <c r="G15" s="1163">
        <f>6394.34/2</f>
        <v>3197.17</v>
      </c>
      <c r="H15" s="1163">
        <v>2716.61</v>
      </c>
      <c r="I15" s="1163">
        <v>-8525.7900000000009</v>
      </c>
      <c r="J15" s="1163">
        <f>G15*12</f>
        <v>38366.04</v>
      </c>
      <c r="K15" s="1163">
        <f>57971.94/2</f>
        <v>28985.97</v>
      </c>
      <c r="L15" s="1162">
        <f>J15/2+H15+I15</f>
        <v>13373.84</v>
      </c>
      <c r="M15" s="1163">
        <f>K15/2</f>
        <v>14492.985000000001</v>
      </c>
      <c r="N15" s="1163">
        <f t="shared" si="1"/>
        <v>13373.84</v>
      </c>
      <c r="O15" s="1163">
        <f t="shared" si="0"/>
        <v>-1119.1450000000004</v>
      </c>
      <c r="P15" s="1353">
        <v>43466</v>
      </c>
      <c r="Q15" s="1354">
        <v>45734</v>
      </c>
      <c r="R15" s="1331"/>
    </row>
    <row r="16" spans="1:18" s="341" customFormat="1" ht="54">
      <c r="A16" s="1322" t="s">
        <v>4315</v>
      </c>
      <c r="B16" s="1323">
        <v>72</v>
      </c>
      <c r="C16" s="1324" t="s">
        <v>4316</v>
      </c>
      <c r="D16" s="1324">
        <v>4173887</v>
      </c>
      <c r="E16" s="1324" t="s">
        <v>1014</v>
      </c>
      <c r="F16" s="1326">
        <v>195000</v>
      </c>
      <c r="G16" s="1355">
        <v>3449.91</v>
      </c>
      <c r="H16" s="1355">
        <v>10036.09</v>
      </c>
      <c r="I16" s="1355"/>
      <c r="J16" s="1355">
        <v>34499.1</v>
      </c>
      <c r="K16" s="1355">
        <v>37635.379999999997</v>
      </c>
      <c r="L16" s="1356">
        <f>G16*6+H16+I16</f>
        <v>30735.55</v>
      </c>
      <c r="M16" s="1355">
        <f>K16/332*181</f>
        <v>20518.083674698795</v>
      </c>
      <c r="N16" s="1327">
        <f t="shared" si="1"/>
        <v>30735.55</v>
      </c>
      <c r="O16" s="1327">
        <f t="shared" si="0"/>
        <v>10217.466325301204</v>
      </c>
      <c r="P16" s="1329">
        <v>43404</v>
      </c>
      <c r="Q16" s="1329">
        <v>45258</v>
      </c>
      <c r="R16" s="435"/>
    </row>
    <row r="17" spans="1:18" s="341" customFormat="1" ht="18.75">
      <c r="A17" s="1339" t="s">
        <v>4317</v>
      </c>
      <c r="B17" s="1307">
        <v>78</v>
      </c>
      <c r="C17" s="1344" t="s">
        <v>953</v>
      </c>
      <c r="D17" s="1344">
        <v>7118823</v>
      </c>
      <c r="E17" s="1344" t="s">
        <v>1016</v>
      </c>
      <c r="F17" s="1309">
        <v>23000</v>
      </c>
      <c r="G17" s="1310">
        <v>504.12</v>
      </c>
      <c r="H17" s="1310">
        <v>-388.18</v>
      </c>
      <c r="I17" s="1310"/>
      <c r="J17" s="1310"/>
      <c r="K17" s="1310">
        <v>115.94</v>
      </c>
      <c r="L17" s="1310">
        <f>H17+J17+G17</f>
        <v>115.94</v>
      </c>
      <c r="M17" s="1310">
        <f>K17</f>
        <v>115.94</v>
      </c>
      <c r="N17" s="1310">
        <v>115.94</v>
      </c>
      <c r="O17" s="1310">
        <f t="shared" si="0"/>
        <v>0</v>
      </c>
      <c r="P17" s="1343">
        <v>43526</v>
      </c>
      <c r="Q17" s="1343">
        <v>44933</v>
      </c>
      <c r="R17" s="1357" t="s">
        <v>4318</v>
      </c>
    </row>
    <row r="18" spans="1:18" s="341" customFormat="1" ht="54">
      <c r="A18" s="1314" t="s">
        <v>4319</v>
      </c>
      <c r="B18" s="1315">
        <v>79</v>
      </c>
      <c r="C18" s="1316" t="s">
        <v>1017</v>
      </c>
      <c r="D18" s="1316">
        <v>4229048</v>
      </c>
      <c r="E18" s="1316" t="s">
        <v>1018</v>
      </c>
      <c r="F18" s="1318">
        <v>17300</v>
      </c>
      <c r="G18" s="1319">
        <v>381.9</v>
      </c>
      <c r="H18" s="1319">
        <v>159.19999999999999</v>
      </c>
      <c r="I18" s="1319"/>
      <c r="J18" s="1319">
        <v>1145.7</v>
      </c>
      <c r="K18" s="1319">
        <v>1304.8900000000001</v>
      </c>
      <c r="L18" s="1310">
        <f>H18+J18</f>
        <v>1304.9000000000001</v>
      </c>
      <c r="M18" s="1319">
        <f>K18</f>
        <v>1304.8900000000001</v>
      </c>
      <c r="N18" s="1319">
        <f t="shared" ref="N18:N42" si="2">L18</f>
        <v>1304.9000000000001</v>
      </c>
      <c r="O18" s="1319">
        <f t="shared" si="0"/>
        <v>9.9999999999909051E-3</v>
      </c>
      <c r="P18" s="1320">
        <v>43600</v>
      </c>
      <c r="Q18" s="1320">
        <v>45030</v>
      </c>
      <c r="R18" s="1184" t="s">
        <v>4320</v>
      </c>
    </row>
    <row r="19" spans="1:18" s="341" customFormat="1" ht="61.5" customHeight="1">
      <c r="A19" s="1314" t="s">
        <v>4321</v>
      </c>
      <c r="B19" s="1315">
        <v>80</v>
      </c>
      <c r="C19" s="1316" t="s">
        <v>1017</v>
      </c>
      <c r="D19" s="1316">
        <v>4239444</v>
      </c>
      <c r="E19" s="1316" t="s">
        <v>1019</v>
      </c>
      <c r="F19" s="1318">
        <v>17300</v>
      </c>
      <c r="G19" s="1319">
        <v>381.9</v>
      </c>
      <c r="H19" s="1319">
        <v>159.19999999999999</v>
      </c>
      <c r="I19" s="1319"/>
      <c r="J19" s="1319">
        <v>1145.7</v>
      </c>
      <c r="K19" s="1319">
        <v>1304.8900000000001</v>
      </c>
      <c r="L19" s="1310">
        <f>H19+J19</f>
        <v>1304.9000000000001</v>
      </c>
      <c r="M19" s="1319">
        <f>K19</f>
        <v>1304.8900000000001</v>
      </c>
      <c r="N19" s="1319">
        <f t="shared" si="2"/>
        <v>1304.9000000000001</v>
      </c>
      <c r="O19" s="1319">
        <f t="shared" si="0"/>
        <v>9.9999999999909051E-3</v>
      </c>
      <c r="P19" s="1320">
        <v>43600</v>
      </c>
      <c r="Q19" s="1320">
        <v>45030</v>
      </c>
      <c r="R19" s="341" t="s">
        <v>4322</v>
      </c>
    </row>
    <row r="20" spans="1:18" s="341" customFormat="1" ht="60.75" customHeight="1">
      <c r="A20" s="1188" t="s">
        <v>4323</v>
      </c>
      <c r="B20" s="1139">
        <v>81</v>
      </c>
      <c r="C20" s="1152" t="s">
        <v>1001</v>
      </c>
      <c r="D20" s="1152">
        <v>1476378</v>
      </c>
      <c r="E20" s="1152" t="s">
        <v>4324</v>
      </c>
      <c r="F20" s="1153">
        <f>135000/2</f>
        <v>67500</v>
      </c>
      <c r="G20" s="1154">
        <f>2346.66/2</f>
        <v>1173.33</v>
      </c>
      <c r="H20" s="1154">
        <v>1200.82</v>
      </c>
      <c r="I20" s="1154">
        <v>-3226.66</v>
      </c>
      <c r="J20" s="1154">
        <f>G20*12</f>
        <v>14079.96</v>
      </c>
      <c r="K20" s="1154">
        <f>21676.89/2</f>
        <v>10838.445</v>
      </c>
      <c r="L20" s="1162">
        <f>J20/2+H20+I20</f>
        <v>5014.1399999999994</v>
      </c>
      <c r="M20" s="1154">
        <f>K20/2</f>
        <v>5419.2224999999999</v>
      </c>
      <c r="N20" s="1154">
        <f t="shared" si="2"/>
        <v>5014.1399999999994</v>
      </c>
      <c r="O20" s="1154">
        <f t="shared" si="0"/>
        <v>-405.08250000000044</v>
      </c>
      <c r="P20" s="1155">
        <v>43543</v>
      </c>
      <c r="Q20" s="1345">
        <v>45856</v>
      </c>
    </row>
    <row r="21" spans="1:18" s="341" customFormat="1" ht="57" customHeight="1">
      <c r="A21" s="1188" t="s">
        <v>4325</v>
      </c>
      <c r="B21" s="1139">
        <v>81</v>
      </c>
      <c r="C21" s="1164" t="s">
        <v>1001</v>
      </c>
      <c r="D21" s="1164">
        <v>1476378</v>
      </c>
      <c r="E21" s="1152" t="s">
        <v>4326</v>
      </c>
      <c r="F21" s="1153">
        <f>135000/2</f>
        <v>67500</v>
      </c>
      <c r="G21" s="1154">
        <f>2346.66/2</f>
        <v>1173.33</v>
      </c>
      <c r="H21" s="1154">
        <v>1200.83</v>
      </c>
      <c r="I21" s="1154">
        <v>-3226.66</v>
      </c>
      <c r="J21" s="1154">
        <f>G21*12</f>
        <v>14079.96</v>
      </c>
      <c r="K21" s="1154">
        <f>21676.89/2</f>
        <v>10838.445</v>
      </c>
      <c r="L21" s="1162">
        <f>J21/2+H21+I21</f>
        <v>5014.1499999999996</v>
      </c>
      <c r="M21" s="1154">
        <f>K21/2</f>
        <v>5419.2224999999999</v>
      </c>
      <c r="N21" s="1154">
        <f t="shared" si="2"/>
        <v>5014.1499999999996</v>
      </c>
      <c r="O21" s="1154">
        <f t="shared" si="0"/>
        <v>-405.07250000000022</v>
      </c>
      <c r="P21" s="1155">
        <v>43543</v>
      </c>
      <c r="Q21" s="1345">
        <v>45856</v>
      </c>
    </row>
    <row r="22" spans="1:18" s="341" customFormat="1" ht="40.5" customHeight="1">
      <c r="A22" s="1358" t="s">
        <v>4327</v>
      </c>
      <c r="B22" s="1359">
        <v>83</v>
      </c>
      <c r="C22" s="1360" t="s">
        <v>1001</v>
      </c>
      <c r="D22" s="1360">
        <v>1478346</v>
      </c>
      <c r="E22" s="1361" t="s">
        <v>4328</v>
      </c>
      <c r="F22" s="1362">
        <f>55500/3</f>
        <v>18500</v>
      </c>
      <c r="G22" s="1363">
        <f>1583.62/3</f>
        <v>527.87333333333333</v>
      </c>
      <c r="H22" s="1363">
        <v>182.23</v>
      </c>
      <c r="I22" s="1363">
        <v>-1624.23</v>
      </c>
      <c r="J22" s="1363">
        <f>12668.96/3</f>
        <v>4222.9866666666667</v>
      </c>
      <c r="K22" s="1363">
        <f>10059.31/3</f>
        <v>3353.103333333333</v>
      </c>
      <c r="L22" s="1328">
        <f>G22*6+H22+I22</f>
        <v>1725.2399999999998</v>
      </c>
      <c r="M22" s="1363">
        <f>K22/278*181</f>
        <v>2183.135623501199</v>
      </c>
      <c r="N22" s="1363">
        <f t="shared" si="2"/>
        <v>1725.2399999999998</v>
      </c>
      <c r="O22" s="1363">
        <f t="shared" si="0"/>
        <v>-457.89562350119922</v>
      </c>
      <c r="P22" s="1364">
        <v>43673</v>
      </c>
      <c r="Q22" s="1365">
        <v>45224</v>
      </c>
    </row>
    <row r="23" spans="1:18" s="341" customFormat="1" ht="51.95" customHeight="1">
      <c r="A23" s="1358" t="s">
        <v>4329</v>
      </c>
      <c r="B23" s="1359">
        <v>83</v>
      </c>
      <c r="C23" s="1360" t="s">
        <v>1001</v>
      </c>
      <c r="D23" s="1360">
        <v>1478346</v>
      </c>
      <c r="E23" s="1361" t="s">
        <v>4330</v>
      </c>
      <c r="F23" s="1362">
        <f>55500/3</f>
        <v>18500</v>
      </c>
      <c r="G23" s="1363">
        <f>1583.62/3</f>
        <v>527.87333333333333</v>
      </c>
      <c r="H23" s="1363">
        <v>182.23</v>
      </c>
      <c r="I23" s="1363">
        <v>-1624.22</v>
      </c>
      <c r="J23" s="1363">
        <f>12668.96/3</f>
        <v>4222.9866666666667</v>
      </c>
      <c r="K23" s="1363">
        <f>10059.31/3</f>
        <v>3353.103333333333</v>
      </c>
      <c r="L23" s="1328">
        <f>G23*6+H23+I23</f>
        <v>1725.2499999999998</v>
      </c>
      <c r="M23" s="1363">
        <f>K23/278*181</f>
        <v>2183.135623501199</v>
      </c>
      <c r="N23" s="1363">
        <f t="shared" si="2"/>
        <v>1725.2499999999998</v>
      </c>
      <c r="O23" s="1363">
        <f t="shared" si="0"/>
        <v>-457.88562350119923</v>
      </c>
      <c r="P23" s="1364">
        <v>43673</v>
      </c>
      <c r="Q23" s="1365">
        <v>45224</v>
      </c>
    </row>
    <row r="24" spans="1:18" s="341" customFormat="1" ht="39.75" customHeight="1">
      <c r="A24" s="1358" t="s">
        <v>4331</v>
      </c>
      <c r="B24" s="1359">
        <v>83</v>
      </c>
      <c r="C24" s="1360" t="s">
        <v>1001</v>
      </c>
      <c r="D24" s="1360">
        <v>1478346</v>
      </c>
      <c r="E24" s="1361" t="s">
        <v>4332</v>
      </c>
      <c r="F24" s="1362">
        <f>55500/3</f>
        <v>18500</v>
      </c>
      <c r="G24" s="1363">
        <f>1583.62/3</f>
        <v>527.87333333333333</v>
      </c>
      <c r="H24" s="1363">
        <v>182.23</v>
      </c>
      <c r="I24" s="1363">
        <v>-1624.22</v>
      </c>
      <c r="J24" s="1363">
        <f>12668.96/3</f>
        <v>4222.9866666666667</v>
      </c>
      <c r="K24" s="1363">
        <f>10059.31/3</f>
        <v>3353.103333333333</v>
      </c>
      <c r="L24" s="1328">
        <f>G24*6+H24+I24</f>
        <v>1725.2499999999998</v>
      </c>
      <c r="M24" s="1363">
        <f>K24/278*181</f>
        <v>2183.135623501199</v>
      </c>
      <c r="N24" s="1363">
        <f t="shared" si="2"/>
        <v>1725.2499999999998</v>
      </c>
      <c r="O24" s="1363">
        <f t="shared" si="0"/>
        <v>-457.88562350119923</v>
      </c>
      <c r="P24" s="1364">
        <v>43673</v>
      </c>
      <c r="Q24" s="1365">
        <v>45224</v>
      </c>
    </row>
    <row r="25" spans="1:18" s="341" customFormat="1" ht="36" customHeight="1">
      <c r="A25" s="1358" t="s">
        <v>4333</v>
      </c>
      <c r="B25" s="1359">
        <v>84</v>
      </c>
      <c r="C25" s="1360" t="s">
        <v>1001</v>
      </c>
      <c r="D25" s="1360">
        <v>1478348</v>
      </c>
      <c r="E25" s="1361" t="s">
        <v>1022</v>
      </c>
      <c r="F25" s="1362">
        <v>10500</v>
      </c>
      <c r="G25" s="1363">
        <v>300.70999999999998</v>
      </c>
      <c r="H25" s="1363">
        <v>119.22</v>
      </c>
      <c r="I25" s="1363">
        <v>-809.61</v>
      </c>
      <c r="J25" s="1363">
        <v>2104.9699999999998</v>
      </c>
      <c r="K25" s="1363">
        <v>1730.45</v>
      </c>
      <c r="L25" s="1328">
        <f>G25*6+H25+I25</f>
        <v>1113.8699999999999</v>
      </c>
      <c r="M25" s="1363">
        <f>K25/267*181</f>
        <v>1173.0765917602996</v>
      </c>
      <c r="N25" s="1363">
        <f t="shared" si="2"/>
        <v>1113.8699999999999</v>
      </c>
      <c r="O25" s="1363">
        <f t="shared" si="0"/>
        <v>-59.206591760299716</v>
      </c>
      <c r="P25" s="1364">
        <v>43642</v>
      </c>
      <c r="Q25" s="1365">
        <v>45193</v>
      </c>
    </row>
    <row r="26" spans="1:18" s="1366" customFormat="1" ht="24.75" customHeight="1">
      <c r="A26" s="1188" t="s">
        <v>4334</v>
      </c>
      <c r="B26" s="1139">
        <v>86</v>
      </c>
      <c r="C26" s="1164" t="s">
        <v>1001</v>
      </c>
      <c r="D26" s="1164">
        <v>1483473</v>
      </c>
      <c r="E26" s="1152" t="s">
        <v>1023</v>
      </c>
      <c r="F26" s="1153">
        <v>219000</v>
      </c>
      <c r="G26" s="1154">
        <v>3489.67</v>
      </c>
      <c r="H26" s="1154">
        <v>13696.1</v>
      </c>
      <c r="I26" s="1154"/>
      <c r="J26" s="1154">
        <f>G26*12</f>
        <v>41876.04</v>
      </c>
      <c r="K26" s="1154">
        <v>45533.16</v>
      </c>
      <c r="L26" s="1162">
        <f>J26/2+H26</f>
        <v>34634.120000000003</v>
      </c>
      <c r="M26" s="1154">
        <f>K26/2</f>
        <v>22766.58</v>
      </c>
      <c r="N26" s="1154">
        <f t="shared" si="2"/>
        <v>34634.120000000003</v>
      </c>
      <c r="O26" s="1154">
        <f t="shared" si="0"/>
        <v>11867.54</v>
      </c>
      <c r="P26" s="1155">
        <v>44081</v>
      </c>
      <c r="Q26" s="1155">
        <v>45875</v>
      </c>
      <c r="R26" s="341"/>
    </row>
    <row r="27" spans="1:18" s="341" customFormat="1" ht="54" customHeight="1">
      <c r="A27" s="1358" t="s">
        <v>4335</v>
      </c>
      <c r="B27" s="1359">
        <v>87</v>
      </c>
      <c r="C27" s="1360" t="s">
        <v>1024</v>
      </c>
      <c r="D27" s="1360" t="s">
        <v>1025</v>
      </c>
      <c r="E27" s="1361" t="s">
        <v>1026</v>
      </c>
      <c r="F27" s="1362">
        <v>59500</v>
      </c>
      <c r="G27" s="1367">
        <v>1360.17</v>
      </c>
      <c r="H27" s="1367">
        <v>4806.7</v>
      </c>
      <c r="I27" s="1367"/>
      <c r="J27" s="1367">
        <v>12241.53</v>
      </c>
      <c r="K27" s="1367">
        <v>17048.240000000002</v>
      </c>
      <c r="L27" s="1356">
        <f>G27*6+H27+I27</f>
        <v>12967.720000000001</v>
      </c>
      <c r="M27" s="1367">
        <f>K27/314*181</f>
        <v>9827.1701910828033</v>
      </c>
      <c r="N27" s="1363">
        <f t="shared" si="2"/>
        <v>12967.720000000001</v>
      </c>
      <c r="O27" s="1363">
        <f t="shared" si="0"/>
        <v>3140.5498089171979</v>
      </c>
      <c r="P27" s="1364">
        <v>44175</v>
      </c>
      <c r="Q27" s="1364">
        <v>45240</v>
      </c>
    </row>
    <row r="28" spans="1:18" s="341" customFormat="1" ht="38.25" customHeight="1">
      <c r="A28" s="1368" t="s">
        <v>4336</v>
      </c>
      <c r="B28" s="1369">
        <v>88</v>
      </c>
      <c r="C28" s="1370" t="s">
        <v>1027</v>
      </c>
      <c r="D28" s="1370" t="s">
        <v>1028</v>
      </c>
      <c r="E28" s="1371" t="s">
        <v>4337</v>
      </c>
      <c r="F28" s="1372">
        <f>22400/2</f>
        <v>11200</v>
      </c>
      <c r="G28" s="1373">
        <f>663.76/2</f>
        <v>331.88</v>
      </c>
      <c r="H28" s="1373">
        <v>248.01</v>
      </c>
      <c r="I28" s="1373"/>
      <c r="J28" s="1373">
        <f>1991.28/2</f>
        <v>995.64</v>
      </c>
      <c r="K28" s="1373">
        <f>2487.28/2</f>
        <v>1243.6400000000001</v>
      </c>
      <c r="L28" s="1310">
        <f>H28+J28</f>
        <v>1243.6500000000001</v>
      </c>
      <c r="M28" s="1373">
        <f>K28</f>
        <v>1243.6400000000001</v>
      </c>
      <c r="N28" s="1373">
        <f t="shared" si="2"/>
        <v>1243.6500000000001</v>
      </c>
      <c r="O28" s="1373">
        <f t="shared" si="0"/>
        <v>9.9999999999909051E-3</v>
      </c>
      <c r="P28" s="1374">
        <v>43971</v>
      </c>
      <c r="Q28" s="1374">
        <v>45037</v>
      </c>
      <c r="R28" s="435" t="s">
        <v>4338</v>
      </c>
    </row>
    <row r="29" spans="1:18" s="341" customFormat="1" ht="36">
      <c r="A29" s="1375" t="s">
        <v>4339</v>
      </c>
      <c r="B29" s="1369">
        <v>88</v>
      </c>
      <c r="C29" s="1370" t="s">
        <v>1027</v>
      </c>
      <c r="D29" s="1370" t="s">
        <v>1028</v>
      </c>
      <c r="E29" s="1371" t="s">
        <v>4340</v>
      </c>
      <c r="F29" s="1372">
        <f>22400/2</f>
        <v>11200</v>
      </c>
      <c r="G29" s="1373">
        <f>663.76/2</f>
        <v>331.88</v>
      </c>
      <c r="H29" s="1373">
        <v>248</v>
      </c>
      <c r="I29" s="1373"/>
      <c r="J29" s="1373">
        <f>1991.28/2</f>
        <v>995.64</v>
      </c>
      <c r="K29" s="1373">
        <f>2487.28/2</f>
        <v>1243.6400000000001</v>
      </c>
      <c r="L29" s="1310">
        <f>H29+J29</f>
        <v>1243.6399999999999</v>
      </c>
      <c r="M29" s="1373">
        <f>K29</f>
        <v>1243.6400000000001</v>
      </c>
      <c r="N29" s="1373">
        <f t="shared" si="2"/>
        <v>1243.6399999999999</v>
      </c>
      <c r="O29" s="1373">
        <f t="shared" si="0"/>
        <v>0</v>
      </c>
      <c r="P29" s="1374">
        <v>43971</v>
      </c>
      <c r="Q29" s="1374">
        <v>45037</v>
      </c>
      <c r="R29" s="435" t="s">
        <v>4338</v>
      </c>
    </row>
    <row r="30" spans="1:18" s="341" customFormat="1" ht="36">
      <c r="A30" s="1339" t="s">
        <v>4341</v>
      </c>
      <c r="B30" s="1307">
        <v>89</v>
      </c>
      <c r="C30" s="1376" t="s">
        <v>1009</v>
      </c>
      <c r="D30" s="1376">
        <v>1701296</v>
      </c>
      <c r="E30" s="1344" t="s">
        <v>1030</v>
      </c>
      <c r="F30" s="1309">
        <v>13300</v>
      </c>
      <c r="G30" s="1310">
        <v>385.58</v>
      </c>
      <c r="H30" s="1310">
        <v>607.36</v>
      </c>
      <c r="I30" s="1310"/>
      <c r="J30" s="1310"/>
      <c r="K30" s="1310">
        <v>607.37</v>
      </c>
      <c r="L30" s="1377">
        <f>H30+J30</f>
        <v>607.36</v>
      </c>
      <c r="M30" s="1377">
        <f>K30</f>
        <v>607.37</v>
      </c>
      <c r="N30" s="1310">
        <f t="shared" si="2"/>
        <v>607.36</v>
      </c>
      <c r="O30" s="1310">
        <f t="shared" si="0"/>
        <v>-9.9999999999909051E-3</v>
      </c>
      <c r="P30" s="1343"/>
      <c r="Q30" s="1343">
        <v>44974</v>
      </c>
      <c r="R30" s="1357" t="s">
        <v>4342</v>
      </c>
    </row>
    <row r="31" spans="1:18" s="341" customFormat="1" ht="36">
      <c r="A31" s="1339" t="s">
        <v>4343</v>
      </c>
      <c r="B31" s="1307">
        <v>90</v>
      </c>
      <c r="C31" s="1376" t="s">
        <v>1009</v>
      </c>
      <c r="D31" s="1376">
        <v>1701327</v>
      </c>
      <c r="E31" s="1344" t="s">
        <v>1031</v>
      </c>
      <c r="F31" s="1309">
        <v>27000</v>
      </c>
      <c r="G31" s="1310">
        <v>770.92</v>
      </c>
      <c r="H31" s="1310">
        <v>1227.07</v>
      </c>
      <c r="I31" s="1310"/>
      <c r="J31" s="1310"/>
      <c r="K31" s="1310">
        <v>1227.06</v>
      </c>
      <c r="L31" s="1377">
        <f>H31+J31</f>
        <v>1227.07</v>
      </c>
      <c r="M31" s="1377">
        <f>K31</f>
        <v>1227.06</v>
      </c>
      <c r="N31" s="1310">
        <f t="shared" si="2"/>
        <v>1227.07</v>
      </c>
      <c r="O31" s="1310">
        <f t="shared" si="0"/>
        <v>9.9999999999909051E-3</v>
      </c>
      <c r="P31" s="1343"/>
      <c r="Q31" s="1343">
        <v>44974</v>
      </c>
      <c r="R31" s="1357" t="s">
        <v>4342</v>
      </c>
    </row>
    <row r="32" spans="1:18" s="341" customFormat="1" ht="40.5" customHeight="1">
      <c r="A32" s="1188" t="s">
        <v>4344</v>
      </c>
      <c r="B32" s="1139">
        <v>91</v>
      </c>
      <c r="C32" s="1378" t="s">
        <v>953</v>
      </c>
      <c r="D32" s="1378">
        <v>7139278</v>
      </c>
      <c r="E32" s="1152" t="s">
        <v>1032</v>
      </c>
      <c r="F32" s="1153">
        <v>11750</v>
      </c>
      <c r="G32" s="1154">
        <v>212.41</v>
      </c>
      <c r="H32" s="1154">
        <v>23.97</v>
      </c>
      <c r="I32" s="1154"/>
      <c r="J32" s="1154">
        <f t="shared" ref="J32:J42" si="3">G32*12</f>
        <v>2548.92</v>
      </c>
      <c r="K32" s="1154">
        <v>2547.52</v>
      </c>
      <c r="L32" s="1162">
        <f t="shared" ref="L32:L54" si="4">J32/2+H32</f>
        <v>1298.43</v>
      </c>
      <c r="M32" s="1154">
        <f t="shared" ref="M32:M54" si="5">K32/2</f>
        <v>1273.76</v>
      </c>
      <c r="N32" s="1154">
        <f t="shared" si="2"/>
        <v>1298.43</v>
      </c>
      <c r="O32" s="1154">
        <f t="shared" si="0"/>
        <v>24.670000000000073</v>
      </c>
      <c r="P32" s="1155">
        <v>44017</v>
      </c>
      <c r="Q32" s="1155">
        <v>45812</v>
      </c>
    </row>
    <row r="33" spans="1:18" s="1184" customFormat="1" ht="40.5" customHeight="1">
      <c r="A33" s="1188" t="s">
        <v>4345</v>
      </c>
      <c r="B33" s="1139">
        <v>92</v>
      </c>
      <c r="C33" s="1379" t="s">
        <v>953</v>
      </c>
      <c r="D33" s="1379">
        <v>7139282</v>
      </c>
      <c r="E33" s="1152" t="s">
        <v>1033</v>
      </c>
      <c r="F33" s="1153">
        <v>11750</v>
      </c>
      <c r="G33" s="1154">
        <v>212.41</v>
      </c>
      <c r="H33" s="1154">
        <v>23.97</v>
      </c>
      <c r="I33" s="1154"/>
      <c r="J33" s="1154">
        <f t="shared" si="3"/>
        <v>2548.92</v>
      </c>
      <c r="K33" s="1154">
        <v>2547.52</v>
      </c>
      <c r="L33" s="1162">
        <f t="shared" si="4"/>
        <v>1298.43</v>
      </c>
      <c r="M33" s="1154">
        <f t="shared" si="5"/>
        <v>1273.76</v>
      </c>
      <c r="N33" s="1154">
        <f t="shared" si="2"/>
        <v>1298.43</v>
      </c>
      <c r="O33" s="1154">
        <f t="shared" si="0"/>
        <v>24.670000000000073</v>
      </c>
      <c r="P33" s="1155">
        <v>44017</v>
      </c>
      <c r="Q33" s="1155">
        <v>45812</v>
      </c>
      <c r="R33" s="341"/>
    </row>
    <row r="34" spans="1:18" s="1184" customFormat="1" ht="37.700000000000003" customHeight="1">
      <c r="A34" s="1188" t="s">
        <v>4346</v>
      </c>
      <c r="B34" s="1139">
        <v>93</v>
      </c>
      <c r="C34" s="1379" t="s">
        <v>953</v>
      </c>
      <c r="D34" s="1379">
        <v>7139285</v>
      </c>
      <c r="E34" s="1152" t="s">
        <v>1034</v>
      </c>
      <c r="F34" s="1153">
        <v>14650</v>
      </c>
      <c r="G34" s="1154">
        <v>264.95999999999998</v>
      </c>
      <c r="H34" s="1154">
        <v>29.89</v>
      </c>
      <c r="I34" s="1154"/>
      <c r="J34" s="1154">
        <f t="shared" si="3"/>
        <v>3179.5199999999995</v>
      </c>
      <c r="K34" s="1154">
        <v>3177.78</v>
      </c>
      <c r="L34" s="1162">
        <f t="shared" si="4"/>
        <v>1619.6499999999999</v>
      </c>
      <c r="M34" s="1154">
        <f t="shared" si="5"/>
        <v>1588.89</v>
      </c>
      <c r="N34" s="1154">
        <f t="shared" si="2"/>
        <v>1619.6499999999999</v>
      </c>
      <c r="O34" s="1154">
        <f t="shared" si="0"/>
        <v>30.759999999999764</v>
      </c>
      <c r="P34" s="1155">
        <v>44017</v>
      </c>
      <c r="Q34" s="1155">
        <v>45812</v>
      </c>
      <c r="R34" s="341"/>
    </row>
    <row r="35" spans="1:18" s="341" customFormat="1" ht="42" customHeight="1">
      <c r="A35" s="1188" t="s">
        <v>4347</v>
      </c>
      <c r="B35" s="1139">
        <v>94</v>
      </c>
      <c r="C35" s="1379" t="s">
        <v>953</v>
      </c>
      <c r="D35" s="1379">
        <v>7139287</v>
      </c>
      <c r="E35" s="1152" t="s">
        <v>1035</v>
      </c>
      <c r="F35" s="1153">
        <v>21850</v>
      </c>
      <c r="G35" s="1154">
        <v>395.22</v>
      </c>
      <c r="H35" s="1154">
        <v>44.59</v>
      </c>
      <c r="I35" s="1154"/>
      <c r="J35" s="1154">
        <f t="shared" si="3"/>
        <v>4742.6400000000003</v>
      </c>
      <c r="K35" s="1154">
        <v>4740.04</v>
      </c>
      <c r="L35" s="1162">
        <f t="shared" si="4"/>
        <v>2415.9100000000003</v>
      </c>
      <c r="M35" s="1154">
        <f t="shared" si="5"/>
        <v>2370.02</v>
      </c>
      <c r="N35" s="1154">
        <f t="shared" si="2"/>
        <v>2415.9100000000003</v>
      </c>
      <c r="O35" s="1154">
        <f t="shared" si="0"/>
        <v>45.890000000000327</v>
      </c>
      <c r="P35" s="1155">
        <v>44017</v>
      </c>
      <c r="Q35" s="1155">
        <v>45812</v>
      </c>
    </row>
    <row r="36" spans="1:18" s="341" customFormat="1" ht="45.2" customHeight="1">
      <c r="A36" s="1188" t="s">
        <v>4348</v>
      </c>
      <c r="B36" s="1139">
        <v>95</v>
      </c>
      <c r="C36" s="1152" t="s">
        <v>1036</v>
      </c>
      <c r="D36" s="1152" t="s">
        <v>1037</v>
      </c>
      <c r="E36" s="1152" t="s">
        <v>1038</v>
      </c>
      <c r="F36" s="1153">
        <v>33000</v>
      </c>
      <c r="G36" s="1154">
        <v>563.97</v>
      </c>
      <c r="H36" s="1154">
        <v>1468.77</v>
      </c>
      <c r="I36" s="1154"/>
      <c r="J36" s="1154">
        <f t="shared" si="3"/>
        <v>6767.64</v>
      </c>
      <c r="K36" s="1154">
        <v>7587.44</v>
      </c>
      <c r="L36" s="1162">
        <f t="shared" si="4"/>
        <v>4852.59</v>
      </c>
      <c r="M36" s="1154">
        <f t="shared" si="5"/>
        <v>3793.72</v>
      </c>
      <c r="N36" s="1154">
        <f t="shared" si="2"/>
        <v>4852.59</v>
      </c>
      <c r="O36" s="1154">
        <f t="shared" si="0"/>
        <v>1058.8700000000003</v>
      </c>
      <c r="P36" s="1380">
        <v>44056</v>
      </c>
      <c r="Q36" s="1380">
        <v>45485</v>
      </c>
    </row>
    <row r="37" spans="1:18" s="341" customFormat="1" ht="44.25" customHeight="1">
      <c r="A37" s="1301" t="s">
        <v>4349</v>
      </c>
      <c r="B37" s="1146">
        <v>96</v>
      </c>
      <c r="C37" s="1333" t="s">
        <v>1001</v>
      </c>
      <c r="D37" s="1333">
        <v>1484890</v>
      </c>
      <c r="E37" s="1333" t="s">
        <v>1039</v>
      </c>
      <c r="F37" s="1334">
        <v>311000</v>
      </c>
      <c r="G37" s="1163">
        <v>4926.83</v>
      </c>
      <c r="H37" s="1163">
        <v>19269.21</v>
      </c>
      <c r="I37" s="1163"/>
      <c r="J37" s="1163">
        <f t="shared" si="3"/>
        <v>59121.96</v>
      </c>
      <c r="K37" s="1163">
        <v>64321.35</v>
      </c>
      <c r="L37" s="1162">
        <f t="shared" si="4"/>
        <v>48830.19</v>
      </c>
      <c r="M37" s="1163">
        <f t="shared" si="5"/>
        <v>32160.674999999999</v>
      </c>
      <c r="N37" s="1163">
        <f t="shared" si="2"/>
        <v>48830.19</v>
      </c>
      <c r="O37" s="1163">
        <f t="shared" si="0"/>
        <v>16669.515000000003</v>
      </c>
      <c r="P37" s="1336">
        <v>44141</v>
      </c>
      <c r="Q37" s="1336">
        <v>45930</v>
      </c>
      <c r="R37" s="435"/>
    </row>
    <row r="38" spans="1:18" s="341" customFormat="1" ht="36" customHeight="1">
      <c r="A38" s="1188" t="s">
        <v>4350</v>
      </c>
      <c r="B38" s="1139">
        <v>97</v>
      </c>
      <c r="C38" s="1152" t="s">
        <v>1036</v>
      </c>
      <c r="D38" s="1152" t="s">
        <v>1040</v>
      </c>
      <c r="E38" s="1152" t="s">
        <v>1041</v>
      </c>
      <c r="F38" s="1153">
        <v>25000</v>
      </c>
      <c r="G38" s="1154">
        <v>515.75</v>
      </c>
      <c r="H38" s="1154">
        <v>-61.42</v>
      </c>
      <c r="I38" s="1154"/>
      <c r="J38" s="1154">
        <f t="shared" si="3"/>
        <v>6189</v>
      </c>
      <c r="K38" s="1154">
        <v>6184.76</v>
      </c>
      <c r="L38" s="1162">
        <f t="shared" si="4"/>
        <v>3033.08</v>
      </c>
      <c r="M38" s="1154">
        <f t="shared" si="5"/>
        <v>3092.38</v>
      </c>
      <c r="N38" s="1154">
        <f t="shared" si="2"/>
        <v>3033.08</v>
      </c>
      <c r="O38" s="1154">
        <f t="shared" si="0"/>
        <v>-59.300000000000182</v>
      </c>
      <c r="P38" s="1381">
        <v>44163</v>
      </c>
      <c r="Q38" s="1381">
        <v>45592</v>
      </c>
      <c r="R38" s="1184"/>
    </row>
    <row r="39" spans="1:18" s="341" customFormat="1" ht="33.950000000000003" customHeight="1">
      <c r="A39" s="1188" t="s">
        <v>4351</v>
      </c>
      <c r="B39" s="1139">
        <v>98</v>
      </c>
      <c r="C39" s="1152" t="s">
        <v>1036</v>
      </c>
      <c r="D39" s="1152" t="s">
        <v>1042</v>
      </c>
      <c r="E39" s="1152" t="s">
        <v>1043</v>
      </c>
      <c r="F39" s="1153">
        <v>25000</v>
      </c>
      <c r="G39" s="1154">
        <v>515.75</v>
      </c>
      <c r="H39" s="1154">
        <v>-61.42</v>
      </c>
      <c r="I39" s="1154"/>
      <c r="J39" s="1154">
        <f t="shared" si="3"/>
        <v>6189</v>
      </c>
      <c r="K39" s="1154">
        <v>6184.76</v>
      </c>
      <c r="L39" s="1162">
        <f t="shared" si="4"/>
        <v>3033.08</v>
      </c>
      <c r="M39" s="1154">
        <f t="shared" si="5"/>
        <v>3092.38</v>
      </c>
      <c r="N39" s="1154">
        <f t="shared" si="2"/>
        <v>3033.08</v>
      </c>
      <c r="O39" s="1154">
        <f t="shared" si="0"/>
        <v>-59.300000000000182</v>
      </c>
      <c r="P39" s="1381">
        <v>44163</v>
      </c>
      <c r="Q39" s="1381">
        <v>45592</v>
      </c>
      <c r="R39" s="1184"/>
    </row>
    <row r="40" spans="1:18" s="341" customFormat="1" ht="33.950000000000003" customHeight="1">
      <c r="A40" s="1188" t="s">
        <v>4352</v>
      </c>
      <c r="B40" s="1139">
        <v>103</v>
      </c>
      <c r="C40" s="1152" t="s">
        <v>1036</v>
      </c>
      <c r="D40" s="1152" t="s">
        <v>1048</v>
      </c>
      <c r="E40" s="1152" t="s">
        <v>1049</v>
      </c>
      <c r="F40" s="1153">
        <v>30500</v>
      </c>
      <c r="G40" s="1154">
        <v>565.74</v>
      </c>
      <c r="H40" s="1154">
        <v>1499.61</v>
      </c>
      <c r="I40" s="1154"/>
      <c r="J40" s="1154">
        <f t="shared" si="3"/>
        <v>6788.88</v>
      </c>
      <c r="K40" s="1154">
        <v>7546.21</v>
      </c>
      <c r="L40" s="1162">
        <f t="shared" si="4"/>
        <v>4894.05</v>
      </c>
      <c r="M40" s="1154">
        <f t="shared" si="5"/>
        <v>3773.105</v>
      </c>
      <c r="N40" s="1154">
        <f t="shared" si="2"/>
        <v>4894.05</v>
      </c>
      <c r="O40" s="1154">
        <f t="shared" si="0"/>
        <v>1120.9450000000002</v>
      </c>
      <c r="P40" s="1381">
        <v>44278</v>
      </c>
      <c r="Q40" s="1381">
        <v>45710</v>
      </c>
    </row>
    <row r="41" spans="1:18" s="341" customFormat="1" ht="33.950000000000003" customHeight="1">
      <c r="A41" s="1188" t="s">
        <v>4353</v>
      </c>
      <c r="B41" s="1139">
        <v>104</v>
      </c>
      <c r="C41" s="1152" t="s">
        <v>1036</v>
      </c>
      <c r="D41" s="1152" t="s">
        <v>1050</v>
      </c>
      <c r="E41" s="1152" t="s">
        <v>1051</v>
      </c>
      <c r="F41" s="1153">
        <v>29200</v>
      </c>
      <c r="G41" s="1154">
        <v>618.37</v>
      </c>
      <c r="H41" s="1154">
        <v>210.89</v>
      </c>
      <c r="I41" s="1154"/>
      <c r="J41" s="1154">
        <f t="shared" si="3"/>
        <v>7420.4400000000005</v>
      </c>
      <c r="K41" s="1154">
        <v>7573.64</v>
      </c>
      <c r="L41" s="1162">
        <f t="shared" si="4"/>
        <v>3921.11</v>
      </c>
      <c r="M41" s="1154">
        <f t="shared" si="5"/>
        <v>3786.82</v>
      </c>
      <c r="N41" s="1154">
        <f t="shared" si="2"/>
        <v>3921.11</v>
      </c>
      <c r="O41" s="1154">
        <f t="shared" si="0"/>
        <v>134.28999999999996</v>
      </c>
      <c r="P41" s="1381">
        <v>44278</v>
      </c>
      <c r="Q41" s="1381">
        <v>45710</v>
      </c>
    </row>
    <row r="42" spans="1:18" s="341" customFormat="1" ht="33.950000000000003" customHeight="1">
      <c r="A42" s="1301" t="s">
        <v>4354</v>
      </c>
      <c r="B42" s="1146">
        <v>105</v>
      </c>
      <c r="C42" s="1333" t="s">
        <v>1001</v>
      </c>
      <c r="D42" s="1333">
        <v>1487354</v>
      </c>
      <c r="E42" s="1333" t="s">
        <v>4355</v>
      </c>
      <c r="F42" s="1334">
        <v>172000</v>
      </c>
      <c r="G42" s="1163">
        <v>2952.41</v>
      </c>
      <c r="H42" s="1163">
        <v>4589.72</v>
      </c>
      <c r="I42" s="1163"/>
      <c r="J42" s="1163">
        <f t="shared" si="3"/>
        <v>35428.92</v>
      </c>
      <c r="K42" s="1163">
        <v>36000.99</v>
      </c>
      <c r="L42" s="1162">
        <f t="shared" si="4"/>
        <v>22304.18</v>
      </c>
      <c r="M42" s="1163">
        <f t="shared" si="5"/>
        <v>18000.494999999999</v>
      </c>
      <c r="N42" s="1163">
        <f t="shared" si="2"/>
        <v>22304.18</v>
      </c>
      <c r="O42" s="1163">
        <f t="shared" si="0"/>
        <v>4303.6850000000013</v>
      </c>
      <c r="P42" s="1336">
        <v>44315</v>
      </c>
      <c r="Q42" s="1336">
        <v>46109</v>
      </c>
      <c r="R42" s="435"/>
    </row>
    <row r="43" spans="1:18" s="341" customFormat="1" ht="33.950000000000003" customHeight="1">
      <c r="A43" s="1382" t="s">
        <v>4356</v>
      </c>
      <c r="B43" s="1383">
        <v>106</v>
      </c>
      <c r="C43" s="1384" t="s">
        <v>1053</v>
      </c>
      <c r="D43" s="1384">
        <v>30231380</v>
      </c>
      <c r="E43" s="1384" t="s">
        <v>1054</v>
      </c>
      <c r="F43" s="1385">
        <v>89000</v>
      </c>
      <c r="G43" s="1386">
        <v>1417.96</v>
      </c>
      <c r="H43" s="1386">
        <v>6871.73</v>
      </c>
      <c r="I43" s="1386"/>
      <c r="J43" s="1386">
        <v>17075.04</v>
      </c>
      <c r="K43" s="1386">
        <v>18536.740000000002</v>
      </c>
      <c r="L43" s="1387">
        <f t="shared" si="4"/>
        <v>15409.25</v>
      </c>
      <c r="M43" s="1386">
        <f t="shared" si="5"/>
        <v>9268.3700000000008</v>
      </c>
      <c r="N43" s="1386">
        <v>15903.82</v>
      </c>
      <c r="O43" s="1386">
        <f t="shared" si="0"/>
        <v>6140.8799999999992</v>
      </c>
      <c r="P43" s="1388">
        <v>44330</v>
      </c>
      <c r="Q43" s="1388">
        <v>46125</v>
      </c>
      <c r="R43" s="435" t="s">
        <v>4357</v>
      </c>
    </row>
    <row r="44" spans="1:18" s="341" customFormat="1" ht="35.25" customHeight="1">
      <c r="A44" s="1188" t="s">
        <v>4358</v>
      </c>
      <c r="B44" s="1139">
        <v>107</v>
      </c>
      <c r="C44" s="1152" t="s">
        <v>1036</v>
      </c>
      <c r="D44" s="1152" t="s">
        <v>1055</v>
      </c>
      <c r="E44" s="1152" t="s">
        <v>4359</v>
      </c>
      <c r="F44" s="1153">
        <f>56000/2</f>
        <v>28000</v>
      </c>
      <c r="G44" s="1154">
        <f>1155.28/2</f>
        <v>577.64</v>
      </c>
      <c r="H44" s="1154">
        <v>-100.36</v>
      </c>
      <c r="I44" s="1154"/>
      <c r="J44" s="1154">
        <f t="shared" ref="J44:J54" si="6">G44*12</f>
        <v>6931.68</v>
      </c>
      <c r="K44" s="1154">
        <f>13884.4/2</f>
        <v>6942.2</v>
      </c>
      <c r="L44" s="1162">
        <f t="shared" si="4"/>
        <v>3365.48</v>
      </c>
      <c r="M44" s="1154">
        <f t="shared" si="5"/>
        <v>3471.1</v>
      </c>
      <c r="N44" s="1154">
        <f t="shared" ref="N44:N59" si="7">L44</f>
        <v>3365.48</v>
      </c>
      <c r="O44" s="1154">
        <f t="shared" si="0"/>
        <v>-105.61999999999989</v>
      </c>
      <c r="P44" s="1381">
        <v>44374</v>
      </c>
      <c r="Q44" s="1381">
        <v>45803</v>
      </c>
    </row>
    <row r="45" spans="1:18" s="341" customFormat="1" ht="32.25" customHeight="1">
      <c r="A45" s="1188" t="s">
        <v>4360</v>
      </c>
      <c r="B45" s="1139">
        <v>107</v>
      </c>
      <c r="C45" s="1152" t="s">
        <v>1036</v>
      </c>
      <c r="D45" s="1152" t="s">
        <v>1055</v>
      </c>
      <c r="E45" s="1152" t="s">
        <v>4361</v>
      </c>
      <c r="F45" s="1153">
        <f>56000/2</f>
        <v>28000</v>
      </c>
      <c r="G45" s="1154">
        <f>1155.28/2</f>
        <v>577.64</v>
      </c>
      <c r="H45" s="1154">
        <v>-100.36</v>
      </c>
      <c r="I45" s="1154"/>
      <c r="J45" s="1154">
        <f t="shared" si="6"/>
        <v>6931.68</v>
      </c>
      <c r="K45" s="1154">
        <f>13884.4/2</f>
        <v>6942.2</v>
      </c>
      <c r="L45" s="1162">
        <f t="shared" si="4"/>
        <v>3365.48</v>
      </c>
      <c r="M45" s="1154">
        <f t="shared" si="5"/>
        <v>3471.1</v>
      </c>
      <c r="N45" s="1154">
        <f t="shared" si="7"/>
        <v>3365.48</v>
      </c>
      <c r="O45" s="1154">
        <f t="shared" si="0"/>
        <v>-105.61999999999989</v>
      </c>
      <c r="P45" s="1380">
        <v>44374</v>
      </c>
      <c r="Q45" s="1381">
        <v>45803</v>
      </c>
    </row>
    <row r="46" spans="1:18" s="435" customFormat="1" ht="63.2" customHeight="1">
      <c r="A46" s="1188" t="s">
        <v>4362</v>
      </c>
      <c r="B46" s="1139">
        <v>108</v>
      </c>
      <c r="C46" s="1152" t="s">
        <v>1009</v>
      </c>
      <c r="D46" s="1152">
        <v>1712676</v>
      </c>
      <c r="E46" s="1152" t="s">
        <v>1057</v>
      </c>
      <c r="F46" s="1153">
        <v>95000</v>
      </c>
      <c r="G46" s="1154">
        <v>1469.97</v>
      </c>
      <c r="H46" s="1154">
        <v>7249.61</v>
      </c>
      <c r="I46" s="1154"/>
      <c r="J46" s="1154">
        <f t="shared" si="6"/>
        <v>17639.64</v>
      </c>
      <c r="K46" s="1154">
        <v>19298.52</v>
      </c>
      <c r="L46" s="1162">
        <f t="shared" si="4"/>
        <v>16069.43</v>
      </c>
      <c r="M46" s="1154">
        <f t="shared" si="5"/>
        <v>9649.26</v>
      </c>
      <c r="N46" s="1154">
        <f t="shared" si="7"/>
        <v>16069.43</v>
      </c>
      <c r="O46" s="1154">
        <f t="shared" si="0"/>
        <v>6420.17</v>
      </c>
      <c r="P46" s="1155">
        <v>44396</v>
      </c>
      <c r="Q46" s="1155">
        <v>46221</v>
      </c>
      <c r="R46" s="341"/>
    </row>
    <row r="47" spans="1:18" s="1389" customFormat="1" ht="36">
      <c r="A47" s="1301" t="s">
        <v>4363</v>
      </c>
      <c r="B47" s="1146">
        <v>111</v>
      </c>
      <c r="C47" s="1147" t="s">
        <v>1001</v>
      </c>
      <c r="D47" s="1147">
        <v>1488736</v>
      </c>
      <c r="E47" s="1147" t="s">
        <v>1060</v>
      </c>
      <c r="F47" s="1334">
        <v>340000</v>
      </c>
      <c r="G47" s="1335">
        <v>5393.16</v>
      </c>
      <c r="H47" s="1163">
        <v>26751.85</v>
      </c>
      <c r="I47" s="1163"/>
      <c r="J47" s="1163">
        <f t="shared" si="6"/>
        <v>64717.919999999998</v>
      </c>
      <c r="K47" s="1163">
        <v>70400.710000000006</v>
      </c>
      <c r="L47" s="1162">
        <f t="shared" si="4"/>
        <v>59110.81</v>
      </c>
      <c r="M47" s="1163">
        <f t="shared" si="5"/>
        <v>35200.355000000003</v>
      </c>
      <c r="N47" s="1163">
        <f t="shared" si="7"/>
        <v>59110.81</v>
      </c>
      <c r="O47" s="1163">
        <f t="shared" si="0"/>
        <v>23910.454999999994</v>
      </c>
      <c r="P47" s="1336">
        <v>44501</v>
      </c>
      <c r="Q47" s="1336">
        <v>46295</v>
      </c>
      <c r="R47" s="435"/>
    </row>
    <row r="48" spans="1:18" s="435" customFormat="1" ht="60.75" customHeight="1">
      <c r="A48" s="1188" t="s">
        <v>4364</v>
      </c>
      <c r="B48" s="1139">
        <v>112</v>
      </c>
      <c r="C48" s="1390" t="s">
        <v>1001</v>
      </c>
      <c r="D48" s="1390">
        <v>1488738</v>
      </c>
      <c r="E48" s="1390" t="s">
        <v>1061</v>
      </c>
      <c r="F48" s="1391">
        <v>295000</v>
      </c>
      <c r="G48" s="1154">
        <v>4177.1000000000004</v>
      </c>
      <c r="H48" s="1154">
        <v>51271.35</v>
      </c>
      <c r="I48" s="1154"/>
      <c r="J48" s="1154">
        <f t="shared" si="6"/>
        <v>50125.200000000004</v>
      </c>
      <c r="K48" s="1154">
        <v>61056.32</v>
      </c>
      <c r="L48" s="1162">
        <f t="shared" si="4"/>
        <v>76333.95</v>
      </c>
      <c r="M48" s="1154">
        <f t="shared" si="5"/>
        <v>30528.16</v>
      </c>
      <c r="N48" s="1154">
        <f t="shared" si="7"/>
        <v>76333.95</v>
      </c>
      <c r="O48" s="1154">
        <f t="shared" si="0"/>
        <v>45805.789999999994</v>
      </c>
      <c r="P48" s="1155">
        <v>44737</v>
      </c>
      <c r="Q48" s="1155">
        <v>46531</v>
      </c>
      <c r="R48" s="341"/>
    </row>
    <row r="49" spans="1:18" s="435" customFormat="1" ht="39.75" customHeight="1">
      <c r="A49" s="1301" t="s">
        <v>4365</v>
      </c>
      <c r="B49" s="1146">
        <v>113</v>
      </c>
      <c r="C49" s="410" t="s">
        <v>1001</v>
      </c>
      <c r="D49" s="410">
        <v>1492543</v>
      </c>
      <c r="E49" s="1147" t="s">
        <v>1062</v>
      </c>
      <c r="F49" s="1334">
        <v>275000</v>
      </c>
      <c r="G49" s="1163">
        <v>3867.27</v>
      </c>
      <c r="H49" s="1163">
        <v>45114.62</v>
      </c>
      <c r="I49" s="1163"/>
      <c r="J49" s="1163">
        <f t="shared" si="6"/>
        <v>46407.24</v>
      </c>
      <c r="K49" s="1163">
        <v>56602.77</v>
      </c>
      <c r="L49" s="1162">
        <f t="shared" si="4"/>
        <v>68318.240000000005</v>
      </c>
      <c r="M49" s="1163">
        <f t="shared" si="5"/>
        <v>28301.384999999998</v>
      </c>
      <c r="N49" s="1163">
        <f t="shared" si="7"/>
        <v>68318.240000000005</v>
      </c>
      <c r="O49" s="1163">
        <f t="shared" si="0"/>
        <v>40016.85500000001</v>
      </c>
      <c r="P49" s="1353">
        <v>44595</v>
      </c>
      <c r="Q49" s="1353">
        <v>46389</v>
      </c>
      <c r="R49" s="1389"/>
    </row>
    <row r="50" spans="1:18" s="435" customFormat="1" ht="28.5" customHeight="1">
      <c r="A50" s="1188" t="s">
        <v>4366</v>
      </c>
      <c r="B50" s="1139">
        <v>114</v>
      </c>
      <c r="C50" s="1392" t="s">
        <v>4367</v>
      </c>
      <c r="D50" s="1392" t="s">
        <v>1064</v>
      </c>
      <c r="E50" s="1393" t="s">
        <v>1065</v>
      </c>
      <c r="F50" s="1153">
        <v>81000</v>
      </c>
      <c r="G50" s="1154">
        <v>1129.6500000000001</v>
      </c>
      <c r="H50" s="1154">
        <v>14243.21</v>
      </c>
      <c r="I50" s="1154"/>
      <c r="J50" s="1154">
        <f t="shared" si="6"/>
        <v>13555.800000000001</v>
      </c>
      <c r="K50" s="1154">
        <v>16560.8</v>
      </c>
      <c r="L50" s="1162">
        <f t="shared" si="4"/>
        <v>21021.11</v>
      </c>
      <c r="M50" s="1154">
        <f t="shared" si="5"/>
        <v>8280.4</v>
      </c>
      <c r="N50" s="1154">
        <f t="shared" si="7"/>
        <v>21021.11</v>
      </c>
      <c r="O50" s="1154">
        <f t="shared" si="0"/>
        <v>12740.710000000001</v>
      </c>
      <c r="P50" s="1394">
        <v>44621</v>
      </c>
      <c r="Q50" s="1155">
        <v>46435</v>
      </c>
      <c r="R50" s="341"/>
    </row>
    <row r="51" spans="1:18" s="435" customFormat="1" ht="36" customHeight="1">
      <c r="A51" s="1188" t="s">
        <v>4368</v>
      </c>
      <c r="B51" s="1139">
        <v>115</v>
      </c>
      <c r="C51" s="1395" t="s">
        <v>1009</v>
      </c>
      <c r="D51" s="1395">
        <v>1726016</v>
      </c>
      <c r="E51" s="1170" t="s">
        <v>1066</v>
      </c>
      <c r="F51" s="1153">
        <v>20950</v>
      </c>
      <c r="G51" s="1154">
        <v>417.64</v>
      </c>
      <c r="H51" s="1154">
        <v>2367.9</v>
      </c>
      <c r="I51" s="1154"/>
      <c r="J51" s="1154">
        <f t="shared" si="6"/>
        <v>5011.68</v>
      </c>
      <c r="K51" s="1154">
        <v>5431.02</v>
      </c>
      <c r="L51" s="1162">
        <f t="shared" si="4"/>
        <v>4873.74</v>
      </c>
      <c r="M51" s="1154">
        <f t="shared" si="5"/>
        <v>2715.51</v>
      </c>
      <c r="N51" s="1154">
        <f t="shared" si="7"/>
        <v>4873.74</v>
      </c>
      <c r="O51" s="1154">
        <f t="shared" si="0"/>
        <v>2158.2299999999996</v>
      </c>
      <c r="P51" s="1155">
        <v>44805</v>
      </c>
      <c r="Q51" s="1155">
        <v>46264</v>
      </c>
      <c r="R51" s="341"/>
    </row>
    <row r="52" spans="1:18" s="435" customFormat="1" ht="37.700000000000003" customHeight="1">
      <c r="A52" s="1188" t="s">
        <v>4369</v>
      </c>
      <c r="B52" s="1139">
        <v>116</v>
      </c>
      <c r="C52" s="1170" t="s">
        <v>1009</v>
      </c>
      <c r="D52" s="1170">
        <v>1723336</v>
      </c>
      <c r="E52" s="1170" t="s">
        <v>1067</v>
      </c>
      <c r="F52" s="1153">
        <v>33500</v>
      </c>
      <c r="G52" s="1154">
        <v>663.64</v>
      </c>
      <c r="H52" s="1154">
        <v>3615.07</v>
      </c>
      <c r="I52" s="1154"/>
      <c r="J52" s="1154">
        <f t="shared" si="6"/>
        <v>7963.68</v>
      </c>
      <c r="K52" s="1154">
        <v>8635.27</v>
      </c>
      <c r="L52" s="1162">
        <f t="shared" si="4"/>
        <v>7596.91</v>
      </c>
      <c r="M52" s="1154">
        <f t="shared" si="5"/>
        <v>4317.6350000000002</v>
      </c>
      <c r="N52" s="1154">
        <f t="shared" si="7"/>
        <v>7596.91</v>
      </c>
      <c r="O52" s="1154">
        <f t="shared" si="0"/>
        <v>3279.2749999999996</v>
      </c>
      <c r="P52" s="1155">
        <v>44850</v>
      </c>
      <c r="Q52" s="1155">
        <v>46285</v>
      </c>
      <c r="R52" s="341"/>
    </row>
    <row r="53" spans="1:18" s="435" customFormat="1" ht="38.25" customHeight="1">
      <c r="A53" s="1188" t="s">
        <v>4370</v>
      </c>
      <c r="B53" s="1139">
        <v>117</v>
      </c>
      <c r="C53" s="1170" t="s">
        <v>1009</v>
      </c>
      <c r="D53" s="1170">
        <v>1726965</v>
      </c>
      <c r="E53" s="1170" t="s">
        <v>1068</v>
      </c>
      <c r="F53" s="1153">
        <v>36000</v>
      </c>
      <c r="G53" s="1154">
        <v>732.57</v>
      </c>
      <c r="H53" s="1154">
        <v>3533.04</v>
      </c>
      <c r="I53" s="1154"/>
      <c r="J53" s="1154">
        <f t="shared" si="6"/>
        <v>8790.84</v>
      </c>
      <c r="K53" s="1154">
        <v>9501.19</v>
      </c>
      <c r="L53" s="1162">
        <f t="shared" si="4"/>
        <v>7928.46</v>
      </c>
      <c r="M53" s="1154">
        <f t="shared" si="5"/>
        <v>4750.5950000000003</v>
      </c>
      <c r="N53" s="1154">
        <f t="shared" si="7"/>
        <v>7928.46</v>
      </c>
      <c r="O53" s="1154">
        <f t="shared" si="0"/>
        <v>3177.8649999999998</v>
      </c>
      <c r="P53" s="1155">
        <v>44866</v>
      </c>
      <c r="Q53" s="1155">
        <v>46300</v>
      </c>
      <c r="R53" s="341"/>
    </row>
    <row r="54" spans="1:18" s="435" customFormat="1" ht="36" customHeight="1">
      <c r="A54" s="1188" t="s">
        <v>4371</v>
      </c>
      <c r="B54" s="1139">
        <v>118</v>
      </c>
      <c r="C54" s="1170" t="s">
        <v>1009</v>
      </c>
      <c r="D54" s="1170">
        <v>1726972</v>
      </c>
      <c r="E54" s="1170" t="s">
        <v>1069</v>
      </c>
      <c r="F54" s="1153">
        <v>36000</v>
      </c>
      <c r="G54" s="1154">
        <v>733.58</v>
      </c>
      <c r="H54" s="1154">
        <v>3846</v>
      </c>
      <c r="I54" s="1154"/>
      <c r="J54" s="1154">
        <f t="shared" si="6"/>
        <v>8802.9600000000009</v>
      </c>
      <c r="K54" s="1154">
        <v>9513.0499999999993</v>
      </c>
      <c r="L54" s="1162">
        <f t="shared" si="4"/>
        <v>8247.48</v>
      </c>
      <c r="M54" s="1154">
        <f t="shared" si="5"/>
        <v>4756.5249999999996</v>
      </c>
      <c r="N54" s="1154">
        <f t="shared" si="7"/>
        <v>8247.48</v>
      </c>
      <c r="O54" s="1154">
        <f t="shared" si="0"/>
        <v>3490.9549999999999</v>
      </c>
      <c r="P54" s="1166">
        <v>44881</v>
      </c>
      <c r="Q54" s="1166">
        <v>46312</v>
      </c>
      <c r="R54" s="341"/>
    </row>
    <row r="55" spans="1:18" s="435" customFormat="1" ht="33.950000000000003" customHeight="1">
      <c r="A55" s="1396" t="s">
        <v>4372</v>
      </c>
      <c r="B55" s="1397">
        <v>119</v>
      </c>
      <c r="C55" s="1398" t="s">
        <v>1036</v>
      </c>
      <c r="D55" s="1398" t="s">
        <v>4373</v>
      </c>
      <c r="E55" s="1398" t="s">
        <v>4374</v>
      </c>
      <c r="F55" s="1399">
        <v>97000</v>
      </c>
      <c r="G55" s="1400">
        <v>1414.14</v>
      </c>
      <c r="H55" s="1400"/>
      <c r="I55" s="1400"/>
      <c r="J55" s="1400">
        <v>32127.26</v>
      </c>
      <c r="K55" s="1400">
        <v>13751.43</v>
      </c>
      <c r="L55" s="1401">
        <f>G55*3+19400</f>
        <v>23642.42</v>
      </c>
      <c r="M55" s="1400">
        <f>K55/241*57</f>
        <v>3252.4129045643153</v>
      </c>
      <c r="N55" s="1400">
        <f t="shared" si="7"/>
        <v>23642.42</v>
      </c>
      <c r="O55" s="1400">
        <f t="shared" si="0"/>
        <v>20390.007095435682</v>
      </c>
      <c r="P55" s="1402">
        <v>45051</v>
      </c>
      <c r="Q55" s="1402">
        <v>46877</v>
      </c>
      <c r="R55" s="341"/>
    </row>
    <row r="56" spans="1:18" s="435" customFormat="1" ht="33.950000000000003" customHeight="1">
      <c r="A56" s="1396" t="s">
        <v>4375</v>
      </c>
      <c r="B56" s="1397">
        <v>120</v>
      </c>
      <c r="C56" s="1398" t="s">
        <v>1009</v>
      </c>
      <c r="D56" s="1398">
        <v>1731869</v>
      </c>
      <c r="E56" s="1398" t="s">
        <v>4376</v>
      </c>
      <c r="F56" s="1399">
        <v>34000</v>
      </c>
      <c r="G56" s="1403">
        <v>715.57</v>
      </c>
      <c r="H56" s="1400"/>
      <c r="I56" s="1400"/>
      <c r="J56" s="1400">
        <v>9840.1299999999992</v>
      </c>
      <c r="K56" s="1400">
        <v>6691.58</v>
      </c>
      <c r="L56" s="1401">
        <f>G56*3+3400</f>
        <v>5546.71</v>
      </c>
      <c r="M56" s="1400">
        <f>K56/264*80</f>
        <v>2027.7515151515152</v>
      </c>
      <c r="N56" s="1400">
        <f t="shared" si="7"/>
        <v>5546.71</v>
      </c>
      <c r="O56" s="1400">
        <f t="shared" si="0"/>
        <v>3518.9584848484847</v>
      </c>
      <c r="P56" s="1402">
        <v>45028</v>
      </c>
      <c r="Q56" s="1402">
        <v>46488</v>
      </c>
      <c r="R56" s="341"/>
    </row>
    <row r="57" spans="1:18" s="435" customFormat="1" ht="33.950000000000003" customHeight="1">
      <c r="A57" s="1404" t="s">
        <v>4377</v>
      </c>
      <c r="B57" s="1405">
        <v>121</v>
      </c>
      <c r="C57" s="1406" t="s">
        <v>1071</v>
      </c>
      <c r="D57" s="1406" t="s">
        <v>1072</v>
      </c>
      <c r="E57" s="1406" t="s">
        <v>1073</v>
      </c>
      <c r="F57" s="1407">
        <v>965000</v>
      </c>
      <c r="G57" s="1408">
        <v>13358</v>
      </c>
      <c r="H57" s="1408">
        <v>193000</v>
      </c>
      <c r="I57" s="1408"/>
      <c r="J57" s="1408">
        <f>G57*12</f>
        <v>160296</v>
      </c>
      <c r="K57" s="1408">
        <v>196116.94</v>
      </c>
      <c r="L57" s="1162">
        <f>J57/2+H57</f>
        <v>273148</v>
      </c>
      <c r="M57" s="1163">
        <f>K57/2</f>
        <v>98058.47</v>
      </c>
      <c r="N57" s="1408">
        <f t="shared" si="7"/>
        <v>273148</v>
      </c>
      <c r="O57" s="1408">
        <f t="shared" si="0"/>
        <v>175089.53</v>
      </c>
      <c r="P57" s="1409">
        <v>44927</v>
      </c>
      <c r="Q57" s="1409">
        <v>46752</v>
      </c>
    </row>
    <row r="58" spans="1:18" s="435" customFormat="1" ht="33.950000000000003" customHeight="1">
      <c r="A58" s="1188" t="s">
        <v>4378</v>
      </c>
      <c r="B58" s="1139">
        <v>122</v>
      </c>
      <c r="C58" s="1170" t="s">
        <v>1009</v>
      </c>
      <c r="D58" s="1170">
        <v>1728594</v>
      </c>
      <c r="E58" s="1170" t="s">
        <v>4379</v>
      </c>
      <c r="F58" s="1153">
        <v>36162.230000000003</v>
      </c>
      <c r="G58" s="1154">
        <v>665.66</v>
      </c>
      <c r="H58" s="1154">
        <v>7772.84</v>
      </c>
      <c r="I58" s="1154"/>
      <c r="J58" s="1154">
        <f>G58*12</f>
        <v>7987.92</v>
      </c>
      <c r="K58" s="1154">
        <v>9623.0300000000007</v>
      </c>
      <c r="L58" s="1162">
        <f>J58/2+H58</f>
        <v>11766.8</v>
      </c>
      <c r="M58" s="1154">
        <f>K58/2</f>
        <v>4811.5150000000003</v>
      </c>
      <c r="N58" s="1154">
        <f t="shared" si="7"/>
        <v>11766.8</v>
      </c>
      <c r="O58" s="1154">
        <f t="shared" si="0"/>
        <v>6955.2849999999989</v>
      </c>
      <c r="P58" s="1166">
        <v>44897</v>
      </c>
      <c r="Q58" s="1166">
        <v>46357</v>
      </c>
      <c r="R58" s="341"/>
    </row>
    <row r="59" spans="1:18" s="435" customFormat="1" ht="33.950000000000003" customHeight="1">
      <c r="A59" s="1188" t="s">
        <v>4380</v>
      </c>
      <c r="B59" s="1139">
        <v>123</v>
      </c>
      <c r="C59" s="1170" t="s">
        <v>1009</v>
      </c>
      <c r="D59" s="1170">
        <v>1726026</v>
      </c>
      <c r="E59" s="1170" t="s">
        <v>4381</v>
      </c>
      <c r="F59" s="1153">
        <v>25200</v>
      </c>
      <c r="G59" s="1154">
        <v>519.03</v>
      </c>
      <c r="H59" s="1154">
        <v>2888.57</v>
      </c>
      <c r="I59" s="1154"/>
      <c r="J59" s="1154">
        <f>G59*12</f>
        <v>6228.36</v>
      </c>
      <c r="K59" s="1154">
        <v>6724</v>
      </c>
      <c r="L59" s="1162">
        <f>J59/2+H59</f>
        <v>6002.75</v>
      </c>
      <c r="M59" s="1154">
        <f>K59/2</f>
        <v>3362</v>
      </c>
      <c r="N59" s="1154">
        <f t="shared" si="7"/>
        <v>6002.75</v>
      </c>
      <c r="O59" s="1154">
        <f t="shared" si="0"/>
        <v>2640.75</v>
      </c>
      <c r="P59" s="1166">
        <v>44914</v>
      </c>
      <c r="Q59" s="1166">
        <v>46374</v>
      </c>
      <c r="R59" s="341"/>
    </row>
    <row r="60" spans="1:18" s="340" customFormat="1" ht="20.100000000000001" customHeight="1">
      <c r="A60" s="360"/>
      <c r="B60" s="333"/>
      <c r="E60" s="429"/>
      <c r="F60" s="430"/>
      <c r="G60" s="431"/>
      <c r="H60" s="431"/>
      <c r="I60" s="431"/>
      <c r="J60" s="432"/>
      <c r="K60" s="432"/>
      <c r="L60" s="1410"/>
      <c r="M60" s="432"/>
      <c r="N60" s="432"/>
      <c r="O60" s="432"/>
      <c r="P60" s="516"/>
      <c r="Q60" s="516"/>
    </row>
    <row r="61" spans="1:18" s="523" customFormat="1" ht="31.5" customHeight="1">
      <c r="B61" s="522"/>
      <c r="E61" s="524"/>
      <c r="F61" s="525"/>
      <c r="G61" s="1411">
        <f>SUM(G5:G54)</f>
        <v>108825.57000000007</v>
      </c>
      <c r="H61" s="1412">
        <f>SUM(H5:H60)</f>
        <v>492340.73000000004</v>
      </c>
      <c r="I61" s="1413">
        <f>SUM(I5:I59)</f>
        <v>-157102.39000000001</v>
      </c>
      <c r="J61" s="1411">
        <f>SUM(J5:J56)</f>
        <v>1038841.7100000004</v>
      </c>
      <c r="K61" s="1411">
        <f>SUM(K5:K59)</f>
        <v>1151658.6100000001</v>
      </c>
      <c r="L61" s="1414">
        <f>SUM(L5:L59)</f>
        <v>1006188.1499999999</v>
      </c>
      <c r="M61" s="1411">
        <f>SUM(M5:M59)</f>
        <v>617746.74753912829</v>
      </c>
      <c r="N61" s="1411"/>
      <c r="O61" s="1411">
        <f>L61-M61</f>
        <v>388441.40246087161</v>
      </c>
      <c r="P61" s="1301"/>
      <c r="Q61" s="1301"/>
    </row>
    <row r="62" spans="1:18">
      <c r="H62" s="1565">
        <f>SUM(H61:I61)</f>
        <v>335238.34000000003</v>
      </c>
      <c r="I62" s="1566"/>
      <c r="L62" s="1415"/>
    </row>
    <row r="63" spans="1:18" s="340" customFormat="1" ht="18.75">
      <c r="A63" s="360"/>
      <c r="B63" s="333"/>
      <c r="E63" s="433"/>
      <c r="F63" s="441"/>
      <c r="J63" s="434"/>
      <c r="K63" s="434"/>
      <c r="L63" s="1415"/>
      <c r="M63" s="434"/>
      <c r="N63" s="434"/>
      <c r="O63" s="434"/>
    </row>
    <row r="64" spans="1:18">
      <c r="L64" s="1415"/>
      <c r="M64" s="434" t="s">
        <v>4382</v>
      </c>
      <c r="N64" s="434"/>
      <c r="O64" s="434">
        <f>SUMIF(O5:O59,"&lt;0")</f>
        <v>-17367.603462263902</v>
      </c>
    </row>
    <row r="65" spans="1:15">
      <c r="C65" s="1416">
        <f>N57-L57</f>
        <v>0</v>
      </c>
      <c r="L65" s="1415"/>
      <c r="N65" s="1417"/>
      <c r="O65" s="1417"/>
    </row>
    <row r="66" spans="1:15">
      <c r="L66" s="1415"/>
      <c r="M66" s="434" t="s">
        <v>4383</v>
      </c>
      <c r="N66" s="434"/>
      <c r="O66" s="434">
        <f>SUMIF(O5:O59,"&gt;0")</f>
        <v>405809.00592313561</v>
      </c>
    </row>
    <row r="67" spans="1:15">
      <c r="A67" s="393"/>
      <c r="B67" s="436"/>
      <c r="C67" s="442"/>
      <c r="E67" s="393"/>
      <c r="F67" s="437"/>
      <c r="G67" s="437"/>
      <c r="H67" s="437"/>
      <c r="I67" s="437"/>
      <c r="L67" s="1415"/>
      <c r="M67" s="393"/>
      <c r="N67" s="393"/>
      <c r="O67" s="393"/>
    </row>
    <row r="68" spans="1:15" ht="15">
      <c r="A68" s="393"/>
      <c r="B68" s="436"/>
      <c r="C68" s="442"/>
      <c r="E68" s="393"/>
      <c r="F68" s="437"/>
      <c r="G68" s="437"/>
      <c r="H68" s="437"/>
      <c r="I68" s="437"/>
      <c r="M68" s="393"/>
      <c r="N68" s="393"/>
    </row>
  </sheetData>
  <protectedRanges>
    <protectedRange sqref="E2" name="Intervallo1"/>
  </protectedRanges>
  <mergeCells count="1">
    <mergeCell ref="H62:I6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B24"/>
  <sheetViews>
    <sheetView showGridLines="0" zoomScale="60" zoomScaleNormal="80" workbookViewId="0">
      <selection sqref="A1:V1"/>
    </sheetView>
  </sheetViews>
  <sheetFormatPr defaultRowHeight="15"/>
  <cols>
    <col min="1" max="1" width="23.5703125" customWidth="1"/>
    <col min="2" max="2" width="14.42578125" customWidth="1"/>
    <col min="3" max="3" width="9.85546875" style="321" customWidth="1"/>
    <col min="4" max="4" width="35.7109375" customWidth="1"/>
    <col min="5" max="5" width="19.5703125" customWidth="1"/>
    <col min="6" max="6" width="15.140625" customWidth="1"/>
    <col min="7" max="7" width="15" customWidth="1"/>
    <col min="8" max="8" width="12.5703125" style="321" customWidth="1"/>
    <col min="9" max="9" width="14.85546875" customWidth="1"/>
    <col min="11" max="15" width="12.7109375" style="321" customWidth="1"/>
    <col min="16" max="16" width="13.140625" style="321" bestFit="1" customWidth="1"/>
    <col min="17" max="17" width="14" style="321" bestFit="1" customWidth="1"/>
    <col min="18" max="18" width="13.140625" style="321" bestFit="1" customWidth="1"/>
    <col min="19" max="19" width="14" style="321" bestFit="1" customWidth="1"/>
    <col min="20" max="20" width="13.140625" style="321" bestFit="1" customWidth="1"/>
    <col min="21" max="21" width="12.7109375" style="321" customWidth="1"/>
    <col min="22" max="22" width="17.7109375" style="321" bestFit="1" customWidth="1"/>
    <col min="27" max="27" width="31" bestFit="1" customWidth="1"/>
    <col min="28" max="28" width="11.5703125" bestFit="1" customWidth="1"/>
  </cols>
  <sheetData>
    <row r="1" spans="1:28" s="265" customFormat="1" ht="30" customHeight="1">
      <c r="A1" s="1567" t="s">
        <v>908</v>
      </c>
      <c r="B1" s="1568"/>
      <c r="C1" s="1568"/>
      <c r="D1" s="1568"/>
      <c r="E1" s="1568"/>
      <c r="F1" s="1568"/>
      <c r="G1" s="1568"/>
      <c r="H1" s="1568"/>
      <c r="I1" s="1568"/>
      <c r="J1" s="1568"/>
      <c r="K1" s="1568"/>
      <c r="L1" s="1568"/>
      <c r="M1" s="1568"/>
      <c r="N1" s="1568"/>
      <c r="O1" s="1568"/>
      <c r="P1" s="1568"/>
      <c r="Q1" s="1568"/>
      <c r="R1" s="1568"/>
      <c r="S1" s="1568"/>
      <c r="T1" s="1568"/>
      <c r="U1" s="1568"/>
      <c r="V1" s="1569"/>
    </row>
    <row r="2" spans="1:28" s="265" customFormat="1" ht="30">
      <c r="A2" s="266"/>
      <c r="B2" s="267" t="s">
        <v>909</v>
      </c>
      <c r="C2" s="268" t="s">
        <v>910</v>
      </c>
      <c r="D2" s="267"/>
      <c r="E2" s="267" t="s">
        <v>911</v>
      </c>
      <c r="F2" s="267" t="s">
        <v>912</v>
      </c>
      <c r="G2" s="268" t="s">
        <v>913</v>
      </c>
      <c r="H2" s="269" t="s">
        <v>914</v>
      </c>
      <c r="I2" s="269" t="s">
        <v>915</v>
      </c>
      <c r="J2" s="269" t="s">
        <v>916</v>
      </c>
      <c r="K2" s="269">
        <v>2017</v>
      </c>
      <c r="L2" s="269">
        <v>2018</v>
      </c>
      <c r="M2" s="269">
        <v>2019</v>
      </c>
      <c r="N2" s="269">
        <v>2020</v>
      </c>
      <c r="O2" s="269">
        <v>2021</v>
      </c>
      <c r="P2" s="269">
        <v>2022</v>
      </c>
      <c r="Q2" s="270">
        <v>2023</v>
      </c>
      <c r="R2" s="270">
        <v>2024</v>
      </c>
      <c r="S2" s="270">
        <v>2025</v>
      </c>
      <c r="T2" s="270">
        <v>2026</v>
      </c>
      <c r="U2" s="270">
        <v>2027</v>
      </c>
      <c r="V2" s="271" t="s">
        <v>917</v>
      </c>
      <c r="AA2" s="572" t="s">
        <v>2026</v>
      </c>
      <c r="AB2" s="588">
        <v>800000</v>
      </c>
    </row>
    <row r="3" spans="1:28" s="265" customFormat="1" ht="25.5">
      <c r="A3" s="272" t="s">
        <v>918</v>
      </c>
      <c r="B3" s="273" t="s">
        <v>919</v>
      </c>
      <c r="C3" s="273" t="s">
        <v>920</v>
      </c>
      <c r="D3" s="274" t="s">
        <v>921</v>
      </c>
      <c r="E3" s="587">
        <v>500000</v>
      </c>
      <c r="F3" s="276">
        <v>511414.81</v>
      </c>
      <c r="G3" s="277">
        <v>34095</v>
      </c>
      <c r="H3" s="278">
        <v>43100</v>
      </c>
      <c r="I3" s="279">
        <v>45199</v>
      </c>
      <c r="J3" s="269">
        <v>15</v>
      </c>
      <c r="K3" s="280">
        <f>G3*1</f>
        <v>34095</v>
      </c>
      <c r="L3" s="280">
        <f>G3*4</f>
        <v>136380</v>
      </c>
      <c r="M3" s="280">
        <f>G3*4</f>
        <v>136380</v>
      </c>
      <c r="N3" s="280"/>
      <c r="O3" s="280">
        <v>69050.05</v>
      </c>
      <c r="P3" s="280">
        <v>136545.59</v>
      </c>
      <c r="Q3" s="270"/>
      <c r="R3" s="270"/>
      <c r="S3" s="270"/>
      <c r="T3" s="270"/>
      <c r="U3" s="270"/>
      <c r="V3" s="281">
        <f>SUM(K3:U3)</f>
        <v>512450.64</v>
      </c>
      <c r="AA3" s="572" t="s">
        <v>2027</v>
      </c>
      <c r="AB3" s="588">
        <v>305911.02</v>
      </c>
    </row>
    <row r="4" spans="1:28" s="265" customFormat="1" ht="25.5">
      <c r="A4" s="272" t="s">
        <v>922</v>
      </c>
      <c r="B4" s="273" t="s">
        <v>923</v>
      </c>
      <c r="C4" s="273" t="s">
        <v>924</v>
      </c>
      <c r="D4" s="282" t="s">
        <v>925</v>
      </c>
      <c r="E4" s="587">
        <v>900000</v>
      </c>
      <c r="F4" s="276">
        <f>V4</f>
        <v>947200.37</v>
      </c>
      <c r="G4" s="277">
        <v>15605</v>
      </c>
      <c r="H4" s="278">
        <v>43247</v>
      </c>
      <c r="I4" s="279">
        <v>45531</v>
      </c>
      <c r="J4" s="269">
        <v>60</v>
      </c>
      <c r="K4" s="280"/>
      <c r="L4" s="280">
        <v>123757.32</v>
      </c>
      <c r="M4" s="280">
        <v>185446.82</v>
      </c>
      <c r="N4" s="280">
        <v>46270.29</v>
      </c>
      <c r="O4" s="280">
        <v>93538.62</v>
      </c>
      <c r="P4" s="280">
        <v>186575.04</v>
      </c>
      <c r="Q4" s="280">
        <v>186867.62</v>
      </c>
      <c r="R4" s="280">
        <v>124744.66</v>
      </c>
      <c r="S4" s="283"/>
      <c r="T4" s="283"/>
      <c r="U4" s="283"/>
      <c r="V4" s="281">
        <f t="shared" ref="V4:V15" si="0">SUM(K4:U4)</f>
        <v>947200.37</v>
      </c>
      <c r="AA4" s="572" t="s">
        <v>2028</v>
      </c>
      <c r="AB4" s="588">
        <v>500000</v>
      </c>
    </row>
    <row r="5" spans="1:28" s="265" customFormat="1" ht="25.5">
      <c r="A5" s="272" t="s">
        <v>926</v>
      </c>
      <c r="B5" s="273" t="s">
        <v>927</v>
      </c>
      <c r="C5" s="273" t="s">
        <v>928</v>
      </c>
      <c r="D5" s="282" t="s">
        <v>929</v>
      </c>
      <c r="E5" s="589">
        <v>1000000</v>
      </c>
      <c r="F5" s="284">
        <v>1050565.1599999999</v>
      </c>
      <c r="G5" s="285">
        <v>105000</v>
      </c>
      <c r="H5" s="286">
        <v>43830</v>
      </c>
      <c r="I5" s="287">
        <v>45838</v>
      </c>
      <c r="J5" s="288">
        <v>10</v>
      </c>
      <c r="K5" s="289" t="s">
        <v>930</v>
      </c>
      <c r="L5" s="290"/>
      <c r="M5" s="291">
        <f>3730.53+108574.36</f>
        <v>112304.89</v>
      </c>
      <c r="N5" s="291">
        <v>0</v>
      </c>
      <c r="O5" s="291">
        <f>107612.7+106841.66</f>
        <v>214454.36</v>
      </c>
      <c r="P5" s="291">
        <f>105905.6+105146.42</f>
        <v>211052.02000000002</v>
      </c>
      <c r="Q5" s="291">
        <f>104219.57+103432.45</f>
        <v>207652.02000000002</v>
      </c>
      <c r="R5" s="291">
        <f>102533.54+101718.47</f>
        <v>204252.01</v>
      </c>
      <c r="S5" s="291">
        <f>100849.86</f>
        <v>100849.86</v>
      </c>
      <c r="T5" s="292"/>
      <c r="U5" s="292"/>
      <c r="V5" s="281">
        <f t="shared" si="0"/>
        <v>1050565.1600000001</v>
      </c>
      <c r="AA5" s="572" t="s">
        <v>2386</v>
      </c>
      <c r="AB5" s="555"/>
    </row>
    <row r="6" spans="1:28" s="265" customFormat="1" ht="25.5">
      <c r="A6" s="293" t="s">
        <v>931</v>
      </c>
      <c r="B6" s="273" t="s">
        <v>932</v>
      </c>
      <c r="C6" s="273" t="s">
        <v>933</v>
      </c>
      <c r="D6" s="294" t="s">
        <v>934</v>
      </c>
      <c r="E6" s="589">
        <v>500000</v>
      </c>
      <c r="F6" s="284">
        <v>527829.54</v>
      </c>
      <c r="G6" s="295">
        <v>26000</v>
      </c>
      <c r="H6" s="296">
        <v>44229</v>
      </c>
      <c r="I6" s="297">
        <v>46328</v>
      </c>
      <c r="J6" s="298">
        <v>24</v>
      </c>
      <c r="K6" s="299"/>
      <c r="L6" s="299"/>
      <c r="M6" s="299"/>
      <c r="N6" s="299"/>
      <c r="O6" s="299">
        <v>7608.18</v>
      </c>
      <c r="P6" s="299">
        <v>104083.25</v>
      </c>
      <c r="Q6" s="299">
        <v>104062.92</v>
      </c>
      <c r="R6" s="299">
        <v>104053.9</v>
      </c>
      <c r="S6" s="300">
        <v>104021.28</v>
      </c>
      <c r="T6" s="300">
        <v>104000.01</v>
      </c>
      <c r="U6" s="300"/>
      <c r="V6" s="281">
        <f t="shared" si="0"/>
        <v>527829.54</v>
      </c>
      <c r="AA6" s="572" t="s">
        <v>2387</v>
      </c>
      <c r="AB6" s="555"/>
    </row>
    <row r="7" spans="1:28" s="265" customFormat="1" ht="30">
      <c r="A7" s="301" t="s">
        <v>935</v>
      </c>
      <c r="B7" s="302" t="s">
        <v>936</v>
      </c>
      <c r="C7" s="303">
        <v>150175</v>
      </c>
      <c r="D7" s="302" t="s">
        <v>937</v>
      </c>
      <c r="E7" s="590">
        <v>1300000</v>
      </c>
      <c r="F7" s="304">
        <v>1349326.65</v>
      </c>
      <c r="G7" s="305">
        <v>27600</v>
      </c>
      <c r="H7" s="306">
        <v>44228</v>
      </c>
      <c r="I7" s="307">
        <v>46415</v>
      </c>
      <c r="J7" s="303">
        <v>72</v>
      </c>
      <c r="K7" s="303"/>
      <c r="L7" s="303"/>
      <c r="M7" s="308"/>
      <c r="N7" s="308"/>
      <c r="O7" s="308">
        <v>11411.9</v>
      </c>
      <c r="P7" s="308">
        <v>12276.66</v>
      </c>
      <c r="Q7" s="308">
        <v>303871.75</v>
      </c>
      <c r="R7" s="308">
        <v>331475.58</v>
      </c>
      <c r="S7" s="308">
        <v>331378.69099999999</v>
      </c>
      <c r="T7" s="308">
        <v>331305.96999999997</v>
      </c>
      <c r="U7" s="308">
        <v>27606.1</v>
      </c>
      <c r="V7" s="281">
        <f t="shared" si="0"/>
        <v>1349326.6510000001</v>
      </c>
      <c r="AA7" s="572" t="s">
        <v>2388</v>
      </c>
      <c r="AB7" s="555"/>
    </row>
    <row r="8" spans="1:28" ht="63.75">
      <c r="A8" s="309" t="s">
        <v>938</v>
      </c>
      <c r="B8" s="269">
        <v>1062359</v>
      </c>
      <c r="C8" s="269">
        <v>150104</v>
      </c>
      <c r="D8" s="282" t="s">
        <v>939</v>
      </c>
      <c r="E8" s="587">
        <v>800000</v>
      </c>
      <c r="F8" s="310" t="s">
        <v>940</v>
      </c>
      <c r="G8" s="305">
        <v>114285.71</v>
      </c>
      <c r="H8" s="278">
        <v>44287</v>
      </c>
      <c r="I8" s="278">
        <v>46296</v>
      </c>
      <c r="J8" s="269">
        <v>12</v>
      </c>
      <c r="K8" s="1570" t="s">
        <v>941</v>
      </c>
      <c r="L8" s="1571"/>
      <c r="M8" s="1572"/>
      <c r="N8" s="269"/>
      <c r="O8" s="280">
        <v>7362.63</v>
      </c>
      <c r="P8" s="280">
        <v>12160</v>
      </c>
      <c r="Q8" s="280">
        <v>126445.71</v>
      </c>
      <c r="R8" s="280">
        <v>238125.71</v>
      </c>
      <c r="S8" s="280">
        <v>234649.05</v>
      </c>
      <c r="T8" s="280">
        <v>231174.77</v>
      </c>
      <c r="U8" s="280"/>
      <c r="V8" s="281">
        <f t="shared" si="0"/>
        <v>849917.87</v>
      </c>
      <c r="AA8" s="572" t="s">
        <v>2029</v>
      </c>
      <c r="AB8" s="557"/>
    </row>
    <row r="9" spans="1:28" ht="38.25">
      <c r="A9" s="309" t="s">
        <v>942</v>
      </c>
      <c r="B9" s="269" t="s">
        <v>943</v>
      </c>
      <c r="C9" s="269">
        <v>150176</v>
      </c>
      <c r="D9" s="282" t="s">
        <v>944</v>
      </c>
      <c r="E9" s="587">
        <v>450000</v>
      </c>
      <c r="F9" s="310">
        <v>458038.54</v>
      </c>
      <c r="G9" s="305"/>
      <c r="H9" s="278">
        <v>44322</v>
      </c>
      <c r="I9" s="278">
        <v>46118</v>
      </c>
      <c r="J9" s="269">
        <v>60</v>
      </c>
      <c r="K9" s="268"/>
      <c r="L9" s="268"/>
      <c r="M9" s="269"/>
      <c r="N9" s="269"/>
      <c r="O9" s="280">
        <v>1804.92</v>
      </c>
      <c r="P9" s="280">
        <v>91613.62</v>
      </c>
      <c r="Q9" s="280">
        <v>109386</v>
      </c>
      <c r="R9" s="280">
        <v>109386</v>
      </c>
      <c r="S9" s="280">
        <v>109386</v>
      </c>
      <c r="T9" s="280">
        <v>36462</v>
      </c>
      <c r="U9" s="280"/>
      <c r="V9" s="281">
        <f t="shared" si="0"/>
        <v>458038.54</v>
      </c>
      <c r="AA9" s="572" t="s">
        <v>2390</v>
      </c>
      <c r="AB9" s="557"/>
    </row>
    <row r="10" spans="1:28" s="265" customFormat="1" ht="30" customHeight="1">
      <c r="A10" s="267" t="s">
        <v>945</v>
      </c>
      <c r="B10" s="269">
        <v>994148952</v>
      </c>
      <c r="C10" s="269">
        <v>150177</v>
      </c>
      <c r="D10" s="267" t="s">
        <v>946</v>
      </c>
      <c r="E10" s="587">
        <v>650000</v>
      </c>
      <c r="F10" s="276">
        <v>673110.85</v>
      </c>
      <c r="G10" s="305">
        <v>11111.46</v>
      </c>
      <c r="H10" s="278">
        <v>44347</v>
      </c>
      <c r="I10" s="278">
        <v>46507</v>
      </c>
      <c r="J10" s="269">
        <v>60</v>
      </c>
      <c r="K10" s="269"/>
      <c r="L10" s="269"/>
      <c r="M10" s="311"/>
      <c r="N10" s="269"/>
      <c r="O10" s="269">
        <v>4276.16</v>
      </c>
      <c r="P10" s="269">
        <v>92942.26</v>
      </c>
      <c r="Q10" s="311">
        <f>11314.28+11259.67+11295.88+11272.13+11277.47+11254.32+11259.07+11249.87+11227.61+11231.47+11209.8+11213.07</f>
        <v>135064.64000000001</v>
      </c>
      <c r="R10" s="311">
        <f>11202.86+11170.6+11184.51+11164.38+11166.16+11146.62+11147.81+11138.63+11119.98+11120.28+11102.22+11101.93</f>
        <v>133765.97999999998</v>
      </c>
      <c r="S10" s="269">
        <f>11093.46+11060.21+11075.05+11058.43+11056.65+11040.62+11038.25+11029.05+11013.91+11010.65+10996.1+10992.25</f>
        <v>132464.63</v>
      </c>
      <c r="T10" s="269">
        <f>10983.04+10960.49+10964.64+10951.58+10946.24+10933.78+10927.84+10918.64+10907.06+10900.24+10889.25+10881.83</f>
        <v>131164.63</v>
      </c>
      <c r="U10" s="269">
        <f>10872.63+10860.76+10854.23+10844.93</f>
        <v>43432.55</v>
      </c>
      <c r="V10" s="281">
        <f t="shared" si="0"/>
        <v>673110.85000000009</v>
      </c>
      <c r="AA10" s="572" t="s">
        <v>2391</v>
      </c>
      <c r="AB10" s="557"/>
    </row>
    <row r="11" spans="1:28" ht="45">
      <c r="A11" s="268" t="s">
        <v>947</v>
      </c>
      <c r="B11" s="269">
        <v>88044</v>
      </c>
      <c r="C11" s="269">
        <v>150178</v>
      </c>
      <c r="D11" s="268" t="s">
        <v>948</v>
      </c>
      <c r="E11" s="591" t="s">
        <v>949</v>
      </c>
      <c r="F11" s="276"/>
      <c r="G11" s="313">
        <v>51000</v>
      </c>
      <c r="H11" s="278">
        <v>44986</v>
      </c>
      <c r="I11" s="278">
        <v>46631</v>
      </c>
      <c r="J11" s="269">
        <v>10</v>
      </c>
      <c r="K11" s="314"/>
      <c r="L11" s="314"/>
      <c r="M11" s="314"/>
      <c r="N11" s="314"/>
      <c r="O11" s="314"/>
      <c r="P11" s="314"/>
      <c r="Q11" s="315">
        <v>96050</v>
      </c>
      <c r="R11" s="315">
        <v>96050</v>
      </c>
      <c r="S11" s="315">
        <v>96050</v>
      </c>
      <c r="T11" s="315">
        <v>96050</v>
      </c>
      <c r="U11" s="315">
        <v>96050</v>
      </c>
      <c r="V11" s="281">
        <f t="shared" si="0"/>
        <v>480250</v>
      </c>
      <c r="AA11" s="572" t="s">
        <v>2030</v>
      </c>
      <c r="AB11" s="557"/>
    </row>
    <row r="12" spans="1:28" ht="30">
      <c r="A12" s="268" t="s">
        <v>950</v>
      </c>
      <c r="B12" s="269" t="s">
        <v>951</v>
      </c>
      <c r="C12" s="269"/>
      <c r="D12" s="268" t="s">
        <v>952</v>
      </c>
      <c r="E12" s="591">
        <v>500000</v>
      </c>
      <c r="F12" s="276">
        <v>502149.17</v>
      </c>
      <c r="G12" s="313"/>
      <c r="H12" s="278">
        <v>44651</v>
      </c>
      <c r="I12" s="278">
        <v>45016</v>
      </c>
      <c r="J12" s="269">
        <v>13</v>
      </c>
      <c r="K12" s="316"/>
      <c r="L12" s="316"/>
      <c r="M12" s="316"/>
      <c r="N12" s="316"/>
      <c r="O12" s="316"/>
      <c r="P12" s="315">
        <f>119.17+252.5+252.5+252.5+55808.05+55780.27+55752.49+55724.72+55696.94+55669.16</f>
        <v>335308.30000000005</v>
      </c>
      <c r="Q12" s="315">
        <f>55641.38+55613.61+55585.88</f>
        <v>166840.87</v>
      </c>
      <c r="R12" s="315"/>
      <c r="S12" s="315"/>
      <c r="T12" s="315"/>
      <c r="U12" s="315"/>
      <c r="V12" s="281">
        <f t="shared" si="0"/>
        <v>502149.17000000004</v>
      </c>
      <c r="AA12" s="572" t="s">
        <v>2031</v>
      </c>
      <c r="AB12" s="588">
        <v>402971.76</v>
      </c>
    </row>
    <row r="13" spans="1:28" ht="30">
      <c r="A13" s="268" t="s">
        <v>953</v>
      </c>
      <c r="B13" s="269">
        <v>5000154305</v>
      </c>
      <c r="C13" s="269">
        <v>160097</v>
      </c>
      <c r="D13" s="268" t="s">
        <v>954</v>
      </c>
      <c r="E13" s="312">
        <v>29458.04</v>
      </c>
      <c r="F13" s="276"/>
      <c r="G13" s="313">
        <v>491</v>
      </c>
      <c r="H13" s="278">
        <v>44623</v>
      </c>
      <c r="I13" s="278">
        <v>46421</v>
      </c>
      <c r="J13" s="269">
        <v>60</v>
      </c>
      <c r="K13" s="316"/>
      <c r="L13" s="316"/>
      <c r="M13" s="316"/>
      <c r="N13" s="316"/>
      <c r="O13" s="316"/>
      <c r="P13" s="315">
        <v>4910</v>
      </c>
      <c r="Q13" s="315">
        <v>5892</v>
      </c>
      <c r="R13" s="315">
        <v>5892</v>
      </c>
      <c r="S13" s="315">
        <v>5892</v>
      </c>
      <c r="T13" s="315">
        <v>5892</v>
      </c>
      <c r="U13" s="315">
        <v>980.04</v>
      </c>
      <c r="V13" s="281">
        <f t="shared" si="0"/>
        <v>29458.04</v>
      </c>
      <c r="AA13" s="572" t="s">
        <v>2032</v>
      </c>
      <c r="AB13" s="588">
        <v>1300000</v>
      </c>
    </row>
    <row r="14" spans="1:28" ht="30">
      <c r="A14" s="268" t="s">
        <v>953</v>
      </c>
      <c r="B14" s="269">
        <v>5000154296</v>
      </c>
      <c r="C14" s="269">
        <v>160097</v>
      </c>
      <c r="D14" s="268" t="s">
        <v>955</v>
      </c>
      <c r="E14" s="312">
        <v>28957.95</v>
      </c>
      <c r="F14" s="276"/>
      <c r="G14" s="313">
        <v>483</v>
      </c>
      <c r="H14" s="278">
        <v>44623</v>
      </c>
      <c r="I14" s="278">
        <v>46421</v>
      </c>
      <c r="J14" s="269">
        <v>60</v>
      </c>
      <c r="K14" s="316"/>
      <c r="L14" s="316"/>
      <c r="M14" s="316"/>
      <c r="N14" s="316"/>
      <c r="O14" s="316"/>
      <c r="P14" s="315">
        <v>4830</v>
      </c>
      <c r="Q14" s="315">
        <v>5796</v>
      </c>
      <c r="R14" s="315">
        <v>5796</v>
      </c>
      <c r="S14" s="315">
        <v>5796</v>
      </c>
      <c r="T14" s="315">
        <v>5796</v>
      </c>
      <c r="U14" s="315">
        <v>5796</v>
      </c>
      <c r="V14" s="281">
        <f t="shared" si="0"/>
        <v>33810</v>
      </c>
      <c r="AA14" s="579" t="s">
        <v>2418</v>
      </c>
      <c r="AB14" s="588">
        <v>360894.65</v>
      </c>
    </row>
    <row r="15" spans="1:28" ht="30">
      <c r="A15" s="268" t="s">
        <v>953</v>
      </c>
      <c r="B15" s="269">
        <v>5000156786</v>
      </c>
      <c r="C15" s="269">
        <v>160097</v>
      </c>
      <c r="D15" s="268" t="s">
        <v>956</v>
      </c>
      <c r="E15" s="312">
        <v>28957.95</v>
      </c>
      <c r="F15" s="276"/>
      <c r="G15" s="313">
        <v>483</v>
      </c>
      <c r="H15" s="278">
        <v>44623</v>
      </c>
      <c r="I15" s="278">
        <v>46421</v>
      </c>
      <c r="J15" s="269">
        <v>60</v>
      </c>
      <c r="K15" s="316"/>
      <c r="L15" s="316"/>
      <c r="M15" s="316"/>
      <c r="N15" s="316"/>
      <c r="O15" s="316"/>
      <c r="P15" s="315">
        <v>4830</v>
      </c>
      <c r="Q15" s="315">
        <v>5796</v>
      </c>
      <c r="R15" s="315">
        <v>5796</v>
      </c>
      <c r="S15" s="315">
        <v>5796</v>
      </c>
      <c r="T15" s="315">
        <v>5796</v>
      </c>
      <c r="U15" s="315">
        <v>5796</v>
      </c>
      <c r="V15" s="281">
        <f t="shared" si="0"/>
        <v>33810</v>
      </c>
      <c r="AA15" s="572" t="s">
        <v>2033</v>
      </c>
      <c r="AB15" s="588">
        <v>563333.36</v>
      </c>
    </row>
    <row r="16" spans="1:28" s="321" customFormat="1" ht="30">
      <c r="A16" s="316" t="s">
        <v>957</v>
      </c>
      <c r="B16" s="316">
        <v>5657541</v>
      </c>
      <c r="C16" s="316">
        <v>150180</v>
      </c>
      <c r="D16" s="317" t="s">
        <v>958</v>
      </c>
      <c r="E16" s="592">
        <v>1000000</v>
      </c>
      <c r="F16" s="318">
        <v>1033112.5</v>
      </c>
      <c r="G16" s="318">
        <v>19000</v>
      </c>
      <c r="H16" s="319">
        <v>44742</v>
      </c>
      <c r="I16" s="319">
        <v>46538</v>
      </c>
      <c r="J16" s="316">
        <v>60</v>
      </c>
      <c r="K16" s="316"/>
      <c r="L16" s="316"/>
      <c r="M16" s="316"/>
      <c r="N16" s="316"/>
      <c r="O16" s="316"/>
      <c r="P16" s="320">
        <v>6377.23</v>
      </c>
      <c r="Q16" s="320">
        <v>232524.87</v>
      </c>
      <c r="R16" s="320">
        <v>232513.34</v>
      </c>
      <c r="S16" s="320">
        <v>232452.67</v>
      </c>
      <c r="T16" s="320">
        <v>232415.91</v>
      </c>
      <c r="U16" s="320">
        <v>96828.479999999996</v>
      </c>
      <c r="V16" s="320">
        <v>1033112.5</v>
      </c>
      <c r="AA16" s="572" t="s">
        <v>2034</v>
      </c>
      <c r="AB16" s="588">
        <v>480250</v>
      </c>
    </row>
    <row r="17" spans="1:28" ht="30">
      <c r="A17" s="268" t="s">
        <v>959</v>
      </c>
      <c r="B17" s="269">
        <v>110500</v>
      </c>
      <c r="C17" s="269"/>
      <c r="D17" s="268" t="s">
        <v>960</v>
      </c>
      <c r="E17" s="312">
        <v>1000000</v>
      </c>
      <c r="F17" s="276">
        <v>1086516.6599999999</v>
      </c>
      <c r="G17" s="313">
        <v>68000</v>
      </c>
      <c r="H17" s="278">
        <v>45016</v>
      </c>
      <c r="I17" s="278">
        <v>46387</v>
      </c>
      <c r="J17" s="269">
        <v>16</v>
      </c>
      <c r="K17" s="316"/>
      <c r="L17" s="316"/>
      <c r="M17" s="316"/>
      <c r="N17" s="316"/>
      <c r="O17" s="316"/>
      <c r="P17" s="315"/>
      <c r="Q17" s="315">
        <v>282609.88</v>
      </c>
      <c r="R17" s="315">
        <v>279151.05</v>
      </c>
      <c r="S17" s="315">
        <v>267890.89</v>
      </c>
      <c r="T17" s="315">
        <v>256864.84</v>
      </c>
      <c r="U17" s="315"/>
      <c r="V17" s="315">
        <f>SUM(Q17:U17)</f>
        <v>1086516.6599999999</v>
      </c>
      <c r="AA17" s="572" t="s">
        <v>2035</v>
      </c>
      <c r="AB17" s="588">
        <v>166666.70000000001</v>
      </c>
    </row>
    <row r="18" spans="1:28" s="265" customFormat="1" ht="37.700000000000003" customHeight="1">
      <c r="C18" s="257"/>
      <c r="H18" s="257"/>
      <c r="K18" s="257"/>
      <c r="L18" s="257"/>
      <c r="M18" s="257"/>
      <c r="N18" s="322" t="s">
        <v>961</v>
      </c>
      <c r="O18" s="323"/>
      <c r="P18" s="323"/>
      <c r="Q18" s="323">
        <f t="shared" ref="Q18:U18" si="1">SUM(Q3:Q17)</f>
        <v>1968860.2800000003</v>
      </c>
      <c r="R18" s="323">
        <f t="shared" si="1"/>
        <v>1871002.2300000002</v>
      </c>
      <c r="S18" s="323">
        <f t="shared" si="1"/>
        <v>1626627.071</v>
      </c>
      <c r="T18" s="323">
        <f t="shared" si="1"/>
        <v>1436922.1300000001</v>
      </c>
      <c r="U18" s="323">
        <f t="shared" si="1"/>
        <v>276489.17</v>
      </c>
      <c r="V18" s="324">
        <f>SUM(O18:U18)</f>
        <v>7179900.8810000001</v>
      </c>
      <c r="AA18" s="572" t="s">
        <v>2389</v>
      </c>
      <c r="AB18" s="555"/>
    </row>
    <row r="19" spans="1:28" ht="21">
      <c r="A19" s="325"/>
      <c r="B19" s="1573" t="s">
        <v>962</v>
      </c>
      <c r="C19" s="1573"/>
      <c r="D19" s="1573"/>
      <c r="E19" s="1573"/>
      <c r="F19" s="1573"/>
      <c r="G19" s="1573"/>
      <c r="AA19" s="572" t="s">
        <v>2392</v>
      </c>
      <c r="AB19" s="555"/>
    </row>
    <row r="20" spans="1:28">
      <c r="AA20" s="572" t="s">
        <v>2393</v>
      </c>
      <c r="AB20" s="555"/>
    </row>
    <row r="21" spans="1:28">
      <c r="AA21" s="572" t="s">
        <v>2394</v>
      </c>
      <c r="AB21" s="555"/>
    </row>
    <row r="22" spans="1:28" ht="28.5">
      <c r="A22" s="326" t="s">
        <v>963</v>
      </c>
      <c r="AA22" s="572" t="s">
        <v>2395</v>
      </c>
      <c r="AB22" s="555"/>
    </row>
    <row r="23" spans="1:28" ht="25.5">
      <c r="A23" s="327" t="s">
        <v>964</v>
      </c>
      <c r="B23" s="269">
        <v>7295282</v>
      </c>
      <c r="C23" s="269">
        <v>150172</v>
      </c>
      <c r="D23" s="269" t="s">
        <v>965</v>
      </c>
      <c r="E23" s="275">
        <v>100000</v>
      </c>
      <c r="F23" s="328">
        <v>100449</v>
      </c>
      <c r="G23" s="328">
        <v>5580.5</v>
      </c>
      <c r="H23" s="278">
        <v>43568</v>
      </c>
      <c r="I23" s="329">
        <v>44087</v>
      </c>
      <c r="J23" s="269">
        <v>18</v>
      </c>
      <c r="K23" s="268"/>
      <c r="L23" s="268"/>
      <c r="M23" s="315">
        <v>50224.5</v>
      </c>
      <c r="N23" s="315">
        <v>22326</v>
      </c>
      <c r="O23" s="280">
        <v>28079.5</v>
      </c>
      <c r="P23" s="280"/>
      <c r="Q23" s="280"/>
      <c r="R23" s="280"/>
      <c r="S23" s="280"/>
      <c r="T23" s="280"/>
      <c r="U23" s="280"/>
      <c r="V23" s="280">
        <f>SUM(M23:U23)</f>
        <v>100630</v>
      </c>
      <c r="AA23" s="572" t="s">
        <v>2036</v>
      </c>
      <c r="AB23" s="588">
        <v>1000000</v>
      </c>
    </row>
    <row r="24" spans="1:28" ht="25.5">
      <c r="A24" s="272" t="s">
        <v>966</v>
      </c>
      <c r="B24" s="273" t="s">
        <v>967</v>
      </c>
      <c r="C24" s="273" t="s">
        <v>968</v>
      </c>
      <c r="D24" s="294" t="s">
        <v>969</v>
      </c>
      <c r="E24" s="330">
        <v>300000</v>
      </c>
      <c r="F24" s="276">
        <v>302597.05</v>
      </c>
      <c r="G24" s="285">
        <v>8405.5</v>
      </c>
      <c r="H24" s="286">
        <v>42954</v>
      </c>
      <c r="I24" s="286">
        <v>44019</v>
      </c>
      <c r="J24" s="288">
        <v>36</v>
      </c>
      <c r="K24" s="291">
        <v>42027.5</v>
      </c>
      <c r="L24" s="291">
        <v>100866</v>
      </c>
      <c r="M24" s="291">
        <v>100866</v>
      </c>
      <c r="N24" s="291">
        <v>33629</v>
      </c>
      <c r="O24" s="291">
        <v>25381.14</v>
      </c>
      <c r="P24" s="288"/>
      <c r="Q24" s="331"/>
      <c r="R24" s="331"/>
      <c r="S24" s="331"/>
      <c r="T24" s="331"/>
      <c r="U24" s="316"/>
      <c r="V24" s="332">
        <f>SUM(K24:P24)</f>
        <v>302769.64</v>
      </c>
    </row>
  </sheetData>
  <mergeCells count="3">
    <mergeCell ref="A1:V1"/>
    <mergeCell ref="K8:M8"/>
    <mergeCell ref="B19:G1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S85"/>
  <sheetViews>
    <sheetView showGridLines="0" topLeftCell="B1" zoomScale="60" zoomScaleNormal="70" workbookViewId="0">
      <selection activeCell="B2" sqref="B2"/>
    </sheetView>
  </sheetViews>
  <sheetFormatPr defaultColWidth="9.28515625" defaultRowHeight="18"/>
  <cols>
    <col min="1" max="1" width="9.28515625" style="333"/>
    <col min="2" max="2" width="39.85546875" style="393" customWidth="1"/>
    <col min="3" max="3" width="16.28515625" style="393" customWidth="1"/>
    <col min="4" max="4" width="38.7109375" style="436" customWidth="1"/>
    <col min="5" max="5" width="35.42578125" style="442" bestFit="1" customWidth="1"/>
    <col min="6" max="6" width="22.140625" style="393" customWidth="1"/>
    <col min="7" max="7" width="20.5703125" style="393" customWidth="1"/>
    <col min="8" max="8" width="18" style="393" bestFit="1" customWidth="1"/>
    <col min="9" max="9" width="16.5703125" style="438" customWidth="1"/>
    <col min="10" max="10" width="23.5703125" style="439" customWidth="1"/>
    <col min="11" max="11" width="17" style="439" customWidth="1"/>
    <col min="12" max="12" width="24.140625" style="440" customWidth="1"/>
    <col min="13" max="13" width="16.5703125" style="440" customWidth="1"/>
    <col min="14" max="14" width="19.7109375" style="440" customWidth="1"/>
    <col min="15" max="15" width="16.5703125" style="440" customWidth="1"/>
    <col min="16" max="16" width="19.7109375" style="440" customWidth="1"/>
    <col min="17" max="17" width="16.5703125" style="440" customWidth="1"/>
    <col min="18" max="18" width="19.7109375" style="440" customWidth="1"/>
    <col min="19" max="19" width="17.28515625" style="440" customWidth="1"/>
    <col min="20" max="16384" width="9.28515625" style="393"/>
  </cols>
  <sheetData>
    <row r="1" spans="1:19" s="340" customFormat="1" ht="29.25" customHeight="1">
      <c r="A1" s="333"/>
      <c r="B1" s="334" t="s">
        <v>4738</v>
      </c>
      <c r="C1" s="335"/>
      <c r="D1" s="336"/>
      <c r="E1" s="337"/>
      <c r="F1" s="338"/>
      <c r="G1" s="339"/>
      <c r="I1" s="341"/>
      <c r="J1" s="342"/>
      <c r="K1" s="342"/>
      <c r="L1" s="343"/>
      <c r="M1" s="343"/>
      <c r="N1" s="343"/>
      <c r="O1" s="343"/>
      <c r="P1" s="343"/>
      <c r="Q1" s="343"/>
      <c r="R1" s="343"/>
      <c r="S1" s="343"/>
    </row>
    <row r="2" spans="1:19" s="340" customFormat="1" ht="29.25" customHeight="1" thickBot="1">
      <c r="A2" s="333"/>
      <c r="B2" s="344"/>
      <c r="C2" s="345"/>
      <c r="D2" s="346"/>
      <c r="E2" s="347"/>
      <c r="F2" s="348"/>
      <c r="G2" s="349"/>
      <c r="I2" s="341"/>
      <c r="J2" s="342"/>
      <c r="K2" s="342"/>
      <c r="L2" s="343"/>
      <c r="M2" s="343"/>
      <c r="N2" s="343"/>
      <c r="O2" s="343"/>
      <c r="P2" s="343"/>
      <c r="Q2" s="343"/>
      <c r="R2" s="343"/>
      <c r="S2" s="343"/>
    </row>
    <row r="3" spans="1:19" s="360" customFormat="1" ht="36.75" thickBot="1">
      <c r="A3" s="350" t="s">
        <v>970</v>
      </c>
      <c r="B3" s="351" t="s">
        <v>971</v>
      </c>
      <c r="C3" s="352" t="s">
        <v>972</v>
      </c>
      <c r="D3" s="351" t="s">
        <v>973</v>
      </c>
      <c r="E3" s="352" t="s">
        <v>974</v>
      </c>
      <c r="F3" s="353" t="s">
        <v>975</v>
      </c>
      <c r="G3" s="352" t="s">
        <v>976</v>
      </c>
      <c r="H3" s="354" t="s">
        <v>977</v>
      </c>
      <c r="I3" s="355" t="s">
        <v>978</v>
      </c>
      <c r="J3" s="356">
        <v>2023</v>
      </c>
      <c r="K3" s="357" t="s">
        <v>979</v>
      </c>
      <c r="L3" s="358" t="s">
        <v>980</v>
      </c>
      <c r="M3" s="359" t="s">
        <v>981</v>
      </c>
      <c r="N3" s="358" t="s">
        <v>982</v>
      </c>
      <c r="O3" s="359" t="s">
        <v>983</v>
      </c>
      <c r="P3" s="358" t="s">
        <v>984</v>
      </c>
      <c r="Q3" s="359" t="s">
        <v>985</v>
      </c>
      <c r="R3" s="358" t="s">
        <v>986</v>
      </c>
      <c r="S3" s="359" t="s">
        <v>987</v>
      </c>
    </row>
    <row r="4" spans="1:19" s="340" customFormat="1" ht="36">
      <c r="A4" s="350">
        <v>0</v>
      </c>
      <c r="B4" s="361" t="s">
        <v>988</v>
      </c>
      <c r="C4" s="361">
        <v>546704</v>
      </c>
      <c r="D4" s="361" t="s">
        <v>989</v>
      </c>
      <c r="E4" s="362"/>
      <c r="F4" s="363">
        <v>129.72662599999998</v>
      </c>
      <c r="G4" s="364">
        <v>0</v>
      </c>
      <c r="H4" s="365">
        <v>43617</v>
      </c>
      <c r="I4" s="366">
        <v>45504</v>
      </c>
      <c r="J4" s="367">
        <f t="shared" ref="J4:J10" si="0">F4*12</f>
        <v>1556.7195119999997</v>
      </c>
      <c r="K4" s="368" t="s">
        <v>876</v>
      </c>
      <c r="L4" s="367">
        <f>F4*7</f>
        <v>908.08638199999984</v>
      </c>
      <c r="M4" s="369"/>
      <c r="N4" s="370" t="s">
        <v>876</v>
      </c>
      <c r="O4" s="368"/>
      <c r="P4" s="370" t="s">
        <v>876</v>
      </c>
      <c r="Q4" s="368"/>
      <c r="R4" s="370" t="s">
        <v>876</v>
      </c>
      <c r="S4" s="368"/>
    </row>
    <row r="5" spans="1:19" s="340" customFormat="1" ht="36">
      <c r="A5" s="350">
        <v>0</v>
      </c>
      <c r="B5" s="361" t="s">
        <v>990</v>
      </c>
      <c r="C5" s="361">
        <v>13625314</v>
      </c>
      <c r="D5" s="361" t="s">
        <v>991</v>
      </c>
      <c r="E5" s="362">
        <v>14060</v>
      </c>
      <c r="F5" s="363">
        <v>407.053</v>
      </c>
      <c r="G5" s="364">
        <v>0</v>
      </c>
      <c r="H5" s="365">
        <v>43862</v>
      </c>
      <c r="I5" s="366">
        <v>45292</v>
      </c>
      <c r="J5" s="367">
        <f t="shared" si="0"/>
        <v>4884.6360000000004</v>
      </c>
      <c r="K5" s="368" t="s">
        <v>876</v>
      </c>
      <c r="L5" s="367">
        <f>F5</f>
        <v>407.053</v>
      </c>
      <c r="M5" s="369">
        <v>0</v>
      </c>
      <c r="N5" s="370" t="s">
        <v>876</v>
      </c>
      <c r="O5" s="368"/>
      <c r="P5" s="370" t="s">
        <v>876</v>
      </c>
      <c r="Q5" s="368"/>
      <c r="R5" s="370" t="s">
        <v>876</v>
      </c>
      <c r="S5" s="368"/>
    </row>
    <row r="6" spans="1:19" s="340" customFormat="1" ht="36">
      <c r="A6" s="350">
        <v>0</v>
      </c>
      <c r="B6" s="371" t="s">
        <v>992</v>
      </c>
      <c r="C6" s="371">
        <v>4559347</v>
      </c>
      <c r="D6" s="371" t="s">
        <v>993</v>
      </c>
      <c r="E6" s="362">
        <v>95000</v>
      </c>
      <c r="F6" s="363">
        <v>2277.7399999999998</v>
      </c>
      <c r="G6" s="372">
        <v>0</v>
      </c>
      <c r="H6" s="373">
        <v>43910</v>
      </c>
      <c r="I6" s="366">
        <v>45342</v>
      </c>
      <c r="J6" s="367">
        <f t="shared" si="0"/>
        <v>27332.879999999997</v>
      </c>
      <c r="K6" s="368" t="s">
        <v>876</v>
      </c>
      <c r="L6" s="367">
        <f>F6*2</f>
        <v>4555.4799999999996</v>
      </c>
      <c r="M6" s="369">
        <v>20000</v>
      </c>
      <c r="N6" s="370" t="s">
        <v>876</v>
      </c>
      <c r="O6" s="368"/>
      <c r="P6" s="370" t="s">
        <v>876</v>
      </c>
      <c r="Q6" s="368"/>
      <c r="R6" s="370" t="s">
        <v>876</v>
      </c>
      <c r="S6" s="368"/>
    </row>
    <row r="7" spans="1:19" s="340" customFormat="1" ht="36">
      <c r="A7" s="350">
        <v>0</v>
      </c>
      <c r="B7" s="371" t="s">
        <v>994</v>
      </c>
      <c r="C7" s="361">
        <v>4694030</v>
      </c>
      <c r="D7" s="361" t="s">
        <v>995</v>
      </c>
      <c r="E7" s="362">
        <v>90000</v>
      </c>
      <c r="F7" s="363">
        <v>2260.66</v>
      </c>
      <c r="G7" s="364">
        <v>0</v>
      </c>
      <c r="H7" s="365">
        <v>44058</v>
      </c>
      <c r="I7" s="366">
        <v>45488</v>
      </c>
      <c r="J7" s="367">
        <f t="shared" si="0"/>
        <v>27127.919999999998</v>
      </c>
      <c r="K7" s="368" t="s">
        <v>876</v>
      </c>
      <c r="L7" s="367">
        <f>F7*7</f>
        <v>15824.619999999999</v>
      </c>
      <c r="M7" s="374" t="s">
        <v>996</v>
      </c>
      <c r="N7" s="370" t="s">
        <v>876</v>
      </c>
      <c r="O7" s="368"/>
      <c r="P7" s="370" t="s">
        <v>876</v>
      </c>
      <c r="Q7" s="368"/>
      <c r="R7" s="370" t="s">
        <v>876</v>
      </c>
      <c r="S7" s="368"/>
    </row>
    <row r="8" spans="1:19" s="340" customFormat="1" ht="36">
      <c r="A8" s="350">
        <v>0</v>
      </c>
      <c r="B8" s="361" t="s">
        <v>990</v>
      </c>
      <c r="C8" s="361">
        <v>2335907</v>
      </c>
      <c r="D8" s="361" t="s">
        <v>997</v>
      </c>
      <c r="E8" s="362">
        <v>21000</v>
      </c>
      <c r="F8" s="363">
        <v>855.78120000000001</v>
      </c>
      <c r="G8" s="364">
        <v>0</v>
      </c>
      <c r="H8" s="365">
        <v>44197</v>
      </c>
      <c r="I8" s="366">
        <v>45261</v>
      </c>
      <c r="J8" s="367">
        <f t="shared" si="0"/>
        <v>10269.374400000001</v>
      </c>
      <c r="K8" s="369">
        <v>0</v>
      </c>
      <c r="L8" s="370" t="s">
        <v>876</v>
      </c>
      <c r="M8" s="368"/>
      <c r="N8" s="370" t="s">
        <v>876</v>
      </c>
      <c r="O8" s="368"/>
      <c r="P8" s="370" t="s">
        <v>876</v>
      </c>
      <c r="Q8" s="368"/>
      <c r="R8" s="370" t="s">
        <v>876</v>
      </c>
      <c r="S8" s="368"/>
    </row>
    <row r="9" spans="1:19" s="340" customFormat="1" ht="36">
      <c r="A9" s="350">
        <v>0</v>
      </c>
      <c r="B9" s="371" t="s">
        <v>994</v>
      </c>
      <c r="C9" s="361">
        <v>4926236</v>
      </c>
      <c r="D9" s="361" t="s">
        <v>998</v>
      </c>
      <c r="E9" s="362">
        <v>98000</v>
      </c>
      <c r="F9" s="363">
        <v>2349.7200000000003</v>
      </c>
      <c r="G9" s="364">
        <v>0</v>
      </c>
      <c r="H9" s="365">
        <v>44331</v>
      </c>
      <c r="I9" s="366">
        <v>45762</v>
      </c>
      <c r="J9" s="367">
        <f t="shared" si="0"/>
        <v>28196.640000000003</v>
      </c>
      <c r="K9" s="368" t="s">
        <v>876</v>
      </c>
      <c r="L9" s="367">
        <f>F9*12</f>
        <v>28196.640000000003</v>
      </c>
      <c r="M9" s="368" t="s">
        <v>876</v>
      </c>
      <c r="N9" s="367">
        <f>F9*4</f>
        <v>9398.880000000001</v>
      </c>
      <c r="O9" s="375">
        <v>21000</v>
      </c>
      <c r="P9" s="370" t="s">
        <v>876</v>
      </c>
      <c r="Q9" s="368"/>
      <c r="R9" s="370" t="s">
        <v>876</v>
      </c>
      <c r="S9" s="368"/>
    </row>
    <row r="10" spans="1:19" s="340" customFormat="1" ht="36">
      <c r="A10" s="350">
        <v>0</v>
      </c>
      <c r="B10" s="361" t="s">
        <v>999</v>
      </c>
      <c r="C10" s="361">
        <v>11931517</v>
      </c>
      <c r="D10" s="361" t="s">
        <v>1000</v>
      </c>
      <c r="E10" s="362">
        <v>170000</v>
      </c>
      <c r="F10" s="363">
        <v>3716.6080000000002</v>
      </c>
      <c r="G10" s="364"/>
      <c r="H10" s="365">
        <v>44835</v>
      </c>
      <c r="I10" s="366">
        <v>46631</v>
      </c>
      <c r="J10" s="367">
        <f t="shared" si="0"/>
        <v>44599.296000000002</v>
      </c>
      <c r="K10" s="368" t="s">
        <v>876</v>
      </c>
      <c r="L10" s="367">
        <f>F10*12</f>
        <v>44599.296000000002</v>
      </c>
      <c r="M10" s="368" t="s">
        <v>876</v>
      </c>
      <c r="N10" s="367">
        <f>F10*12</f>
        <v>44599.296000000002</v>
      </c>
      <c r="O10" s="376"/>
      <c r="P10" s="377">
        <f>F10*12</f>
        <v>44599.296000000002</v>
      </c>
      <c r="Q10" s="378"/>
      <c r="R10" s="377">
        <f>F10*9</f>
        <v>33449.472000000002</v>
      </c>
      <c r="S10" s="369">
        <v>0</v>
      </c>
    </row>
    <row r="11" spans="1:19" s="340" customFormat="1" ht="54">
      <c r="A11" s="350">
        <v>40</v>
      </c>
      <c r="B11" s="379" t="s">
        <v>1001</v>
      </c>
      <c r="C11" s="379">
        <v>1457279</v>
      </c>
      <c r="D11" s="379" t="s">
        <v>1002</v>
      </c>
      <c r="E11" s="362">
        <v>410000</v>
      </c>
      <c r="F11" s="363">
        <v>8251.15</v>
      </c>
      <c r="G11" s="364">
        <v>41000</v>
      </c>
      <c r="H11" s="380">
        <v>42734</v>
      </c>
      <c r="I11" s="381">
        <v>44985</v>
      </c>
      <c r="J11" s="367">
        <f>F11*2</f>
        <v>16502.3</v>
      </c>
      <c r="K11" s="382">
        <v>4100</v>
      </c>
      <c r="L11" s="383" t="s">
        <v>876</v>
      </c>
      <c r="M11" s="384"/>
      <c r="N11" s="383"/>
      <c r="O11" s="384"/>
      <c r="P11" s="383"/>
      <c r="Q11" s="384"/>
      <c r="R11" s="383"/>
      <c r="S11" s="384"/>
    </row>
    <row r="12" spans="1:19" ht="54">
      <c r="A12" s="350">
        <v>41</v>
      </c>
      <c r="B12" s="361" t="s">
        <v>1003</v>
      </c>
      <c r="C12" s="385">
        <v>1010343</v>
      </c>
      <c r="D12" s="361" t="s">
        <v>1004</v>
      </c>
      <c r="E12" s="362">
        <v>610000</v>
      </c>
      <c r="F12" s="386">
        <v>12808.32</v>
      </c>
      <c r="G12" s="387">
        <v>10497.12</v>
      </c>
      <c r="H12" s="388">
        <v>42767</v>
      </c>
      <c r="I12" s="389">
        <v>44986</v>
      </c>
      <c r="J12" s="390">
        <f>F12*3</f>
        <v>38424.959999999999</v>
      </c>
      <c r="K12" s="382">
        <v>6100</v>
      </c>
      <c r="L12" s="391" t="s">
        <v>876</v>
      </c>
      <c r="M12" s="384"/>
      <c r="N12" s="383"/>
      <c r="O12" s="384"/>
      <c r="P12" s="383"/>
      <c r="Q12" s="384"/>
      <c r="R12" s="383"/>
      <c r="S12" s="392"/>
    </row>
    <row r="13" spans="1:19" s="340" customFormat="1" ht="54">
      <c r="A13" s="394">
        <v>45</v>
      </c>
      <c r="B13" s="395" t="s">
        <v>1003</v>
      </c>
      <c r="C13" s="396">
        <v>1012818</v>
      </c>
      <c r="D13" s="395" t="s">
        <v>1005</v>
      </c>
      <c r="E13" s="397">
        <v>1130000</v>
      </c>
      <c r="F13" s="363">
        <v>23550.32</v>
      </c>
      <c r="G13" s="364">
        <v>19178.689999999999</v>
      </c>
      <c r="H13" s="365">
        <v>42954</v>
      </c>
      <c r="I13" s="381">
        <v>45176</v>
      </c>
      <c r="J13" s="367">
        <f>F13*9</f>
        <v>211952.88</v>
      </c>
      <c r="K13" s="369">
        <v>11300</v>
      </c>
      <c r="L13" s="370" t="s">
        <v>876</v>
      </c>
      <c r="M13" s="368"/>
      <c r="N13" s="370" t="s">
        <v>876</v>
      </c>
      <c r="O13" s="368"/>
      <c r="P13" s="370" t="s">
        <v>876</v>
      </c>
      <c r="Q13" s="368"/>
      <c r="R13" s="370" t="s">
        <v>876</v>
      </c>
      <c r="S13" s="368"/>
    </row>
    <row r="14" spans="1:19" s="340" customFormat="1" ht="63.2" customHeight="1">
      <c r="A14" s="350">
        <v>49</v>
      </c>
      <c r="B14" s="385" t="s">
        <v>1006</v>
      </c>
      <c r="C14" s="385">
        <v>372734</v>
      </c>
      <c r="D14" s="361" t="s">
        <v>1007</v>
      </c>
      <c r="E14" s="362">
        <v>675000</v>
      </c>
      <c r="F14" s="363">
        <v>12893.18</v>
      </c>
      <c r="G14" s="364">
        <v>67500</v>
      </c>
      <c r="H14" s="365">
        <v>43101</v>
      </c>
      <c r="I14" s="381">
        <v>45292</v>
      </c>
      <c r="J14" s="367">
        <f>F14*12</f>
        <v>154718.16</v>
      </c>
      <c r="K14" s="368" t="s">
        <v>876</v>
      </c>
      <c r="L14" s="367">
        <f>F14</f>
        <v>12893.18</v>
      </c>
      <c r="M14" s="369">
        <v>6750</v>
      </c>
      <c r="N14" s="370" t="s">
        <v>876</v>
      </c>
      <c r="O14" s="368"/>
      <c r="P14" s="370" t="s">
        <v>876</v>
      </c>
      <c r="Q14" s="368"/>
      <c r="R14" s="370" t="s">
        <v>876</v>
      </c>
      <c r="S14" s="368"/>
    </row>
    <row r="15" spans="1:19" s="340" customFormat="1" ht="36">
      <c r="A15" s="350">
        <v>52</v>
      </c>
      <c r="B15" s="361" t="s">
        <v>1001</v>
      </c>
      <c r="C15" s="361">
        <v>1469055</v>
      </c>
      <c r="D15" s="361" t="s">
        <v>1008</v>
      </c>
      <c r="E15" s="362">
        <v>90000</v>
      </c>
      <c r="F15" s="363">
        <v>1929.5886</v>
      </c>
      <c r="G15" s="364">
        <v>1572.63</v>
      </c>
      <c r="H15" s="365">
        <v>43204</v>
      </c>
      <c r="I15" s="381">
        <v>45426</v>
      </c>
      <c r="J15" s="367">
        <f>F15*12</f>
        <v>23155.063200000001</v>
      </c>
      <c r="K15" s="398" t="s">
        <v>876</v>
      </c>
      <c r="L15" s="367">
        <f>F15*5</f>
        <v>9647.9429999999993</v>
      </c>
      <c r="M15" s="369">
        <v>900</v>
      </c>
      <c r="N15" s="370" t="s">
        <v>876</v>
      </c>
      <c r="O15" s="368"/>
      <c r="P15" s="370" t="s">
        <v>876</v>
      </c>
      <c r="Q15" s="368"/>
      <c r="R15" s="370" t="s">
        <v>876</v>
      </c>
      <c r="S15" s="368"/>
    </row>
    <row r="16" spans="1:19" s="340" customFormat="1" ht="33">
      <c r="A16" s="350">
        <v>53</v>
      </c>
      <c r="B16" s="361" t="s">
        <v>1009</v>
      </c>
      <c r="C16" s="361">
        <v>1674136</v>
      </c>
      <c r="D16" s="399" t="s">
        <v>1010</v>
      </c>
      <c r="E16" s="362">
        <v>188019.74</v>
      </c>
      <c r="F16" s="363">
        <v>3736.4086000000002</v>
      </c>
      <c r="G16" s="364">
        <v>18800</v>
      </c>
      <c r="H16" s="365">
        <v>43221</v>
      </c>
      <c r="I16" s="366">
        <v>44986</v>
      </c>
      <c r="J16" s="367">
        <f>F16*3</f>
        <v>11209.2258</v>
      </c>
      <c r="K16" s="382">
        <v>1880</v>
      </c>
      <c r="L16" s="370" t="s">
        <v>876</v>
      </c>
      <c r="M16" s="368"/>
      <c r="N16" s="370" t="s">
        <v>876</v>
      </c>
      <c r="O16" s="368"/>
      <c r="P16" s="370" t="s">
        <v>876</v>
      </c>
      <c r="Q16" s="368"/>
      <c r="R16" s="370" t="s">
        <v>876</v>
      </c>
      <c r="S16" s="368"/>
    </row>
    <row r="17" spans="1:19" s="340" customFormat="1" ht="36">
      <c r="A17" s="350">
        <v>60</v>
      </c>
      <c r="B17" s="361" t="s">
        <v>1001</v>
      </c>
      <c r="C17" s="361">
        <v>1470378</v>
      </c>
      <c r="D17" s="361" t="s">
        <v>1011</v>
      </c>
      <c r="E17" s="362">
        <v>90000</v>
      </c>
      <c r="F17" s="363">
        <v>1939.1046000000001</v>
      </c>
      <c r="G17" s="364">
        <v>1580.43</v>
      </c>
      <c r="H17" s="365">
        <v>43266</v>
      </c>
      <c r="I17" s="381">
        <v>45488</v>
      </c>
      <c r="J17" s="367">
        <f>F17*12</f>
        <v>23269.2552</v>
      </c>
      <c r="K17" s="398" t="s">
        <v>876</v>
      </c>
      <c r="L17" s="367">
        <f>F17*7</f>
        <v>13573.7322</v>
      </c>
      <c r="M17" s="369">
        <v>900</v>
      </c>
      <c r="N17" s="370" t="s">
        <v>876</v>
      </c>
      <c r="O17" s="368"/>
      <c r="P17" s="370" t="s">
        <v>876</v>
      </c>
      <c r="Q17" s="368"/>
      <c r="R17" s="370" t="s">
        <v>876</v>
      </c>
      <c r="S17" s="368"/>
    </row>
    <row r="18" spans="1:19" s="340" customFormat="1" ht="54">
      <c r="A18" s="350">
        <v>71</v>
      </c>
      <c r="B18" s="361" t="s">
        <v>1003</v>
      </c>
      <c r="C18" s="361">
        <v>1019737</v>
      </c>
      <c r="D18" s="361" t="s">
        <v>1012</v>
      </c>
      <c r="E18" s="362">
        <v>380000</v>
      </c>
      <c r="F18" s="363">
        <v>7997.9174000000003</v>
      </c>
      <c r="G18" s="364">
        <v>6378.16</v>
      </c>
      <c r="H18" s="365">
        <v>43466</v>
      </c>
      <c r="I18" s="381">
        <v>45689</v>
      </c>
      <c r="J18" s="367">
        <f>F18*12</f>
        <v>95975.008800000011</v>
      </c>
      <c r="K18" s="368" t="s">
        <v>876</v>
      </c>
      <c r="L18" s="367">
        <f>F18*12</f>
        <v>95975.008800000011</v>
      </c>
      <c r="M18" s="368" t="s">
        <v>876</v>
      </c>
      <c r="N18" s="367">
        <f>F18*2</f>
        <v>15995.834800000001</v>
      </c>
      <c r="O18" s="369">
        <v>3800</v>
      </c>
      <c r="P18" s="370" t="s">
        <v>876</v>
      </c>
      <c r="Q18" s="368"/>
      <c r="R18" s="370" t="s">
        <v>876</v>
      </c>
      <c r="S18" s="368"/>
    </row>
    <row r="19" spans="1:19" s="340" customFormat="1" ht="56.25" customHeight="1">
      <c r="A19" s="350">
        <v>72</v>
      </c>
      <c r="B19" s="361" t="s">
        <v>1013</v>
      </c>
      <c r="C19" s="361">
        <v>4173887</v>
      </c>
      <c r="D19" s="361" t="s">
        <v>1014</v>
      </c>
      <c r="E19" s="362">
        <v>195000</v>
      </c>
      <c r="F19" s="363">
        <v>4211.3301999999994</v>
      </c>
      <c r="G19" s="364">
        <v>0</v>
      </c>
      <c r="H19" s="365">
        <v>43404</v>
      </c>
      <c r="I19" s="366">
        <v>45199</v>
      </c>
      <c r="J19" s="367">
        <f>F19*12</f>
        <v>50535.962399999989</v>
      </c>
      <c r="K19" s="369">
        <v>1950</v>
      </c>
      <c r="L19" s="370" t="s">
        <v>876</v>
      </c>
      <c r="M19" s="368"/>
      <c r="N19" s="370" t="s">
        <v>876</v>
      </c>
      <c r="O19" s="368"/>
      <c r="P19" s="370" t="s">
        <v>876</v>
      </c>
      <c r="Q19" s="368"/>
      <c r="R19" s="370" t="s">
        <v>876</v>
      </c>
      <c r="S19" s="368"/>
    </row>
    <row r="20" spans="1:19" s="340" customFormat="1" ht="36">
      <c r="A20" s="350">
        <v>76</v>
      </c>
      <c r="B20" s="361" t="s">
        <v>1001</v>
      </c>
      <c r="C20" s="361">
        <v>1478342</v>
      </c>
      <c r="D20" s="361" t="s">
        <v>1015</v>
      </c>
      <c r="E20" s="362">
        <v>36885.25</v>
      </c>
      <c r="F20" s="363">
        <v>1293.1633999999999</v>
      </c>
      <c r="G20" s="364">
        <v>1052.47</v>
      </c>
      <c r="H20" s="365">
        <v>43680</v>
      </c>
      <c r="I20" s="381">
        <v>45172</v>
      </c>
      <c r="J20" s="367">
        <f>F20*9</f>
        <v>11638.470599999999</v>
      </c>
      <c r="K20" s="369">
        <v>368.85</v>
      </c>
      <c r="L20" s="370" t="s">
        <v>876</v>
      </c>
      <c r="M20" s="368"/>
      <c r="N20" s="370" t="s">
        <v>876</v>
      </c>
      <c r="O20" s="368"/>
      <c r="P20" s="370" t="s">
        <v>876</v>
      </c>
      <c r="Q20" s="368"/>
      <c r="R20" s="370" t="s">
        <v>876</v>
      </c>
      <c r="S20" s="368"/>
    </row>
    <row r="21" spans="1:19" s="340" customFormat="1" ht="18.75">
      <c r="A21" s="350">
        <v>78</v>
      </c>
      <c r="B21" s="361" t="s">
        <v>953</v>
      </c>
      <c r="C21" s="361">
        <v>7118823</v>
      </c>
      <c r="D21" s="361" t="s">
        <v>1016</v>
      </c>
      <c r="E21" s="362">
        <v>23000</v>
      </c>
      <c r="F21" s="363">
        <v>697.17640000000006</v>
      </c>
      <c r="G21" s="364">
        <v>0</v>
      </c>
      <c r="H21" s="365">
        <v>43526</v>
      </c>
      <c r="I21" s="366">
        <v>44959</v>
      </c>
      <c r="J21" s="367">
        <f>F21*2</f>
        <v>1394.3528000000001</v>
      </c>
      <c r="K21" s="369">
        <v>230</v>
      </c>
      <c r="L21" s="370" t="s">
        <v>876</v>
      </c>
      <c r="M21" s="368"/>
      <c r="N21" s="377"/>
      <c r="O21" s="378"/>
      <c r="P21" s="377"/>
      <c r="Q21" s="378"/>
      <c r="R21" s="377"/>
      <c r="S21" s="378"/>
    </row>
    <row r="22" spans="1:19" s="340" customFormat="1" ht="54">
      <c r="A22" s="350">
        <v>79</v>
      </c>
      <c r="B22" s="361" t="s">
        <v>1017</v>
      </c>
      <c r="C22" s="361">
        <v>4229048</v>
      </c>
      <c r="D22" s="361" t="s">
        <v>1018</v>
      </c>
      <c r="E22" s="362">
        <v>17300</v>
      </c>
      <c r="F22" s="363">
        <v>469.57799999999997</v>
      </c>
      <c r="G22" s="364">
        <v>0</v>
      </c>
      <c r="H22" s="365">
        <v>43600</v>
      </c>
      <c r="I22" s="366">
        <v>45031</v>
      </c>
      <c r="J22" s="367">
        <f>F22*4</f>
        <v>1878.3119999999999</v>
      </c>
      <c r="K22" s="369">
        <v>173</v>
      </c>
      <c r="L22" s="370" t="s">
        <v>876</v>
      </c>
      <c r="M22" s="368"/>
      <c r="N22" s="370" t="s">
        <v>876</v>
      </c>
      <c r="O22" s="368"/>
      <c r="P22" s="370" t="s">
        <v>876</v>
      </c>
      <c r="Q22" s="368"/>
      <c r="R22" s="370" t="s">
        <v>876</v>
      </c>
      <c r="S22" s="368"/>
    </row>
    <row r="23" spans="1:19" s="340" customFormat="1" ht="54">
      <c r="A23" s="350">
        <v>80</v>
      </c>
      <c r="B23" s="361" t="s">
        <v>1017</v>
      </c>
      <c r="C23" s="361">
        <v>4239444</v>
      </c>
      <c r="D23" s="361" t="s">
        <v>1019</v>
      </c>
      <c r="E23" s="362">
        <v>17300</v>
      </c>
      <c r="F23" s="363">
        <v>469.57799999999997</v>
      </c>
      <c r="G23" s="364">
        <v>0</v>
      </c>
      <c r="H23" s="365">
        <v>43600</v>
      </c>
      <c r="I23" s="366">
        <v>45031</v>
      </c>
      <c r="J23" s="367">
        <f>F23*4</f>
        <v>1878.3119999999999</v>
      </c>
      <c r="K23" s="369">
        <v>173</v>
      </c>
      <c r="L23" s="370" t="s">
        <v>876</v>
      </c>
      <c r="M23" s="368"/>
      <c r="N23" s="370" t="s">
        <v>876</v>
      </c>
      <c r="O23" s="368"/>
      <c r="P23" s="370" t="s">
        <v>876</v>
      </c>
      <c r="Q23" s="368"/>
      <c r="R23" s="370" t="s">
        <v>876</v>
      </c>
      <c r="S23" s="368"/>
    </row>
    <row r="24" spans="1:19" s="340" customFormat="1" ht="72">
      <c r="A24" s="350">
        <v>81</v>
      </c>
      <c r="B24" s="361" t="s">
        <v>1001</v>
      </c>
      <c r="C24" s="361">
        <v>1476378</v>
      </c>
      <c r="D24" s="361" t="s">
        <v>1020</v>
      </c>
      <c r="E24" s="362">
        <v>135000</v>
      </c>
      <c r="F24" s="363">
        <v>2873.9051999999997</v>
      </c>
      <c r="G24" s="364">
        <v>2346.66</v>
      </c>
      <c r="H24" s="365">
        <v>43574</v>
      </c>
      <c r="I24" s="381">
        <v>45827</v>
      </c>
      <c r="J24" s="367">
        <f>F24*12</f>
        <v>34486.862399999998</v>
      </c>
      <c r="K24" s="368" t="s">
        <v>876</v>
      </c>
      <c r="L24" s="367">
        <f>F24*12</f>
        <v>34486.862399999998</v>
      </c>
      <c r="M24" s="368" t="s">
        <v>876</v>
      </c>
      <c r="N24" s="367">
        <f>F24*6</f>
        <v>17243.431199999999</v>
      </c>
      <c r="O24" s="369">
        <v>1350</v>
      </c>
      <c r="P24" s="370" t="s">
        <v>876</v>
      </c>
      <c r="Q24" s="368"/>
      <c r="R24" s="370" t="s">
        <v>876</v>
      </c>
      <c r="S24" s="368"/>
    </row>
    <row r="25" spans="1:19" s="340" customFormat="1" ht="70.5" customHeight="1">
      <c r="A25" s="350">
        <v>83</v>
      </c>
      <c r="B25" s="361" t="s">
        <v>1001</v>
      </c>
      <c r="C25" s="361">
        <v>1478346</v>
      </c>
      <c r="D25" s="361" t="s">
        <v>1021</v>
      </c>
      <c r="E25" s="362">
        <v>55500</v>
      </c>
      <c r="F25" s="363">
        <v>1935.0663999999999</v>
      </c>
      <c r="G25" s="364">
        <v>1583.62</v>
      </c>
      <c r="H25" s="365">
        <v>43673</v>
      </c>
      <c r="I25" s="381">
        <v>45196</v>
      </c>
      <c r="J25" s="367">
        <f>F25*9</f>
        <v>17415.597600000001</v>
      </c>
      <c r="K25" s="369">
        <v>555</v>
      </c>
      <c r="L25" s="370" t="s">
        <v>876</v>
      </c>
      <c r="M25" s="368"/>
      <c r="N25" s="370" t="s">
        <v>876</v>
      </c>
      <c r="O25" s="368"/>
      <c r="P25" s="370" t="s">
        <v>876</v>
      </c>
      <c r="Q25" s="368"/>
      <c r="R25" s="370" t="s">
        <v>876</v>
      </c>
      <c r="S25" s="368"/>
    </row>
    <row r="26" spans="1:19" s="340" customFormat="1" ht="57" customHeight="1">
      <c r="A26" s="350">
        <v>84</v>
      </c>
      <c r="B26" s="400" t="s">
        <v>1001</v>
      </c>
      <c r="C26" s="400">
        <v>1478348</v>
      </c>
      <c r="D26" s="361" t="s">
        <v>1022</v>
      </c>
      <c r="E26" s="362">
        <v>10500</v>
      </c>
      <c r="F26" s="363">
        <v>369.9162</v>
      </c>
      <c r="G26" s="364">
        <v>300.70999999999998</v>
      </c>
      <c r="H26" s="365">
        <v>43686</v>
      </c>
      <c r="I26" s="381">
        <v>45178</v>
      </c>
      <c r="J26" s="367">
        <f>F26*9</f>
        <v>3329.2458000000001</v>
      </c>
      <c r="K26" s="369">
        <v>105</v>
      </c>
      <c r="L26" s="370" t="s">
        <v>876</v>
      </c>
      <c r="M26" s="368"/>
      <c r="N26" s="370" t="s">
        <v>876</v>
      </c>
      <c r="O26" s="368"/>
      <c r="P26" s="370" t="s">
        <v>876</v>
      </c>
      <c r="Q26" s="368"/>
      <c r="R26" s="370" t="s">
        <v>876</v>
      </c>
      <c r="S26" s="368"/>
    </row>
    <row r="27" spans="1:19" s="340" customFormat="1" ht="57" customHeight="1">
      <c r="A27" s="350">
        <v>86</v>
      </c>
      <c r="B27" s="400" t="s">
        <v>1001</v>
      </c>
      <c r="C27" s="400">
        <v>1483473</v>
      </c>
      <c r="D27" s="361" t="s">
        <v>1023</v>
      </c>
      <c r="E27" s="362">
        <v>219000</v>
      </c>
      <c r="F27" s="363">
        <v>4262.2773999999999</v>
      </c>
      <c r="G27" s="364">
        <v>21900</v>
      </c>
      <c r="H27" s="365">
        <v>44081</v>
      </c>
      <c r="I27" s="366">
        <v>45845</v>
      </c>
      <c r="J27" s="367">
        <f>F27*12</f>
        <v>51147.328800000003</v>
      </c>
      <c r="K27" s="368" t="s">
        <v>876</v>
      </c>
      <c r="L27" s="367">
        <f>F27*12</f>
        <v>51147.328800000003</v>
      </c>
      <c r="M27" s="368" t="s">
        <v>876</v>
      </c>
      <c r="N27" s="367">
        <f>F27*7</f>
        <v>29835.941800000001</v>
      </c>
      <c r="O27" s="369">
        <v>2190</v>
      </c>
      <c r="P27" s="370" t="s">
        <v>876</v>
      </c>
      <c r="Q27" s="368"/>
      <c r="R27" s="370" t="s">
        <v>876</v>
      </c>
      <c r="S27" s="368"/>
    </row>
    <row r="28" spans="1:19" s="340" customFormat="1" ht="36">
      <c r="A28" s="350">
        <v>87</v>
      </c>
      <c r="B28" s="400" t="s">
        <v>1024</v>
      </c>
      <c r="C28" s="400" t="s">
        <v>1025</v>
      </c>
      <c r="D28" s="361" t="s">
        <v>1026</v>
      </c>
      <c r="E28" s="362">
        <v>59500</v>
      </c>
      <c r="F28" s="363">
        <v>1753.8354000000002</v>
      </c>
      <c r="G28" s="364">
        <v>11900</v>
      </c>
      <c r="H28" s="365">
        <v>44175</v>
      </c>
      <c r="I28" s="366">
        <v>45209</v>
      </c>
      <c r="J28" s="367">
        <f>F28*10</f>
        <v>17538.354000000003</v>
      </c>
      <c r="K28" s="369">
        <v>595</v>
      </c>
      <c r="L28" s="370" t="s">
        <v>876</v>
      </c>
      <c r="M28" s="368"/>
      <c r="N28" s="370" t="s">
        <v>876</v>
      </c>
      <c r="O28" s="368"/>
      <c r="P28" s="370" t="s">
        <v>876</v>
      </c>
      <c r="Q28" s="368"/>
      <c r="R28" s="370" t="s">
        <v>876</v>
      </c>
      <c r="S28" s="368"/>
    </row>
    <row r="29" spans="1:19" s="340" customFormat="1" ht="63.75" customHeight="1">
      <c r="A29" s="350">
        <v>88</v>
      </c>
      <c r="B29" s="400" t="s">
        <v>1027</v>
      </c>
      <c r="C29" s="400" t="s">
        <v>1028</v>
      </c>
      <c r="D29" s="361" t="s">
        <v>1029</v>
      </c>
      <c r="E29" s="362">
        <v>22400</v>
      </c>
      <c r="F29" s="363">
        <v>840.28719999999998</v>
      </c>
      <c r="G29" s="364">
        <v>663.76</v>
      </c>
      <c r="H29" s="365">
        <v>43971</v>
      </c>
      <c r="I29" s="366">
        <v>45036</v>
      </c>
      <c r="J29" s="367">
        <f>F29*4</f>
        <v>3361.1487999999999</v>
      </c>
      <c r="K29" s="369">
        <v>224</v>
      </c>
      <c r="L29" s="370" t="s">
        <v>876</v>
      </c>
      <c r="M29" s="368"/>
      <c r="N29" s="370" t="s">
        <v>876</v>
      </c>
      <c r="O29" s="368"/>
      <c r="P29" s="370" t="s">
        <v>876</v>
      </c>
      <c r="Q29" s="368"/>
      <c r="R29" s="370" t="s">
        <v>876</v>
      </c>
      <c r="S29" s="368"/>
    </row>
    <row r="30" spans="1:19" s="341" customFormat="1" ht="18.75">
      <c r="A30" s="350">
        <v>89</v>
      </c>
      <c r="B30" s="400" t="s">
        <v>1009</v>
      </c>
      <c r="C30" s="400">
        <v>1701296</v>
      </c>
      <c r="D30" s="361" t="s">
        <v>1030</v>
      </c>
      <c r="E30" s="362">
        <v>13300</v>
      </c>
      <c r="F30" s="363">
        <v>504.90879999999993</v>
      </c>
      <c r="G30" s="364">
        <v>372.87</v>
      </c>
      <c r="H30" s="365">
        <v>43906</v>
      </c>
      <c r="I30" s="366">
        <v>44942</v>
      </c>
      <c r="J30" s="367">
        <f>F30*1</f>
        <v>504.90879999999993</v>
      </c>
      <c r="K30" s="369">
        <v>133</v>
      </c>
      <c r="L30" s="370" t="s">
        <v>876</v>
      </c>
      <c r="M30" s="368"/>
      <c r="N30" s="377"/>
      <c r="O30" s="378"/>
      <c r="P30" s="377"/>
      <c r="Q30" s="378"/>
      <c r="R30" s="377"/>
      <c r="S30" s="378"/>
    </row>
    <row r="31" spans="1:19" s="340" customFormat="1" ht="60.75" customHeight="1">
      <c r="A31" s="350">
        <v>90</v>
      </c>
      <c r="B31" s="400" t="s">
        <v>1009</v>
      </c>
      <c r="C31" s="400">
        <v>1701327</v>
      </c>
      <c r="D31" s="361" t="s">
        <v>1031</v>
      </c>
      <c r="E31" s="362">
        <v>27000</v>
      </c>
      <c r="F31" s="363">
        <v>988.6235999999999</v>
      </c>
      <c r="G31" s="364">
        <v>765.92</v>
      </c>
      <c r="H31" s="365">
        <v>43906</v>
      </c>
      <c r="I31" s="366">
        <v>44942</v>
      </c>
      <c r="J31" s="367">
        <f>F31*1</f>
        <v>988.6235999999999</v>
      </c>
      <c r="K31" s="369">
        <v>270</v>
      </c>
      <c r="L31" s="370" t="s">
        <v>876</v>
      </c>
      <c r="M31" s="368"/>
      <c r="N31" s="377"/>
      <c r="O31" s="378"/>
      <c r="P31" s="377"/>
      <c r="Q31" s="378"/>
      <c r="R31" s="377"/>
      <c r="S31" s="378"/>
    </row>
    <row r="32" spans="1:19" s="340" customFormat="1" ht="33.950000000000003" customHeight="1">
      <c r="A32" s="350">
        <v>91</v>
      </c>
      <c r="B32" s="401" t="s">
        <v>953</v>
      </c>
      <c r="C32" s="401">
        <v>7139278</v>
      </c>
      <c r="D32" s="361" t="s">
        <v>1032</v>
      </c>
      <c r="E32" s="362">
        <v>11750</v>
      </c>
      <c r="F32" s="363">
        <v>322.00020000000001</v>
      </c>
      <c r="G32" s="364">
        <v>0</v>
      </c>
      <c r="H32" s="365">
        <v>44017</v>
      </c>
      <c r="I32" s="366">
        <v>45782</v>
      </c>
      <c r="J32" s="367">
        <f t="shared" ref="J32:J39" si="1">F32*12</f>
        <v>3864.0024000000003</v>
      </c>
      <c r="K32" s="368" t="s">
        <v>876</v>
      </c>
      <c r="L32" s="367">
        <f>F32*12</f>
        <v>3864.0024000000003</v>
      </c>
      <c r="M32" s="368" t="s">
        <v>876</v>
      </c>
      <c r="N32" s="367">
        <f>F32*5</f>
        <v>1610.001</v>
      </c>
      <c r="O32" s="369">
        <v>117.5</v>
      </c>
      <c r="P32" s="370" t="s">
        <v>876</v>
      </c>
      <c r="Q32" s="368"/>
      <c r="R32" s="370" t="s">
        <v>876</v>
      </c>
      <c r="S32" s="368"/>
    </row>
    <row r="33" spans="1:19" s="340" customFormat="1" ht="38.25" customHeight="1">
      <c r="A33" s="350">
        <v>92</v>
      </c>
      <c r="B33" s="401" t="s">
        <v>953</v>
      </c>
      <c r="C33" s="401">
        <v>7139282</v>
      </c>
      <c r="D33" s="361" t="s">
        <v>1033</v>
      </c>
      <c r="E33" s="362">
        <v>11750</v>
      </c>
      <c r="F33" s="363">
        <v>322.00020000000001</v>
      </c>
      <c r="G33" s="364">
        <v>0</v>
      </c>
      <c r="H33" s="365">
        <v>44017</v>
      </c>
      <c r="I33" s="366">
        <v>45782</v>
      </c>
      <c r="J33" s="367">
        <f t="shared" si="1"/>
        <v>3864.0024000000003</v>
      </c>
      <c r="K33" s="368" t="s">
        <v>876</v>
      </c>
      <c r="L33" s="367">
        <f>F33*12</f>
        <v>3864.0024000000003</v>
      </c>
      <c r="M33" s="368" t="s">
        <v>876</v>
      </c>
      <c r="N33" s="367">
        <f>F33*5</f>
        <v>1610.001</v>
      </c>
      <c r="O33" s="369">
        <v>117.5</v>
      </c>
      <c r="P33" s="370" t="s">
        <v>876</v>
      </c>
      <c r="Q33" s="368"/>
      <c r="R33" s="370" t="s">
        <v>876</v>
      </c>
      <c r="S33" s="368"/>
    </row>
    <row r="34" spans="1:19" s="340" customFormat="1" ht="18.75">
      <c r="A34" s="350">
        <v>93</v>
      </c>
      <c r="B34" s="401" t="s">
        <v>953</v>
      </c>
      <c r="C34" s="401">
        <v>7139285</v>
      </c>
      <c r="D34" s="361" t="s">
        <v>1034</v>
      </c>
      <c r="E34" s="362">
        <v>14650</v>
      </c>
      <c r="F34" s="363">
        <v>395.06119999999999</v>
      </c>
      <c r="G34" s="364">
        <v>0</v>
      </c>
      <c r="H34" s="365">
        <v>44017</v>
      </c>
      <c r="I34" s="366">
        <v>45782</v>
      </c>
      <c r="J34" s="367">
        <f t="shared" si="1"/>
        <v>4740.7343999999994</v>
      </c>
      <c r="K34" s="368" t="s">
        <v>876</v>
      </c>
      <c r="L34" s="367">
        <f>F34*12</f>
        <v>4740.7343999999994</v>
      </c>
      <c r="M34" s="368" t="s">
        <v>876</v>
      </c>
      <c r="N34" s="367">
        <f>F34*5</f>
        <v>1975.306</v>
      </c>
      <c r="O34" s="369">
        <v>146.5</v>
      </c>
      <c r="P34" s="370" t="s">
        <v>876</v>
      </c>
      <c r="Q34" s="368"/>
      <c r="R34" s="370" t="s">
        <v>876</v>
      </c>
      <c r="S34" s="368"/>
    </row>
    <row r="35" spans="1:19" s="340" customFormat="1" ht="18.75">
      <c r="A35" s="350">
        <v>94</v>
      </c>
      <c r="B35" s="401" t="s">
        <v>953</v>
      </c>
      <c r="C35" s="401">
        <v>7139287</v>
      </c>
      <c r="D35" s="361" t="s">
        <v>1035</v>
      </c>
      <c r="E35" s="362">
        <v>21850</v>
      </c>
      <c r="F35" s="363">
        <v>576.21839999999997</v>
      </c>
      <c r="G35" s="364">
        <v>0</v>
      </c>
      <c r="H35" s="365">
        <v>44017</v>
      </c>
      <c r="I35" s="366">
        <v>45782</v>
      </c>
      <c r="J35" s="367">
        <f t="shared" si="1"/>
        <v>6914.6207999999997</v>
      </c>
      <c r="K35" s="368" t="s">
        <v>876</v>
      </c>
      <c r="L35" s="367">
        <f>F35*12</f>
        <v>6914.6207999999997</v>
      </c>
      <c r="M35" s="368" t="s">
        <v>876</v>
      </c>
      <c r="N35" s="367">
        <f>F35*5</f>
        <v>2881.0919999999996</v>
      </c>
      <c r="O35" s="369">
        <v>218.5</v>
      </c>
      <c r="P35" s="370" t="s">
        <v>876</v>
      </c>
      <c r="Q35" s="368"/>
      <c r="R35" s="370" t="s">
        <v>876</v>
      </c>
      <c r="S35" s="368"/>
    </row>
    <row r="36" spans="1:19" s="340" customFormat="1" ht="36">
      <c r="A36" s="350">
        <v>95</v>
      </c>
      <c r="B36" s="400" t="s">
        <v>1036</v>
      </c>
      <c r="C36" s="400" t="s">
        <v>1037</v>
      </c>
      <c r="D36" s="361" t="s">
        <v>1038</v>
      </c>
      <c r="E36" s="362">
        <v>33000</v>
      </c>
      <c r="F36" s="363">
        <v>744.27320000000009</v>
      </c>
      <c r="G36" s="364">
        <v>3300</v>
      </c>
      <c r="H36" s="402">
        <v>44056</v>
      </c>
      <c r="I36" s="403">
        <v>45486</v>
      </c>
      <c r="J36" s="367">
        <f t="shared" si="1"/>
        <v>8931.2784000000011</v>
      </c>
      <c r="K36" s="368" t="s">
        <v>876</v>
      </c>
      <c r="L36" s="367">
        <f>F36*7</f>
        <v>5209.9124000000011</v>
      </c>
      <c r="M36" s="369">
        <v>3300</v>
      </c>
      <c r="N36" s="370" t="s">
        <v>876</v>
      </c>
      <c r="O36" s="368"/>
      <c r="P36" s="370" t="s">
        <v>876</v>
      </c>
      <c r="Q36" s="368"/>
      <c r="R36" s="370" t="s">
        <v>876</v>
      </c>
      <c r="S36" s="368"/>
    </row>
    <row r="37" spans="1:19" s="340" customFormat="1" ht="40.5" customHeight="1">
      <c r="A37" s="350">
        <v>96</v>
      </c>
      <c r="B37" s="400" t="s">
        <v>1001</v>
      </c>
      <c r="C37" s="400">
        <v>1484890</v>
      </c>
      <c r="D37" s="361" t="s">
        <v>1039</v>
      </c>
      <c r="E37" s="362">
        <v>311000</v>
      </c>
      <c r="F37" s="363">
        <v>6015.6126000000004</v>
      </c>
      <c r="G37" s="364">
        <v>31100</v>
      </c>
      <c r="H37" s="365">
        <v>44141</v>
      </c>
      <c r="I37" s="366">
        <v>45906</v>
      </c>
      <c r="J37" s="367">
        <f t="shared" si="1"/>
        <v>72187.351200000005</v>
      </c>
      <c r="K37" s="368" t="s">
        <v>876</v>
      </c>
      <c r="L37" s="367">
        <f>F37*12</f>
        <v>72187.351200000005</v>
      </c>
      <c r="M37" s="368" t="s">
        <v>876</v>
      </c>
      <c r="N37" s="367">
        <f>F37*9</f>
        <v>54140.513400000003</v>
      </c>
      <c r="O37" s="369">
        <v>3110</v>
      </c>
      <c r="P37" s="370" t="s">
        <v>876</v>
      </c>
      <c r="Q37" s="368"/>
      <c r="R37" s="370" t="s">
        <v>876</v>
      </c>
      <c r="S37" s="368"/>
    </row>
    <row r="38" spans="1:19" s="360" customFormat="1" ht="36">
      <c r="A38" s="350">
        <v>97</v>
      </c>
      <c r="B38" s="361" t="s">
        <v>1036</v>
      </c>
      <c r="C38" s="361" t="s">
        <v>1040</v>
      </c>
      <c r="D38" s="361" t="s">
        <v>1041</v>
      </c>
      <c r="E38" s="362">
        <v>25000</v>
      </c>
      <c r="F38" s="363">
        <v>673.44</v>
      </c>
      <c r="G38" s="364">
        <v>0</v>
      </c>
      <c r="H38" s="402">
        <v>44163</v>
      </c>
      <c r="I38" s="403">
        <v>45593</v>
      </c>
      <c r="J38" s="367">
        <f t="shared" si="1"/>
        <v>8081.2800000000007</v>
      </c>
      <c r="K38" s="368" t="s">
        <v>876</v>
      </c>
      <c r="L38" s="367">
        <f>F38*10</f>
        <v>6734.4000000000005</v>
      </c>
      <c r="M38" s="369">
        <v>250</v>
      </c>
      <c r="N38" s="370" t="s">
        <v>876</v>
      </c>
      <c r="O38" s="398"/>
      <c r="P38" s="370" t="s">
        <v>876</v>
      </c>
      <c r="Q38" s="368"/>
      <c r="R38" s="370" t="s">
        <v>876</v>
      </c>
      <c r="S38" s="368"/>
    </row>
    <row r="39" spans="1:19" s="360" customFormat="1" ht="54.75" customHeight="1">
      <c r="A39" s="350">
        <v>98</v>
      </c>
      <c r="B39" s="361" t="s">
        <v>1036</v>
      </c>
      <c r="C39" s="361" t="s">
        <v>1042</v>
      </c>
      <c r="D39" s="361" t="s">
        <v>1043</v>
      </c>
      <c r="E39" s="362">
        <v>25000</v>
      </c>
      <c r="F39" s="363">
        <v>673.44</v>
      </c>
      <c r="G39" s="364">
        <v>0</v>
      </c>
      <c r="H39" s="402">
        <v>44163</v>
      </c>
      <c r="I39" s="403">
        <v>45593</v>
      </c>
      <c r="J39" s="367">
        <f t="shared" si="1"/>
        <v>8081.2800000000007</v>
      </c>
      <c r="K39" s="368" t="s">
        <v>876</v>
      </c>
      <c r="L39" s="367">
        <f>F39*10</f>
        <v>6734.4000000000005</v>
      </c>
      <c r="M39" s="369">
        <v>250</v>
      </c>
      <c r="N39" s="370" t="s">
        <v>876</v>
      </c>
      <c r="O39" s="398"/>
      <c r="P39" s="370" t="s">
        <v>876</v>
      </c>
      <c r="Q39" s="368"/>
      <c r="R39" s="370" t="s">
        <v>876</v>
      </c>
      <c r="S39" s="368"/>
    </row>
    <row r="40" spans="1:19" s="360" customFormat="1" ht="42" customHeight="1">
      <c r="A40" s="350">
        <v>99</v>
      </c>
      <c r="B40" s="361" t="s">
        <v>1001</v>
      </c>
      <c r="C40" s="361">
        <v>1482846</v>
      </c>
      <c r="D40" s="361" t="s">
        <v>1044</v>
      </c>
      <c r="E40" s="362">
        <v>57168.5</v>
      </c>
      <c r="F40" s="363">
        <v>1828.2797999999998</v>
      </c>
      <c r="G40" s="364">
        <v>6233.24</v>
      </c>
      <c r="H40" s="365">
        <v>44059</v>
      </c>
      <c r="I40" s="366">
        <v>45093</v>
      </c>
      <c r="J40" s="367">
        <f>F40*6</f>
        <v>10969.678799999998</v>
      </c>
      <c r="K40" s="369">
        <v>571.69000000000005</v>
      </c>
      <c r="L40" s="370" t="s">
        <v>876</v>
      </c>
      <c r="M40" s="368"/>
      <c r="N40" s="370" t="s">
        <v>876</v>
      </c>
      <c r="O40" s="398"/>
      <c r="P40" s="370" t="s">
        <v>876</v>
      </c>
      <c r="Q40" s="368"/>
      <c r="R40" s="370" t="s">
        <v>876</v>
      </c>
      <c r="S40" s="368"/>
    </row>
    <row r="41" spans="1:19" s="340" customFormat="1" ht="18.75">
      <c r="A41" s="350">
        <v>100</v>
      </c>
      <c r="B41" s="361" t="s">
        <v>1045</v>
      </c>
      <c r="C41" s="361">
        <v>3746303</v>
      </c>
      <c r="D41" s="361" t="s">
        <v>1046</v>
      </c>
      <c r="E41" s="362">
        <v>54540.37</v>
      </c>
      <c r="F41" s="363">
        <v>2201.9072000000001</v>
      </c>
      <c r="G41" s="364">
        <v>8196.7199999999993</v>
      </c>
      <c r="H41" s="365">
        <v>43929</v>
      </c>
      <c r="I41" s="366">
        <v>44993</v>
      </c>
      <c r="J41" s="367">
        <f>F41*3</f>
        <v>6605.7216000000008</v>
      </c>
      <c r="K41" s="404">
        <v>721.31</v>
      </c>
      <c r="L41" s="370" t="s">
        <v>876</v>
      </c>
      <c r="M41" s="368"/>
      <c r="N41" s="370" t="s">
        <v>876</v>
      </c>
      <c r="O41" s="398"/>
      <c r="P41" s="370" t="s">
        <v>876</v>
      </c>
      <c r="Q41" s="368"/>
      <c r="R41" s="370" t="s">
        <v>876</v>
      </c>
      <c r="S41" s="368"/>
    </row>
    <row r="42" spans="1:19" s="340" customFormat="1" ht="18.75">
      <c r="A42" s="350">
        <v>102</v>
      </c>
      <c r="B42" s="400" t="s">
        <v>1045</v>
      </c>
      <c r="C42" s="400">
        <v>3872047</v>
      </c>
      <c r="D42" s="361" t="s">
        <v>1047</v>
      </c>
      <c r="E42" s="362">
        <v>58684.02</v>
      </c>
      <c r="F42" s="363">
        <v>2075.1016</v>
      </c>
      <c r="G42" s="364">
        <v>7377.04</v>
      </c>
      <c r="H42" s="365">
        <v>44168</v>
      </c>
      <c r="I42" s="366">
        <v>45233</v>
      </c>
      <c r="J42" s="367">
        <f>F42*11</f>
        <v>22826.117599999998</v>
      </c>
      <c r="K42" s="404">
        <v>6040.98</v>
      </c>
      <c r="L42" s="370" t="s">
        <v>876</v>
      </c>
      <c r="M42" s="368"/>
      <c r="N42" s="370" t="s">
        <v>876</v>
      </c>
      <c r="O42" s="368"/>
      <c r="P42" s="370" t="s">
        <v>876</v>
      </c>
      <c r="Q42" s="368"/>
      <c r="R42" s="370" t="s">
        <v>876</v>
      </c>
      <c r="S42" s="368"/>
    </row>
    <row r="43" spans="1:19" s="340" customFormat="1" ht="36">
      <c r="A43" s="350">
        <v>103</v>
      </c>
      <c r="B43" s="361" t="s">
        <v>1036</v>
      </c>
      <c r="C43" s="400" t="s">
        <v>1048</v>
      </c>
      <c r="D43" s="361" t="s">
        <v>1049</v>
      </c>
      <c r="E43" s="362">
        <v>30500</v>
      </c>
      <c r="F43" s="363">
        <v>742.68719999999996</v>
      </c>
      <c r="G43" s="364">
        <v>3050</v>
      </c>
      <c r="H43" s="402">
        <v>44278</v>
      </c>
      <c r="I43" s="403">
        <v>45711</v>
      </c>
      <c r="J43" s="367">
        <f t="shared" ref="J43:J60" si="2">F43*12</f>
        <v>8912.2464</v>
      </c>
      <c r="K43" s="368" t="s">
        <v>876</v>
      </c>
      <c r="L43" s="367">
        <f t="shared" ref="L43:L48" si="3">F43*12</f>
        <v>8912.2464</v>
      </c>
      <c r="M43" s="368" t="s">
        <v>876</v>
      </c>
      <c r="N43" s="367">
        <f>F43*2</f>
        <v>1485.3743999999999</v>
      </c>
      <c r="O43" s="369">
        <v>305</v>
      </c>
      <c r="P43" s="370" t="s">
        <v>876</v>
      </c>
      <c r="Q43" s="368"/>
      <c r="R43" s="370" t="s">
        <v>876</v>
      </c>
      <c r="S43" s="368"/>
    </row>
    <row r="44" spans="1:19" s="340" customFormat="1" ht="36">
      <c r="A44" s="350">
        <v>104</v>
      </c>
      <c r="B44" s="361" t="s">
        <v>1036</v>
      </c>
      <c r="C44" s="361" t="s">
        <v>1050</v>
      </c>
      <c r="D44" s="361" t="s">
        <v>1051</v>
      </c>
      <c r="E44" s="362">
        <v>29200</v>
      </c>
      <c r="F44" s="363">
        <v>804.94380000000001</v>
      </c>
      <c r="G44" s="364">
        <v>654.29</v>
      </c>
      <c r="H44" s="402">
        <v>44278</v>
      </c>
      <c r="I44" s="403">
        <v>45711</v>
      </c>
      <c r="J44" s="367">
        <f t="shared" si="2"/>
        <v>9659.3256000000001</v>
      </c>
      <c r="K44" s="368" t="s">
        <v>876</v>
      </c>
      <c r="L44" s="367">
        <f t="shared" si="3"/>
        <v>9659.3256000000001</v>
      </c>
      <c r="M44" s="368" t="s">
        <v>876</v>
      </c>
      <c r="N44" s="367">
        <f>F44*2</f>
        <v>1609.8876</v>
      </c>
      <c r="O44" s="382">
        <v>292</v>
      </c>
      <c r="P44" s="370" t="s">
        <v>876</v>
      </c>
      <c r="Q44" s="368"/>
      <c r="R44" s="370" t="s">
        <v>876</v>
      </c>
      <c r="S44" s="368"/>
    </row>
    <row r="45" spans="1:19" s="340" customFormat="1" ht="44.25" customHeight="1">
      <c r="A45" s="350">
        <v>105</v>
      </c>
      <c r="B45" s="361" t="s">
        <v>1001</v>
      </c>
      <c r="C45" s="361">
        <v>1487354</v>
      </c>
      <c r="D45" s="361" t="s">
        <v>1052</v>
      </c>
      <c r="E45" s="362">
        <v>172000</v>
      </c>
      <c r="F45" s="363">
        <v>3606.8201999999997</v>
      </c>
      <c r="G45" s="364">
        <v>2952.41</v>
      </c>
      <c r="H45" s="388">
        <v>44315</v>
      </c>
      <c r="I45" s="405">
        <v>46081</v>
      </c>
      <c r="J45" s="367">
        <f t="shared" si="2"/>
        <v>43281.842399999994</v>
      </c>
      <c r="K45" s="368" t="s">
        <v>876</v>
      </c>
      <c r="L45" s="367">
        <f t="shared" si="3"/>
        <v>43281.842399999994</v>
      </c>
      <c r="M45" s="368" t="s">
        <v>876</v>
      </c>
      <c r="N45" s="367">
        <f>F45*12</f>
        <v>43281.842399999994</v>
      </c>
      <c r="O45" s="376"/>
      <c r="P45" s="377">
        <f>F45*2</f>
        <v>7213.6403999999993</v>
      </c>
      <c r="Q45" s="369">
        <v>1720</v>
      </c>
      <c r="R45" s="370" t="s">
        <v>876</v>
      </c>
      <c r="S45" s="368"/>
    </row>
    <row r="46" spans="1:19" s="340" customFormat="1" ht="36" customHeight="1">
      <c r="A46" s="350">
        <v>106</v>
      </c>
      <c r="B46" s="361" t="s">
        <v>1053</v>
      </c>
      <c r="C46" s="361">
        <v>30231380</v>
      </c>
      <c r="D46" s="361" t="s">
        <v>1054</v>
      </c>
      <c r="E46" s="362">
        <v>89000</v>
      </c>
      <c r="F46" s="363">
        <v>1734.1812</v>
      </c>
      <c r="G46" s="364">
        <v>8900</v>
      </c>
      <c r="H46" s="388">
        <v>44330</v>
      </c>
      <c r="I46" s="405">
        <v>46095</v>
      </c>
      <c r="J46" s="367">
        <f t="shared" si="2"/>
        <v>20810.1744</v>
      </c>
      <c r="K46" s="368" t="s">
        <v>876</v>
      </c>
      <c r="L46" s="367">
        <f t="shared" si="3"/>
        <v>20810.1744</v>
      </c>
      <c r="M46" s="368" t="s">
        <v>876</v>
      </c>
      <c r="N46" s="367">
        <f>F46*12</f>
        <v>20810.1744</v>
      </c>
      <c r="O46" s="376"/>
      <c r="P46" s="377">
        <f>F46*3</f>
        <v>5202.5436</v>
      </c>
      <c r="Q46" s="369">
        <v>890</v>
      </c>
      <c r="R46" s="370" t="s">
        <v>876</v>
      </c>
      <c r="S46" s="368"/>
    </row>
    <row r="47" spans="1:19" s="340" customFormat="1" ht="33.950000000000003" customHeight="1">
      <c r="A47" s="350">
        <v>107</v>
      </c>
      <c r="B47" s="361" t="s">
        <v>1036</v>
      </c>
      <c r="C47" s="361" t="s">
        <v>1055</v>
      </c>
      <c r="D47" s="361" t="s">
        <v>1056</v>
      </c>
      <c r="E47" s="362">
        <v>56000</v>
      </c>
      <c r="F47" s="363">
        <v>1501.4051999999997</v>
      </c>
      <c r="G47" s="364">
        <v>0</v>
      </c>
      <c r="H47" s="406">
        <v>44374</v>
      </c>
      <c r="I47" s="407">
        <v>45804</v>
      </c>
      <c r="J47" s="367">
        <f t="shared" si="2"/>
        <v>18016.862399999998</v>
      </c>
      <c r="K47" s="368" t="s">
        <v>876</v>
      </c>
      <c r="L47" s="367">
        <f t="shared" si="3"/>
        <v>18016.862399999998</v>
      </c>
      <c r="M47" s="368" t="s">
        <v>876</v>
      </c>
      <c r="N47" s="367">
        <f>F47*5</f>
        <v>7507.025999999998</v>
      </c>
      <c r="O47" s="369">
        <v>560</v>
      </c>
      <c r="P47" s="370" t="s">
        <v>876</v>
      </c>
      <c r="Q47" s="368"/>
      <c r="R47" s="370" t="s">
        <v>876</v>
      </c>
      <c r="S47" s="368"/>
    </row>
    <row r="48" spans="1:19" s="340" customFormat="1" ht="35.25" customHeight="1">
      <c r="A48" s="350">
        <v>108</v>
      </c>
      <c r="B48" s="361" t="s">
        <v>1009</v>
      </c>
      <c r="C48" s="361">
        <v>1712676</v>
      </c>
      <c r="D48" s="361" t="s">
        <v>1057</v>
      </c>
      <c r="E48" s="362">
        <v>95000</v>
      </c>
      <c r="F48" s="363">
        <v>1832.1471999999999</v>
      </c>
      <c r="G48" s="364">
        <v>9500</v>
      </c>
      <c r="H48" s="388">
        <v>44409</v>
      </c>
      <c r="I48" s="405">
        <v>46174</v>
      </c>
      <c r="J48" s="367">
        <f t="shared" si="2"/>
        <v>21985.7664</v>
      </c>
      <c r="K48" s="368" t="s">
        <v>876</v>
      </c>
      <c r="L48" s="367">
        <f t="shared" si="3"/>
        <v>21985.7664</v>
      </c>
      <c r="M48" s="368" t="s">
        <v>876</v>
      </c>
      <c r="N48" s="367">
        <f>F48*12</f>
        <v>21985.7664</v>
      </c>
      <c r="O48" s="376"/>
      <c r="P48" s="377">
        <f>F48*6</f>
        <v>10992.8832</v>
      </c>
      <c r="Q48" s="369">
        <v>950</v>
      </c>
      <c r="R48" s="370" t="s">
        <v>876</v>
      </c>
      <c r="S48" s="368"/>
    </row>
    <row r="49" spans="1:19" s="340" customFormat="1" ht="51" customHeight="1">
      <c r="A49" s="350">
        <v>109</v>
      </c>
      <c r="B49" s="361" t="s">
        <v>1045</v>
      </c>
      <c r="C49" s="361">
        <v>3968835</v>
      </c>
      <c r="D49" s="361" t="s">
        <v>1058</v>
      </c>
      <c r="E49" s="362">
        <v>32840.980000000003</v>
      </c>
      <c r="F49" s="363">
        <v>1382.8596</v>
      </c>
      <c r="G49" s="364">
        <v>0</v>
      </c>
      <c r="H49" s="388">
        <v>44413</v>
      </c>
      <c r="I49" s="405">
        <v>45478</v>
      </c>
      <c r="J49" s="367">
        <f t="shared" si="2"/>
        <v>16594.315200000001</v>
      </c>
      <c r="K49" s="368" t="s">
        <v>876</v>
      </c>
      <c r="L49" s="367">
        <f>F49*7</f>
        <v>9680.0172000000002</v>
      </c>
      <c r="M49" s="369">
        <v>4098.3599999999997</v>
      </c>
      <c r="N49" s="370" t="s">
        <v>876</v>
      </c>
      <c r="O49" s="368"/>
      <c r="P49" s="370" t="s">
        <v>876</v>
      </c>
      <c r="Q49" s="368"/>
      <c r="R49" s="370" t="s">
        <v>876</v>
      </c>
      <c r="S49" s="368"/>
    </row>
    <row r="50" spans="1:19" s="340" customFormat="1" ht="54.75" customHeight="1">
      <c r="A50" s="350">
        <v>110</v>
      </c>
      <c r="B50" s="361" t="s">
        <v>1045</v>
      </c>
      <c r="C50" s="361">
        <v>3968841</v>
      </c>
      <c r="D50" s="361" t="s">
        <v>1059</v>
      </c>
      <c r="E50" s="362">
        <v>32840.980000000003</v>
      </c>
      <c r="F50" s="363">
        <v>1382.8596</v>
      </c>
      <c r="G50" s="364">
        <v>0</v>
      </c>
      <c r="H50" s="388">
        <v>44412</v>
      </c>
      <c r="I50" s="405">
        <v>45477</v>
      </c>
      <c r="J50" s="367">
        <f t="shared" si="2"/>
        <v>16594.315200000001</v>
      </c>
      <c r="K50" s="368" t="s">
        <v>876</v>
      </c>
      <c r="L50" s="367">
        <f>F50*7</f>
        <v>9680.0172000000002</v>
      </c>
      <c r="M50" s="369">
        <v>4098.3599999999997</v>
      </c>
      <c r="N50" s="370" t="s">
        <v>876</v>
      </c>
      <c r="O50" s="368"/>
      <c r="P50" s="370" t="s">
        <v>876</v>
      </c>
      <c r="Q50" s="368"/>
      <c r="R50" s="370" t="s">
        <v>876</v>
      </c>
      <c r="S50" s="368"/>
    </row>
    <row r="51" spans="1:19" s="340" customFormat="1" ht="32.25" customHeight="1">
      <c r="A51" s="350">
        <v>111</v>
      </c>
      <c r="B51" s="408" t="s">
        <v>1001</v>
      </c>
      <c r="C51" s="408">
        <v>1488736</v>
      </c>
      <c r="D51" s="408" t="s">
        <v>1060</v>
      </c>
      <c r="E51" s="362">
        <v>340000</v>
      </c>
      <c r="F51" s="363">
        <v>6584.5352000000003</v>
      </c>
      <c r="G51" s="364">
        <v>34000</v>
      </c>
      <c r="H51" s="365">
        <v>44501</v>
      </c>
      <c r="I51" s="366">
        <v>46266</v>
      </c>
      <c r="J51" s="367">
        <f t="shared" si="2"/>
        <v>79014.42240000001</v>
      </c>
      <c r="K51" s="368" t="s">
        <v>876</v>
      </c>
      <c r="L51" s="367">
        <f t="shared" ref="L51:L60" si="4">F51*12</f>
        <v>79014.42240000001</v>
      </c>
      <c r="M51" s="368" t="s">
        <v>876</v>
      </c>
      <c r="N51" s="367">
        <f t="shared" ref="N51:N60" si="5">F51*12</f>
        <v>79014.42240000001</v>
      </c>
      <c r="O51" s="376"/>
      <c r="P51" s="377">
        <f>F51*9</f>
        <v>59260.816800000001</v>
      </c>
      <c r="Q51" s="369">
        <v>3400</v>
      </c>
      <c r="R51" s="370" t="s">
        <v>876</v>
      </c>
      <c r="S51" s="368"/>
    </row>
    <row r="52" spans="1:19" s="340" customFormat="1" ht="35.25" customHeight="1">
      <c r="A52" s="350">
        <v>112</v>
      </c>
      <c r="B52" s="408" t="s">
        <v>1001</v>
      </c>
      <c r="C52" s="408">
        <v>1488738</v>
      </c>
      <c r="D52" s="408" t="s">
        <v>1061</v>
      </c>
      <c r="E52" s="362">
        <v>295000</v>
      </c>
      <c r="F52" s="363">
        <v>5100.9420000000009</v>
      </c>
      <c r="G52" s="364">
        <v>59000</v>
      </c>
      <c r="H52" s="365">
        <v>44737</v>
      </c>
      <c r="I52" s="366">
        <v>46502</v>
      </c>
      <c r="J52" s="367">
        <f t="shared" si="2"/>
        <v>61211.304000000011</v>
      </c>
      <c r="K52" s="368" t="s">
        <v>876</v>
      </c>
      <c r="L52" s="367">
        <f t="shared" si="4"/>
        <v>61211.304000000011</v>
      </c>
      <c r="M52" s="368" t="s">
        <v>876</v>
      </c>
      <c r="N52" s="367">
        <f t="shared" si="5"/>
        <v>61211.304000000011</v>
      </c>
      <c r="O52" s="376"/>
      <c r="P52" s="377">
        <f>F52*12</f>
        <v>61211.304000000011</v>
      </c>
      <c r="Q52" s="378"/>
      <c r="R52" s="377">
        <f>F52*4</f>
        <v>20403.768000000004</v>
      </c>
      <c r="S52" s="369">
        <v>2950</v>
      </c>
    </row>
    <row r="53" spans="1:19" ht="54">
      <c r="A53" s="350">
        <v>113</v>
      </c>
      <c r="B53" s="408" t="s">
        <v>1001</v>
      </c>
      <c r="C53" s="408">
        <v>1492543</v>
      </c>
      <c r="D53" s="408" t="s">
        <v>1062</v>
      </c>
      <c r="E53" s="362">
        <v>275000</v>
      </c>
      <c r="F53" s="363">
        <v>4722.9493999999995</v>
      </c>
      <c r="G53" s="387">
        <v>55000</v>
      </c>
      <c r="H53" s="388">
        <v>44595</v>
      </c>
      <c r="I53" s="405">
        <v>46359</v>
      </c>
      <c r="J53" s="367">
        <f t="shared" si="2"/>
        <v>56675.392799999994</v>
      </c>
      <c r="K53" s="368" t="s">
        <v>876</v>
      </c>
      <c r="L53" s="367">
        <f t="shared" si="4"/>
        <v>56675.392799999994</v>
      </c>
      <c r="M53" s="368" t="s">
        <v>876</v>
      </c>
      <c r="N53" s="367">
        <f t="shared" si="5"/>
        <v>56675.392799999994</v>
      </c>
      <c r="O53" s="376"/>
      <c r="P53" s="377">
        <f>F53*12</f>
        <v>56675.392799999994</v>
      </c>
      <c r="Q53" s="382">
        <v>2750</v>
      </c>
      <c r="R53" s="370" t="s">
        <v>876</v>
      </c>
      <c r="S53" s="368"/>
    </row>
    <row r="54" spans="1:19" s="340" customFormat="1" ht="60.75" customHeight="1">
      <c r="A54" s="350">
        <v>114</v>
      </c>
      <c r="B54" s="409" t="s">
        <v>1063</v>
      </c>
      <c r="C54" s="409" t="s">
        <v>1064</v>
      </c>
      <c r="D54" s="409" t="s">
        <v>1065</v>
      </c>
      <c r="E54" s="397">
        <v>81000</v>
      </c>
      <c r="F54" s="363">
        <v>1383.0530000000001</v>
      </c>
      <c r="G54" s="364">
        <v>16200</v>
      </c>
      <c r="H54" s="380">
        <v>44621</v>
      </c>
      <c r="I54" s="366">
        <v>46388</v>
      </c>
      <c r="J54" s="367">
        <f t="shared" si="2"/>
        <v>16596.636000000002</v>
      </c>
      <c r="K54" s="368" t="s">
        <v>876</v>
      </c>
      <c r="L54" s="367">
        <f t="shared" si="4"/>
        <v>16596.636000000002</v>
      </c>
      <c r="M54" s="368" t="s">
        <v>876</v>
      </c>
      <c r="N54" s="367">
        <f t="shared" si="5"/>
        <v>16596.636000000002</v>
      </c>
      <c r="O54" s="376"/>
      <c r="P54" s="377">
        <f>F54*12</f>
        <v>16596.636000000002</v>
      </c>
      <c r="Q54" s="378"/>
      <c r="R54" s="377">
        <f>F54</f>
        <v>1383.0530000000001</v>
      </c>
      <c r="S54" s="369">
        <v>810</v>
      </c>
    </row>
    <row r="55" spans="1:19" s="340" customFormat="1" ht="18.75">
      <c r="A55" s="350">
        <v>115</v>
      </c>
      <c r="B55" s="410" t="s">
        <v>1009</v>
      </c>
      <c r="C55" s="410">
        <v>1726016</v>
      </c>
      <c r="D55" s="408" t="s">
        <v>1066</v>
      </c>
      <c r="E55" s="362">
        <v>20950</v>
      </c>
      <c r="F55" s="363">
        <v>542.5293999999999</v>
      </c>
      <c r="G55" s="364">
        <v>2095</v>
      </c>
      <c r="H55" s="365">
        <v>44820</v>
      </c>
      <c r="I55" s="366">
        <v>46219</v>
      </c>
      <c r="J55" s="367">
        <f t="shared" si="2"/>
        <v>6510.3527999999988</v>
      </c>
      <c r="K55" s="368" t="s">
        <v>876</v>
      </c>
      <c r="L55" s="367">
        <f t="shared" si="4"/>
        <v>6510.3527999999988</v>
      </c>
      <c r="M55" s="368" t="s">
        <v>876</v>
      </c>
      <c r="N55" s="367">
        <f t="shared" si="5"/>
        <v>6510.3527999999988</v>
      </c>
      <c r="O55" s="376"/>
      <c r="P55" s="377">
        <f>F55*7</f>
        <v>3797.7057999999993</v>
      </c>
      <c r="Q55" s="369">
        <v>209.5</v>
      </c>
      <c r="R55" s="370" t="s">
        <v>876</v>
      </c>
      <c r="S55" s="368"/>
    </row>
    <row r="56" spans="1:19" s="340" customFormat="1" ht="18.75">
      <c r="A56" s="350">
        <v>116</v>
      </c>
      <c r="B56" s="410" t="s">
        <v>1009</v>
      </c>
      <c r="C56" s="410">
        <v>1723336</v>
      </c>
      <c r="D56" s="408" t="s">
        <v>1067</v>
      </c>
      <c r="E56" s="362">
        <v>33500</v>
      </c>
      <c r="F56" s="363">
        <v>862.2793999999999</v>
      </c>
      <c r="G56" s="364">
        <v>3350</v>
      </c>
      <c r="H56" s="373">
        <v>44850</v>
      </c>
      <c r="I56" s="366">
        <v>46250</v>
      </c>
      <c r="J56" s="367">
        <f t="shared" si="2"/>
        <v>10347.352799999999</v>
      </c>
      <c r="K56" s="368" t="s">
        <v>876</v>
      </c>
      <c r="L56" s="367">
        <f t="shared" si="4"/>
        <v>10347.352799999999</v>
      </c>
      <c r="M56" s="368" t="s">
        <v>876</v>
      </c>
      <c r="N56" s="367">
        <f t="shared" si="5"/>
        <v>10347.352799999999</v>
      </c>
      <c r="O56" s="376"/>
      <c r="P56" s="377">
        <f>F56*8</f>
        <v>6898.2351999999992</v>
      </c>
      <c r="Q56" s="369">
        <v>335</v>
      </c>
      <c r="R56" s="370" t="s">
        <v>876</v>
      </c>
      <c r="S56" s="368"/>
    </row>
    <row r="57" spans="1:19" s="340" customFormat="1" ht="18.75">
      <c r="A57" s="350">
        <v>117</v>
      </c>
      <c r="B57" s="410" t="s">
        <v>1009</v>
      </c>
      <c r="C57" s="410">
        <v>1726965</v>
      </c>
      <c r="D57" s="408" t="s">
        <v>1068</v>
      </c>
      <c r="E57" s="362">
        <v>36000</v>
      </c>
      <c r="F57" s="363">
        <v>968.65</v>
      </c>
      <c r="G57" s="364">
        <v>3600</v>
      </c>
      <c r="H57" s="373">
        <v>44866</v>
      </c>
      <c r="I57" s="366">
        <v>46266</v>
      </c>
      <c r="J57" s="367">
        <f t="shared" si="2"/>
        <v>11623.8</v>
      </c>
      <c r="K57" s="368" t="s">
        <v>876</v>
      </c>
      <c r="L57" s="367">
        <f t="shared" si="4"/>
        <v>11623.8</v>
      </c>
      <c r="M57" s="368" t="s">
        <v>876</v>
      </c>
      <c r="N57" s="367">
        <f t="shared" si="5"/>
        <v>11623.8</v>
      </c>
      <c r="O57" s="376"/>
      <c r="P57" s="377">
        <f>F57*9</f>
        <v>8717.85</v>
      </c>
      <c r="Q57" s="369">
        <v>360</v>
      </c>
      <c r="R57" s="370" t="s">
        <v>876</v>
      </c>
      <c r="S57" s="368"/>
    </row>
    <row r="58" spans="1:19" s="340" customFormat="1" ht="24.75" customHeight="1">
      <c r="A58" s="350">
        <v>118</v>
      </c>
      <c r="B58" s="408" t="s">
        <v>1009</v>
      </c>
      <c r="C58" s="408">
        <v>1726972</v>
      </c>
      <c r="D58" s="408" t="s">
        <v>1069</v>
      </c>
      <c r="E58" s="362">
        <v>36000</v>
      </c>
      <c r="F58" s="363">
        <v>969.88220000000001</v>
      </c>
      <c r="G58" s="364">
        <v>3600</v>
      </c>
      <c r="H58" s="373">
        <v>44881</v>
      </c>
      <c r="I58" s="366">
        <v>46281</v>
      </c>
      <c r="J58" s="367">
        <f t="shared" si="2"/>
        <v>11638.5864</v>
      </c>
      <c r="K58" s="368" t="s">
        <v>876</v>
      </c>
      <c r="L58" s="367">
        <f t="shared" si="4"/>
        <v>11638.5864</v>
      </c>
      <c r="M58" s="368" t="s">
        <v>876</v>
      </c>
      <c r="N58" s="367">
        <f t="shared" si="5"/>
        <v>11638.5864</v>
      </c>
      <c r="O58" s="376"/>
      <c r="P58" s="377">
        <f>F58*9</f>
        <v>8728.9398000000001</v>
      </c>
      <c r="Q58" s="369"/>
      <c r="R58" s="370" t="s">
        <v>876</v>
      </c>
      <c r="S58" s="368"/>
    </row>
    <row r="59" spans="1:19" s="340" customFormat="1" ht="24.75" customHeight="1">
      <c r="A59" s="350">
        <v>119</v>
      </c>
      <c r="B59" s="361" t="s">
        <v>1045</v>
      </c>
      <c r="C59" s="361">
        <v>4233123</v>
      </c>
      <c r="D59" s="361" t="s">
        <v>1070</v>
      </c>
      <c r="E59" s="362">
        <v>56037.7</v>
      </c>
      <c r="F59" s="363">
        <v>1592.405</v>
      </c>
      <c r="G59" s="364">
        <v>0</v>
      </c>
      <c r="H59" s="365">
        <v>44917</v>
      </c>
      <c r="I59" s="366">
        <v>46012</v>
      </c>
      <c r="J59" s="367">
        <f t="shared" si="2"/>
        <v>19108.86</v>
      </c>
      <c r="K59" s="368" t="s">
        <v>876</v>
      </c>
      <c r="L59" s="367">
        <f t="shared" si="4"/>
        <v>19108.86</v>
      </c>
      <c r="M59" s="368" t="s">
        <v>876</v>
      </c>
      <c r="N59" s="367">
        <f t="shared" si="5"/>
        <v>19108.86</v>
      </c>
      <c r="O59" s="369">
        <v>15537.76</v>
      </c>
      <c r="P59" s="370" t="s">
        <v>876</v>
      </c>
      <c r="Q59" s="368"/>
      <c r="R59" s="370" t="s">
        <v>876</v>
      </c>
      <c r="S59" s="368"/>
    </row>
    <row r="60" spans="1:19" s="340" customFormat="1" ht="24.75" customHeight="1">
      <c r="A60" s="350"/>
      <c r="B60" s="408" t="s">
        <v>1071</v>
      </c>
      <c r="C60" s="408" t="s">
        <v>1072</v>
      </c>
      <c r="D60" s="408" t="s">
        <v>1073</v>
      </c>
      <c r="E60" s="362">
        <v>965000</v>
      </c>
      <c r="F60" s="363">
        <v>16300.42</v>
      </c>
      <c r="G60" s="364">
        <v>193000</v>
      </c>
      <c r="H60" s="411">
        <v>44927</v>
      </c>
      <c r="I60" s="366">
        <v>46692</v>
      </c>
      <c r="J60" s="367">
        <f t="shared" si="2"/>
        <v>195605.04</v>
      </c>
      <c r="K60" s="368" t="s">
        <v>876</v>
      </c>
      <c r="L60" s="367">
        <f t="shared" si="4"/>
        <v>195605.04</v>
      </c>
      <c r="M60" s="368" t="s">
        <v>876</v>
      </c>
      <c r="N60" s="367">
        <f t="shared" si="5"/>
        <v>195605.04</v>
      </c>
      <c r="O60" s="376"/>
      <c r="P60" s="377">
        <f>F60*12</f>
        <v>195605.04</v>
      </c>
      <c r="Q60" s="378"/>
      <c r="R60" s="377">
        <f>F60*11</f>
        <v>179304.62</v>
      </c>
      <c r="S60" s="369">
        <v>9650</v>
      </c>
    </row>
    <row r="61" spans="1:19" s="340" customFormat="1" ht="28.5" customHeight="1" thickBot="1">
      <c r="A61" s="350"/>
      <c r="B61" s="412"/>
      <c r="C61" s="412"/>
      <c r="D61" s="413"/>
      <c r="E61" s="414"/>
      <c r="F61" s="412"/>
      <c r="G61" s="412"/>
      <c r="H61" s="412"/>
      <c r="I61" s="415"/>
      <c r="J61" s="416"/>
      <c r="K61" s="417"/>
      <c r="L61" s="418"/>
      <c r="M61" s="419"/>
      <c r="N61" s="418"/>
      <c r="O61" s="419"/>
      <c r="P61" s="418"/>
      <c r="Q61" s="419"/>
      <c r="R61" s="418"/>
      <c r="S61" s="419"/>
    </row>
    <row r="62" spans="1:19" s="421" customFormat="1" ht="31.5" customHeight="1" thickBot="1">
      <c r="A62" s="420"/>
      <c r="D62" s="422"/>
      <c r="E62" s="423"/>
      <c r="F62" s="424"/>
      <c r="G62" s="425"/>
      <c r="H62" s="425"/>
      <c r="I62" s="426"/>
      <c r="J62" s="427">
        <f>SUM(J4:J61)</f>
        <v>1696524.4613120004</v>
      </c>
      <c r="K62" s="428">
        <f t="shared" ref="K62:S62" si="6">SUM(K4:K61)</f>
        <v>35490.83</v>
      </c>
      <c r="L62" s="427">
        <f t="shared" si="6"/>
        <v>1032822.6533820003</v>
      </c>
      <c r="M62" s="428">
        <f t="shared" si="6"/>
        <v>40546.720000000001</v>
      </c>
      <c r="N62" s="427">
        <f t="shared" si="6"/>
        <v>744302.11560000002</v>
      </c>
      <c r="O62" s="428">
        <f t="shared" si="6"/>
        <v>48744.76</v>
      </c>
      <c r="P62" s="427">
        <f t="shared" si="6"/>
        <v>485500.28359999997</v>
      </c>
      <c r="Q62" s="428">
        <f t="shared" si="6"/>
        <v>10614.5</v>
      </c>
      <c r="R62" s="427">
        <f t="shared" si="6"/>
        <v>234540.913</v>
      </c>
      <c r="S62" s="428">
        <f t="shared" si="6"/>
        <v>13410</v>
      </c>
    </row>
    <row r="63" spans="1:19" s="340" customFormat="1" ht="20.100000000000001" customHeight="1">
      <c r="A63" s="333"/>
      <c r="D63" s="429"/>
      <c r="E63" s="430"/>
      <c r="F63" s="431"/>
      <c r="G63" s="432"/>
      <c r="I63" s="341"/>
      <c r="J63" s="342"/>
      <c r="K63" s="342"/>
      <c r="L63" s="343"/>
      <c r="M63" s="343"/>
      <c r="N63" s="343"/>
      <c r="O63" s="343"/>
      <c r="P63" s="343"/>
      <c r="Q63" s="343"/>
      <c r="R63" s="343"/>
      <c r="S63" s="343"/>
    </row>
    <row r="64" spans="1:19" s="340" customFormat="1" ht="20.100000000000001" customHeight="1">
      <c r="A64" s="333"/>
      <c r="D64" s="433"/>
      <c r="E64" s="430"/>
      <c r="F64" s="431"/>
      <c r="I64" s="341"/>
      <c r="J64" s="342"/>
      <c r="K64" s="342"/>
      <c r="L64" s="343"/>
      <c r="M64" s="343"/>
      <c r="N64" s="343"/>
      <c r="O64" s="343"/>
      <c r="P64" s="343"/>
      <c r="Q64" s="343"/>
      <c r="R64" s="343"/>
      <c r="S64" s="343"/>
    </row>
    <row r="65" spans="1:19" s="340" customFormat="1">
      <c r="A65" s="333"/>
      <c r="D65" s="433"/>
      <c r="E65" s="430"/>
      <c r="I65" s="341"/>
      <c r="J65" s="342"/>
      <c r="K65" s="342"/>
      <c r="L65" s="343"/>
      <c r="M65" s="343"/>
      <c r="N65" s="343"/>
      <c r="O65" s="343"/>
      <c r="P65" s="343"/>
      <c r="Q65" s="343"/>
      <c r="R65" s="343"/>
      <c r="S65" s="343"/>
    </row>
    <row r="66" spans="1:19" s="340" customFormat="1">
      <c r="A66" s="333"/>
      <c r="D66" s="433"/>
      <c r="E66" s="430"/>
      <c r="F66" s="434"/>
      <c r="I66" s="341"/>
      <c r="J66" s="342"/>
      <c r="K66" s="342"/>
      <c r="L66" s="343"/>
      <c r="M66" s="343"/>
      <c r="N66" s="343"/>
      <c r="O66" s="343"/>
      <c r="P66" s="343"/>
      <c r="Q66" s="343"/>
      <c r="R66" s="343"/>
      <c r="S66" s="343"/>
    </row>
    <row r="67" spans="1:19">
      <c r="B67" s="435"/>
      <c r="E67" s="393"/>
      <c r="F67" s="437"/>
    </row>
    <row r="69" spans="1:19" s="340" customFormat="1" ht="18.75">
      <c r="A69" s="333"/>
      <c r="C69" s="431"/>
      <c r="D69" s="433"/>
      <c r="E69" s="441"/>
      <c r="I69" s="341"/>
      <c r="J69" s="342"/>
      <c r="K69" s="342"/>
      <c r="L69" s="343"/>
      <c r="M69" s="343"/>
      <c r="N69" s="343"/>
      <c r="O69" s="343"/>
      <c r="P69" s="343"/>
      <c r="Q69" s="343"/>
      <c r="R69" s="343"/>
      <c r="S69" s="343"/>
    </row>
    <row r="70" spans="1:19" s="340" customFormat="1" ht="18.75">
      <c r="A70" s="333"/>
      <c r="D70" s="433"/>
      <c r="E70" s="441"/>
      <c r="I70" s="341"/>
      <c r="J70" s="342"/>
      <c r="K70" s="342"/>
      <c r="L70" s="343"/>
      <c r="M70" s="343"/>
      <c r="N70" s="343"/>
      <c r="O70" s="343"/>
      <c r="P70" s="343"/>
      <c r="Q70" s="343"/>
      <c r="R70" s="343"/>
      <c r="S70" s="343"/>
    </row>
    <row r="74" spans="1:19" ht="18.75">
      <c r="E74" s="441" t="s">
        <v>2499</v>
      </c>
      <c r="F74" s="641">
        <v>6000</v>
      </c>
    </row>
    <row r="75" spans="1:19" ht="18.75">
      <c r="E75" s="441" t="s">
        <v>2500</v>
      </c>
      <c r="F75" s="641">
        <v>14968</v>
      </c>
    </row>
    <row r="76" spans="1:19" ht="18.75">
      <c r="E76" s="642" t="s">
        <v>2501</v>
      </c>
      <c r="F76" s="643">
        <v>1829165.78</v>
      </c>
    </row>
    <row r="77" spans="1:19" ht="18.75">
      <c r="E77" s="642" t="s">
        <v>2502</v>
      </c>
      <c r="F77" s="643">
        <v>105694.5</v>
      </c>
    </row>
    <row r="78" spans="1:19" ht="18.75">
      <c r="E78" s="441" t="s">
        <v>2503</v>
      </c>
      <c r="F78" s="641">
        <v>108431.03999999999</v>
      </c>
    </row>
    <row r="79" spans="1:19" ht="18.75">
      <c r="E79" s="441" t="s">
        <v>2504</v>
      </c>
      <c r="F79" s="641">
        <v>1547160.54</v>
      </c>
    </row>
    <row r="80" spans="1:19" ht="18.75">
      <c r="E80" s="441" t="s">
        <v>2505</v>
      </c>
      <c r="F80" s="641">
        <v>71</v>
      </c>
    </row>
    <row r="81" spans="5:6" ht="18.75">
      <c r="E81" s="441" t="s">
        <v>2506</v>
      </c>
      <c r="F81" s="641">
        <v>836.36</v>
      </c>
    </row>
    <row r="82" spans="5:6" ht="18.75">
      <c r="E82" s="441" t="s">
        <v>2507</v>
      </c>
      <c r="F82" s="641">
        <v>8949.3799999999992</v>
      </c>
    </row>
    <row r="83" spans="5:6" ht="18.75">
      <c r="E83" s="441" t="s">
        <v>2508</v>
      </c>
      <c r="F83" s="641">
        <v>3651.08</v>
      </c>
    </row>
    <row r="84" spans="5:6" ht="18.75">
      <c r="E84" s="441" t="s">
        <v>2409</v>
      </c>
      <c r="F84" s="641">
        <v>0</v>
      </c>
    </row>
    <row r="85" spans="5:6" ht="18.75">
      <c r="E85" s="441" t="s">
        <v>2509</v>
      </c>
      <c r="F85" s="641">
        <v>84.49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Y75"/>
  <sheetViews>
    <sheetView showGridLines="0" tabSelected="1" topLeftCell="F1" zoomScale="50" zoomScaleNormal="70" workbookViewId="0">
      <selection activeCell="B2" sqref="B2"/>
    </sheetView>
  </sheetViews>
  <sheetFormatPr defaultColWidth="9.28515625" defaultRowHeight="18"/>
  <cols>
    <col min="1" max="1" width="9.28515625" style="333"/>
    <col min="2" max="2" width="39.85546875" style="393" customWidth="1"/>
    <col min="3" max="3" width="16.28515625" style="393" customWidth="1"/>
    <col min="4" max="4" width="38.7109375" style="436" customWidth="1"/>
    <col min="5" max="5" width="20.7109375" style="442" customWidth="1"/>
    <col min="6" max="6" width="21" style="393" customWidth="1"/>
    <col min="7" max="7" width="22.140625" style="393" customWidth="1"/>
    <col min="8" max="8" width="19.28515625" style="437" customWidth="1"/>
    <col min="9" max="9" width="16.85546875" style="437" customWidth="1"/>
    <col min="10" max="10" width="18.42578125" style="541" customWidth="1"/>
    <col min="11" max="11" width="19.5703125" style="437" customWidth="1"/>
    <col min="12" max="12" width="20.5703125" style="393" customWidth="1"/>
    <col min="13" max="13" width="18" style="393" bestFit="1" customWidth="1"/>
    <col min="14" max="14" width="16.5703125" style="393" customWidth="1"/>
    <col min="15" max="15" width="10.7109375" style="539" customWidth="1"/>
    <col min="16" max="16" width="11.5703125" style="542" customWidth="1"/>
    <col min="17" max="17" width="11.140625" style="393" customWidth="1"/>
    <col min="18" max="18" width="12.7109375" style="540" customWidth="1"/>
    <col min="19" max="19" width="13" style="540" bestFit="1" customWidth="1"/>
    <col min="20" max="20" width="10.42578125" style="540" customWidth="1"/>
    <col min="21" max="21" width="15.7109375" style="540" customWidth="1"/>
    <col min="22" max="22" width="23.28515625" style="540" customWidth="1"/>
    <col min="23" max="23" width="18" style="540" customWidth="1"/>
    <col min="24" max="24" width="22.140625" style="540" customWidth="1"/>
    <col min="25" max="25" width="18.42578125" style="540" customWidth="1"/>
    <col min="26" max="16384" width="9.28515625" style="393"/>
  </cols>
  <sheetData>
    <row r="1" spans="1:25" s="340" customFormat="1" ht="29.25" customHeight="1">
      <c r="A1" s="333"/>
      <c r="B1" s="443" t="s">
        <v>4739</v>
      </c>
      <c r="C1" s="444"/>
      <c r="D1" s="445"/>
      <c r="E1" s="337"/>
      <c r="F1" s="338"/>
      <c r="G1" s="338"/>
      <c r="H1" s="446"/>
      <c r="I1" s="338"/>
      <c r="J1" s="447"/>
      <c r="K1" s="338"/>
      <c r="L1" s="339"/>
      <c r="O1" s="448"/>
      <c r="P1" s="431"/>
      <c r="R1" s="360"/>
      <c r="S1" s="360"/>
      <c r="T1" s="360"/>
      <c r="U1" s="360"/>
      <c r="V1" s="360"/>
      <c r="W1" s="360"/>
      <c r="X1" s="360"/>
      <c r="Y1" s="360"/>
    </row>
    <row r="2" spans="1:25" s="340" customFormat="1" ht="20.100000000000001" customHeight="1">
      <c r="A2" s="333"/>
      <c r="B2" s="449" t="s">
        <v>1074</v>
      </c>
      <c r="C2" s="450"/>
      <c r="D2" s="451">
        <f ca="1">TODAY()</f>
        <v>45444</v>
      </c>
      <c r="E2" s="452"/>
      <c r="F2" s="453"/>
      <c r="G2" s="454"/>
      <c r="H2" s="454" t="s">
        <v>1075</v>
      </c>
      <c r="I2" s="454"/>
      <c r="J2" s="455"/>
      <c r="K2" s="456" t="s">
        <v>1076</v>
      </c>
      <c r="L2" s="457"/>
      <c r="M2" s="458"/>
      <c r="N2" s="450"/>
      <c r="O2" s="459"/>
      <c r="P2" s="457"/>
      <c r="Q2" s="450"/>
      <c r="R2" s="460"/>
      <c r="S2" s="460"/>
      <c r="T2" s="460"/>
      <c r="U2" s="460"/>
      <c r="V2" s="460"/>
      <c r="W2" s="460"/>
      <c r="X2" s="460"/>
      <c r="Y2" s="460"/>
    </row>
    <row r="3" spans="1:25" s="340" customFormat="1" ht="20.100000000000001" customHeight="1">
      <c r="A3" s="333"/>
      <c r="B3" s="461" t="s">
        <v>1077</v>
      </c>
      <c r="C3" s="462"/>
      <c r="D3" s="462"/>
      <c r="E3" s="462"/>
      <c r="F3" s="462"/>
      <c r="G3" s="462"/>
      <c r="H3" s="462"/>
      <c r="I3" s="462"/>
      <c r="J3" s="463"/>
      <c r="K3" s="464"/>
      <c r="L3" s="464"/>
      <c r="M3" s="465"/>
      <c r="N3" s="466"/>
      <c r="O3" s="467"/>
      <c r="P3" s="464"/>
      <c r="Q3" s="466"/>
      <c r="R3" s="468"/>
      <c r="S3" s="468"/>
      <c r="T3" s="468"/>
      <c r="U3" s="468"/>
      <c r="V3" s="468"/>
      <c r="W3" s="468"/>
      <c r="X3" s="468"/>
      <c r="Y3" s="468"/>
    </row>
    <row r="4" spans="1:25" s="360" customFormat="1" ht="108">
      <c r="A4" s="350" t="s">
        <v>970</v>
      </c>
      <c r="B4" s="351" t="s">
        <v>971</v>
      </c>
      <c r="C4" s="352" t="s">
        <v>972</v>
      </c>
      <c r="D4" s="351" t="s">
        <v>973</v>
      </c>
      <c r="E4" s="352" t="s">
        <v>1078</v>
      </c>
      <c r="F4" s="352" t="s">
        <v>1079</v>
      </c>
      <c r="G4" s="469" t="s">
        <v>1080</v>
      </c>
      <c r="H4" s="469" t="s">
        <v>1081</v>
      </c>
      <c r="I4" s="469" t="s">
        <v>1082</v>
      </c>
      <c r="J4" s="470" t="s">
        <v>1083</v>
      </c>
      <c r="K4" s="471" t="s">
        <v>917</v>
      </c>
      <c r="L4" s="352" t="s">
        <v>976</v>
      </c>
      <c r="M4" s="352" t="s">
        <v>977</v>
      </c>
      <c r="N4" s="352" t="s">
        <v>978</v>
      </c>
      <c r="O4" s="472" t="s">
        <v>1084</v>
      </c>
      <c r="P4" s="352" t="s">
        <v>1085</v>
      </c>
      <c r="Q4" s="352" t="s">
        <v>1086</v>
      </c>
      <c r="R4" s="352" t="s">
        <v>1087</v>
      </c>
      <c r="S4" s="352" t="s">
        <v>1088</v>
      </c>
      <c r="T4" s="352"/>
      <c r="U4" s="352" t="s">
        <v>1089</v>
      </c>
      <c r="V4" s="352" t="s">
        <v>1090</v>
      </c>
      <c r="W4" s="352" t="s">
        <v>1091</v>
      </c>
      <c r="X4" s="352" t="s">
        <v>1092</v>
      </c>
      <c r="Y4" s="352" t="s">
        <v>1093</v>
      </c>
    </row>
    <row r="5" spans="1:25" s="340" customFormat="1" ht="36">
      <c r="A5" s="350">
        <v>0</v>
      </c>
      <c r="B5" s="371" t="s">
        <v>994</v>
      </c>
      <c r="C5" s="361">
        <v>4694030</v>
      </c>
      <c r="D5" s="361" t="s">
        <v>995</v>
      </c>
      <c r="E5" s="362">
        <v>90000</v>
      </c>
      <c r="F5" s="362">
        <f>G5*P5+L5</f>
        <v>88800</v>
      </c>
      <c r="G5" s="363">
        <v>1850</v>
      </c>
      <c r="H5" s="363">
        <v>3</v>
      </c>
      <c r="I5" s="363"/>
      <c r="J5" s="363">
        <f t="shared" ref="J5:J63" si="0">(H5+G5)*22/100</f>
        <v>407.66</v>
      </c>
      <c r="K5" s="363">
        <f>G5+H5+I5+J5</f>
        <v>2260.66</v>
      </c>
      <c r="L5" s="364">
        <v>0</v>
      </c>
      <c r="M5" s="365">
        <v>44058</v>
      </c>
      <c r="N5" s="473">
        <v>45488</v>
      </c>
      <c r="O5" s="474"/>
      <c r="P5" s="475">
        <v>48</v>
      </c>
      <c r="Q5" s="476">
        <f t="shared" ref="Q5:Q57" ca="1" si="1">($D$2-M5)/365*12+1-O5</f>
        <v>46.567123287671237</v>
      </c>
      <c r="R5" s="477">
        <f t="shared" ref="R5:R32" ca="1" si="2">(100*((Q5*G5)+L5))/F5</f>
        <v>97.014840182648413</v>
      </c>
      <c r="S5" s="477">
        <f t="shared" ref="S5:S63" ca="1" si="3">100-R5</f>
        <v>2.9851598173515868</v>
      </c>
      <c r="T5" s="478">
        <f ca="1">P5-Q5</f>
        <v>1.4328767123287633</v>
      </c>
      <c r="U5" s="478">
        <f ca="1">ROUND(T5,0)</f>
        <v>1</v>
      </c>
      <c r="V5" s="479">
        <f t="shared" ref="V5:V63" ca="1" si="4">U5*(G5+H5+I5)</f>
        <v>1853</v>
      </c>
      <c r="W5" s="480" t="s">
        <v>996</v>
      </c>
      <c r="X5" s="481">
        <f ca="1">K5*U5</f>
        <v>2260.66</v>
      </c>
      <c r="Y5" s="466"/>
    </row>
    <row r="6" spans="1:25" s="340" customFormat="1" ht="36">
      <c r="A6" s="350">
        <v>0</v>
      </c>
      <c r="B6" s="371" t="s">
        <v>994</v>
      </c>
      <c r="C6" s="361">
        <v>4926236</v>
      </c>
      <c r="D6" s="361" t="s">
        <v>998</v>
      </c>
      <c r="E6" s="362">
        <v>98000</v>
      </c>
      <c r="F6" s="362">
        <f>G6*P6+L6</f>
        <v>92304</v>
      </c>
      <c r="G6" s="363">
        <v>1923</v>
      </c>
      <c r="H6" s="363">
        <v>3</v>
      </c>
      <c r="I6" s="363"/>
      <c r="J6" s="363">
        <f t="shared" si="0"/>
        <v>423.72</v>
      </c>
      <c r="K6" s="363">
        <f t="shared" ref="K6:K63" si="5">G6+H6+I6+J6</f>
        <v>2349.7200000000003</v>
      </c>
      <c r="L6" s="364">
        <v>0</v>
      </c>
      <c r="M6" s="365">
        <v>44331</v>
      </c>
      <c r="N6" s="473">
        <v>45762</v>
      </c>
      <c r="O6" s="474"/>
      <c r="P6" s="475">
        <v>48</v>
      </c>
      <c r="Q6" s="476">
        <f t="shared" ca="1" si="1"/>
        <v>37.591780821917808</v>
      </c>
      <c r="R6" s="477">
        <f t="shared" ca="1" si="2"/>
        <v>78.316210045662103</v>
      </c>
      <c r="S6" s="477">
        <f t="shared" ca="1" si="3"/>
        <v>21.683789954337897</v>
      </c>
      <c r="T6" s="478">
        <f t="shared" ref="T6:T63" ca="1" si="6">P6-Q6</f>
        <v>10.408219178082192</v>
      </c>
      <c r="U6" s="478">
        <f t="shared" ref="U6:U63" ca="1" si="7">ROUND(T6,0)</f>
        <v>10</v>
      </c>
      <c r="V6" s="479">
        <f t="shared" ca="1" si="4"/>
        <v>19260</v>
      </c>
      <c r="W6" s="397">
        <v>21000</v>
      </c>
      <c r="X6" s="481">
        <f t="shared" ref="X6:X63" ca="1" si="8">K6*U6</f>
        <v>23497.200000000004</v>
      </c>
      <c r="Y6" s="450"/>
    </row>
    <row r="7" spans="1:25" s="340" customFormat="1" ht="36">
      <c r="A7" s="350">
        <v>0</v>
      </c>
      <c r="B7" s="371" t="s">
        <v>992</v>
      </c>
      <c r="C7" s="371">
        <v>4559347</v>
      </c>
      <c r="D7" s="371" t="s">
        <v>993</v>
      </c>
      <c r="E7" s="362">
        <v>95000</v>
      </c>
      <c r="F7" s="362">
        <f>G7*P7+L7</f>
        <v>89472</v>
      </c>
      <c r="G7" s="482">
        <v>1864</v>
      </c>
      <c r="H7" s="482">
        <v>3</v>
      </c>
      <c r="I7" s="482"/>
      <c r="J7" s="482">
        <f t="shared" si="0"/>
        <v>410.74</v>
      </c>
      <c r="K7" s="482">
        <f t="shared" si="5"/>
        <v>2277.7399999999998</v>
      </c>
      <c r="L7" s="372">
        <v>0</v>
      </c>
      <c r="M7" s="373">
        <v>43910</v>
      </c>
      <c r="N7" s="373">
        <v>45342</v>
      </c>
      <c r="O7" s="483"/>
      <c r="P7" s="484">
        <v>48</v>
      </c>
      <c r="Q7" s="485">
        <f t="shared" ca="1" si="1"/>
        <v>51.43287671232877</v>
      </c>
      <c r="R7" s="486">
        <f t="shared" ca="1" si="2"/>
        <v>107.15182648401827</v>
      </c>
      <c r="S7" s="486">
        <f t="shared" ca="1" si="3"/>
        <v>-7.1518264840182724</v>
      </c>
      <c r="T7" s="487">
        <f t="shared" ca="1" si="6"/>
        <v>-3.4328767123287705</v>
      </c>
      <c r="U7" s="487">
        <f t="shared" ca="1" si="7"/>
        <v>-3</v>
      </c>
      <c r="V7" s="488">
        <f t="shared" ca="1" si="4"/>
        <v>-5601</v>
      </c>
      <c r="W7" s="489">
        <v>20000</v>
      </c>
      <c r="X7" s="481">
        <f t="shared" ca="1" si="8"/>
        <v>-6833.2199999999993</v>
      </c>
      <c r="Y7" s="490"/>
    </row>
    <row r="8" spans="1:25" s="340" customFormat="1" ht="36">
      <c r="A8" s="350">
        <v>0</v>
      </c>
      <c r="B8" s="361" t="s">
        <v>990</v>
      </c>
      <c r="C8" s="361">
        <v>2335907</v>
      </c>
      <c r="D8" s="361" t="s">
        <v>997</v>
      </c>
      <c r="E8" s="362">
        <v>21000</v>
      </c>
      <c r="F8" s="362">
        <f>(G8+I8)*P8+L8</f>
        <v>25252.560000000001</v>
      </c>
      <c r="G8" s="363">
        <v>701.46</v>
      </c>
      <c r="H8" s="363"/>
      <c r="I8" s="363"/>
      <c r="J8" s="363">
        <f t="shared" si="0"/>
        <v>154.3212</v>
      </c>
      <c r="K8" s="363">
        <f t="shared" si="5"/>
        <v>855.78120000000001</v>
      </c>
      <c r="L8" s="364">
        <v>0</v>
      </c>
      <c r="M8" s="365">
        <v>44197</v>
      </c>
      <c r="N8" s="365">
        <v>45261</v>
      </c>
      <c r="O8" s="474"/>
      <c r="P8" s="475">
        <v>36</v>
      </c>
      <c r="Q8" s="476">
        <f t="shared" ca="1" si="1"/>
        <v>41.9972602739726</v>
      </c>
      <c r="R8" s="477">
        <f t="shared" ca="1" si="2"/>
        <v>116.65905631659056</v>
      </c>
      <c r="S8" s="477">
        <f t="shared" ca="1" si="3"/>
        <v>-16.659056316590565</v>
      </c>
      <c r="T8" s="478">
        <f t="shared" ca="1" si="6"/>
        <v>-5.9972602739726</v>
      </c>
      <c r="U8" s="478">
        <f t="shared" ca="1" si="7"/>
        <v>-6</v>
      </c>
      <c r="V8" s="479">
        <f t="shared" ca="1" si="4"/>
        <v>-4208.76</v>
      </c>
      <c r="W8" s="489">
        <v>0</v>
      </c>
      <c r="X8" s="481">
        <f t="shared" ca="1" si="8"/>
        <v>-5134.6872000000003</v>
      </c>
      <c r="Y8" s="450"/>
    </row>
    <row r="9" spans="1:25" s="340" customFormat="1" ht="36">
      <c r="A9" s="350">
        <v>0</v>
      </c>
      <c r="B9" s="361" t="s">
        <v>990</v>
      </c>
      <c r="C9" s="361">
        <v>13625314</v>
      </c>
      <c r="D9" s="361" t="s">
        <v>991</v>
      </c>
      <c r="E9" s="362">
        <v>14060</v>
      </c>
      <c r="F9" s="362">
        <f>(G9+I9)*P9+L9</f>
        <v>16015.199999999999</v>
      </c>
      <c r="G9" s="363">
        <v>333.65</v>
      </c>
      <c r="H9" s="363"/>
      <c r="I9" s="363"/>
      <c r="J9" s="363">
        <f t="shared" si="0"/>
        <v>73.402999999999992</v>
      </c>
      <c r="K9" s="363">
        <f t="shared" si="5"/>
        <v>407.053</v>
      </c>
      <c r="L9" s="364">
        <v>0</v>
      </c>
      <c r="M9" s="365">
        <v>43862</v>
      </c>
      <c r="N9" s="365">
        <v>45292</v>
      </c>
      <c r="O9" s="474"/>
      <c r="P9" s="475">
        <v>48</v>
      </c>
      <c r="Q9" s="476">
        <f t="shared" ca="1" si="1"/>
        <v>53.010958904109586</v>
      </c>
      <c r="R9" s="477">
        <f t="shared" ca="1" si="2"/>
        <v>110.43949771689496</v>
      </c>
      <c r="S9" s="477">
        <f t="shared" ca="1" si="3"/>
        <v>-10.439497716894962</v>
      </c>
      <c r="T9" s="478">
        <f t="shared" ca="1" si="6"/>
        <v>-5.0109589041095859</v>
      </c>
      <c r="U9" s="478">
        <f t="shared" ca="1" si="7"/>
        <v>-5</v>
      </c>
      <c r="V9" s="479">
        <f t="shared" ca="1" si="4"/>
        <v>-1668.25</v>
      </c>
      <c r="W9" s="489">
        <v>0</v>
      </c>
      <c r="X9" s="481">
        <f t="shared" ca="1" si="8"/>
        <v>-2035.2649999999999</v>
      </c>
      <c r="Y9" s="466"/>
    </row>
    <row r="10" spans="1:25" s="340" customFormat="1" ht="36">
      <c r="A10" s="350">
        <v>0</v>
      </c>
      <c r="B10" s="361" t="s">
        <v>999</v>
      </c>
      <c r="C10" s="361">
        <v>11931517</v>
      </c>
      <c r="D10" s="361" t="s">
        <v>1000</v>
      </c>
      <c r="E10" s="362">
        <v>170000</v>
      </c>
      <c r="F10" s="362">
        <f>(G10+I10)*P10+L10</f>
        <v>182784</v>
      </c>
      <c r="G10" s="363">
        <v>3046.4</v>
      </c>
      <c r="H10" s="363"/>
      <c r="I10" s="363"/>
      <c r="J10" s="363">
        <f t="shared" si="0"/>
        <v>670.20800000000008</v>
      </c>
      <c r="K10" s="363">
        <f t="shared" si="5"/>
        <v>3716.6080000000002</v>
      </c>
      <c r="L10" s="364"/>
      <c r="M10" s="388">
        <v>44835</v>
      </c>
      <c r="N10" s="388">
        <v>46631</v>
      </c>
      <c r="O10" s="474"/>
      <c r="P10" s="475">
        <v>60</v>
      </c>
      <c r="Q10" s="476">
        <f t="shared" ca="1" si="1"/>
        <v>21.021917808219179</v>
      </c>
      <c r="R10" s="477">
        <f t="shared" ca="1" si="2"/>
        <v>35.036529680365298</v>
      </c>
      <c r="S10" s="477">
        <f t="shared" ca="1" si="3"/>
        <v>64.963470319634695</v>
      </c>
      <c r="T10" s="478">
        <f t="shared" ca="1" si="6"/>
        <v>38.978082191780821</v>
      </c>
      <c r="U10" s="478">
        <f t="shared" ca="1" si="7"/>
        <v>39</v>
      </c>
      <c r="V10" s="479">
        <f t="shared" ca="1" si="4"/>
        <v>118809.60000000001</v>
      </c>
      <c r="W10" s="489">
        <v>0</v>
      </c>
      <c r="X10" s="481">
        <f t="shared" ca="1" si="8"/>
        <v>144947.712</v>
      </c>
      <c r="Y10" s="466"/>
    </row>
    <row r="11" spans="1:25" s="340" customFormat="1" ht="36">
      <c r="A11" s="350">
        <v>0</v>
      </c>
      <c r="B11" s="361" t="s">
        <v>988</v>
      </c>
      <c r="C11" s="361">
        <v>546704</v>
      </c>
      <c r="D11" s="361" t="s">
        <v>989</v>
      </c>
      <c r="E11" s="362"/>
      <c r="F11" s="362">
        <f>(G11+I11)*P11+L11</f>
        <v>6300</v>
      </c>
      <c r="G11" s="363">
        <v>105</v>
      </c>
      <c r="H11" s="363">
        <v>1.3332999999999999</v>
      </c>
      <c r="I11" s="363"/>
      <c r="J11" s="363">
        <f t="shared" si="0"/>
        <v>23.393325999999998</v>
      </c>
      <c r="K11" s="363">
        <f t="shared" si="5"/>
        <v>129.72662599999998</v>
      </c>
      <c r="L11" s="364">
        <v>0</v>
      </c>
      <c r="M11" s="365">
        <v>43617</v>
      </c>
      <c r="N11" s="365">
        <v>45504</v>
      </c>
      <c r="O11" s="474"/>
      <c r="P11" s="475">
        <v>60</v>
      </c>
      <c r="Q11" s="476">
        <f t="shared" ca="1" si="1"/>
        <v>61.065753424657537</v>
      </c>
      <c r="R11" s="477">
        <f t="shared" ca="1" si="2"/>
        <v>101.77625570776257</v>
      </c>
      <c r="S11" s="477">
        <f t="shared" ca="1" si="3"/>
        <v>-1.7762557077625729</v>
      </c>
      <c r="T11" s="478">
        <f t="shared" ca="1" si="6"/>
        <v>-1.0657534246575366</v>
      </c>
      <c r="U11" s="478">
        <f t="shared" ca="1" si="7"/>
        <v>-1</v>
      </c>
      <c r="V11" s="479">
        <f t="shared" ca="1" si="4"/>
        <v>-106.33329999999999</v>
      </c>
      <c r="W11" s="489"/>
      <c r="X11" s="491">
        <f t="shared" ca="1" si="8"/>
        <v>-129.72662599999998</v>
      </c>
      <c r="Y11" s="466"/>
    </row>
    <row r="12" spans="1:25" s="340" customFormat="1" ht="54">
      <c r="A12" s="350">
        <v>40</v>
      </c>
      <c r="B12" s="379" t="s">
        <v>1001</v>
      </c>
      <c r="C12" s="379">
        <v>1457279</v>
      </c>
      <c r="D12" s="379" t="s">
        <v>1002</v>
      </c>
      <c r="E12" s="362">
        <v>410000</v>
      </c>
      <c r="F12" s="362">
        <f t="shared" ref="F12:F23" si="9">G12*P12+L12</f>
        <v>439500.16</v>
      </c>
      <c r="G12" s="363">
        <v>6754.24</v>
      </c>
      <c r="H12" s="363">
        <v>9</v>
      </c>
      <c r="I12" s="363"/>
      <c r="J12" s="363">
        <f t="shared" si="0"/>
        <v>1487.9128000000001</v>
      </c>
      <c r="K12" s="363">
        <f t="shared" si="5"/>
        <v>8251.1527999999998</v>
      </c>
      <c r="L12" s="364">
        <v>41000</v>
      </c>
      <c r="M12" s="380">
        <v>42734</v>
      </c>
      <c r="N12" s="492">
        <v>44985</v>
      </c>
      <c r="O12" s="493">
        <v>16</v>
      </c>
      <c r="P12" s="475">
        <v>59</v>
      </c>
      <c r="Q12" s="476">
        <f t="shared" ca="1" si="1"/>
        <v>74.095890410958901</v>
      </c>
      <c r="R12" s="477">
        <f t="shared" ca="1" si="2"/>
        <v>123.19936967697922</v>
      </c>
      <c r="S12" s="477">
        <f t="shared" ca="1" si="3"/>
        <v>-23.199369676979217</v>
      </c>
      <c r="T12" s="478">
        <f t="shared" ca="1" si="6"/>
        <v>-15.095890410958901</v>
      </c>
      <c r="U12" s="478">
        <f t="shared" ca="1" si="7"/>
        <v>-15</v>
      </c>
      <c r="V12" s="479">
        <f t="shared" ca="1" si="4"/>
        <v>-101448.59999999999</v>
      </c>
      <c r="W12" s="489">
        <v>4100</v>
      </c>
      <c r="X12" s="491">
        <f t="shared" ca="1" si="8"/>
        <v>-123767.292</v>
      </c>
      <c r="Y12" s="466"/>
    </row>
    <row r="13" spans="1:25" s="340" customFormat="1" ht="54">
      <c r="A13" s="350">
        <v>41</v>
      </c>
      <c r="B13" s="361" t="s">
        <v>1003</v>
      </c>
      <c r="C13" s="385">
        <v>1010343</v>
      </c>
      <c r="D13" s="361" t="s">
        <v>1004</v>
      </c>
      <c r="E13" s="362">
        <v>610000</v>
      </c>
      <c r="F13" s="362">
        <f t="shared" si="9"/>
        <v>629827.20000000007</v>
      </c>
      <c r="G13" s="363">
        <v>10497.12</v>
      </c>
      <c r="H13" s="363">
        <v>1.5</v>
      </c>
      <c r="I13" s="363"/>
      <c r="J13" s="363">
        <f t="shared" si="0"/>
        <v>2309.6964000000003</v>
      </c>
      <c r="K13" s="363">
        <f t="shared" si="5"/>
        <v>12808.316400000002</v>
      </c>
      <c r="L13" s="364">
        <v>10497.12</v>
      </c>
      <c r="M13" s="365">
        <v>42767</v>
      </c>
      <c r="N13" s="492">
        <v>44986</v>
      </c>
      <c r="O13" s="493">
        <v>15</v>
      </c>
      <c r="P13" s="475">
        <v>59</v>
      </c>
      <c r="Q13" s="476">
        <f t="shared" ca="1" si="1"/>
        <v>74.010958904109586</v>
      </c>
      <c r="R13" s="477">
        <f t="shared" ca="1" si="2"/>
        <v>125.01826484018264</v>
      </c>
      <c r="S13" s="477">
        <f t="shared" ca="1" si="3"/>
        <v>-25.018264840182638</v>
      </c>
      <c r="T13" s="478">
        <f t="shared" ca="1" si="6"/>
        <v>-15.010958904109586</v>
      </c>
      <c r="U13" s="478">
        <f t="shared" ca="1" si="7"/>
        <v>-15</v>
      </c>
      <c r="V13" s="479">
        <f t="shared" ca="1" si="4"/>
        <v>-157479.30000000002</v>
      </c>
      <c r="W13" s="489">
        <v>6100</v>
      </c>
      <c r="X13" s="481">
        <f t="shared" ca="1" si="8"/>
        <v>-192124.74600000001</v>
      </c>
      <c r="Y13" s="466"/>
    </row>
    <row r="14" spans="1:25" s="340" customFormat="1" ht="54">
      <c r="A14" s="494">
        <v>45</v>
      </c>
      <c r="B14" s="361" t="s">
        <v>1003</v>
      </c>
      <c r="C14" s="385">
        <v>1012818</v>
      </c>
      <c r="D14" s="361" t="s">
        <v>1005</v>
      </c>
      <c r="E14" s="362">
        <v>1130000</v>
      </c>
      <c r="F14" s="362">
        <f t="shared" si="9"/>
        <v>1157910.55</v>
      </c>
      <c r="G14" s="363">
        <v>19300.54</v>
      </c>
      <c r="H14" s="363">
        <v>3</v>
      </c>
      <c r="I14" s="363"/>
      <c r="J14" s="363">
        <f t="shared" si="0"/>
        <v>4246.7788</v>
      </c>
      <c r="K14" s="363">
        <f t="shared" si="5"/>
        <v>23550.318800000001</v>
      </c>
      <c r="L14" s="364">
        <v>19178.689999999999</v>
      </c>
      <c r="M14" s="365">
        <v>42954</v>
      </c>
      <c r="N14" s="492">
        <v>45176</v>
      </c>
      <c r="O14" s="493">
        <v>15</v>
      </c>
      <c r="P14" s="475">
        <v>59</v>
      </c>
      <c r="Q14" s="476">
        <f t="shared" ca="1" si="1"/>
        <v>67.863013698630141</v>
      </c>
      <c r="R14" s="477">
        <f t="shared" ca="1" si="2"/>
        <v>114.77324396180333</v>
      </c>
      <c r="S14" s="477">
        <f t="shared" ca="1" si="3"/>
        <v>-14.773243961803331</v>
      </c>
      <c r="T14" s="478">
        <f t="shared" ca="1" si="6"/>
        <v>-8.8630136986301409</v>
      </c>
      <c r="U14" s="478">
        <f t="shared" ca="1" si="7"/>
        <v>-9</v>
      </c>
      <c r="V14" s="479">
        <f t="shared" ca="1" si="4"/>
        <v>-173731.86000000002</v>
      </c>
      <c r="W14" s="495">
        <v>11300</v>
      </c>
      <c r="X14" s="481">
        <f t="shared" ca="1" si="8"/>
        <v>-211952.86920000002</v>
      </c>
      <c r="Y14" s="450"/>
    </row>
    <row r="15" spans="1:25" ht="36">
      <c r="A15" s="350">
        <v>49</v>
      </c>
      <c r="B15" s="385" t="s">
        <v>1006</v>
      </c>
      <c r="C15" s="385">
        <v>372734</v>
      </c>
      <c r="D15" s="361" t="s">
        <v>1007</v>
      </c>
      <c r="E15" s="362">
        <v>675000</v>
      </c>
      <c r="F15" s="362">
        <f t="shared" si="9"/>
        <v>690786.62</v>
      </c>
      <c r="G15" s="386">
        <v>10564.18</v>
      </c>
      <c r="H15" s="386">
        <v>4</v>
      </c>
      <c r="I15" s="386"/>
      <c r="J15" s="386">
        <f t="shared" si="0"/>
        <v>2324.9996000000001</v>
      </c>
      <c r="K15" s="386">
        <f t="shared" si="5"/>
        <v>12893.179599999999</v>
      </c>
      <c r="L15" s="387">
        <v>67500</v>
      </c>
      <c r="M15" s="388">
        <v>43101</v>
      </c>
      <c r="N15" s="496">
        <v>45292</v>
      </c>
      <c r="O15" s="497">
        <v>14</v>
      </c>
      <c r="P15" s="498">
        <v>59</v>
      </c>
      <c r="Q15" s="476">
        <f t="shared" ca="1" si="1"/>
        <v>64.030136986301372</v>
      </c>
      <c r="R15" s="477">
        <f t="shared" ca="1" si="2"/>
        <v>107.69257409009242</v>
      </c>
      <c r="S15" s="477">
        <f t="shared" ca="1" si="3"/>
        <v>-7.6925740900924211</v>
      </c>
      <c r="T15" s="478">
        <f t="shared" ca="1" si="6"/>
        <v>-5.0301369863013718</v>
      </c>
      <c r="U15" s="478">
        <f t="shared" ca="1" si="7"/>
        <v>-5</v>
      </c>
      <c r="V15" s="479">
        <f t="shared" ca="1" si="4"/>
        <v>-52840.9</v>
      </c>
      <c r="W15" s="495">
        <v>6750</v>
      </c>
      <c r="X15" s="481">
        <f t="shared" ca="1" si="8"/>
        <v>-64465.898000000001</v>
      </c>
      <c r="Y15" s="450"/>
    </row>
    <row r="16" spans="1:25" s="340" customFormat="1" ht="54">
      <c r="A16" s="499">
        <v>50</v>
      </c>
      <c r="B16" s="395" t="s">
        <v>1017</v>
      </c>
      <c r="C16" s="395">
        <v>3908725</v>
      </c>
      <c r="D16" s="395" t="s">
        <v>1094</v>
      </c>
      <c r="E16" s="397">
        <v>17000</v>
      </c>
      <c r="F16" s="397">
        <f t="shared" si="9"/>
        <v>18564</v>
      </c>
      <c r="G16" s="363">
        <v>309.39999999999998</v>
      </c>
      <c r="H16" s="363">
        <v>3</v>
      </c>
      <c r="I16" s="363"/>
      <c r="J16" s="363">
        <f t="shared" si="0"/>
        <v>68.727999999999994</v>
      </c>
      <c r="K16" s="363">
        <f t="shared" si="5"/>
        <v>381.12799999999999</v>
      </c>
      <c r="L16" s="364">
        <v>0</v>
      </c>
      <c r="M16" s="365">
        <v>43131</v>
      </c>
      <c r="N16" s="500">
        <v>44926</v>
      </c>
      <c r="O16" s="474"/>
      <c r="P16" s="475">
        <v>60</v>
      </c>
      <c r="Q16" s="501">
        <f t="shared" ca="1" si="1"/>
        <v>77.043835616438358</v>
      </c>
      <c r="R16" s="502">
        <f t="shared" ca="1" si="2"/>
        <v>128.40639269406392</v>
      </c>
      <c r="S16" s="502">
        <f t="shared" ca="1" si="3"/>
        <v>-28.406392694063925</v>
      </c>
      <c r="T16" s="503">
        <f t="shared" ca="1" si="6"/>
        <v>-17.043835616438358</v>
      </c>
      <c r="U16" s="503">
        <f t="shared" ca="1" si="7"/>
        <v>-17</v>
      </c>
      <c r="V16" s="504">
        <f t="shared" ca="1" si="4"/>
        <v>-5310.7999999999993</v>
      </c>
      <c r="W16" s="489">
        <v>170</v>
      </c>
      <c r="X16" s="491">
        <f t="shared" ca="1" si="8"/>
        <v>-6479.1759999999995</v>
      </c>
      <c r="Y16" s="466"/>
    </row>
    <row r="17" spans="1:25" s="340" customFormat="1" ht="63.2" customHeight="1">
      <c r="A17" s="350">
        <v>51</v>
      </c>
      <c r="B17" s="361" t="s">
        <v>1017</v>
      </c>
      <c r="C17" s="361">
        <v>3908703</v>
      </c>
      <c r="D17" s="361" t="s">
        <v>1095</v>
      </c>
      <c r="E17" s="362">
        <v>15000</v>
      </c>
      <c r="F17" s="362">
        <f t="shared" si="9"/>
        <v>16380</v>
      </c>
      <c r="G17" s="363">
        <v>273</v>
      </c>
      <c r="H17" s="363">
        <v>3</v>
      </c>
      <c r="I17" s="363"/>
      <c r="J17" s="363">
        <f t="shared" si="0"/>
        <v>60.72</v>
      </c>
      <c r="K17" s="363">
        <f t="shared" si="5"/>
        <v>336.72</v>
      </c>
      <c r="L17" s="364">
        <v>0</v>
      </c>
      <c r="M17" s="365">
        <v>43131</v>
      </c>
      <c r="N17" s="500">
        <v>44926</v>
      </c>
      <c r="O17" s="474"/>
      <c r="P17" s="475">
        <v>60</v>
      </c>
      <c r="Q17" s="476">
        <f t="shared" ca="1" si="1"/>
        <v>77.043835616438358</v>
      </c>
      <c r="R17" s="477">
        <f t="shared" ca="1" si="2"/>
        <v>128.40639269406395</v>
      </c>
      <c r="S17" s="477">
        <f t="shared" ca="1" si="3"/>
        <v>-28.406392694063953</v>
      </c>
      <c r="T17" s="478">
        <f t="shared" ca="1" si="6"/>
        <v>-17.043835616438358</v>
      </c>
      <c r="U17" s="478">
        <f t="shared" ca="1" si="7"/>
        <v>-17</v>
      </c>
      <c r="V17" s="479">
        <f t="shared" ca="1" si="4"/>
        <v>-4692</v>
      </c>
      <c r="W17" s="489">
        <v>150</v>
      </c>
      <c r="X17" s="491">
        <f t="shared" ca="1" si="8"/>
        <v>-5724.2400000000007</v>
      </c>
      <c r="Y17" s="466"/>
    </row>
    <row r="18" spans="1:25" s="340" customFormat="1" ht="36">
      <c r="A18" s="350">
        <v>52</v>
      </c>
      <c r="B18" s="361" t="s">
        <v>1001</v>
      </c>
      <c r="C18" s="361">
        <v>1469055</v>
      </c>
      <c r="D18" s="361" t="s">
        <v>1008</v>
      </c>
      <c r="E18" s="362">
        <v>90000</v>
      </c>
      <c r="F18" s="362">
        <f t="shared" si="9"/>
        <v>94357.800000000017</v>
      </c>
      <c r="G18" s="363">
        <v>1572.63</v>
      </c>
      <c r="H18" s="363">
        <v>9</v>
      </c>
      <c r="I18" s="363"/>
      <c r="J18" s="363">
        <f t="shared" si="0"/>
        <v>347.95859999999999</v>
      </c>
      <c r="K18" s="363">
        <f t="shared" si="5"/>
        <v>1929.5886</v>
      </c>
      <c r="L18" s="364">
        <v>1572.63</v>
      </c>
      <c r="M18" s="365">
        <v>43204</v>
      </c>
      <c r="N18" s="492">
        <v>45426</v>
      </c>
      <c r="O18" s="493">
        <v>15</v>
      </c>
      <c r="P18" s="475">
        <v>59</v>
      </c>
      <c r="Q18" s="476">
        <f t="shared" ca="1" si="1"/>
        <v>59.643835616438352</v>
      </c>
      <c r="R18" s="477">
        <f t="shared" ca="1" si="2"/>
        <v>101.0730593607306</v>
      </c>
      <c r="S18" s="477">
        <f t="shared" ca="1" si="3"/>
        <v>-1.0730593607305963</v>
      </c>
      <c r="T18" s="478">
        <f t="shared" ca="1" si="6"/>
        <v>-0.64383561643835208</v>
      </c>
      <c r="U18" s="478">
        <f t="shared" ca="1" si="7"/>
        <v>-1</v>
      </c>
      <c r="V18" s="479">
        <f t="shared" ca="1" si="4"/>
        <v>-1581.63</v>
      </c>
      <c r="W18" s="495">
        <v>900</v>
      </c>
      <c r="X18" s="491">
        <f t="shared" ca="1" si="8"/>
        <v>-1929.5886</v>
      </c>
      <c r="Y18" s="466"/>
    </row>
    <row r="19" spans="1:25" s="340" customFormat="1" ht="33">
      <c r="A19" s="350">
        <v>53</v>
      </c>
      <c r="B19" s="361" t="s">
        <v>1009</v>
      </c>
      <c r="C19" s="361">
        <v>1674136</v>
      </c>
      <c r="D19" s="399" t="s">
        <v>1010</v>
      </c>
      <c r="E19" s="362">
        <v>188019.74</v>
      </c>
      <c r="F19" s="362">
        <f t="shared" si="9"/>
        <v>199288.67</v>
      </c>
      <c r="G19" s="363">
        <v>3059.13</v>
      </c>
      <c r="H19" s="363">
        <v>3.5</v>
      </c>
      <c r="I19" s="363"/>
      <c r="J19" s="363">
        <f t="shared" si="0"/>
        <v>673.77859999999998</v>
      </c>
      <c r="K19" s="363">
        <f t="shared" si="5"/>
        <v>3736.4086000000002</v>
      </c>
      <c r="L19" s="364">
        <v>18800</v>
      </c>
      <c r="M19" s="365">
        <v>43221</v>
      </c>
      <c r="N19" s="365">
        <v>44986</v>
      </c>
      <c r="O19" s="474"/>
      <c r="P19" s="475">
        <v>59</v>
      </c>
      <c r="Q19" s="476">
        <f t="shared" ca="1" si="1"/>
        <v>74.084931506849315</v>
      </c>
      <c r="R19" s="477">
        <f t="shared" ca="1" si="2"/>
        <v>123.15574012338379</v>
      </c>
      <c r="S19" s="477">
        <f t="shared" ca="1" si="3"/>
        <v>-23.155740123383794</v>
      </c>
      <c r="T19" s="478">
        <f t="shared" ca="1" si="6"/>
        <v>-15.084931506849315</v>
      </c>
      <c r="U19" s="478">
        <f t="shared" ca="1" si="7"/>
        <v>-15</v>
      </c>
      <c r="V19" s="479">
        <f t="shared" ca="1" si="4"/>
        <v>-45939.450000000004</v>
      </c>
      <c r="W19" s="495">
        <v>1880</v>
      </c>
      <c r="X19" s="491">
        <f t="shared" ca="1" si="8"/>
        <v>-56046.129000000001</v>
      </c>
      <c r="Y19" s="466" t="s">
        <v>1096</v>
      </c>
    </row>
    <row r="20" spans="1:25" s="340" customFormat="1" ht="36">
      <c r="A20" s="350">
        <v>60</v>
      </c>
      <c r="B20" s="361" t="s">
        <v>1001</v>
      </c>
      <c r="C20" s="361">
        <v>1470378</v>
      </c>
      <c r="D20" s="361" t="s">
        <v>1011</v>
      </c>
      <c r="E20" s="362">
        <v>90000</v>
      </c>
      <c r="F20" s="362">
        <f t="shared" si="9"/>
        <v>94825.8</v>
      </c>
      <c r="G20" s="363">
        <v>1580.43</v>
      </c>
      <c r="H20" s="363">
        <v>9</v>
      </c>
      <c r="I20" s="363"/>
      <c r="J20" s="363">
        <f t="shared" si="0"/>
        <v>349.6746</v>
      </c>
      <c r="K20" s="363">
        <f t="shared" si="5"/>
        <v>1939.1046000000001</v>
      </c>
      <c r="L20" s="364">
        <v>1580.43</v>
      </c>
      <c r="M20" s="365">
        <v>43266</v>
      </c>
      <c r="N20" s="492">
        <v>45488</v>
      </c>
      <c r="O20" s="493">
        <v>15</v>
      </c>
      <c r="P20" s="475">
        <v>59</v>
      </c>
      <c r="Q20" s="476">
        <f t="shared" ca="1" si="1"/>
        <v>57.605479452054794</v>
      </c>
      <c r="R20" s="477">
        <f t="shared" ca="1" si="2"/>
        <v>97.675799086757991</v>
      </c>
      <c r="S20" s="477">
        <f t="shared" ca="1" si="3"/>
        <v>2.3242009132420094</v>
      </c>
      <c r="T20" s="478">
        <f t="shared" ca="1" si="6"/>
        <v>1.3945205479452056</v>
      </c>
      <c r="U20" s="478">
        <f t="shared" ca="1" si="7"/>
        <v>1</v>
      </c>
      <c r="V20" s="479">
        <f t="shared" ca="1" si="4"/>
        <v>1589.43</v>
      </c>
      <c r="W20" s="495">
        <v>900</v>
      </c>
      <c r="X20" s="491">
        <f t="shared" ca="1" si="8"/>
        <v>1939.1046000000001</v>
      </c>
      <c r="Y20" s="466"/>
    </row>
    <row r="21" spans="1:25" s="340" customFormat="1" ht="54">
      <c r="A21" s="350">
        <v>71</v>
      </c>
      <c r="B21" s="361" t="s">
        <v>1003</v>
      </c>
      <c r="C21" s="361">
        <v>1019737</v>
      </c>
      <c r="D21" s="361" t="s">
        <v>1012</v>
      </c>
      <c r="E21" s="362">
        <v>380000</v>
      </c>
      <c r="F21" s="362">
        <f t="shared" si="9"/>
        <v>383644.22</v>
      </c>
      <c r="G21" s="363">
        <v>6394.34</v>
      </c>
      <c r="H21" s="363">
        <v>161.33000000000001</v>
      </c>
      <c r="I21" s="363"/>
      <c r="J21" s="363">
        <f t="shared" si="0"/>
        <v>1442.2474</v>
      </c>
      <c r="K21" s="363">
        <f t="shared" si="5"/>
        <v>7997.9174000000003</v>
      </c>
      <c r="L21" s="364">
        <v>6378.16</v>
      </c>
      <c r="M21" s="365">
        <v>43466</v>
      </c>
      <c r="N21" s="492">
        <v>45689</v>
      </c>
      <c r="O21" s="493">
        <v>15</v>
      </c>
      <c r="P21" s="475">
        <v>59</v>
      </c>
      <c r="Q21" s="476">
        <f t="shared" ca="1" si="1"/>
        <v>51.030136986301372</v>
      </c>
      <c r="R21" s="477">
        <f t="shared" ca="1" si="2"/>
        <v>86.716334768965453</v>
      </c>
      <c r="S21" s="477">
        <f t="shared" ca="1" si="3"/>
        <v>13.283665231034547</v>
      </c>
      <c r="T21" s="478">
        <f t="shared" ca="1" si="6"/>
        <v>7.9698630136986282</v>
      </c>
      <c r="U21" s="478">
        <f t="shared" ca="1" si="7"/>
        <v>8</v>
      </c>
      <c r="V21" s="479">
        <f t="shared" ca="1" si="4"/>
        <v>52445.36</v>
      </c>
      <c r="W21" s="489">
        <v>3800</v>
      </c>
      <c r="X21" s="491">
        <f t="shared" ca="1" si="8"/>
        <v>63983.339200000002</v>
      </c>
      <c r="Y21" s="466"/>
    </row>
    <row r="22" spans="1:25" s="340" customFormat="1" ht="56.25" customHeight="1">
      <c r="A22" s="350">
        <v>72</v>
      </c>
      <c r="B22" s="361" t="s">
        <v>1013</v>
      </c>
      <c r="C22" s="361">
        <v>4173887</v>
      </c>
      <c r="D22" s="361" t="s">
        <v>1014</v>
      </c>
      <c r="E22" s="362">
        <v>195000</v>
      </c>
      <c r="F22" s="362">
        <f t="shared" si="9"/>
        <v>206994.59999999998</v>
      </c>
      <c r="G22" s="363">
        <v>3449.91</v>
      </c>
      <c r="H22" s="363">
        <v>2</v>
      </c>
      <c r="I22" s="363"/>
      <c r="J22" s="363">
        <f t="shared" si="0"/>
        <v>759.42019999999991</v>
      </c>
      <c r="K22" s="363">
        <f t="shared" si="5"/>
        <v>4211.3301999999994</v>
      </c>
      <c r="L22" s="364">
        <v>0</v>
      </c>
      <c r="M22" s="365">
        <v>43404</v>
      </c>
      <c r="N22" s="500">
        <v>45199</v>
      </c>
      <c r="O22" s="474"/>
      <c r="P22" s="475">
        <v>60</v>
      </c>
      <c r="Q22" s="476">
        <f t="shared" ca="1" si="1"/>
        <v>68.06849315068493</v>
      </c>
      <c r="R22" s="477">
        <f t="shared" ca="1" si="2"/>
        <v>113.4474885844749</v>
      </c>
      <c r="S22" s="477">
        <f t="shared" ca="1" si="3"/>
        <v>-13.447488584474897</v>
      </c>
      <c r="T22" s="478">
        <f t="shared" ca="1" si="6"/>
        <v>-8.0684931506849296</v>
      </c>
      <c r="U22" s="478">
        <f t="shared" ca="1" si="7"/>
        <v>-8</v>
      </c>
      <c r="V22" s="479">
        <f t="shared" ca="1" si="4"/>
        <v>-27615.279999999999</v>
      </c>
      <c r="W22" s="489">
        <v>1950</v>
      </c>
      <c r="X22" s="491">
        <f t="shared" ca="1" si="8"/>
        <v>-33690.641599999995</v>
      </c>
      <c r="Y22" s="466"/>
    </row>
    <row r="23" spans="1:25" s="340" customFormat="1" ht="36">
      <c r="A23" s="350">
        <v>76</v>
      </c>
      <c r="B23" s="361" t="s">
        <v>1001</v>
      </c>
      <c r="C23" s="361">
        <v>1478342</v>
      </c>
      <c r="D23" s="361" t="s">
        <v>1015</v>
      </c>
      <c r="E23" s="362">
        <v>36885.25</v>
      </c>
      <c r="F23" s="362">
        <f t="shared" si="9"/>
        <v>37888.920000000006</v>
      </c>
      <c r="G23" s="363">
        <v>1052.47</v>
      </c>
      <c r="H23" s="363">
        <v>7.5</v>
      </c>
      <c r="I23" s="363"/>
      <c r="J23" s="363">
        <f t="shared" si="0"/>
        <v>233.1934</v>
      </c>
      <c r="K23" s="363">
        <f t="shared" si="5"/>
        <v>1293.1633999999999</v>
      </c>
      <c r="L23" s="364">
        <v>1052.47</v>
      </c>
      <c r="M23" s="365">
        <v>43680</v>
      </c>
      <c r="N23" s="492">
        <v>45172</v>
      </c>
      <c r="O23" s="493">
        <v>15</v>
      </c>
      <c r="P23" s="475">
        <v>35</v>
      </c>
      <c r="Q23" s="476">
        <f t="shared" ca="1" si="1"/>
        <v>43.994520547945207</v>
      </c>
      <c r="R23" s="477">
        <f t="shared" ca="1" si="2"/>
        <v>124.98477929984777</v>
      </c>
      <c r="S23" s="477">
        <f t="shared" ca="1" si="3"/>
        <v>-24.984779299847773</v>
      </c>
      <c r="T23" s="478">
        <f t="shared" ca="1" si="6"/>
        <v>-8.9945205479452071</v>
      </c>
      <c r="U23" s="478">
        <f t="shared" ca="1" si="7"/>
        <v>-9</v>
      </c>
      <c r="V23" s="479">
        <f t="shared" ca="1" si="4"/>
        <v>-9539.73</v>
      </c>
      <c r="W23" s="489">
        <v>368.85</v>
      </c>
      <c r="X23" s="491">
        <f t="shared" ca="1" si="8"/>
        <v>-11638.470599999999</v>
      </c>
      <c r="Y23" s="466"/>
    </row>
    <row r="24" spans="1:25" s="340" customFormat="1" ht="18.75">
      <c r="A24" s="350">
        <v>78</v>
      </c>
      <c r="B24" s="361" t="s">
        <v>953</v>
      </c>
      <c r="C24" s="361">
        <v>7118823</v>
      </c>
      <c r="D24" s="361" t="s">
        <v>1016</v>
      </c>
      <c r="E24" s="362">
        <v>23000</v>
      </c>
      <c r="F24" s="362">
        <f>(G24+I24)*P24+L24</f>
        <v>27936</v>
      </c>
      <c r="G24" s="363">
        <v>504.12</v>
      </c>
      <c r="H24" s="363">
        <v>3.5</v>
      </c>
      <c r="I24" s="363">
        <v>77.88</v>
      </c>
      <c r="J24" s="363">
        <f t="shared" si="0"/>
        <v>111.6764</v>
      </c>
      <c r="K24" s="363">
        <f t="shared" si="5"/>
        <v>697.17640000000006</v>
      </c>
      <c r="L24" s="364">
        <v>0</v>
      </c>
      <c r="M24" s="365">
        <v>43526</v>
      </c>
      <c r="N24" s="365">
        <v>44959</v>
      </c>
      <c r="O24" s="474"/>
      <c r="P24" s="475">
        <v>48</v>
      </c>
      <c r="Q24" s="476">
        <f t="shared" ca="1" si="1"/>
        <v>64.057534246575344</v>
      </c>
      <c r="R24" s="477">
        <f t="shared" ca="1" si="2"/>
        <v>115.59523254719201</v>
      </c>
      <c r="S24" s="477">
        <f t="shared" ca="1" si="3"/>
        <v>-15.595232547192012</v>
      </c>
      <c r="T24" s="478">
        <f t="shared" ca="1" si="6"/>
        <v>-16.057534246575344</v>
      </c>
      <c r="U24" s="478">
        <f t="shared" ca="1" si="7"/>
        <v>-16</v>
      </c>
      <c r="V24" s="479">
        <f t="shared" ca="1" si="4"/>
        <v>-9368</v>
      </c>
      <c r="W24" s="489">
        <v>230</v>
      </c>
      <c r="X24" s="491">
        <f t="shared" ca="1" si="8"/>
        <v>-11154.822400000001</v>
      </c>
      <c r="Y24" s="466"/>
    </row>
    <row r="25" spans="1:25" s="340" customFormat="1" ht="54">
      <c r="A25" s="350">
        <v>79</v>
      </c>
      <c r="B25" s="361" t="s">
        <v>1017</v>
      </c>
      <c r="C25" s="361">
        <v>4229048</v>
      </c>
      <c r="D25" s="361" t="s">
        <v>1018</v>
      </c>
      <c r="E25" s="362">
        <v>17300</v>
      </c>
      <c r="F25" s="362">
        <f t="shared" ref="F25:F34" si="10">G25*P25+L25</f>
        <v>18331.199999999997</v>
      </c>
      <c r="G25" s="363">
        <v>381.9</v>
      </c>
      <c r="H25" s="363">
        <v>3</v>
      </c>
      <c r="I25" s="363"/>
      <c r="J25" s="363">
        <f t="shared" si="0"/>
        <v>84.677999999999997</v>
      </c>
      <c r="K25" s="363">
        <f t="shared" si="5"/>
        <v>469.57799999999997</v>
      </c>
      <c r="L25" s="364">
        <v>0</v>
      </c>
      <c r="M25" s="365">
        <v>43600</v>
      </c>
      <c r="N25" s="500">
        <v>45031</v>
      </c>
      <c r="O25" s="474"/>
      <c r="P25" s="475">
        <v>48</v>
      </c>
      <c r="Q25" s="476">
        <f t="shared" ca="1" si="1"/>
        <v>61.62465753424658</v>
      </c>
      <c r="R25" s="477">
        <f t="shared" ca="1" si="2"/>
        <v>128.38470319634706</v>
      </c>
      <c r="S25" s="477">
        <f t="shared" ca="1" si="3"/>
        <v>-28.384703196347061</v>
      </c>
      <c r="T25" s="478">
        <f t="shared" ca="1" si="6"/>
        <v>-13.62465753424658</v>
      </c>
      <c r="U25" s="478">
        <f t="shared" ca="1" si="7"/>
        <v>-14</v>
      </c>
      <c r="V25" s="479">
        <f t="shared" ca="1" si="4"/>
        <v>-5388.5999999999995</v>
      </c>
      <c r="W25" s="489">
        <v>173</v>
      </c>
      <c r="X25" s="491">
        <f t="shared" ca="1" si="8"/>
        <v>-6574.0919999999996</v>
      </c>
      <c r="Y25" s="466"/>
    </row>
    <row r="26" spans="1:25" s="340" customFormat="1" ht="54">
      <c r="A26" s="350">
        <v>80</v>
      </c>
      <c r="B26" s="361" t="s">
        <v>1017</v>
      </c>
      <c r="C26" s="361">
        <v>4239444</v>
      </c>
      <c r="D26" s="361" t="s">
        <v>1019</v>
      </c>
      <c r="E26" s="362">
        <v>17300</v>
      </c>
      <c r="F26" s="362">
        <f t="shared" si="10"/>
        <v>18331.199999999997</v>
      </c>
      <c r="G26" s="363">
        <v>381.9</v>
      </c>
      <c r="H26" s="363">
        <v>3</v>
      </c>
      <c r="I26" s="363"/>
      <c r="J26" s="363">
        <f t="shared" si="0"/>
        <v>84.677999999999997</v>
      </c>
      <c r="K26" s="363">
        <f t="shared" si="5"/>
        <v>469.57799999999997</v>
      </c>
      <c r="L26" s="364">
        <v>0</v>
      </c>
      <c r="M26" s="365">
        <v>43600</v>
      </c>
      <c r="N26" s="500">
        <v>45031</v>
      </c>
      <c r="O26" s="474"/>
      <c r="P26" s="475">
        <v>48</v>
      </c>
      <c r="Q26" s="476">
        <f t="shared" ca="1" si="1"/>
        <v>61.62465753424658</v>
      </c>
      <c r="R26" s="477">
        <f t="shared" ca="1" si="2"/>
        <v>128.38470319634706</v>
      </c>
      <c r="S26" s="477">
        <f t="shared" ca="1" si="3"/>
        <v>-28.384703196347061</v>
      </c>
      <c r="T26" s="478">
        <f t="shared" ca="1" si="6"/>
        <v>-13.62465753424658</v>
      </c>
      <c r="U26" s="478">
        <f t="shared" ca="1" si="7"/>
        <v>-14</v>
      </c>
      <c r="V26" s="479">
        <f t="shared" ca="1" si="4"/>
        <v>-5388.5999999999995</v>
      </c>
      <c r="W26" s="489">
        <v>173</v>
      </c>
      <c r="X26" s="491">
        <f t="shared" ca="1" si="8"/>
        <v>-6574.0919999999996</v>
      </c>
      <c r="Y26" s="466"/>
    </row>
    <row r="27" spans="1:25" s="340" customFormat="1" ht="72">
      <c r="A27" s="350">
        <v>81</v>
      </c>
      <c r="B27" s="361" t="s">
        <v>1001</v>
      </c>
      <c r="C27" s="361">
        <v>1476378</v>
      </c>
      <c r="D27" s="361" t="s">
        <v>1020</v>
      </c>
      <c r="E27" s="362">
        <v>135000</v>
      </c>
      <c r="F27" s="362">
        <f t="shared" si="10"/>
        <v>140799.6</v>
      </c>
      <c r="G27" s="363">
        <v>2346.66</v>
      </c>
      <c r="H27" s="363">
        <v>9</v>
      </c>
      <c r="I27" s="363"/>
      <c r="J27" s="363">
        <f t="shared" si="0"/>
        <v>518.24519999999995</v>
      </c>
      <c r="K27" s="363">
        <f t="shared" si="5"/>
        <v>2873.9051999999997</v>
      </c>
      <c r="L27" s="364">
        <v>2346.66</v>
      </c>
      <c r="M27" s="365">
        <v>43574</v>
      </c>
      <c r="N27" s="492">
        <v>45827</v>
      </c>
      <c r="O27" s="493">
        <v>16</v>
      </c>
      <c r="P27" s="475">
        <v>59</v>
      </c>
      <c r="Q27" s="476">
        <f t="shared" ca="1" si="1"/>
        <v>46.479452054794521</v>
      </c>
      <c r="R27" s="477">
        <f t="shared" ca="1" si="2"/>
        <v>79.132420091324192</v>
      </c>
      <c r="S27" s="477">
        <f t="shared" ca="1" si="3"/>
        <v>20.867579908675808</v>
      </c>
      <c r="T27" s="478">
        <f t="shared" ca="1" si="6"/>
        <v>12.520547945205479</v>
      </c>
      <c r="U27" s="478">
        <f t="shared" ca="1" si="7"/>
        <v>13</v>
      </c>
      <c r="V27" s="479">
        <f t="shared" ca="1" si="4"/>
        <v>30623.579999999998</v>
      </c>
      <c r="W27" s="489">
        <v>1350</v>
      </c>
      <c r="X27" s="491">
        <f t="shared" ca="1" si="8"/>
        <v>37360.767599999999</v>
      </c>
      <c r="Y27" s="466"/>
    </row>
    <row r="28" spans="1:25" s="340" customFormat="1" ht="70.5" customHeight="1">
      <c r="A28" s="350">
        <v>83</v>
      </c>
      <c r="B28" s="361" t="s">
        <v>1001</v>
      </c>
      <c r="C28" s="361">
        <v>1478346</v>
      </c>
      <c r="D28" s="361" t="s">
        <v>1021</v>
      </c>
      <c r="E28" s="362">
        <v>55500</v>
      </c>
      <c r="F28" s="362">
        <f t="shared" si="10"/>
        <v>57010.32</v>
      </c>
      <c r="G28" s="363">
        <v>1583.62</v>
      </c>
      <c r="H28" s="363">
        <v>2.5</v>
      </c>
      <c r="I28" s="363"/>
      <c r="J28" s="363">
        <f t="shared" si="0"/>
        <v>348.94639999999998</v>
      </c>
      <c r="K28" s="363">
        <f t="shared" si="5"/>
        <v>1935.0663999999999</v>
      </c>
      <c r="L28" s="364">
        <v>1583.62</v>
      </c>
      <c r="M28" s="365">
        <v>43673</v>
      </c>
      <c r="N28" s="492">
        <v>45196</v>
      </c>
      <c r="O28" s="493">
        <v>16</v>
      </c>
      <c r="P28" s="475">
        <v>35</v>
      </c>
      <c r="Q28" s="476">
        <f t="shared" ca="1" si="1"/>
        <v>43.224657534246575</v>
      </c>
      <c r="R28" s="477">
        <f t="shared" ca="1" si="2"/>
        <v>122.84627092846269</v>
      </c>
      <c r="S28" s="477">
        <f t="shared" ca="1" si="3"/>
        <v>-22.846270928462687</v>
      </c>
      <c r="T28" s="478">
        <f t="shared" ca="1" si="6"/>
        <v>-8.2246575342465746</v>
      </c>
      <c r="U28" s="478">
        <f t="shared" ca="1" si="7"/>
        <v>-8</v>
      </c>
      <c r="V28" s="479">
        <f t="shared" ca="1" si="4"/>
        <v>-12688.96</v>
      </c>
      <c r="W28" s="489">
        <v>555</v>
      </c>
      <c r="X28" s="491">
        <f t="shared" ca="1" si="8"/>
        <v>-15480.531199999999</v>
      </c>
      <c r="Y28" s="466"/>
    </row>
    <row r="29" spans="1:25" s="340" customFormat="1" ht="57" customHeight="1">
      <c r="A29" s="350">
        <v>84</v>
      </c>
      <c r="B29" s="400" t="s">
        <v>1001</v>
      </c>
      <c r="C29" s="400">
        <v>1478348</v>
      </c>
      <c r="D29" s="361" t="s">
        <v>1022</v>
      </c>
      <c r="E29" s="362">
        <v>10500</v>
      </c>
      <c r="F29" s="362">
        <f t="shared" si="10"/>
        <v>10825.559999999998</v>
      </c>
      <c r="G29" s="363">
        <v>300.70999999999998</v>
      </c>
      <c r="H29" s="363">
        <v>2.5</v>
      </c>
      <c r="I29" s="363"/>
      <c r="J29" s="363">
        <f t="shared" si="0"/>
        <v>66.706199999999995</v>
      </c>
      <c r="K29" s="363">
        <f t="shared" si="5"/>
        <v>369.9162</v>
      </c>
      <c r="L29" s="364">
        <v>300.70999999999998</v>
      </c>
      <c r="M29" s="365">
        <v>43686</v>
      </c>
      <c r="N29" s="492">
        <v>45178</v>
      </c>
      <c r="O29" s="493">
        <v>15</v>
      </c>
      <c r="P29" s="475">
        <v>35</v>
      </c>
      <c r="Q29" s="476">
        <f t="shared" ca="1" si="1"/>
        <v>43.797260273972611</v>
      </c>
      <c r="R29" s="477">
        <f t="shared" ca="1" si="2"/>
        <v>124.43683409436836</v>
      </c>
      <c r="S29" s="477">
        <f t="shared" ca="1" si="3"/>
        <v>-24.436834094368365</v>
      </c>
      <c r="T29" s="478">
        <f t="shared" ca="1" si="6"/>
        <v>-8.7972602739726113</v>
      </c>
      <c r="U29" s="478">
        <f t="shared" ca="1" si="7"/>
        <v>-9</v>
      </c>
      <c r="V29" s="479">
        <f t="shared" ca="1" si="4"/>
        <v>-2728.89</v>
      </c>
      <c r="W29" s="489">
        <v>105</v>
      </c>
      <c r="X29" s="491">
        <f t="shared" ca="1" si="8"/>
        <v>-3329.2458000000001</v>
      </c>
      <c r="Y29" s="466"/>
    </row>
    <row r="30" spans="1:25" s="340" customFormat="1" ht="57" customHeight="1">
      <c r="A30" s="350">
        <v>86</v>
      </c>
      <c r="B30" s="400" t="s">
        <v>1001</v>
      </c>
      <c r="C30" s="400">
        <v>1483473</v>
      </c>
      <c r="D30" s="361" t="s">
        <v>1023</v>
      </c>
      <c r="E30" s="362">
        <v>219000</v>
      </c>
      <c r="F30" s="362">
        <f t="shared" si="10"/>
        <v>227790.53</v>
      </c>
      <c r="G30" s="363">
        <v>3489.67</v>
      </c>
      <c r="H30" s="363">
        <v>4</v>
      </c>
      <c r="I30" s="363"/>
      <c r="J30" s="363">
        <f t="shared" si="0"/>
        <v>768.6074000000001</v>
      </c>
      <c r="K30" s="363">
        <f t="shared" si="5"/>
        <v>4262.2773999999999</v>
      </c>
      <c r="L30" s="364">
        <v>21900</v>
      </c>
      <c r="M30" s="365">
        <v>44081</v>
      </c>
      <c r="N30" s="365">
        <v>45845</v>
      </c>
      <c r="O30" s="474"/>
      <c r="P30" s="475">
        <v>59</v>
      </c>
      <c r="Q30" s="476">
        <f t="shared" ca="1" si="1"/>
        <v>45.81095890410959</v>
      </c>
      <c r="R30" s="477">
        <f t="shared" ca="1" si="2"/>
        <v>79.794857564493185</v>
      </c>
      <c r="S30" s="477">
        <f t="shared" ca="1" si="3"/>
        <v>20.205142435506815</v>
      </c>
      <c r="T30" s="478">
        <f t="shared" ca="1" si="6"/>
        <v>13.18904109589041</v>
      </c>
      <c r="U30" s="478">
        <f t="shared" ca="1" si="7"/>
        <v>13</v>
      </c>
      <c r="V30" s="479">
        <f t="shared" ca="1" si="4"/>
        <v>45417.71</v>
      </c>
      <c r="W30" s="489">
        <v>2190</v>
      </c>
      <c r="X30" s="491">
        <f t="shared" ca="1" si="8"/>
        <v>55409.606200000002</v>
      </c>
      <c r="Y30" s="466"/>
    </row>
    <row r="31" spans="1:25" s="340" customFormat="1" ht="36">
      <c r="A31" s="350">
        <v>87</v>
      </c>
      <c r="B31" s="400" t="s">
        <v>1024</v>
      </c>
      <c r="C31" s="400" t="s">
        <v>1025</v>
      </c>
      <c r="D31" s="361" t="s">
        <v>1026</v>
      </c>
      <c r="E31" s="362">
        <v>59500</v>
      </c>
      <c r="F31" s="362">
        <f t="shared" si="10"/>
        <v>59505.950000000004</v>
      </c>
      <c r="G31" s="363">
        <v>1360.17</v>
      </c>
      <c r="H31" s="363">
        <v>77.400000000000006</v>
      </c>
      <c r="I31" s="363"/>
      <c r="J31" s="363">
        <f t="shared" si="0"/>
        <v>316.26540000000006</v>
      </c>
      <c r="K31" s="363">
        <f t="shared" si="5"/>
        <v>1753.8354000000002</v>
      </c>
      <c r="L31" s="364">
        <v>11900</v>
      </c>
      <c r="M31" s="365">
        <v>44175</v>
      </c>
      <c r="N31" s="365">
        <v>45209</v>
      </c>
      <c r="O31" s="474"/>
      <c r="P31" s="475">
        <v>35</v>
      </c>
      <c r="Q31" s="476">
        <f t="shared" ca="1" si="1"/>
        <v>42.720547945205482</v>
      </c>
      <c r="R31" s="477">
        <f t="shared" ca="1" si="2"/>
        <v>117.64740786195352</v>
      </c>
      <c r="S31" s="477">
        <f t="shared" ca="1" si="3"/>
        <v>-17.647407861953525</v>
      </c>
      <c r="T31" s="478">
        <f t="shared" ca="1" si="6"/>
        <v>-7.7205479452054817</v>
      </c>
      <c r="U31" s="478">
        <f t="shared" ca="1" si="7"/>
        <v>-8</v>
      </c>
      <c r="V31" s="479">
        <f t="shared" ca="1" si="4"/>
        <v>-11500.560000000001</v>
      </c>
      <c r="W31" s="489">
        <v>595</v>
      </c>
      <c r="X31" s="491">
        <f t="shared" ca="1" si="8"/>
        <v>-14030.683200000001</v>
      </c>
      <c r="Y31" s="466"/>
    </row>
    <row r="32" spans="1:25" s="340" customFormat="1" ht="63.75" customHeight="1">
      <c r="A32" s="350">
        <v>88</v>
      </c>
      <c r="B32" s="400" t="s">
        <v>1027</v>
      </c>
      <c r="C32" s="400" t="s">
        <v>1028</v>
      </c>
      <c r="D32" s="361" t="s">
        <v>1029</v>
      </c>
      <c r="E32" s="362">
        <v>22400</v>
      </c>
      <c r="F32" s="362">
        <f t="shared" si="10"/>
        <v>24559.119999999999</v>
      </c>
      <c r="G32" s="363">
        <v>663.76</v>
      </c>
      <c r="H32" s="363">
        <v>25</v>
      </c>
      <c r="I32" s="363"/>
      <c r="J32" s="363">
        <f t="shared" si="0"/>
        <v>151.52719999999999</v>
      </c>
      <c r="K32" s="363">
        <f t="shared" si="5"/>
        <v>840.28719999999998</v>
      </c>
      <c r="L32" s="364">
        <v>663.76</v>
      </c>
      <c r="M32" s="365">
        <v>43971</v>
      </c>
      <c r="N32" s="365">
        <v>45036</v>
      </c>
      <c r="O32" s="474"/>
      <c r="P32" s="475">
        <v>36</v>
      </c>
      <c r="Q32" s="476">
        <f t="shared" ca="1" si="1"/>
        <v>49.427397260273978</v>
      </c>
      <c r="R32" s="477">
        <f t="shared" ca="1" si="2"/>
        <v>136.29026286560537</v>
      </c>
      <c r="S32" s="477">
        <f t="shared" ca="1" si="3"/>
        <v>-36.290262865605371</v>
      </c>
      <c r="T32" s="478">
        <f t="shared" ca="1" si="6"/>
        <v>-13.427397260273978</v>
      </c>
      <c r="U32" s="478">
        <f t="shared" ca="1" si="7"/>
        <v>-13</v>
      </c>
      <c r="V32" s="479">
        <f t="shared" ca="1" si="4"/>
        <v>-8953.8799999999992</v>
      </c>
      <c r="W32" s="489">
        <v>224</v>
      </c>
      <c r="X32" s="491">
        <f t="shared" ca="1" si="8"/>
        <v>-10923.7336</v>
      </c>
      <c r="Y32" s="466"/>
    </row>
    <row r="33" spans="1:25" s="341" customFormat="1" ht="18.75">
      <c r="A33" s="350">
        <v>89</v>
      </c>
      <c r="B33" s="400" t="s">
        <v>1009</v>
      </c>
      <c r="C33" s="400">
        <v>1701296</v>
      </c>
      <c r="D33" s="361" t="s">
        <v>1030</v>
      </c>
      <c r="E33" s="362">
        <v>13300</v>
      </c>
      <c r="F33" s="362">
        <f t="shared" si="10"/>
        <v>13868.17</v>
      </c>
      <c r="G33" s="363">
        <v>385.58</v>
      </c>
      <c r="H33" s="363">
        <v>17.46</v>
      </c>
      <c r="I33" s="363">
        <v>13.2</v>
      </c>
      <c r="J33" s="363">
        <f t="shared" si="0"/>
        <v>88.66879999999999</v>
      </c>
      <c r="K33" s="363">
        <f t="shared" si="5"/>
        <v>504.90879999999993</v>
      </c>
      <c r="L33" s="364">
        <v>372.87</v>
      </c>
      <c r="M33" s="365">
        <v>43906</v>
      </c>
      <c r="N33" s="365">
        <v>44942</v>
      </c>
      <c r="O33" s="474"/>
      <c r="P33" s="475">
        <v>35</v>
      </c>
      <c r="Q33" s="476">
        <f t="shared" ca="1" si="1"/>
        <v>51.564383561643837</v>
      </c>
      <c r="R33" s="477">
        <f ca="1">(100*((Q33*G33)+L33))/E33</f>
        <v>152.29372190750851</v>
      </c>
      <c r="S33" s="477">
        <f t="shared" ca="1" si="3"/>
        <v>-52.293721907508512</v>
      </c>
      <c r="T33" s="478">
        <f t="shared" ca="1" si="6"/>
        <v>-16.564383561643837</v>
      </c>
      <c r="U33" s="478">
        <f t="shared" ca="1" si="7"/>
        <v>-17</v>
      </c>
      <c r="V33" s="479">
        <f t="shared" ca="1" si="4"/>
        <v>-7076.079999999999</v>
      </c>
      <c r="W33" s="489">
        <v>133</v>
      </c>
      <c r="X33" s="491">
        <f t="shared" ca="1" si="8"/>
        <v>-8583.4495999999981</v>
      </c>
      <c r="Y33" s="466" t="s">
        <v>1096</v>
      </c>
    </row>
    <row r="34" spans="1:25" s="340" customFormat="1" ht="60.75" customHeight="1">
      <c r="A34" s="350">
        <v>90</v>
      </c>
      <c r="B34" s="400" t="s">
        <v>1009</v>
      </c>
      <c r="C34" s="400">
        <v>1701327</v>
      </c>
      <c r="D34" s="361" t="s">
        <v>1031</v>
      </c>
      <c r="E34" s="362">
        <v>27000</v>
      </c>
      <c r="F34" s="362">
        <f t="shared" si="10"/>
        <v>27748.119999999995</v>
      </c>
      <c r="G34" s="363">
        <v>770.92</v>
      </c>
      <c r="H34" s="363">
        <v>17.46</v>
      </c>
      <c r="I34" s="363">
        <v>26.8</v>
      </c>
      <c r="J34" s="363">
        <f t="shared" si="0"/>
        <v>173.4436</v>
      </c>
      <c r="K34" s="363">
        <f t="shared" si="5"/>
        <v>988.6235999999999</v>
      </c>
      <c r="L34" s="364">
        <v>765.92</v>
      </c>
      <c r="M34" s="365">
        <v>43906</v>
      </c>
      <c r="N34" s="365">
        <v>44942</v>
      </c>
      <c r="O34" s="474"/>
      <c r="P34" s="475">
        <v>35</v>
      </c>
      <c r="Q34" s="476">
        <f t="shared" ca="1" si="1"/>
        <v>51.564383561643837</v>
      </c>
      <c r="R34" s="477">
        <f t="shared" ref="R34:R63" ca="1" si="11">(100*((Q34*G34)+L34))/F34</f>
        <v>146.02046760408444</v>
      </c>
      <c r="S34" s="477">
        <f t="shared" ca="1" si="3"/>
        <v>-46.020467604084445</v>
      </c>
      <c r="T34" s="478">
        <f t="shared" ca="1" si="6"/>
        <v>-16.564383561643837</v>
      </c>
      <c r="U34" s="478">
        <f t="shared" ca="1" si="7"/>
        <v>-17</v>
      </c>
      <c r="V34" s="479">
        <f t="shared" ca="1" si="4"/>
        <v>-13858.06</v>
      </c>
      <c r="W34" s="489">
        <v>270</v>
      </c>
      <c r="X34" s="491">
        <f t="shared" ca="1" si="8"/>
        <v>-16806.601199999997</v>
      </c>
      <c r="Y34" s="466" t="s">
        <v>1097</v>
      </c>
    </row>
    <row r="35" spans="1:25" s="340" customFormat="1" ht="33.950000000000003" customHeight="1">
      <c r="A35" s="350">
        <v>91</v>
      </c>
      <c r="B35" s="401" t="s">
        <v>953</v>
      </c>
      <c r="C35" s="401">
        <v>7139278</v>
      </c>
      <c r="D35" s="361" t="s">
        <v>1032</v>
      </c>
      <c r="E35" s="362">
        <v>11750</v>
      </c>
      <c r="F35" s="362">
        <f>(G35+I35)*P35+L35</f>
        <v>15989</v>
      </c>
      <c r="G35" s="363">
        <v>212.41</v>
      </c>
      <c r="H35" s="363">
        <v>3.5</v>
      </c>
      <c r="I35" s="363">
        <v>58.59</v>
      </c>
      <c r="J35" s="363">
        <f t="shared" si="0"/>
        <v>47.500199999999992</v>
      </c>
      <c r="K35" s="363">
        <f t="shared" si="5"/>
        <v>322.00020000000001</v>
      </c>
      <c r="L35" s="364">
        <v>0</v>
      </c>
      <c r="M35" s="365">
        <v>44017</v>
      </c>
      <c r="N35" s="365">
        <v>45782</v>
      </c>
      <c r="O35" s="474"/>
      <c r="P35" s="475">
        <v>59</v>
      </c>
      <c r="Q35" s="476">
        <f t="shared" ca="1" si="1"/>
        <v>47.915068493150685</v>
      </c>
      <c r="R35" s="477">
        <f t="shared" ca="1" si="11"/>
        <v>63.654010248484191</v>
      </c>
      <c r="S35" s="477">
        <f t="shared" ca="1" si="3"/>
        <v>36.345989751515809</v>
      </c>
      <c r="T35" s="478">
        <f t="shared" ca="1" si="6"/>
        <v>11.084931506849315</v>
      </c>
      <c r="U35" s="478">
        <f t="shared" ca="1" si="7"/>
        <v>11</v>
      </c>
      <c r="V35" s="479">
        <f t="shared" ca="1" si="4"/>
        <v>3019.5</v>
      </c>
      <c r="W35" s="489">
        <v>117.5</v>
      </c>
      <c r="X35" s="491">
        <f t="shared" ca="1" si="8"/>
        <v>3542.0021999999999</v>
      </c>
      <c r="Y35" s="466"/>
    </row>
    <row r="36" spans="1:25" s="340" customFormat="1" ht="38.25" customHeight="1">
      <c r="A36" s="350">
        <v>92</v>
      </c>
      <c r="B36" s="401" t="s">
        <v>953</v>
      </c>
      <c r="C36" s="401">
        <v>7139282</v>
      </c>
      <c r="D36" s="361" t="s">
        <v>1033</v>
      </c>
      <c r="E36" s="362">
        <v>11750</v>
      </c>
      <c r="F36" s="362">
        <f>(G36+I36)*P36+L36</f>
        <v>15989</v>
      </c>
      <c r="G36" s="363">
        <v>212.41</v>
      </c>
      <c r="H36" s="363">
        <v>3.5</v>
      </c>
      <c r="I36" s="363">
        <v>58.59</v>
      </c>
      <c r="J36" s="363">
        <f t="shared" si="0"/>
        <v>47.500199999999992</v>
      </c>
      <c r="K36" s="363">
        <f t="shared" si="5"/>
        <v>322.00020000000001</v>
      </c>
      <c r="L36" s="364">
        <v>0</v>
      </c>
      <c r="M36" s="365">
        <v>44017</v>
      </c>
      <c r="N36" s="365">
        <v>45782</v>
      </c>
      <c r="O36" s="474"/>
      <c r="P36" s="475">
        <v>59</v>
      </c>
      <c r="Q36" s="476">
        <f t="shared" ca="1" si="1"/>
        <v>47.915068493150685</v>
      </c>
      <c r="R36" s="477">
        <f t="shared" ca="1" si="11"/>
        <v>63.654010248484191</v>
      </c>
      <c r="S36" s="477">
        <f t="shared" ca="1" si="3"/>
        <v>36.345989751515809</v>
      </c>
      <c r="T36" s="478">
        <f t="shared" ca="1" si="6"/>
        <v>11.084931506849315</v>
      </c>
      <c r="U36" s="478">
        <f t="shared" ca="1" si="7"/>
        <v>11</v>
      </c>
      <c r="V36" s="479">
        <f t="shared" ca="1" si="4"/>
        <v>3019.5</v>
      </c>
      <c r="W36" s="489">
        <v>117.5</v>
      </c>
      <c r="X36" s="491">
        <f t="shared" ca="1" si="8"/>
        <v>3542.0021999999999</v>
      </c>
      <c r="Y36" s="466"/>
    </row>
    <row r="37" spans="1:25" s="340" customFormat="1" ht="18.75">
      <c r="A37" s="350">
        <v>93</v>
      </c>
      <c r="B37" s="401" t="s">
        <v>953</v>
      </c>
      <c r="C37" s="401">
        <v>7139285</v>
      </c>
      <c r="D37" s="361" t="s">
        <v>1034</v>
      </c>
      <c r="E37" s="362">
        <v>14650</v>
      </c>
      <c r="F37" s="362">
        <f>(G37+I37)*P37+L37</f>
        <v>19617.5</v>
      </c>
      <c r="G37" s="363">
        <v>264.95999999999998</v>
      </c>
      <c r="H37" s="363">
        <v>3.5</v>
      </c>
      <c r="I37" s="363">
        <v>67.540000000000006</v>
      </c>
      <c r="J37" s="363">
        <f t="shared" si="0"/>
        <v>59.061199999999999</v>
      </c>
      <c r="K37" s="363">
        <f t="shared" si="5"/>
        <v>395.06119999999999</v>
      </c>
      <c r="L37" s="364">
        <v>0</v>
      </c>
      <c r="M37" s="365">
        <v>44017</v>
      </c>
      <c r="N37" s="365">
        <v>45782</v>
      </c>
      <c r="O37" s="474"/>
      <c r="P37" s="475">
        <v>59</v>
      </c>
      <c r="Q37" s="476">
        <f t="shared" ca="1" si="1"/>
        <v>47.915068493150685</v>
      </c>
      <c r="R37" s="477">
        <f t="shared" ca="1" si="11"/>
        <v>64.715567977291727</v>
      </c>
      <c r="S37" s="477">
        <f t="shared" ca="1" si="3"/>
        <v>35.284432022708273</v>
      </c>
      <c r="T37" s="478">
        <f t="shared" ca="1" si="6"/>
        <v>11.084931506849315</v>
      </c>
      <c r="U37" s="478">
        <f t="shared" ca="1" si="7"/>
        <v>11</v>
      </c>
      <c r="V37" s="479">
        <f t="shared" ca="1" si="4"/>
        <v>3696</v>
      </c>
      <c r="W37" s="489">
        <v>146.5</v>
      </c>
      <c r="X37" s="491">
        <f t="shared" ca="1" si="8"/>
        <v>4345.6732000000002</v>
      </c>
      <c r="Y37" s="466"/>
    </row>
    <row r="38" spans="1:25" s="340" customFormat="1" ht="18.75">
      <c r="A38" s="350">
        <v>94</v>
      </c>
      <c r="B38" s="401" t="s">
        <v>953</v>
      </c>
      <c r="C38" s="401">
        <v>7139287</v>
      </c>
      <c r="D38" s="361" t="s">
        <v>1035</v>
      </c>
      <c r="E38" s="362">
        <v>21850</v>
      </c>
      <c r="F38" s="362">
        <f>(G38+I38)*P38+L38</f>
        <v>28615</v>
      </c>
      <c r="G38" s="363">
        <v>395.22</v>
      </c>
      <c r="H38" s="363">
        <v>3.5</v>
      </c>
      <c r="I38" s="363">
        <v>89.78</v>
      </c>
      <c r="J38" s="363">
        <f t="shared" si="0"/>
        <v>87.718400000000003</v>
      </c>
      <c r="K38" s="363">
        <f t="shared" si="5"/>
        <v>576.21839999999997</v>
      </c>
      <c r="L38" s="364">
        <v>0</v>
      </c>
      <c r="M38" s="365">
        <v>44017</v>
      </c>
      <c r="N38" s="365">
        <v>45782</v>
      </c>
      <c r="O38" s="474"/>
      <c r="P38" s="475">
        <v>59</v>
      </c>
      <c r="Q38" s="476">
        <f t="shared" ca="1" si="1"/>
        <v>47.915068493150685</v>
      </c>
      <c r="R38" s="477">
        <f t="shared" ca="1" si="11"/>
        <v>66.178554498909719</v>
      </c>
      <c r="S38" s="477">
        <f t="shared" ca="1" si="3"/>
        <v>33.821445501090281</v>
      </c>
      <c r="T38" s="478">
        <f t="shared" ca="1" si="6"/>
        <v>11.084931506849315</v>
      </c>
      <c r="U38" s="478">
        <f t="shared" ca="1" si="7"/>
        <v>11</v>
      </c>
      <c r="V38" s="479">
        <f t="shared" ca="1" si="4"/>
        <v>5373.5</v>
      </c>
      <c r="W38" s="489">
        <v>218.5</v>
      </c>
      <c r="X38" s="491">
        <f t="shared" ca="1" si="8"/>
        <v>6338.4023999999999</v>
      </c>
      <c r="Y38" s="466"/>
    </row>
    <row r="39" spans="1:25" s="340" customFormat="1" ht="36">
      <c r="A39" s="350">
        <v>95</v>
      </c>
      <c r="B39" s="400" t="s">
        <v>1036</v>
      </c>
      <c r="C39" s="400" t="s">
        <v>1037</v>
      </c>
      <c r="D39" s="361" t="s">
        <v>1038</v>
      </c>
      <c r="E39" s="362">
        <v>33000</v>
      </c>
      <c r="F39" s="362">
        <f t="shared" ref="F39:F56" si="12">G39*P39+L39</f>
        <v>30370.560000000001</v>
      </c>
      <c r="G39" s="363">
        <v>563.97</v>
      </c>
      <c r="H39" s="363">
        <v>46.09</v>
      </c>
      <c r="I39" s="363"/>
      <c r="J39" s="363">
        <f t="shared" si="0"/>
        <v>134.21320000000003</v>
      </c>
      <c r="K39" s="363">
        <f t="shared" si="5"/>
        <v>744.27320000000009</v>
      </c>
      <c r="L39" s="364">
        <v>3300</v>
      </c>
      <c r="M39" s="402">
        <v>44056</v>
      </c>
      <c r="N39" s="402">
        <v>45486</v>
      </c>
      <c r="O39" s="505"/>
      <c r="P39" s="475">
        <v>48</v>
      </c>
      <c r="Q39" s="476">
        <f t="shared" ca="1" si="1"/>
        <v>46.632876712328766</v>
      </c>
      <c r="R39" s="477">
        <f t="shared" ca="1" si="11"/>
        <v>97.461302917865368</v>
      </c>
      <c r="S39" s="477">
        <f t="shared" ca="1" si="3"/>
        <v>2.5386970821346324</v>
      </c>
      <c r="T39" s="478">
        <f t="shared" ca="1" si="6"/>
        <v>1.3671232876712338</v>
      </c>
      <c r="U39" s="478">
        <f t="shared" ca="1" si="7"/>
        <v>1</v>
      </c>
      <c r="V39" s="479">
        <f t="shared" ca="1" si="4"/>
        <v>610.06000000000006</v>
      </c>
      <c r="W39" s="489">
        <v>3300</v>
      </c>
      <c r="X39" s="491">
        <f t="shared" ca="1" si="8"/>
        <v>744.27320000000009</v>
      </c>
      <c r="Y39" s="466"/>
    </row>
    <row r="40" spans="1:25" s="340" customFormat="1" ht="40.5" customHeight="1">
      <c r="A40" s="350">
        <v>96</v>
      </c>
      <c r="B40" s="400" t="s">
        <v>1001</v>
      </c>
      <c r="C40" s="400">
        <v>1484890</v>
      </c>
      <c r="D40" s="361" t="s">
        <v>1039</v>
      </c>
      <c r="E40" s="362">
        <v>311000</v>
      </c>
      <c r="F40" s="362">
        <f t="shared" si="12"/>
        <v>321782.96999999997</v>
      </c>
      <c r="G40" s="363">
        <v>4926.83</v>
      </c>
      <c r="H40" s="363">
        <v>4</v>
      </c>
      <c r="I40" s="363"/>
      <c r="J40" s="363">
        <f t="shared" si="0"/>
        <v>1084.7826</v>
      </c>
      <c r="K40" s="363">
        <f t="shared" si="5"/>
        <v>6015.6126000000004</v>
      </c>
      <c r="L40" s="364">
        <v>31100</v>
      </c>
      <c r="M40" s="365">
        <v>44141</v>
      </c>
      <c r="N40" s="365">
        <v>45906</v>
      </c>
      <c r="O40" s="474"/>
      <c r="P40" s="475">
        <v>59</v>
      </c>
      <c r="Q40" s="476">
        <f t="shared" ca="1" si="1"/>
        <v>43.838356164383562</v>
      </c>
      <c r="R40" s="477">
        <f t="shared" ca="1" si="11"/>
        <v>76.785955546799102</v>
      </c>
      <c r="S40" s="477">
        <f t="shared" ca="1" si="3"/>
        <v>23.214044453200898</v>
      </c>
      <c r="T40" s="478">
        <f t="shared" ca="1" si="6"/>
        <v>15.161643835616438</v>
      </c>
      <c r="U40" s="478">
        <f t="shared" ca="1" si="7"/>
        <v>15</v>
      </c>
      <c r="V40" s="479">
        <f t="shared" ca="1" si="4"/>
        <v>73962.45</v>
      </c>
      <c r="W40" s="489">
        <v>3110</v>
      </c>
      <c r="X40" s="491">
        <f t="shared" ca="1" si="8"/>
        <v>90234.189000000013</v>
      </c>
      <c r="Y40" s="466"/>
    </row>
    <row r="41" spans="1:25" s="360" customFormat="1" ht="36">
      <c r="A41" s="350">
        <v>97</v>
      </c>
      <c r="B41" s="361" t="s">
        <v>1036</v>
      </c>
      <c r="C41" s="361" t="s">
        <v>1040</v>
      </c>
      <c r="D41" s="361" t="s">
        <v>1041</v>
      </c>
      <c r="E41" s="362">
        <v>25000</v>
      </c>
      <c r="F41" s="362">
        <f t="shared" si="12"/>
        <v>24756</v>
      </c>
      <c r="G41" s="363">
        <v>515.75</v>
      </c>
      <c r="H41" s="363">
        <v>36.25</v>
      </c>
      <c r="I41" s="363"/>
      <c r="J41" s="363">
        <f t="shared" si="0"/>
        <v>121.44</v>
      </c>
      <c r="K41" s="363">
        <f t="shared" si="5"/>
        <v>673.44</v>
      </c>
      <c r="L41" s="364">
        <v>0</v>
      </c>
      <c r="M41" s="402">
        <v>44163</v>
      </c>
      <c r="N41" s="402">
        <v>45593</v>
      </c>
      <c r="O41" s="505"/>
      <c r="P41" s="475">
        <v>48</v>
      </c>
      <c r="Q41" s="476">
        <f t="shared" ca="1" si="1"/>
        <v>43.115068493150687</v>
      </c>
      <c r="R41" s="477">
        <f t="shared" ca="1" si="11"/>
        <v>89.823059360730596</v>
      </c>
      <c r="S41" s="477">
        <f t="shared" ca="1" si="3"/>
        <v>10.176940639269404</v>
      </c>
      <c r="T41" s="478">
        <f t="shared" ca="1" si="6"/>
        <v>4.8849315068493127</v>
      </c>
      <c r="U41" s="478">
        <f t="shared" ca="1" si="7"/>
        <v>5</v>
      </c>
      <c r="V41" s="479">
        <f t="shared" ca="1" si="4"/>
        <v>2760</v>
      </c>
      <c r="W41" s="495">
        <v>250</v>
      </c>
      <c r="X41" s="491">
        <f t="shared" ca="1" si="8"/>
        <v>3367.2000000000003</v>
      </c>
      <c r="Y41" s="466"/>
    </row>
    <row r="42" spans="1:25" s="360" customFormat="1" ht="54.75" customHeight="1">
      <c r="A42" s="350">
        <v>98</v>
      </c>
      <c r="B42" s="361" t="s">
        <v>1036</v>
      </c>
      <c r="C42" s="361" t="s">
        <v>1042</v>
      </c>
      <c r="D42" s="361" t="s">
        <v>1043</v>
      </c>
      <c r="E42" s="362">
        <v>25000</v>
      </c>
      <c r="F42" s="362">
        <f t="shared" si="12"/>
        <v>24756</v>
      </c>
      <c r="G42" s="363">
        <v>515.75</v>
      </c>
      <c r="H42" s="363">
        <v>36.25</v>
      </c>
      <c r="I42" s="363"/>
      <c r="J42" s="363">
        <f t="shared" si="0"/>
        <v>121.44</v>
      </c>
      <c r="K42" s="363">
        <f t="shared" si="5"/>
        <v>673.44</v>
      </c>
      <c r="L42" s="364">
        <v>0</v>
      </c>
      <c r="M42" s="402">
        <v>44163</v>
      </c>
      <c r="N42" s="402">
        <v>45593</v>
      </c>
      <c r="O42" s="505"/>
      <c r="P42" s="475">
        <v>48</v>
      </c>
      <c r="Q42" s="476">
        <f t="shared" ca="1" si="1"/>
        <v>43.115068493150687</v>
      </c>
      <c r="R42" s="477">
        <f t="shared" ca="1" si="11"/>
        <v>89.823059360730596</v>
      </c>
      <c r="S42" s="477">
        <f t="shared" ca="1" si="3"/>
        <v>10.176940639269404</v>
      </c>
      <c r="T42" s="478">
        <f t="shared" ca="1" si="6"/>
        <v>4.8849315068493127</v>
      </c>
      <c r="U42" s="478">
        <f t="shared" ca="1" si="7"/>
        <v>5</v>
      </c>
      <c r="V42" s="479">
        <f t="shared" ca="1" si="4"/>
        <v>2760</v>
      </c>
      <c r="W42" s="495">
        <v>250</v>
      </c>
      <c r="X42" s="491">
        <f t="shared" ca="1" si="8"/>
        <v>3367.2000000000003</v>
      </c>
      <c r="Y42" s="466"/>
    </row>
    <row r="43" spans="1:25" s="360" customFormat="1" ht="42" customHeight="1">
      <c r="A43" s="350">
        <v>99</v>
      </c>
      <c r="B43" s="361" t="s">
        <v>1001</v>
      </c>
      <c r="C43" s="361">
        <v>1482846</v>
      </c>
      <c r="D43" s="361" t="s">
        <v>1044</v>
      </c>
      <c r="E43" s="362">
        <v>57168.5</v>
      </c>
      <c r="F43" s="362">
        <f t="shared" si="12"/>
        <v>58543.889999999992</v>
      </c>
      <c r="G43" s="363">
        <v>1494.59</v>
      </c>
      <c r="H43" s="363">
        <v>4</v>
      </c>
      <c r="I43" s="363"/>
      <c r="J43" s="363">
        <f t="shared" si="0"/>
        <v>329.68979999999993</v>
      </c>
      <c r="K43" s="363">
        <f t="shared" si="5"/>
        <v>1828.2797999999998</v>
      </c>
      <c r="L43" s="364">
        <v>6233.24</v>
      </c>
      <c r="M43" s="365">
        <v>44059</v>
      </c>
      <c r="N43" s="365">
        <v>45093</v>
      </c>
      <c r="O43" s="474"/>
      <c r="P43" s="475">
        <v>35</v>
      </c>
      <c r="Q43" s="476">
        <f t="shared" ca="1" si="1"/>
        <v>46.534246575342465</v>
      </c>
      <c r="R43" s="477">
        <f t="shared" ca="1" si="11"/>
        <v>129.44623185962038</v>
      </c>
      <c r="S43" s="477">
        <f t="shared" ca="1" si="3"/>
        <v>-29.446231859620383</v>
      </c>
      <c r="T43" s="478">
        <f t="shared" ca="1" si="6"/>
        <v>-11.534246575342465</v>
      </c>
      <c r="U43" s="478">
        <f t="shared" ca="1" si="7"/>
        <v>-12</v>
      </c>
      <c r="V43" s="479">
        <f t="shared" ca="1" si="4"/>
        <v>-17983.079999999998</v>
      </c>
      <c r="W43" s="495">
        <v>571.69000000000005</v>
      </c>
      <c r="X43" s="491">
        <f t="shared" ca="1" si="8"/>
        <v>-21939.357599999996</v>
      </c>
      <c r="Y43" s="466"/>
    </row>
    <row r="44" spans="1:25" s="340" customFormat="1" ht="18.75">
      <c r="A44" s="350">
        <v>100</v>
      </c>
      <c r="B44" s="361" t="s">
        <v>1045</v>
      </c>
      <c r="C44" s="361">
        <v>3746303</v>
      </c>
      <c r="D44" s="361" t="s">
        <v>1046</v>
      </c>
      <c r="E44" s="362">
        <v>54540.37</v>
      </c>
      <c r="F44" s="362">
        <f t="shared" si="12"/>
        <v>56932.08</v>
      </c>
      <c r="G44" s="363">
        <v>1353.76</v>
      </c>
      <c r="H44" s="363">
        <v>5</v>
      </c>
      <c r="I44" s="363">
        <v>544.22</v>
      </c>
      <c r="J44" s="363">
        <f t="shared" si="0"/>
        <v>298.92720000000003</v>
      </c>
      <c r="K44" s="363">
        <f t="shared" si="5"/>
        <v>2201.9072000000001</v>
      </c>
      <c r="L44" s="364">
        <v>8196.7199999999993</v>
      </c>
      <c r="M44" s="365">
        <v>43929</v>
      </c>
      <c r="N44" s="365">
        <v>44993</v>
      </c>
      <c r="O44" s="474"/>
      <c r="P44" s="475">
        <v>36</v>
      </c>
      <c r="Q44" s="476">
        <f t="shared" ca="1" si="1"/>
        <v>50.808219178082197</v>
      </c>
      <c r="R44" s="477">
        <f t="shared" ca="1" si="11"/>
        <v>135.21173790685418</v>
      </c>
      <c r="S44" s="477">
        <f t="shared" ca="1" si="3"/>
        <v>-35.211737906854182</v>
      </c>
      <c r="T44" s="478">
        <f t="shared" ca="1" si="6"/>
        <v>-14.808219178082197</v>
      </c>
      <c r="U44" s="478">
        <f t="shared" ca="1" si="7"/>
        <v>-15</v>
      </c>
      <c r="V44" s="479">
        <f t="shared" ca="1" si="4"/>
        <v>-28544.7</v>
      </c>
      <c r="W44" s="481">
        <v>721.31</v>
      </c>
      <c r="X44" s="491">
        <f t="shared" ca="1" si="8"/>
        <v>-33028.608</v>
      </c>
      <c r="Y44" s="466"/>
    </row>
    <row r="45" spans="1:25" s="340" customFormat="1" ht="18.75">
      <c r="A45" s="350">
        <v>102</v>
      </c>
      <c r="B45" s="400" t="s">
        <v>1045</v>
      </c>
      <c r="C45" s="400">
        <v>3872047</v>
      </c>
      <c r="D45" s="361" t="s">
        <v>1047</v>
      </c>
      <c r="E45" s="362">
        <v>58684.02</v>
      </c>
      <c r="F45" s="362">
        <f t="shared" si="12"/>
        <v>55105.120000000003</v>
      </c>
      <c r="G45" s="363">
        <v>1325.78</v>
      </c>
      <c r="H45" s="363">
        <v>5</v>
      </c>
      <c r="I45" s="363">
        <v>451.55</v>
      </c>
      <c r="J45" s="363">
        <f t="shared" si="0"/>
        <v>292.77159999999998</v>
      </c>
      <c r="K45" s="363">
        <f t="shared" si="5"/>
        <v>2075.1016</v>
      </c>
      <c r="L45" s="364">
        <v>7377.04</v>
      </c>
      <c r="M45" s="365">
        <v>44168</v>
      </c>
      <c r="N45" s="365">
        <v>45233</v>
      </c>
      <c r="O45" s="474"/>
      <c r="P45" s="475">
        <v>36</v>
      </c>
      <c r="Q45" s="476">
        <f t="shared" ca="1" si="1"/>
        <v>42.950684931506849</v>
      </c>
      <c r="R45" s="477">
        <f t="shared" ca="1" si="11"/>
        <v>116.72272752240291</v>
      </c>
      <c r="S45" s="477">
        <f t="shared" ca="1" si="3"/>
        <v>-16.722727522402906</v>
      </c>
      <c r="T45" s="478">
        <f t="shared" ca="1" si="6"/>
        <v>-6.9506849315068493</v>
      </c>
      <c r="U45" s="478">
        <f t="shared" ca="1" si="7"/>
        <v>-7</v>
      </c>
      <c r="V45" s="479">
        <f t="shared" ca="1" si="4"/>
        <v>-12476.31</v>
      </c>
      <c r="W45" s="491">
        <v>6040.98</v>
      </c>
      <c r="X45" s="491">
        <f t="shared" ca="1" si="8"/>
        <v>-14525.7112</v>
      </c>
      <c r="Y45" s="466"/>
    </row>
    <row r="46" spans="1:25" s="340" customFormat="1" ht="36">
      <c r="A46" s="350">
        <v>103</v>
      </c>
      <c r="B46" s="361" t="s">
        <v>1036</v>
      </c>
      <c r="C46" s="400" t="s">
        <v>1048</v>
      </c>
      <c r="D46" s="361" t="s">
        <v>1049</v>
      </c>
      <c r="E46" s="362">
        <v>30500</v>
      </c>
      <c r="F46" s="362">
        <f t="shared" si="12"/>
        <v>30205.52</v>
      </c>
      <c r="G46" s="363">
        <v>565.74</v>
      </c>
      <c r="H46" s="363">
        <v>43.02</v>
      </c>
      <c r="I46" s="363"/>
      <c r="J46" s="363">
        <f t="shared" si="0"/>
        <v>133.9272</v>
      </c>
      <c r="K46" s="363">
        <f t="shared" si="5"/>
        <v>742.68719999999996</v>
      </c>
      <c r="L46" s="364">
        <v>3050</v>
      </c>
      <c r="M46" s="402">
        <v>44278</v>
      </c>
      <c r="N46" s="402">
        <v>45711</v>
      </c>
      <c r="O46" s="505"/>
      <c r="P46" s="475">
        <v>48</v>
      </c>
      <c r="Q46" s="476">
        <f t="shared" ca="1" si="1"/>
        <v>39.334246575342462</v>
      </c>
      <c r="R46" s="477">
        <f t="shared" ca="1" si="11"/>
        <v>83.769313216704234</v>
      </c>
      <c r="S46" s="477">
        <f t="shared" ca="1" si="3"/>
        <v>16.230686783295766</v>
      </c>
      <c r="T46" s="478">
        <f t="shared" ca="1" si="6"/>
        <v>8.6657534246575381</v>
      </c>
      <c r="U46" s="478">
        <f t="shared" ca="1" si="7"/>
        <v>9</v>
      </c>
      <c r="V46" s="479">
        <f t="shared" ca="1" si="4"/>
        <v>5478.84</v>
      </c>
      <c r="W46" s="489">
        <v>305</v>
      </c>
      <c r="X46" s="491">
        <f t="shared" ca="1" si="8"/>
        <v>6684.1848</v>
      </c>
      <c r="Y46" s="466"/>
    </row>
    <row r="47" spans="1:25" s="340" customFormat="1" ht="36">
      <c r="A47" s="350">
        <v>104</v>
      </c>
      <c r="B47" s="361" t="s">
        <v>1036</v>
      </c>
      <c r="C47" s="361" t="s">
        <v>1050</v>
      </c>
      <c r="D47" s="361" t="s">
        <v>1051</v>
      </c>
      <c r="E47" s="362">
        <v>29200</v>
      </c>
      <c r="F47" s="362">
        <f t="shared" si="12"/>
        <v>30336.050000000003</v>
      </c>
      <c r="G47" s="363">
        <v>618.37</v>
      </c>
      <c r="H47" s="363">
        <v>41.42</v>
      </c>
      <c r="I47" s="363"/>
      <c r="J47" s="363">
        <f t="shared" si="0"/>
        <v>145.15379999999999</v>
      </c>
      <c r="K47" s="363">
        <f t="shared" si="5"/>
        <v>804.94380000000001</v>
      </c>
      <c r="L47" s="364">
        <v>654.29</v>
      </c>
      <c r="M47" s="402">
        <v>44278</v>
      </c>
      <c r="N47" s="402">
        <v>45711</v>
      </c>
      <c r="O47" s="505"/>
      <c r="P47" s="475">
        <v>48</v>
      </c>
      <c r="Q47" s="476">
        <f t="shared" ca="1" si="1"/>
        <v>39.334246575342462</v>
      </c>
      <c r="R47" s="477">
        <f t="shared" ca="1" si="11"/>
        <v>82.335729453223209</v>
      </c>
      <c r="S47" s="477">
        <f t="shared" ca="1" si="3"/>
        <v>17.664270546776791</v>
      </c>
      <c r="T47" s="478">
        <f t="shared" ca="1" si="6"/>
        <v>8.6657534246575381</v>
      </c>
      <c r="U47" s="478">
        <f t="shared" ca="1" si="7"/>
        <v>9</v>
      </c>
      <c r="V47" s="479">
        <f t="shared" ca="1" si="4"/>
        <v>5938.11</v>
      </c>
      <c r="W47" s="495">
        <v>292</v>
      </c>
      <c r="X47" s="491">
        <f t="shared" ca="1" si="8"/>
        <v>7244.4942000000001</v>
      </c>
      <c r="Y47" s="466"/>
    </row>
    <row r="48" spans="1:25" s="340" customFormat="1" ht="44.25" customHeight="1">
      <c r="A48" s="350">
        <v>105</v>
      </c>
      <c r="B48" s="361" t="s">
        <v>1001</v>
      </c>
      <c r="C48" s="361">
        <v>1487354</v>
      </c>
      <c r="D48" s="361" t="s">
        <v>1052</v>
      </c>
      <c r="E48" s="362">
        <v>172000</v>
      </c>
      <c r="F48" s="362">
        <f t="shared" si="12"/>
        <v>177144.6</v>
      </c>
      <c r="G48" s="363">
        <v>2952.41</v>
      </c>
      <c r="H48" s="363">
        <v>4</v>
      </c>
      <c r="I48" s="363"/>
      <c r="J48" s="363">
        <f t="shared" si="0"/>
        <v>650.41019999999992</v>
      </c>
      <c r="K48" s="363">
        <f t="shared" si="5"/>
        <v>3606.8201999999997</v>
      </c>
      <c r="L48" s="364">
        <v>2952.41</v>
      </c>
      <c r="M48" s="388">
        <v>44315</v>
      </c>
      <c r="N48" s="388">
        <v>46081</v>
      </c>
      <c r="O48" s="474"/>
      <c r="P48" s="475">
        <v>59</v>
      </c>
      <c r="Q48" s="476">
        <f t="shared" ca="1" si="1"/>
        <v>38.11780821917808</v>
      </c>
      <c r="R48" s="477">
        <f t="shared" ca="1" si="11"/>
        <v>65.196347031963455</v>
      </c>
      <c r="S48" s="477">
        <f t="shared" ca="1" si="3"/>
        <v>34.803652968036545</v>
      </c>
      <c r="T48" s="478">
        <f t="shared" ca="1" si="6"/>
        <v>20.88219178082192</v>
      </c>
      <c r="U48" s="478">
        <f t="shared" ca="1" si="7"/>
        <v>21</v>
      </c>
      <c r="V48" s="479">
        <f t="shared" ca="1" si="4"/>
        <v>62084.61</v>
      </c>
      <c r="W48" s="489">
        <v>1720</v>
      </c>
      <c r="X48" s="491">
        <f t="shared" ca="1" si="8"/>
        <v>75743.224199999997</v>
      </c>
      <c r="Y48" s="466"/>
    </row>
    <row r="49" spans="1:25" s="340" customFormat="1" ht="36" customHeight="1">
      <c r="A49" s="350">
        <v>106</v>
      </c>
      <c r="B49" s="361" t="s">
        <v>1053</v>
      </c>
      <c r="C49" s="361">
        <v>30231380</v>
      </c>
      <c r="D49" s="361" t="s">
        <v>1054</v>
      </c>
      <c r="E49" s="362">
        <v>89000</v>
      </c>
      <c r="F49" s="362">
        <f t="shared" si="12"/>
        <v>92559.64</v>
      </c>
      <c r="G49" s="363">
        <v>1417.96</v>
      </c>
      <c r="H49" s="363">
        <v>3.5</v>
      </c>
      <c r="I49" s="363"/>
      <c r="J49" s="363">
        <f t="shared" si="0"/>
        <v>312.72120000000001</v>
      </c>
      <c r="K49" s="363">
        <f t="shared" si="5"/>
        <v>1734.1812</v>
      </c>
      <c r="L49" s="364">
        <v>8900</v>
      </c>
      <c r="M49" s="388">
        <v>44330</v>
      </c>
      <c r="N49" s="388">
        <v>46095</v>
      </c>
      <c r="O49" s="474"/>
      <c r="P49" s="475">
        <v>59</v>
      </c>
      <c r="Q49" s="476">
        <f t="shared" ca="1" si="1"/>
        <v>37.62465753424658</v>
      </c>
      <c r="R49" s="477">
        <f t="shared" ca="1" si="11"/>
        <v>67.254215117150721</v>
      </c>
      <c r="S49" s="477">
        <f t="shared" ca="1" si="3"/>
        <v>32.745784882849279</v>
      </c>
      <c r="T49" s="478">
        <f t="shared" ca="1" si="6"/>
        <v>21.37534246575342</v>
      </c>
      <c r="U49" s="478">
        <f t="shared" ca="1" si="7"/>
        <v>21</v>
      </c>
      <c r="V49" s="479">
        <f t="shared" ca="1" si="4"/>
        <v>29850.66</v>
      </c>
      <c r="W49" s="489">
        <v>890</v>
      </c>
      <c r="X49" s="491">
        <f t="shared" ca="1" si="8"/>
        <v>36417.805200000003</v>
      </c>
      <c r="Y49" s="466"/>
    </row>
    <row r="50" spans="1:25" s="340" customFormat="1" ht="33.950000000000003" customHeight="1">
      <c r="A50" s="350">
        <v>107</v>
      </c>
      <c r="B50" s="361" t="s">
        <v>1036</v>
      </c>
      <c r="C50" s="361" t="s">
        <v>1055</v>
      </c>
      <c r="D50" s="361" t="s">
        <v>1056</v>
      </c>
      <c r="E50" s="362">
        <v>56000</v>
      </c>
      <c r="F50" s="362">
        <f t="shared" si="12"/>
        <v>55453.440000000002</v>
      </c>
      <c r="G50" s="363">
        <v>1155.28</v>
      </c>
      <c r="H50" s="363">
        <v>75.38</v>
      </c>
      <c r="I50" s="363"/>
      <c r="J50" s="363">
        <f t="shared" si="0"/>
        <v>270.74519999999995</v>
      </c>
      <c r="K50" s="363">
        <f t="shared" si="5"/>
        <v>1501.4051999999997</v>
      </c>
      <c r="L50" s="364">
        <v>0</v>
      </c>
      <c r="M50" s="406">
        <v>44374</v>
      </c>
      <c r="N50" s="406">
        <v>45804</v>
      </c>
      <c r="O50" s="505"/>
      <c r="P50" s="475">
        <v>48</v>
      </c>
      <c r="Q50" s="476">
        <f t="shared" ca="1" si="1"/>
        <v>36.178082191780824</v>
      </c>
      <c r="R50" s="477">
        <f t="shared" ca="1" si="11"/>
        <v>75.371004566210047</v>
      </c>
      <c r="S50" s="477">
        <f t="shared" ca="1" si="3"/>
        <v>24.628995433789953</v>
      </c>
      <c r="T50" s="478">
        <f t="shared" ca="1" si="6"/>
        <v>11.821917808219176</v>
      </c>
      <c r="U50" s="478">
        <f t="shared" ca="1" si="7"/>
        <v>12</v>
      </c>
      <c r="V50" s="479">
        <f t="shared" ca="1" si="4"/>
        <v>14767.919999999998</v>
      </c>
      <c r="W50" s="489">
        <v>560</v>
      </c>
      <c r="X50" s="491">
        <f t="shared" ca="1" si="8"/>
        <v>18016.862399999998</v>
      </c>
      <c r="Y50" s="466"/>
    </row>
    <row r="51" spans="1:25" s="340" customFormat="1" ht="35.25" customHeight="1">
      <c r="A51" s="350">
        <v>108</v>
      </c>
      <c r="B51" s="361" t="s">
        <v>1009</v>
      </c>
      <c r="C51" s="361">
        <v>1712676</v>
      </c>
      <c r="D51" s="361" t="s">
        <v>1057</v>
      </c>
      <c r="E51" s="362">
        <v>95000</v>
      </c>
      <c r="F51" s="362">
        <f t="shared" si="12"/>
        <v>96228.23</v>
      </c>
      <c r="G51" s="363">
        <v>1469.97</v>
      </c>
      <c r="H51" s="363">
        <v>31.79</v>
      </c>
      <c r="I51" s="363"/>
      <c r="J51" s="363">
        <f t="shared" si="0"/>
        <v>330.38720000000001</v>
      </c>
      <c r="K51" s="363">
        <f t="shared" si="5"/>
        <v>1832.1471999999999</v>
      </c>
      <c r="L51" s="364">
        <v>9500</v>
      </c>
      <c r="M51" s="388">
        <v>44409</v>
      </c>
      <c r="N51" s="388">
        <v>46174</v>
      </c>
      <c r="O51" s="474"/>
      <c r="P51" s="475">
        <v>59</v>
      </c>
      <c r="Q51" s="476">
        <f t="shared" ca="1" si="1"/>
        <v>35.027397260273972</v>
      </c>
      <c r="R51" s="477">
        <f t="shared" ca="1" si="11"/>
        <v>63.379761999867334</v>
      </c>
      <c r="S51" s="477">
        <f t="shared" ca="1" si="3"/>
        <v>36.620238000132666</v>
      </c>
      <c r="T51" s="478">
        <f t="shared" ca="1" si="6"/>
        <v>23.972602739726028</v>
      </c>
      <c r="U51" s="478">
        <f t="shared" ca="1" si="7"/>
        <v>24</v>
      </c>
      <c r="V51" s="479">
        <f t="shared" ca="1" si="4"/>
        <v>36042.239999999998</v>
      </c>
      <c r="W51" s="489">
        <v>950</v>
      </c>
      <c r="X51" s="491">
        <f t="shared" ca="1" si="8"/>
        <v>43971.532800000001</v>
      </c>
      <c r="Y51" s="466" t="s">
        <v>1098</v>
      </c>
    </row>
    <row r="52" spans="1:25" s="340" customFormat="1" ht="51" customHeight="1">
      <c r="A52" s="350">
        <v>109</v>
      </c>
      <c r="B52" s="361" t="s">
        <v>1045</v>
      </c>
      <c r="C52" s="361">
        <v>3968835</v>
      </c>
      <c r="D52" s="361" t="s">
        <v>1058</v>
      </c>
      <c r="E52" s="362">
        <v>32840.980000000003</v>
      </c>
      <c r="F52" s="362">
        <f t="shared" si="12"/>
        <v>29778.48</v>
      </c>
      <c r="G52" s="363">
        <v>827.18</v>
      </c>
      <c r="H52" s="363">
        <v>5</v>
      </c>
      <c r="I52" s="363">
        <v>367.6</v>
      </c>
      <c r="J52" s="363">
        <f t="shared" si="0"/>
        <v>183.0796</v>
      </c>
      <c r="K52" s="363">
        <f t="shared" si="5"/>
        <v>1382.8596</v>
      </c>
      <c r="L52" s="364">
        <v>0</v>
      </c>
      <c r="M52" s="388">
        <v>44413</v>
      </c>
      <c r="N52" s="506">
        <v>45478</v>
      </c>
      <c r="O52" s="493"/>
      <c r="P52" s="475">
        <v>36</v>
      </c>
      <c r="Q52" s="476">
        <f t="shared" ca="1" si="1"/>
        <v>34.895890410958899</v>
      </c>
      <c r="R52" s="477">
        <f t="shared" ca="1" si="11"/>
        <v>96.933028919330269</v>
      </c>
      <c r="S52" s="477">
        <f t="shared" ca="1" si="3"/>
        <v>3.066971080669731</v>
      </c>
      <c r="T52" s="478">
        <f t="shared" ca="1" si="6"/>
        <v>1.1041095890411015</v>
      </c>
      <c r="U52" s="478">
        <f t="shared" ca="1" si="7"/>
        <v>1</v>
      </c>
      <c r="V52" s="479">
        <f t="shared" ca="1" si="4"/>
        <v>1199.78</v>
      </c>
      <c r="W52" s="489">
        <v>4098.3599999999997</v>
      </c>
      <c r="X52" s="491">
        <f t="shared" ca="1" si="8"/>
        <v>1382.8596</v>
      </c>
      <c r="Y52" s="466"/>
    </row>
    <row r="53" spans="1:25" s="340" customFormat="1" ht="54.75" customHeight="1">
      <c r="A53" s="350">
        <v>110</v>
      </c>
      <c r="B53" s="361" t="s">
        <v>1045</v>
      </c>
      <c r="C53" s="361">
        <v>3968841</v>
      </c>
      <c r="D53" s="361" t="s">
        <v>1059</v>
      </c>
      <c r="E53" s="362">
        <v>32840.980000000003</v>
      </c>
      <c r="F53" s="362">
        <f t="shared" si="12"/>
        <v>29778.48</v>
      </c>
      <c r="G53" s="363">
        <v>827.18</v>
      </c>
      <c r="H53" s="363">
        <v>5</v>
      </c>
      <c r="I53" s="363">
        <v>367.6</v>
      </c>
      <c r="J53" s="363">
        <f t="shared" si="0"/>
        <v>183.0796</v>
      </c>
      <c r="K53" s="363">
        <f t="shared" si="5"/>
        <v>1382.8596</v>
      </c>
      <c r="L53" s="364">
        <v>0</v>
      </c>
      <c r="M53" s="388">
        <v>44412</v>
      </c>
      <c r="N53" s="506">
        <v>45477</v>
      </c>
      <c r="O53" s="493"/>
      <c r="P53" s="475">
        <v>36</v>
      </c>
      <c r="Q53" s="476">
        <f t="shared" ca="1" si="1"/>
        <v>34.92876712328767</v>
      </c>
      <c r="R53" s="477">
        <f t="shared" ca="1" si="11"/>
        <v>97.024353120243518</v>
      </c>
      <c r="S53" s="477">
        <f t="shared" ca="1" si="3"/>
        <v>2.9756468797564821</v>
      </c>
      <c r="T53" s="478">
        <f t="shared" ca="1" si="6"/>
        <v>1.0712328767123296</v>
      </c>
      <c r="U53" s="478">
        <f t="shared" ca="1" si="7"/>
        <v>1</v>
      </c>
      <c r="V53" s="479">
        <f t="shared" ca="1" si="4"/>
        <v>1199.78</v>
      </c>
      <c r="W53" s="489">
        <v>4098.3599999999997</v>
      </c>
      <c r="X53" s="491">
        <f t="shared" ca="1" si="8"/>
        <v>1382.8596</v>
      </c>
      <c r="Y53" s="466"/>
    </row>
    <row r="54" spans="1:25" s="340" customFormat="1" ht="32.25" customHeight="1">
      <c r="A54" s="350">
        <v>111</v>
      </c>
      <c r="B54" s="408" t="s">
        <v>1001</v>
      </c>
      <c r="C54" s="408">
        <v>1488736</v>
      </c>
      <c r="D54" s="408" t="s">
        <v>1060</v>
      </c>
      <c r="E54" s="362">
        <v>340000</v>
      </c>
      <c r="F54" s="362">
        <f t="shared" si="12"/>
        <v>352196.44</v>
      </c>
      <c r="G54" s="363">
        <v>5393.16</v>
      </c>
      <c r="H54" s="363">
        <v>4</v>
      </c>
      <c r="I54" s="363"/>
      <c r="J54" s="363">
        <f t="shared" si="0"/>
        <v>1187.3751999999999</v>
      </c>
      <c r="K54" s="363">
        <f t="shared" si="5"/>
        <v>6584.5352000000003</v>
      </c>
      <c r="L54" s="364">
        <v>34000</v>
      </c>
      <c r="M54" s="365">
        <v>44501</v>
      </c>
      <c r="N54" s="365">
        <v>46266</v>
      </c>
      <c r="O54" s="474"/>
      <c r="P54" s="475">
        <v>59</v>
      </c>
      <c r="Q54" s="476">
        <f t="shared" ca="1" si="1"/>
        <v>32.0027397260274</v>
      </c>
      <c r="R54" s="477">
        <f t="shared" ca="1" si="11"/>
        <v>58.659279969105292</v>
      </c>
      <c r="S54" s="477">
        <f t="shared" ca="1" si="3"/>
        <v>41.340720030894708</v>
      </c>
      <c r="T54" s="478">
        <f t="shared" ca="1" si="6"/>
        <v>26.9972602739726</v>
      </c>
      <c r="U54" s="478">
        <f t="shared" ca="1" si="7"/>
        <v>27</v>
      </c>
      <c r="V54" s="479">
        <f t="shared" ca="1" si="4"/>
        <v>145723.32</v>
      </c>
      <c r="W54" s="489">
        <v>3400</v>
      </c>
      <c r="X54" s="491">
        <f t="shared" ca="1" si="8"/>
        <v>177782.4504</v>
      </c>
      <c r="Y54" s="468"/>
    </row>
    <row r="55" spans="1:25" s="340" customFormat="1" ht="63.2" customHeight="1">
      <c r="A55" s="350">
        <v>112</v>
      </c>
      <c r="B55" s="408" t="s">
        <v>1001</v>
      </c>
      <c r="C55" s="408">
        <v>1488738</v>
      </c>
      <c r="D55" s="408" t="s">
        <v>1061</v>
      </c>
      <c r="E55" s="362">
        <v>295000</v>
      </c>
      <c r="F55" s="362">
        <f t="shared" si="12"/>
        <v>305448.90000000002</v>
      </c>
      <c r="G55" s="363">
        <v>4177.1000000000004</v>
      </c>
      <c r="H55" s="363">
        <v>4</v>
      </c>
      <c r="I55" s="363"/>
      <c r="J55" s="363">
        <f t="shared" si="0"/>
        <v>919.8420000000001</v>
      </c>
      <c r="K55" s="363">
        <f t="shared" si="5"/>
        <v>5100.9420000000009</v>
      </c>
      <c r="L55" s="364">
        <v>59000</v>
      </c>
      <c r="M55" s="365">
        <v>44737</v>
      </c>
      <c r="N55" s="365">
        <v>46502</v>
      </c>
      <c r="O55" s="474"/>
      <c r="P55" s="475">
        <v>59</v>
      </c>
      <c r="Q55" s="476">
        <f t="shared" ca="1" si="1"/>
        <v>24.243835616438353</v>
      </c>
      <c r="R55" s="477">
        <f t="shared" ca="1" si="11"/>
        <v>52.469963307585864</v>
      </c>
      <c r="S55" s="477">
        <f t="shared" ca="1" si="3"/>
        <v>47.530036692414136</v>
      </c>
      <c r="T55" s="478">
        <f t="shared" ca="1" si="6"/>
        <v>34.756164383561647</v>
      </c>
      <c r="U55" s="478">
        <f t="shared" ca="1" si="7"/>
        <v>35</v>
      </c>
      <c r="V55" s="479">
        <f t="shared" ca="1" si="4"/>
        <v>146338.5</v>
      </c>
      <c r="W55" s="489">
        <v>2950</v>
      </c>
      <c r="X55" s="491">
        <f t="shared" ca="1" si="8"/>
        <v>178532.97000000003</v>
      </c>
      <c r="Y55" s="468"/>
    </row>
    <row r="56" spans="1:25" ht="54">
      <c r="A56" s="350">
        <v>113</v>
      </c>
      <c r="B56" s="408" t="s">
        <v>1001</v>
      </c>
      <c r="C56" s="408">
        <v>1492543</v>
      </c>
      <c r="D56" s="408" t="s">
        <v>1062</v>
      </c>
      <c r="E56" s="362">
        <v>275000</v>
      </c>
      <c r="F56" s="362">
        <f t="shared" si="12"/>
        <v>283168.93</v>
      </c>
      <c r="G56" s="386">
        <v>3867.27</v>
      </c>
      <c r="H56" s="386">
        <v>4</v>
      </c>
      <c r="I56" s="386"/>
      <c r="J56" s="386">
        <f t="shared" si="0"/>
        <v>851.67939999999999</v>
      </c>
      <c r="K56" s="386">
        <f t="shared" si="5"/>
        <v>4722.9493999999995</v>
      </c>
      <c r="L56" s="387">
        <v>55000</v>
      </c>
      <c r="M56" s="388">
        <v>44595</v>
      </c>
      <c r="N56" s="388">
        <v>46359</v>
      </c>
      <c r="O56" s="507"/>
      <c r="P56" s="498">
        <v>59</v>
      </c>
      <c r="Q56" s="476">
        <f t="shared" ca="1" si="1"/>
        <v>28.912328767123284</v>
      </c>
      <c r="R56" s="477">
        <f t="shared" ca="1" si="11"/>
        <v>58.908928204528962</v>
      </c>
      <c r="S56" s="477">
        <f t="shared" ca="1" si="3"/>
        <v>41.091071795471038</v>
      </c>
      <c r="T56" s="478">
        <f t="shared" ca="1" si="6"/>
        <v>30.087671232876716</v>
      </c>
      <c r="U56" s="478">
        <f t="shared" ca="1" si="7"/>
        <v>30</v>
      </c>
      <c r="V56" s="479">
        <f t="shared" ca="1" si="4"/>
        <v>116138.1</v>
      </c>
      <c r="W56" s="495">
        <v>2750</v>
      </c>
      <c r="X56" s="481">
        <f t="shared" ca="1" si="8"/>
        <v>141688.48199999999</v>
      </c>
      <c r="Y56" s="460"/>
    </row>
    <row r="57" spans="1:25" s="340" customFormat="1" ht="60.75" customHeight="1">
      <c r="A57" s="350">
        <v>114</v>
      </c>
      <c r="B57" s="409" t="s">
        <v>1063</v>
      </c>
      <c r="C57" s="409" t="s">
        <v>1064</v>
      </c>
      <c r="D57" s="409" t="s">
        <v>1065</v>
      </c>
      <c r="E57" s="397">
        <v>81000</v>
      </c>
      <c r="F57" s="397">
        <f>(G57+I57)*P57+L57</f>
        <v>82849.350000000006</v>
      </c>
      <c r="G57" s="363">
        <v>1129.6500000000001</v>
      </c>
      <c r="H57" s="363">
        <v>4</v>
      </c>
      <c r="I57" s="363"/>
      <c r="J57" s="363">
        <f t="shared" si="0"/>
        <v>249.40300000000002</v>
      </c>
      <c r="K57" s="363">
        <f t="shared" si="5"/>
        <v>1383.0530000000001</v>
      </c>
      <c r="L57" s="364">
        <v>16200</v>
      </c>
      <c r="M57" s="380">
        <v>44621</v>
      </c>
      <c r="N57" s="365">
        <v>46388</v>
      </c>
      <c r="O57" s="474"/>
      <c r="P57" s="475">
        <v>59</v>
      </c>
      <c r="Q57" s="501">
        <f t="shared" ca="1" si="1"/>
        <v>28.057534246575344</v>
      </c>
      <c r="R57" s="502">
        <f t="shared" ca="1" si="11"/>
        <v>57.809981082101238</v>
      </c>
      <c r="S57" s="502">
        <f t="shared" ca="1" si="3"/>
        <v>42.190018917898762</v>
      </c>
      <c r="T57" s="503">
        <f t="shared" ca="1" si="6"/>
        <v>30.942465753424656</v>
      </c>
      <c r="U57" s="503">
        <f t="shared" ca="1" si="7"/>
        <v>31</v>
      </c>
      <c r="V57" s="504">
        <f t="shared" ca="1" si="4"/>
        <v>35143.15</v>
      </c>
      <c r="W57" s="489">
        <v>810</v>
      </c>
      <c r="X57" s="491">
        <f t="shared" ca="1" si="8"/>
        <v>42874.643000000004</v>
      </c>
      <c r="Y57" s="466"/>
    </row>
    <row r="58" spans="1:25" s="340" customFormat="1" ht="18.75">
      <c r="A58" s="350">
        <v>115</v>
      </c>
      <c r="B58" s="410" t="s">
        <v>1009</v>
      </c>
      <c r="C58" s="410">
        <v>1726016</v>
      </c>
      <c r="D58" s="408" t="s">
        <v>1066</v>
      </c>
      <c r="E58" s="362">
        <v>20950</v>
      </c>
      <c r="F58" s="362">
        <f>(G58+H58+I58)*P58+L58</f>
        <v>23170.739999999998</v>
      </c>
      <c r="G58" s="363">
        <v>417.64</v>
      </c>
      <c r="H58" s="363">
        <v>10.130000000000001</v>
      </c>
      <c r="I58" s="363">
        <v>20.65</v>
      </c>
      <c r="J58" s="363">
        <f t="shared" si="0"/>
        <v>94.109399999999994</v>
      </c>
      <c r="K58" s="363">
        <f t="shared" si="5"/>
        <v>542.5293999999999</v>
      </c>
      <c r="L58" s="364">
        <v>2095</v>
      </c>
      <c r="M58" s="365">
        <v>44820</v>
      </c>
      <c r="N58" s="365">
        <v>46219</v>
      </c>
      <c r="O58" s="474"/>
      <c r="P58" s="475">
        <v>47</v>
      </c>
      <c r="Q58" s="476">
        <f ca="1">IF((($D$2-M58)/365*12+1-O58)&lt;0,0,(($D$2-M58)/365*12+1-O58))</f>
        <v>21.515068493150686</v>
      </c>
      <c r="R58" s="477">
        <f t="shared" ca="1" si="11"/>
        <v>47.821317771808125</v>
      </c>
      <c r="S58" s="477">
        <f t="shared" ca="1" si="3"/>
        <v>52.178682228191875</v>
      </c>
      <c r="T58" s="478">
        <f t="shared" ca="1" si="6"/>
        <v>25.484931506849314</v>
      </c>
      <c r="U58" s="478">
        <f t="shared" ca="1" si="7"/>
        <v>25</v>
      </c>
      <c r="V58" s="479">
        <f t="shared" ca="1" si="4"/>
        <v>11210.499999999998</v>
      </c>
      <c r="W58" s="489">
        <v>209.5</v>
      </c>
      <c r="X58" s="491">
        <f t="shared" ca="1" si="8"/>
        <v>13563.234999999997</v>
      </c>
      <c r="Y58" s="468"/>
    </row>
    <row r="59" spans="1:25" s="340" customFormat="1" ht="18.75">
      <c r="A59" s="350">
        <v>116</v>
      </c>
      <c r="B59" s="410" t="s">
        <v>1009</v>
      </c>
      <c r="C59" s="410">
        <v>1723336</v>
      </c>
      <c r="D59" s="408" t="s">
        <v>1067</v>
      </c>
      <c r="E59" s="362">
        <v>33500</v>
      </c>
      <c r="F59" s="362">
        <f>(G59+H59+I59)*P59+L59</f>
        <v>36910.35</v>
      </c>
      <c r="G59" s="363">
        <v>663.64</v>
      </c>
      <c r="H59" s="363">
        <v>10.130000000000001</v>
      </c>
      <c r="I59" s="363">
        <v>40.28</v>
      </c>
      <c r="J59" s="363">
        <f t="shared" si="0"/>
        <v>148.2294</v>
      </c>
      <c r="K59" s="363">
        <f t="shared" si="5"/>
        <v>862.2793999999999</v>
      </c>
      <c r="L59" s="364">
        <v>3350</v>
      </c>
      <c r="M59" s="373">
        <v>44850</v>
      </c>
      <c r="N59" s="365">
        <v>46250</v>
      </c>
      <c r="O59" s="474"/>
      <c r="P59" s="475">
        <v>47</v>
      </c>
      <c r="Q59" s="476">
        <f ca="1">IF((($D$2-M59)/365*12+1-O59)&lt;0,0,(($D$2-M59)/365*12+1-O59))</f>
        <v>20.528767123287672</v>
      </c>
      <c r="R59" s="477">
        <f t="shared" ca="1" si="11"/>
        <v>45.986318237834723</v>
      </c>
      <c r="S59" s="477">
        <f t="shared" ca="1" si="3"/>
        <v>54.013681762165277</v>
      </c>
      <c r="T59" s="478">
        <f t="shared" ca="1" si="6"/>
        <v>26.471232876712328</v>
      </c>
      <c r="U59" s="478">
        <f t="shared" ca="1" si="7"/>
        <v>26</v>
      </c>
      <c r="V59" s="479">
        <f t="shared" ca="1" si="4"/>
        <v>18565.3</v>
      </c>
      <c r="W59" s="489">
        <v>335</v>
      </c>
      <c r="X59" s="491">
        <f t="shared" ca="1" si="8"/>
        <v>22419.264399999996</v>
      </c>
      <c r="Y59" s="468"/>
    </row>
    <row r="60" spans="1:25" s="340" customFormat="1" ht="18.75">
      <c r="A60" s="350">
        <v>117</v>
      </c>
      <c r="B60" s="410" t="s">
        <v>1009</v>
      </c>
      <c r="C60" s="410">
        <v>1726965</v>
      </c>
      <c r="D60" s="408" t="s">
        <v>1068</v>
      </c>
      <c r="E60" s="362">
        <v>36000</v>
      </c>
      <c r="F60" s="362">
        <f>(G60+H60+I60)*P60+L60</f>
        <v>41283.659999999996</v>
      </c>
      <c r="G60" s="363">
        <v>732.57</v>
      </c>
      <c r="H60" s="363">
        <v>25.93</v>
      </c>
      <c r="I60" s="363">
        <v>43.28</v>
      </c>
      <c r="J60" s="363">
        <f t="shared" si="0"/>
        <v>166.87</v>
      </c>
      <c r="K60" s="363">
        <f t="shared" si="5"/>
        <v>968.65</v>
      </c>
      <c r="L60" s="364">
        <v>3600</v>
      </c>
      <c r="M60" s="373">
        <v>44866</v>
      </c>
      <c r="N60" s="365">
        <v>46266</v>
      </c>
      <c r="O60" s="474"/>
      <c r="P60" s="475">
        <v>47</v>
      </c>
      <c r="Q60" s="476">
        <f ca="1">IF((($D$2-M60)/365*12+1-O60)&lt;0,0,(($D$2-M60)/365*12+1-O60))</f>
        <v>20.002739726027396</v>
      </c>
      <c r="R60" s="477">
        <f t="shared" ca="1" si="11"/>
        <v>44.214604618621244</v>
      </c>
      <c r="S60" s="477">
        <f t="shared" ca="1" si="3"/>
        <v>55.785395381378756</v>
      </c>
      <c r="T60" s="478">
        <f t="shared" ca="1" si="6"/>
        <v>26.997260273972604</v>
      </c>
      <c r="U60" s="478">
        <f t="shared" ca="1" si="7"/>
        <v>27</v>
      </c>
      <c r="V60" s="479">
        <f t="shared" ca="1" si="4"/>
        <v>21648.059999999998</v>
      </c>
      <c r="W60" s="489">
        <v>360</v>
      </c>
      <c r="X60" s="491">
        <f t="shared" ca="1" si="8"/>
        <v>26153.55</v>
      </c>
      <c r="Y60" s="468"/>
    </row>
    <row r="61" spans="1:25" s="340" customFormat="1" ht="24.75" customHeight="1">
      <c r="A61" s="350">
        <v>118</v>
      </c>
      <c r="B61" s="408" t="s">
        <v>1009</v>
      </c>
      <c r="C61" s="408">
        <v>1726972</v>
      </c>
      <c r="D61" s="408" t="s">
        <v>1069</v>
      </c>
      <c r="E61" s="362">
        <v>36000</v>
      </c>
      <c r="F61" s="362">
        <f>(G61+H61+I61)*P61+L61</f>
        <v>41331.129999999997</v>
      </c>
      <c r="G61" s="363">
        <v>733.58</v>
      </c>
      <c r="H61" s="363">
        <v>25.93</v>
      </c>
      <c r="I61" s="363">
        <v>43.28</v>
      </c>
      <c r="J61" s="363">
        <f t="shared" si="0"/>
        <v>167.09220000000002</v>
      </c>
      <c r="K61" s="363">
        <f t="shared" si="5"/>
        <v>969.88220000000001</v>
      </c>
      <c r="L61" s="364">
        <v>3600</v>
      </c>
      <c r="M61" s="373">
        <v>44881</v>
      </c>
      <c r="N61" s="365">
        <v>46281</v>
      </c>
      <c r="O61" s="474"/>
      <c r="P61" s="475">
        <v>47</v>
      </c>
      <c r="Q61" s="476">
        <f ca="1">IF((($D$2-M61)/365*12+1-O61)&lt;0,0,(($D$2-M61)/365*12+1-O61))</f>
        <v>19.509589041095889</v>
      </c>
      <c r="R61" s="477">
        <f t="shared" ca="1" si="11"/>
        <v>43.337417410961493</v>
      </c>
      <c r="S61" s="477">
        <f t="shared" ca="1" si="3"/>
        <v>56.662582589038507</v>
      </c>
      <c r="T61" s="478">
        <f t="shared" ca="1" si="6"/>
        <v>27.490410958904111</v>
      </c>
      <c r="U61" s="478">
        <f t="shared" ca="1" si="7"/>
        <v>27</v>
      </c>
      <c r="V61" s="479">
        <f t="shared" ca="1" si="4"/>
        <v>21675.329999999998</v>
      </c>
      <c r="W61" s="489"/>
      <c r="X61" s="491">
        <f t="shared" ca="1" si="8"/>
        <v>26186.8194</v>
      </c>
      <c r="Y61" s="468"/>
    </row>
    <row r="62" spans="1:25" s="340" customFormat="1" ht="24.75" customHeight="1">
      <c r="A62" s="350">
        <v>119</v>
      </c>
      <c r="B62" s="361" t="s">
        <v>1045</v>
      </c>
      <c r="C62" s="361">
        <v>4233123</v>
      </c>
      <c r="D62" s="361" t="s">
        <v>1070</v>
      </c>
      <c r="E62" s="362">
        <v>56037.7</v>
      </c>
      <c r="F62" s="362">
        <f>G62*P62+L62</f>
        <v>46809</v>
      </c>
      <c r="G62" s="363">
        <v>1300.25</v>
      </c>
      <c r="H62" s="363">
        <v>5</v>
      </c>
      <c r="I62" s="363"/>
      <c r="J62" s="363">
        <f t="shared" si="0"/>
        <v>287.15499999999997</v>
      </c>
      <c r="K62" s="363">
        <f t="shared" si="5"/>
        <v>1592.405</v>
      </c>
      <c r="L62" s="364">
        <v>0</v>
      </c>
      <c r="M62" s="365">
        <v>44917</v>
      </c>
      <c r="N62" s="373">
        <v>46012</v>
      </c>
      <c r="O62" s="493"/>
      <c r="P62" s="475">
        <v>36</v>
      </c>
      <c r="Q62" s="476">
        <f ca="1">($D$2-M62)/365*12+1-O62</f>
        <v>18.326027397260273</v>
      </c>
      <c r="R62" s="477">
        <f t="shared" ca="1" si="11"/>
        <v>50.905631659056311</v>
      </c>
      <c r="S62" s="477">
        <f t="shared" ca="1" si="3"/>
        <v>49.094368340943689</v>
      </c>
      <c r="T62" s="478">
        <f t="shared" ca="1" si="6"/>
        <v>17.673972602739727</v>
      </c>
      <c r="U62" s="478">
        <f t="shared" ca="1" si="7"/>
        <v>18</v>
      </c>
      <c r="V62" s="479">
        <f t="shared" ca="1" si="4"/>
        <v>23494.5</v>
      </c>
      <c r="W62" s="489">
        <v>15537.76</v>
      </c>
      <c r="X62" s="491">
        <f t="shared" ca="1" si="8"/>
        <v>28663.29</v>
      </c>
      <c r="Y62" s="466"/>
    </row>
    <row r="63" spans="1:25" s="340" customFormat="1" ht="24.75" customHeight="1">
      <c r="A63" s="350"/>
      <c r="B63" s="408" t="s">
        <v>1071</v>
      </c>
      <c r="C63" s="408" t="s">
        <v>1072</v>
      </c>
      <c r="D63" s="408" t="s">
        <v>1073</v>
      </c>
      <c r="E63" s="362">
        <v>965000</v>
      </c>
      <c r="F63" s="362">
        <f>G63*P63+L63</f>
        <v>981122</v>
      </c>
      <c r="G63" s="363">
        <v>13358</v>
      </c>
      <c r="H63" s="363">
        <v>3</v>
      </c>
      <c r="I63" s="363"/>
      <c r="J63" s="363">
        <f t="shared" si="0"/>
        <v>2939.42</v>
      </c>
      <c r="K63" s="363">
        <f t="shared" si="5"/>
        <v>16300.42</v>
      </c>
      <c r="L63" s="364">
        <v>193000</v>
      </c>
      <c r="M63" s="411">
        <v>44927</v>
      </c>
      <c r="N63" s="473">
        <v>46692</v>
      </c>
      <c r="O63" s="474"/>
      <c r="P63" s="475">
        <v>59</v>
      </c>
      <c r="Q63" s="476">
        <f ca="1">IF((($D$2-M63)/365*12+1-O63)&lt;0,0,(($D$2-M63)/365*12+1-O63))</f>
        <v>17.997260273972604</v>
      </c>
      <c r="R63" s="477">
        <f t="shared" ca="1" si="11"/>
        <v>44.174669688349255</v>
      </c>
      <c r="S63" s="477">
        <f t="shared" ca="1" si="3"/>
        <v>55.825330311650745</v>
      </c>
      <c r="T63" s="478">
        <f t="shared" ca="1" si="6"/>
        <v>41.0027397260274</v>
      </c>
      <c r="U63" s="478">
        <f t="shared" ca="1" si="7"/>
        <v>41</v>
      </c>
      <c r="V63" s="479">
        <f t="shared" ca="1" si="4"/>
        <v>547801</v>
      </c>
      <c r="W63" s="489">
        <v>9650</v>
      </c>
      <c r="X63" s="491">
        <f t="shared" ca="1" si="8"/>
        <v>668317.22</v>
      </c>
      <c r="Y63" s="468"/>
    </row>
    <row r="64" spans="1:25" s="340" customFormat="1" ht="28.5" customHeight="1">
      <c r="A64" s="350"/>
      <c r="B64" s="412"/>
      <c r="C64" s="412"/>
      <c r="D64" s="413"/>
      <c r="E64" s="414"/>
      <c r="F64" s="412"/>
      <c r="G64" s="412"/>
      <c r="H64" s="508"/>
      <c r="I64" s="508"/>
      <c r="J64" s="509"/>
      <c r="K64" s="510"/>
      <c r="L64" s="412"/>
      <c r="M64" s="412"/>
      <c r="N64" s="412"/>
      <c r="O64" s="511"/>
      <c r="P64" s="512"/>
      <c r="Q64" s="412"/>
      <c r="R64" s="513"/>
      <c r="S64" s="513"/>
      <c r="T64" s="513"/>
      <c r="U64" s="513"/>
      <c r="V64" s="513"/>
      <c r="W64" s="513"/>
      <c r="X64" s="514"/>
      <c r="Y64" s="514"/>
    </row>
    <row r="65" spans="1:25" s="340" customFormat="1" ht="20.100000000000001" customHeight="1">
      <c r="A65" s="333"/>
      <c r="D65" s="429"/>
      <c r="E65" s="430"/>
      <c r="F65" s="431"/>
      <c r="G65" s="431"/>
      <c r="H65" s="432"/>
      <c r="I65" s="432"/>
      <c r="J65" s="432"/>
      <c r="K65" s="432"/>
      <c r="L65" s="515"/>
      <c r="M65" s="516"/>
      <c r="N65" s="516"/>
      <c r="O65" s="517"/>
      <c r="P65" s="518"/>
      <c r="Q65" s="516"/>
      <c r="R65" s="519"/>
      <c r="S65" s="519"/>
      <c r="T65" s="519"/>
      <c r="U65" s="519"/>
      <c r="V65" s="519"/>
      <c r="W65" s="520"/>
      <c r="X65" s="520"/>
      <c r="Y65" s="521"/>
    </row>
    <row r="66" spans="1:25" s="523" customFormat="1" ht="31.5" customHeight="1">
      <c r="A66" s="522"/>
      <c r="D66" s="524"/>
      <c r="E66" s="525"/>
      <c r="F66" s="522"/>
      <c r="G66" s="526">
        <f>SUM(G5:G64)</f>
        <v>140188.29</v>
      </c>
      <c r="H66" s="527"/>
      <c r="I66" s="526">
        <f>SUM(I5:I61)</f>
        <v>2270.8400000000006</v>
      </c>
      <c r="J66" s="526">
        <f>SUM(J5:J61)</f>
        <v>27801.145525999993</v>
      </c>
      <c r="K66" s="526">
        <f>SUM(K5:K61)</f>
        <v>156440.82882600001</v>
      </c>
      <c r="L66" s="527"/>
      <c r="M66" s="527"/>
      <c r="N66" s="527"/>
      <c r="O66" s="528"/>
      <c r="P66" s="529"/>
      <c r="Q66" s="527"/>
      <c r="R66" s="527"/>
      <c r="S66" s="527"/>
      <c r="T66" s="527"/>
      <c r="U66" s="527"/>
      <c r="V66" s="526">
        <f ca="1">SUM(V5:V61)</f>
        <v>310484.27670000005</v>
      </c>
      <c r="W66" s="526">
        <f>SUM(W5:W64)</f>
        <v>149126.81</v>
      </c>
      <c r="X66" s="526">
        <f ca="1">SUM(X5:X61)</f>
        <v>380021.69117399998</v>
      </c>
      <c r="Y66" s="530"/>
    </row>
    <row r="67" spans="1:25" s="340" customFormat="1" ht="20.100000000000001" customHeight="1">
      <c r="A67" s="333"/>
      <c r="D67" s="429"/>
      <c r="E67" s="430"/>
      <c r="F67" s="431"/>
      <c r="G67" s="431"/>
      <c r="H67" s="432"/>
      <c r="I67" s="432"/>
      <c r="J67" s="432"/>
      <c r="K67" s="432"/>
      <c r="L67" s="432"/>
      <c r="O67" s="448"/>
      <c r="P67" s="431"/>
      <c r="R67" s="360"/>
      <c r="S67" s="360"/>
      <c r="T67" s="360"/>
      <c r="U67" s="360"/>
      <c r="V67" s="360"/>
      <c r="W67" s="531"/>
      <c r="X67" s="531"/>
      <c r="Y67" s="531"/>
    </row>
    <row r="68" spans="1:25" s="340" customFormat="1" ht="20.100000000000001" customHeight="1" thickBot="1">
      <c r="A68" s="333"/>
      <c r="D68" s="433"/>
      <c r="E68" s="430"/>
      <c r="F68" s="457" t="s">
        <v>1099</v>
      </c>
      <c r="G68" s="457" t="s">
        <v>1100</v>
      </c>
      <c r="H68" s="434"/>
      <c r="I68" s="434"/>
      <c r="J68" s="532"/>
      <c r="K68" s="434"/>
      <c r="O68" s="448"/>
      <c r="R68" s="360"/>
      <c r="S68" s="360"/>
      <c r="T68" s="360"/>
      <c r="U68" s="360"/>
      <c r="V68" s="360"/>
      <c r="W68" s="360"/>
      <c r="X68" s="360"/>
      <c r="Y68" s="360"/>
    </row>
    <row r="69" spans="1:25" s="340" customFormat="1" ht="20.100000000000001" customHeight="1" thickBot="1">
      <c r="A69" s="333"/>
      <c r="B69" s="533" t="s">
        <v>1101</v>
      </c>
      <c r="C69" s="534"/>
      <c r="D69" s="535"/>
      <c r="E69" s="430"/>
      <c r="F69" s="536">
        <f ca="1">V66+W66</f>
        <v>459611.08670000004</v>
      </c>
      <c r="G69" s="537">
        <f ca="1">X66+W66+W66*22/100</f>
        <v>561956.39937400003</v>
      </c>
      <c r="I69" s="432"/>
      <c r="J69" s="538"/>
      <c r="K69" s="434"/>
      <c r="O69" s="448"/>
      <c r="R69" s="360"/>
      <c r="S69" s="360"/>
      <c r="T69" s="360"/>
      <c r="U69" s="360"/>
      <c r="V69" s="360"/>
      <c r="W69" s="360"/>
      <c r="X69" s="360"/>
      <c r="Y69" s="360"/>
    </row>
    <row r="70" spans="1:25" s="340" customFormat="1">
      <c r="A70" s="333"/>
      <c r="D70" s="433"/>
      <c r="E70" s="430"/>
      <c r="H70" s="434"/>
      <c r="I70" s="434"/>
      <c r="J70" s="532"/>
      <c r="K70" s="434"/>
      <c r="O70" s="448"/>
      <c r="P70" s="431"/>
      <c r="R70" s="360"/>
      <c r="S70" s="360"/>
      <c r="T70" s="360"/>
      <c r="U70" s="360"/>
      <c r="V70" s="360"/>
      <c r="W70" s="360"/>
      <c r="X70" s="360"/>
      <c r="Y70" s="360"/>
    </row>
    <row r="71" spans="1:25" s="340" customFormat="1">
      <c r="A71" s="333"/>
      <c r="D71" s="433"/>
      <c r="E71" s="430"/>
      <c r="G71" s="434"/>
      <c r="H71" s="434"/>
      <c r="I71" s="434"/>
      <c r="J71" s="532"/>
      <c r="K71" s="434"/>
      <c r="O71" s="448"/>
      <c r="R71" s="360"/>
      <c r="S71" s="360"/>
      <c r="T71" s="360"/>
      <c r="U71" s="360"/>
      <c r="V71" s="360"/>
      <c r="W71" s="360"/>
      <c r="X71" s="360"/>
      <c r="Y71" s="360"/>
    </row>
    <row r="72" spans="1:25">
      <c r="B72" s="435"/>
      <c r="E72" s="393"/>
      <c r="G72" s="437"/>
      <c r="H72" s="393"/>
      <c r="I72" s="393"/>
      <c r="J72" s="393"/>
      <c r="K72" s="393"/>
      <c r="P72" s="393"/>
    </row>
    <row r="74" spans="1:25" s="340" customFormat="1" ht="18.75">
      <c r="A74" s="333"/>
      <c r="C74" s="431"/>
      <c r="D74" s="433"/>
      <c r="E74" s="441"/>
      <c r="H74" s="434"/>
      <c r="I74" s="434"/>
      <c r="J74" s="532"/>
      <c r="K74" s="434"/>
      <c r="O74" s="448"/>
      <c r="P74" s="431"/>
      <c r="R74" s="360"/>
      <c r="S74" s="360"/>
      <c r="T74" s="360"/>
      <c r="U74" s="360"/>
      <c r="V74" s="360"/>
      <c r="W74" s="360"/>
      <c r="X74" s="360"/>
      <c r="Y74" s="360"/>
    </row>
    <row r="75" spans="1:25" s="340" customFormat="1" ht="18.75">
      <c r="A75" s="333"/>
      <c r="D75" s="433"/>
      <c r="E75" s="441"/>
      <c r="H75" s="434"/>
      <c r="I75" s="434"/>
      <c r="J75" s="532"/>
      <c r="K75" s="434"/>
      <c r="O75" s="448"/>
      <c r="P75" s="431"/>
      <c r="R75" s="360"/>
      <c r="S75" s="360"/>
      <c r="T75" s="360"/>
      <c r="U75" s="360"/>
      <c r="V75" s="360"/>
      <c r="W75" s="360"/>
      <c r="X75" s="360"/>
      <c r="Y75" s="360"/>
    </row>
  </sheetData>
  <protectedRanges>
    <protectedRange sqref="D2" name="Intervallo1"/>
  </protectedRange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B2"/>
  <sheetViews>
    <sheetView workbookViewId="0">
      <selection activeCell="N31" sqref="N31"/>
    </sheetView>
  </sheetViews>
  <sheetFormatPr defaultColWidth="8.7109375" defaultRowHeight="15"/>
  <cols>
    <col min="1" max="16384" width="8.7109375" style="4"/>
  </cols>
  <sheetData>
    <row r="2" spans="2:2" ht="49.5">
      <c r="B2" s="6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AQ110"/>
  <sheetViews>
    <sheetView showGridLines="0" zoomScale="102" zoomScaleNormal="115" workbookViewId="0">
      <selection activeCell="I76" sqref="I76"/>
    </sheetView>
  </sheetViews>
  <sheetFormatPr defaultColWidth="8.7109375" defaultRowHeight="10.5" outlineLevelRow="2" outlineLevelCol="2"/>
  <cols>
    <col min="1" max="1" width="4.140625" style="8" bestFit="1" customWidth="1"/>
    <col min="2" max="2" width="32.5703125" style="8" customWidth="1"/>
    <col min="3" max="5" width="9.5703125" style="8" bestFit="1" customWidth="1" outlineLevel="1"/>
    <col min="6" max="6" width="10.42578125" style="8" hidden="1" customWidth="1" outlineLevel="2"/>
    <col min="7" max="7" width="10.42578125" style="142" hidden="1" customWidth="1" outlineLevel="2"/>
    <col min="8" max="8" width="9.5703125" style="142" bestFit="1" customWidth="1" outlineLevel="1" collapsed="1"/>
    <col min="9" max="10" width="9.5703125" style="8" bestFit="1" customWidth="1" outlineLevel="1"/>
    <col min="11" max="11" width="10.42578125" style="8" hidden="1" customWidth="1" outlineLevel="2"/>
    <col min="12" max="12" width="9.28515625" style="8" bestFit="1" customWidth="1" outlineLevel="1" collapsed="1"/>
    <col min="13" max="16" width="9.28515625" style="8" bestFit="1" customWidth="1" outlineLevel="1"/>
    <col min="17" max="17" width="4.140625" style="8" customWidth="1"/>
    <col min="18" max="18" width="9.7109375" style="8" bestFit="1" customWidth="1"/>
    <col min="19" max="19" width="8.7109375" style="8" bestFit="1" customWidth="1"/>
    <col min="20" max="20" width="10.28515625" style="8" bestFit="1" customWidth="1"/>
    <col min="21" max="21" width="7.42578125" style="8" bestFit="1" customWidth="1"/>
    <col min="22" max="22" width="23.42578125" style="8" bestFit="1" customWidth="1"/>
    <col min="23" max="30" width="9.85546875" style="8" bestFit="1" customWidth="1"/>
    <col min="31" max="31" width="9.85546875" style="8" customWidth="1"/>
    <col min="32" max="32" width="9.85546875" style="8" bestFit="1" customWidth="1"/>
    <col min="33" max="33" width="5.7109375" style="8" customWidth="1"/>
    <col min="34" max="34" width="23.42578125" style="8" bestFit="1" customWidth="1"/>
    <col min="35" max="36" width="9.28515625" style="8" bestFit="1" customWidth="1"/>
    <col min="37" max="37" width="8.7109375" style="8" bestFit="1" customWidth="1"/>
    <col min="38" max="38" width="10.85546875" style="8" bestFit="1" customWidth="1"/>
    <col min="39" max="39" width="9.28515625" style="8" bestFit="1" customWidth="1"/>
    <col min="40" max="40" width="8.7109375" style="8" bestFit="1" customWidth="1"/>
    <col min="41" max="41" width="8.42578125" style="8" bestFit="1" customWidth="1"/>
    <col min="42" max="43" width="8.7109375" style="8" bestFit="1" customWidth="1"/>
    <col min="44" max="62" width="13" style="8" customWidth="1"/>
    <col min="63" max="16384" width="8.7109375" style="8"/>
  </cols>
  <sheetData>
    <row r="2" spans="2:43" ht="12.75">
      <c r="B2" s="46" t="s">
        <v>4547</v>
      </c>
      <c r="D2" s="110"/>
      <c r="K2" s="8">
        <v>2</v>
      </c>
    </row>
    <row r="3" spans="2:43" ht="11.25" thickBot="1">
      <c r="C3" s="47"/>
      <c r="D3" s="47"/>
      <c r="E3" s="47"/>
      <c r="F3" s="47"/>
      <c r="G3" s="914"/>
      <c r="H3" s="914"/>
      <c r="I3" s="47"/>
      <c r="J3" s="47"/>
      <c r="K3" s="47"/>
      <c r="L3" s="47"/>
      <c r="M3" s="47"/>
      <c r="N3" s="47"/>
      <c r="O3" s="47"/>
      <c r="P3" s="47"/>
    </row>
    <row r="4" spans="2:43">
      <c r="B4" s="820"/>
      <c r="C4" s="820">
        <v>2018</v>
      </c>
      <c r="D4" s="820">
        <v>2019</v>
      </c>
      <c r="E4" s="820">
        <v>2020</v>
      </c>
      <c r="F4" s="820">
        <v>2021</v>
      </c>
      <c r="G4" s="871" t="s">
        <v>3879</v>
      </c>
      <c r="H4" s="871" t="s">
        <v>3880</v>
      </c>
      <c r="I4" s="820">
        <v>2022</v>
      </c>
      <c r="J4" s="1037">
        <v>45078</v>
      </c>
      <c r="K4" s="1237" t="s">
        <v>4173</v>
      </c>
      <c r="L4" s="153">
        <f>+I4+1</f>
        <v>2023</v>
      </c>
      <c r="M4" s="153">
        <f t="shared" ref="M4:P4" si="0">+L4+1</f>
        <v>2024</v>
      </c>
      <c r="N4" s="153">
        <f t="shared" si="0"/>
        <v>2025</v>
      </c>
      <c r="O4" s="153">
        <f t="shared" si="0"/>
        <v>2026</v>
      </c>
      <c r="P4" s="153">
        <f t="shared" si="0"/>
        <v>2027</v>
      </c>
      <c r="Q4" s="50"/>
      <c r="R4" s="51" t="s">
        <v>351</v>
      </c>
      <c r="S4" s="51"/>
      <c r="T4" s="51"/>
      <c r="V4" s="52" t="s">
        <v>352</v>
      </c>
      <c r="W4" s="52">
        <f>+C4</f>
        <v>2018</v>
      </c>
      <c r="X4" s="52">
        <f>+D4</f>
        <v>2019</v>
      </c>
      <c r="Y4" s="52">
        <f>+E4</f>
        <v>2020</v>
      </c>
      <c r="Z4" s="52">
        <f>+F4</f>
        <v>2021</v>
      </c>
      <c r="AA4" s="52">
        <f>+I4</f>
        <v>2022</v>
      </c>
      <c r="AB4" s="52">
        <f t="shared" ref="AB4:AF4" si="1">+L4</f>
        <v>2023</v>
      </c>
      <c r="AC4" s="52">
        <f t="shared" si="1"/>
        <v>2024</v>
      </c>
      <c r="AD4" s="52">
        <f t="shared" si="1"/>
        <v>2025</v>
      </c>
      <c r="AE4" s="52">
        <f t="shared" si="1"/>
        <v>2026</v>
      </c>
      <c r="AF4" s="52">
        <f t="shared" si="1"/>
        <v>2027</v>
      </c>
      <c r="AH4" s="52" t="s">
        <v>353</v>
      </c>
      <c r="AI4" s="52">
        <f t="shared" ref="AI4:AQ4" si="2">+X4</f>
        <v>2019</v>
      </c>
      <c r="AJ4" s="52">
        <f t="shared" si="2"/>
        <v>2020</v>
      </c>
      <c r="AK4" s="52">
        <f t="shared" si="2"/>
        <v>2021</v>
      </c>
      <c r="AL4" s="52">
        <f t="shared" si="2"/>
        <v>2022</v>
      </c>
      <c r="AM4" s="52">
        <f t="shared" si="2"/>
        <v>2023</v>
      </c>
      <c r="AN4" s="52">
        <f t="shared" si="2"/>
        <v>2024</v>
      </c>
      <c r="AO4" s="52">
        <f t="shared" si="2"/>
        <v>2025</v>
      </c>
      <c r="AP4" s="52">
        <f t="shared" si="2"/>
        <v>2026</v>
      </c>
      <c r="AQ4" s="52">
        <f t="shared" si="2"/>
        <v>2027</v>
      </c>
    </row>
    <row r="5" spans="2:43">
      <c r="B5" s="820" t="s">
        <v>354</v>
      </c>
      <c r="C5" s="53" t="s">
        <v>400</v>
      </c>
      <c r="D5" s="53" t="s">
        <v>400</v>
      </c>
      <c r="E5" s="53" t="s">
        <v>400</v>
      </c>
      <c r="F5" s="53" t="s">
        <v>400</v>
      </c>
      <c r="G5" s="53" t="s">
        <v>400</v>
      </c>
      <c r="H5" s="53" t="s">
        <v>400</v>
      </c>
      <c r="I5" s="53" t="s">
        <v>400</v>
      </c>
      <c r="J5" s="53" t="s">
        <v>400</v>
      </c>
      <c r="K5" s="1235" t="s">
        <v>3710</v>
      </c>
      <c r="L5" s="53" t="s">
        <v>355</v>
      </c>
      <c r="M5" s="53" t="s">
        <v>355</v>
      </c>
      <c r="N5" s="53" t="s">
        <v>355</v>
      </c>
      <c r="O5" s="53" t="s">
        <v>355</v>
      </c>
      <c r="P5" s="53" t="s">
        <v>355</v>
      </c>
      <c r="Q5" s="54"/>
      <c r="R5" s="55" t="s">
        <v>356</v>
      </c>
      <c r="S5" s="55" t="s">
        <v>357</v>
      </c>
      <c r="T5" s="55" t="s">
        <v>2445</v>
      </c>
      <c r="U5" s="55" t="s">
        <v>3469</v>
      </c>
      <c r="V5" s="56"/>
      <c r="W5" s="57"/>
      <c r="X5" s="57"/>
      <c r="Y5" s="57"/>
      <c r="Z5" s="57"/>
      <c r="AA5" s="57"/>
      <c r="AB5" s="57"/>
      <c r="AC5" s="57"/>
      <c r="AD5" s="57"/>
      <c r="AH5" s="56"/>
      <c r="AI5" s="57"/>
      <c r="AJ5" s="57"/>
      <c r="AK5" s="57"/>
      <c r="AL5" s="57"/>
      <c r="AM5" s="57"/>
      <c r="AN5" s="57"/>
      <c r="AO5" s="57"/>
    </row>
    <row r="6" spans="2:43" ht="11.25" customHeight="1">
      <c r="B6" s="563" t="s">
        <v>2351</v>
      </c>
      <c r="C6" s="74">
        <f>+SUMIF(BdV!$C:$C,B6,BdV!$E:$E)/1000</f>
        <v>24156.026160000001</v>
      </c>
      <c r="D6" s="74">
        <f>+SUMIF(BdV!$C:$C,B6,BdV!$F:$F)/1000</f>
        <v>23727.21298</v>
      </c>
      <c r="E6" s="74">
        <f>+SUMIF(BdV!$C:$C,B6,BdV!$G:$G)/1000</f>
        <v>24957.098819999999</v>
      </c>
      <c r="F6" s="74">
        <f>+SUMIF(BdV!$C:$C,CE!B6,BdV!$H:$H)/1000</f>
        <v>28909.16791</v>
      </c>
      <c r="G6" s="74">
        <v>0</v>
      </c>
      <c r="H6" s="1467">
        <f>+F6+G6</f>
        <v>28909.16791</v>
      </c>
      <c r="I6" s="74">
        <f>+SUMIF(BdV!$C:$C,CE!B6,BdV!$I:$I)/1000</f>
        <v>47924.038690000001</v>
      </c>
      <c r="J6" s="74">
        <f>+SUMIF(BdV!$C:$C,CE!B6,BdV!$J:$J)/1000</f>
        <v>25647.986760000003</v>
      </c>
      <c r="K6" s="1238">
        <f>+J6*$K$2</f>
        <v>51295.973520000007</v>
      </c>
      <c r="L6" s="74">
        <f>+SUMIF(BdV!$C:$C,CE!B6,BdV!$K:$K)/1000</f>
        <v>61316.158900000009</v>
      </c>
      <c r="M6" s="74">
        <f>+SUMIF(BdV!$C:$C,CE!B6,BdV!$L:$L)/1000</f>
        <v>65168.191340000005</v>
      </c>
      <c r="N6" s="74">
        <f>+SUMIF(BdV!$C:$C,CE!B6,BdV!$M:$M)/1000</f>
        <v>67571.377819999994</v>
      </c>
      <c r="O6" s="74">
        <f>+SUMIF(BdV!$C:$C,CE!B6,BdV!$N:$N)/1000</f>
        <v>70561.528892859147</v>
      </c>
      <c r="P6" s="74">
        <f>+SUMIF(BdV!$C:$C,CE!B6,BdV!$O:$O)/1000</f>
        <v>73683.999354888336</v>
      </c>
      <c r="Q6" s="59"/>
      <c r="R6" s="60">
        <f>IF(P6*L6&lt;=0,"n/a",IF(L6&gt;P6,-ABS((P6/L6)^(1/(5))-1),ABS((P6/L6)^(1/(5))-1)))</f>
        <v>3.7432023800932912E-2</v>
      </c>
      <c r="S6" s="60">
        <f>IF(N6*L6&lt;=0,"n/a",IF(L6&gt;N6,-ABS((N6/L6)^(1/(2))-1),ABS((N6/L6)^(1/(2))-1)))</f>
        <v>4.9769418140186206E-2</v>
      </c>
      <c r="T6" s="60">
        <f>+I6/F6-1</f>
        <v>0.65774535051292671</v>
      </c>
      <c r="U6" s="60">
        <f>IF(I6*C6&lt;=0,"n/a",IF(C6&gt;I6,-ABS((I6/C6)^(1/(4))-1),ABS((I6/C6)^(1/(4))-1)))</f>
        <v>0.18681213893532633</v>
      </c>
      <c r="V6" s="58" t="str">
        <f>+B6</f>
        <v>Ricavi Proventi Gestionali</v>
      </c>
      <c r="W6" s="61">
        <f t="shared" ref="W6:Z8" si="3">C6/C$11</f>
        <v>0.92321050110922764</v>
      </c>
      <c r="X6" s="61">
        <f t="shared" si="3"/>
        <v>0.89379666308812189</v>
      </c>
      <c r="Y6" s="61">
        <f t="shared" si="3"/>
        <v>0.90264730432535278</v>
      </c>
      <c r="Z6" s="61">
        <f t="shared" si="3"/>
        <v>0.88872396912863061</v>
      </c>
      <c r="AA6" s="61">
        <f>I6/I$11</f>
        <v>0.89957549199326603</v>
      </c>
      <c r="AB6" s="61">
        <f t="shared" ref="AB6:AF8" si="4">L6/L$11</f>
        <v>0.89516360345274626</v>
      </c>
      <c r="AC6" s="61">
        <f t="shared" si="4"/>
        <v>0.91350437058248735</v>
      </c>
      <c r="AD6" s="61">
        <f t="shared" si="4"/>
        <v>0.91409470591712005</v>
      </c>
      <c r="AE6" s="61">
        <f t="shared" si="4"/>
        <v>0.91392384118539027</v>
      </c>
      <c r="AF6" s="61">
        <f t="shared" si="4"/>
        <v>0.91392384118539016</v>
      </c>
      <c r="AH6" s="58" t="str">
        <f>+V6</f>
        <v>Ricavi Proventi Gestionali</v>
      </c>
      <c r="AI6" s="61">
        <f t="shared" ref="AI6:AK10" si="5">+IFERROR(D6/C6-1,0)</f>
        <v>-1.7751809720676359E-2</v>
      </c>
      <c r="AJ6" s="61">
        <f t="shared" si="5"/>
        <v>5.18343996421613E-2</v>
      </c>
      <c r="AK6" s="61">
        <f t="shared" si="5"/>
        <v>0.15835450740904666</v>
      </c>
      <c r="AL6" s="61">
        <f>+IFERROR(I6/F6-1,0)</f>
        <v>0.65774535051292671</v>
      </c>
      <c r="AM6" s="61">
        <f>+IFERROR(L6/I6-1,0)</f>
        <v>0.27944473329194719</v>
      </c>
      <c r="AN6" s="61">
        <f t="shared" ref="AN6:AQ10" si="6">+IFERROR(M6/L6-1,0)</f>
        <v>6.2822468156921607E-2</v>
      </c>
      <c r="AO6" s="61">
        <f t="shared" si="6"/>
        <v>3.6876679106558674E-2</v>
      </c>
      <c r="AP6" s="61">
        <f t="shared" si="6"/>
        <v>4.4251740445850674E-2</v>
      </c>
      <c r="AQ6" s="61">
        <f t="shared" si="6"/>
        <v>4.4251740445850674E-2</v>
      </c>
    </row>
    <row r="7" spans="2:43" ht="11.25" customHeight="1">
      <c r="B7" s="563" t="s">
        <v>8</v>
      </c>
      <c r="C7" s="74">
        <f>+SUMIF(BdV!$C:$C,B7,BdV!$E:$E)/1000</f>
        <v>-518.03499999999997</v>
      </c>
      <c r="D7" s="74">
        <f>+SUMIF(BdV!$C:$C,B7,BdV!$F:$F)/1000</f>
        <v>274.5</v>
      </c>
      <c r="E7" s="74">
        <f>+SUMIF(BdV!$C:$C,B7,BdV!$G:$G)/1000</f>
        <v>-59.854859999999988</v>
      </c>
      <c r="F7" s="74">
        <f>+SUMIF(BdV!$C:$C,CE!B7,BdV!$H:$H)/1000</f>
        <v>-22.776</v>
      </c>
      <c r="G7" s="74">
        <v>0</v>
      </c>
      <c r="H7" s="1467">
        <f>+F7+G7</f>
        <v>-22.776</v>
      </c>
      <c r="I7" s="74">
        <f>+SUMIF(BdV!$C:$C,CE!B7,BdV!$I:$I)/1000</f>
        <v>-402.07717000000002</v>
      </c>
      <c r="J7" s="74">
        <f>+SUMIF(BdV!$C:$C,CE!B7,BdV!$J:$J)/1000</f>
        <v>461.17204000000004</v>
      </c>
      <c r="K7" s="1238">
        <f>+J7*$K$2</f>
        <v>922.34408000000008</v>
      </c>
      <c r="L7" s="74">
        <f>+SUMIF(BdV!$C:$C,CE!B7,BdV!$K:$K)/1000</f>
        <v>1338.1486100404925</v>
      </c>
      <c r="M7" s="74">
        <f>+SUMIF(BdV!$C:$C,CE!B7,BdV!$L:$L)/1000</f>
        <v>115.66656602371391</v>
      </c>
      <c r="N7" s="74">
        <f>+SUMIF(BdV!$C:$C,CE!B7,BdV!$M:$M)/1000</f>
        <v>72.161471115807998</v>
      </c>
      <c r="O7" s="74">
        <f>+SUMIF(BdV!$C:$C,CE!B7,BdV!$N:$N)/1000</f>
        <v>89.786498913737717</v>
      </c>
      <c r="P7" s="74">
        <f>+SUMIF(BdV!$C:$C,CE!B7,BdV!$O:$O)/1000</f>
        <v>93.759707759209675</v>
      </c>
      <c r="Q7" s="59"/>
      <c r="R7" s="60">
        <f>IF(P7*L7&lt;=0,"n/a",IF(L7&gt;P7,-ABS((P7/L7)^(1/(5))-1),ABS((P7/L7)^(1/(5))-1)))</f>
        <v>-0.41237213781264548</v>
      </c>
      <c r="S7" s="60">
        <f t="shared" ref="S7:S42" si="7">IF(N7*L7&lt;=0,"n/a",IF(L7&gt;N7,-ABS((N7/L7)^(1/(2))-1),ABS((N7/L7)^(1/(2))-1)))</f>
        <v>-0.76777952154933993</v>
      </c>
      <c r="T7" s="60">
        <f t="shared" ref="T7:T15" si="8">+I7/F7-1</f>
        <v>16.653546276782578</v>
      </c>
      <c r="V7" s="58" t="str">
        <f t="shared" ref="V7:V10" si="9">+B7</f>
        <v>Variazione rimanenze</v>
      </c>
      <c r="W7" s="61">
        <f t="shared" si="3"/>
        <v>-1.9798593890168178E-2</v>
      </c>
      <c r="X7" s="61">
        <f t="shared" si="3"/>
        <v>1.0340328812511441E-2</v>
      </c>
      <c r="Y7" s="61">
        <f t="shared" si="3"/>
        <v>-2.1648280683360045E-3</v>
      </c>
      <c r="Z7" s="61">
        <f t="shared" si="3"/>
        <v>-7.0017847569635186E-4</v>
      </c>
      <c r="AA7" s="61">
        <f>I7/I$11</f>
        <v>-7.547334863859949E-3</v>
      </c>
      <c r="AB7" s="61">
        <f t="shared" si="4"/>
        <v>1.9535827964578041E-2</v>
      </c>
      <c r="AC7" s="61">
        <f t="shared" si="4"/>
        <v>1.6213725042891528E-3</v>
      </c>
      <c r="AD7" s="61">
        <f t="shared" si="4"/>
        <v>9.761887480504726E-4</v>
      </c>
      <c r="AE7" s="61">
        <f t="shared" si="4"/>
        <v>1.1629286278423503E-3</v>
      </c>
      <c r="AF7" s="61">
        <f t="shared" si="4"/>
        <v>1.1629286278423453E-3</v>
      </c>
      <c r="AH7" s="58" t="str">
        <f t="shared" ref="AH7:AH10" si="10">+V7</f>
        <v>Variazione rimanenze</v>
      </c>
      <c r="AI7" s="61">
        <f t="shared" si="5"/>
        <v>-1.5298869767486754</v>
      </c>
      <c r="AJ7" s="61">
        <f t="shared" si="5"/>
        <v>-1.2180504918032786</v>
      </c>
      <c r="AK7" s="61">
        <f t="shared" si="5"/>
        <v>-0.61947952096120507</v>
      </c>
      <c r="AL7" s="61">
        <f>+IFERROR(I7/F7-1,0)</f>
        <v>16.653546276782578</v>
      </c>
      <c r="AM7" s="61">
        <f>+IFERROR(L7/I7-1,0)</f>
        <v>-4.3280890084868346</v>
      </c>
      <c r="AN7" s="61">
        <f t="shared" si="6"/>
        <v>-0.91356224177506429</v>
      </c>
      <c r="AO7" s="61">
        <f t="shared" si="6"/>
        <v>-0.3761250671087315</v>
      </c>
      <c r="AP7" s="61">
        <f t="shared" si="6"/>
        <v>0.24424429720458818</v>
      </c>
      <c r="AQ7" s="61">
        <f t="shared" si="6"/>
        <v>4.4251740445846011E-2</v>
      </c>
    </row>
    <row r="8" spans="2:43" ht="11.25" customHeight="1" outlineLevel="1">
      <c r="B8" s="58" t="s">
        <v>359</v>
      </c>
      <c r="C8" s="74">
        <f>+SUMIF(BdV!$C:$C,B8,BdV!$E:$E)/1000</f>
        <v>1799.0520800000002</v>
      </c>
      <c r="D8" s="74">
        <f>+SUMIF(BdV!$C:$C,B8,BdV!$F:$F)/1000</f>
        <v>1297.7493499999998</v>
      </c>
      <c r="E8" s="74">
        <f>+SUMIF(BdV!$C:$C,B8,BdV!$G:$G)/1000</f>
        <v>1890.5326800000003</v>
      </c>
      <c r="F8" s="74">
        <f>+SUMIF(BdV!$C:$C,CE!B8,BdV!$H:$H)/1000</f>
        <v>2233.2905599999999</v>
      </c>
      <c r="G8" s="74">
        <v>0</v>
      </c>
      <c r="H8" s="1467">
        <f>+F8+G8</f>
        <v>2233.2905599999999</v>
      </c>
      <c r="I8" s="74">
        <f>+SUMIF(BdV!$C:$C,CE!B8,BdV!$I:$I)/1000</f>
        <v>3096.9070699999997</v>
      </c>
      <c r="J8" s="74">
        <f>+SUMIF(BdV!$C:$C,CE!B8,BdV!$J:$J)/1000</f>
        <v>94.260779999999997</v>
      </c>
      <c r="K8" s="1238">
        <f>+J8*$K$2</f>
        <v>188.52155999999999</v>
      </c>
      <c r="L8" s="74">
        <f>+SUMIF(BdV!$C:$C,CE!B8,BdV!$K:$K)/1000</f>
        <v>4005.0866524479907</v>
      </c>
      <c r="M8" s="74">
        <f>+SUMIF(BdV!$C:$C,CE!B8,BdV!$L:$L)/1000</f>
        <v>4256.6960811371173</v>
      </c>
      <c r="N8" s="74">
        <f>+SUMIF(BdV!$C:$C,CE!B8,BdV!$M:$M)/1000</f>
        <v>4413.6688965753547</v>
      </c>
      <c r="O8" s="74">
        <f>+SUMIF(BdV!$C:$C,CE!B8,BdV!$N:$N)/1000</f>
        <v>4608.9814270005318</v>
      </c>
      <c r="P8" s="74">
        <f>+SUMIF(BdV!$C:$C,CE!B8,BdV!$O:$O)/1000</f>
        <v>4812.9368768279055</v>
      </c>
      <c r="Q8" s="59"/>
      <c r="R8" s="60">
        <f>IF(P8*L8&lt;=0,"n/a",IF(L8&gt;P8,-ABS((P8/L8)^(1/(5))-1),ABS((P8/L8)^(1/(5))-1)))</f>
        <v>3.7432023800932912E-2</v>
      </c>
      <c r="S8" s="60">
        <f t="shared" si="7"/>
        <v>4.9769418140186206E-2</v>
      </c>
      <c r="T8" s="60">
        <f t="shared" si="8"/>
        <v>0.38670136589839865</v>
      </c>
      <c r="V8" s="58" t="str">
        <f t="shared" si="9"/>
        <v>Altri Ricavi Vendite</v>
      </c>
      <c r="W8" s="61">
        <f t="shared" si="3"/>
        <v>6.8757326279464431E-2</v>
      </c>
      <c r="X8" s="61">
        <f t="shared" si="3"/>
        <v>4.8885810547260447E-2</v>
      </c>
      <c r="Y8" s="61">
        <f t="shared" si="3"/>
        <v>6.8376706749802618E-2</v>
      </c>
      <c r="Z8" s="61">
        <f t="shared" si="3"/>
        <v>6.8655689325950647E-2</v>
      </c>
      <c r="AA8" s="61">
        <f>I8/I$11</f>
        <v>5.8131613639106544E-2</v>
      </c>
      <c r="AB8" s="61">
        <f t="shared" si="4"/>
        <v>5.8470847885186743E-2</v>
      </c>
      <c r="AC8" s="61">
        <f t="shared" si="4"/>
        <v>5.9668841414865982E-2</v>
      </c>
      <c r="AD8" s="61">
        <f t="shared" si="4"/>
        <v>5.9707401302041246E-2</v>
      </c>
      <c r="AE8" s="61">
        <f t="shared" si="4"/>
        <v>5.9696240654200587E-2</v>
      </c>
      <c r="AF8" s="61">
        <f t="shared" si="4"/>
        <v>5.9696240654200587E-2</v>
      </c>
      <c r="AH8" s="58" t="str">
        <f t="shared" si="10"/>
        <v>Altri Ricavi Vendite</v>
      </c>
      <c r="AI8" s="61">
        <f t="shared" si="5"/>
        <v>-0.2786482590320567</v>
      </c>
      <c r="AJ8" s="61">
        <f t="shared" si="5"/>
        <v>0.45677798258962765</v>
      </c>
      <c r="AK8" s="61">
        <f t="shared" si="5"/>
        <v>0.18130227719734515</v>
      </c>
      <c r="AL8" s="61">
        <f>+IFERROR(I8/F8-1,0)</f>
        <v>0.38670136589839865</v>
      </c>
      <c r="AM8" s="61">
        <f>+IFERROR(L8/I8-1,0)</f>
        <v>0.293253740561221</v>
      </c>
      <c r="AN8" s="61">
        <f t="shared" si="6"/>
        <v>6.2822468156921829E-2</v>
      </c>
      <c r="AO8" s="61">
        <f t="shared" si="6"/>
        <v>3.687667910655823E-2</v>
      </c>
      <c r="AP8" s="61">
        <f t="shared" si="6"/>
        <v>4.4251740445850674E-2</v>
      </c>
      <c r="AQ8" s="61">
        <f t="shared" si="6"/>
        <v>4.4251740445850674E-2</v>
      </c>
    </row>
    <row r="9" spans="2:43" ht="11.25" customHeight="1" outlineLevel="1" thickBot="1">
      <c r="B9" s="1520" t="s">
        <v>4538</v>
      </c>
      <c r="C9" s="1521">
        <f>+SUM(C6:C8)</f>
        <v>25437.043240000003</v>
      </c>
      <c r="D9" s="1521">
        <f t="shared" ref="D9:P9" si="11">+SUM(D6:D8)</f>
        <v>25299.462329999998</v>
      </c>
      <c r="E9" s="1521">
        <f t="shared" si="11"/>
        <v>26787.77664</v>
      </c>
      <c r="F9" s="1521">
        <f t="shared" si="11"/>
        <v>31119.68247</v>
      </c>
      <c r="G9" s="1521">
        <f t="shared" si="11"/>
        <v>0</v>
      </c>
      <c r="H9" s="1521">
        <f t="shared" si="11"/>
        <v>31119.68247</v>
      </c>
      <c r="I9" s="1521">
        <f t="shared" si="11"/>
        <v>50618.868590000005</v>
      </c>
      <c r="J9" s="1521">
        <f t="shared" si="11"/>
        <v>26203.419580000005</v>
      </c>
      <c r="K9" s="1521">
        <f t="shared" si="11"/>
        <v>52406.83916000001</v>
      </c>
      <c r="L9" s="1521">
        <f t="shared" si="11"/>
        <v>66659.39416248849</v>
      </c>
      <c r="M9" s="1521">
        <f t="shared" si="11"/>
        <v>69540.553987160834</v>
      </c>
      <c r="N9" s="1521">
        <f t="shared" si="11"/>
        <v>72057.208187691154</v>
      </c>
      <c r="O9" s="1521">
        <f t="shared" si="11"/>
        <v>75260.296818773408</v>
      </c>
      <c r="P9" s="1521">
        <f t="shared" si="11"/>
        <v>78590.695939475452</v>
      </c>
      <c r="Q9" s="59"/>
      <c r="R9" s="60"/>
      <c r="S9" s="60"/>
      <c r="T9" s="60"/>
      <c r="V9" s="58"/>
      <c r="W9" s="61"/>
      <c r="X9" s="61"/>
      <c r="Y9" s="61"/>
      <c r="Z9" s="61"/>
      <c r="AA9" s="61"/>
      <c r="AB9" s="61"/>
      <c r="AC9" s="61"/>
      <c r="AD9" s="61"/>
      <c r="AE9" s="61"/>
      <c r="AF9" s="61"/>
      <c r="AH9" s="58"/>
      <c r="AI9" s="61"/>
      <c r="AJ9" s="61"/>
      <c r="AK9" s="61"/>
      <c r="AL9" s="61"/>
      <c r="AM9" s="61"/>
      <c r="AN9" s="61"/>
      <c r="AO9" s="61"/>
      <c r="AP9" s="61"/>
      <c r="AQ9" s="61"/>
    </row>
    <row r="10" spans="2:43" ht="11.25" customHeight="1" outlineLevel="1">
      <c r="B10" s="58" t="s">
        <v>360</v>
      </c>
      <c r="C10" s="74">
        <f>+SUMIF(BdV!$C:$C,B10,BdV!$E:$E)/1000</f>
        <v>728.19874000000016</v>
      </c>
      <c r="D10" s="74">
        <f>+SUMIF(BdV!$C:$C,B10,BdV!$F:$F)/1000</f>
        <v>1247.0822699999999</v>
      </c>
      <c r="E10" s="74">
        <f>+SUMIF(BdV!$C:$C,B10,BdV!$G:$G)/1000</f>
        <v>861.0056699999999</v>
      </c>
      <c r="F10" s="74">
        <f>+SUMIF(BdV!$C:$C,CE!B10,BdV!$H:$H)/1000</f>
        <v>1409.1666600000001</v>
      </c>
      <c r="G10" s="74">
        <v>0</v>
      </c>
      <c r="H10" s="1467">
        <f>+F10+G10</f>
        <v>1409.1666600000001</v>
      </c>
      <c r="I10" s="74">
        <f>+SUMIF(BdV!$C:$C,CE!B10,BdV!$I:$I)/1000</f>
        <v>2655.1913599999998</v>
      </c>
      <c r="J10" s="74">
        <f>+SUMIF(BdV!$C:$C,CE!B10,BdV!$J:$J)/1000</f>
        <v>1058.7022200000001</v>
      </c>
      <c r="K10" s="1238">
        <f>+J10*$K$2</f>
        <v>2117.4044400000002</v>
      </c>
      <c r="L10" s="74">
        <f>+SUMIF(BdV!$C:$C,CE!B10,BdV!$K:$K)/1000</f>
        <v>1837.7595013744346</v>
      </c>
      <c r="M10" s="74">
        <f>+SUMIF(BdV!$C:$C,CE!B10,BdV!$L:$L)/1000</f>
        <v>1798.1209427096494</v>
      </c>
      <c r="N10" s="74">
        <f>+SUMIF(BdV!$C:$C,CE!B10,BdV!$M:$M)/1000</f>
        <v>1864.4296717087359</v>
      </c>
      <c r="O10" s="74">
        <f>+SUMIF(BdV!$C:$C,CE!B10,BdV!$N:$N)/1000</f>
        <v>1946.9339296207338</v>
      </c>
      <c r="P10" s="74">
        <f>+SUMIF(BdV!$C:$C,CE!B10,BdV!$O:$O)/1000</f>
        <v>2033.0891445395303</v>
      </c>
      <c r="Q10" s="59"/>
      <c r="R10" s="60"/>
      <c r="S10" s="60">
        <f t="shared" si="7"/>
        <v>7.2300278020531739E-3</v>
      </c>
      <c r="T10" s="60">
        <f t="shared" si="8"/>
        <v>0.88422805858889642</v>
      </c>
      <c r="V10" s="58" t="str">
        <f t="shared" si="9"/>
        <v>Altri Ricavi non vendite</v>
      </c>
      <c r="W10" s="61">
        <f>C10/C$11</f>
        <v>2.7830766501476097E-2</v>
      </c>
      <c r="X10" s="61">
        <f>D10/D$11</f>
        <v>4.6977197552106276E-2</v>
      </c>
      <c r="Y10" s="61">
        <f>E10/E$11</f>
        <v>3.1140816993180626E-2</v>
      </c>
      <c r="Z10" s="61">
        <f>F10/F$11</f>
        <v>4.332052002111518E-2</v>
      </c>
      <c r="AA10" s="61">
        <f>I10/I$11</f>
        <v>4.984022923148735E-2</v>
      </c>
      <c r="AB10" s="61">
        <f>L10/L$11</f>
        <v>2.6829720697489106E-2</v>
      </c>
      <c r="AC10" s="61">
        <f>M10/M$11</f>
        <v>2.5205415498357562E-2</v>
      </c>
      <c r="AD10" s="61">
        <f>N10/N$11</f>
        <v>2.5221704032788207E-2</v>
      </c>
      <c r="AE10" s="61">
        <f>O10/O$11</f>
        <v>2.521698953256692E-2</v>
      </c>
      <c r="AF10" s="61">
        <f>P10/P$11</f>
        <v>2.5216989532566916E-2</v>
      </c>
      <c r="AH10" s="58" t="str">
        <f t="shared" si="10"/>
        <v>Altri Ricavi non vendite</v>
      </c>
      <c r="AI10" s="61">
        <f t="shared" si="5"/>
        <v>0.71255757734488756</v>
      </c>
      <c r="AJ10" s="61">
        <f t="shared" si="5"/>
        <v>-0.30958390579957484</v>
      </c>
      <c r="AK10" s="61">
        <f t="shared" si="5"/>
        <v>0.63665200950418854</v>
      </c>
      <c r="AL10" s="61">
        <f>+IFERROR(I10/F10-1,0)</f>
        <v>0.88422805858889642</v>
      </c>
      <c r="AM10" s="61">
        <f>+IFERROR(L10/I10-1,0)</f>
        <v>-0.30786174998157767</v>
      </c>
      <c r="AN10" s="61">
        <f t="shared" si="6"/>
        <v>-2.1568958634217483E-2</v>
      </c>
      <c r="AO10" s="61">
        <f t="shared" si="6"/>
        <v>3.6876679106558674E-2</v>
      </c>
      <c r="AP10" s="61">
        <f t="shared" si="6"/>
        <v>4.4251740445850896E-2</v>
      </c>
      <c r="AQ10" s="61">
        <f t="shared" si="6"/>
        <v>4.4251740445850452E-2</v>
      </c>
    </row>
    <row r="11" spans="2:43" ht="11.25" customHeight="1">
      <c r="B11" s="63" t="s">
        <v>4540</v>
      </c>
      <c r="C11" s="64">
        <f>+C9+C10</f>
        <v>26165.241980000003</v>
      </c>
      <c r="D11" s="64">
        <f t="shared" ref="D11:P11" si="12">+D9+D10</f>
        <v>26546.544599999997</v>
      </c>
      <c r="E11" s="64">
        <f t="shared" si="12"/>
        <v>27648.782309999999</v>
      </c>
      <c r="F11" s="64">
        <f t="shared" si="12"/>
        <v>32528.849129999999</v>
      </c>
      <c r="G11" s="64">
        <f t="shared" si="12"/>
        <v>0</v>
      </c>
      <c r="H11" s="64">
        <f t="shared" si="12"/>
        <v>32528.849129999999</v>
      </c>
      <c r="I11" s="64">
        <f t="shared" si="12"/>
        <v>53274.059950000003</v>
      </c>
      <c r="J11" s="64">
        <f t="shared" si="12"/>
        <v>27262.121800000004</v>
      </c>
      <c r="K11" s="64">
        <f t="shared" si="12"/>
        <v>54524.243600000009</v>
      </c>
      <c r="L11" s="64">
        <f t="shared" si="12"/>
        <v>68497.153663862919</v>
      </c>
      <c r="M11" s="64">
        <f t="shared" si="12"/>
        <v>71338.674929870482</v>
      </c>
      <c r="N11" s="64">
        <f t="shared" si="12"/>
        <v>73921.637859399896</v>
      </c>
      <c r="O11" s="64">
        <f t="shared" si="12"/>
        <v>77207.23074839414</v>
      </c>
      <c r="P11" s="64">
        <f t="shared" si="12"/>
        <v>80623.785084014977</v>
      </c>
      <c r="Q11" s="65"/>
      <c r="R11" s="66">
        <f>IF(P11*L11&lt;=0,"n/a",IF(L11&gt;P11,-ABS((P11/L11)^(1/(5))-1),ABS((P11/L11)^(1/(5))-1)))</f>
        <v>3.3137514579011818E-2</v>
      </c>
      <c r="S11" s="66">
        <f t="shared" si="7"/>
        <v>3.884206737532625E-2</v>
      </c>
      <c r="T11" s="66">
        <f t="shared" si="8"/>
        <v>0.63774807209110773</v>
      </c>
      <c r="U11" s="60"/>
      <c r="V11" s="67" t="s">
        <v>362</v>
      </c>
      <c r="W11" s="68">
        <f t="shared" ref="W11" si="13">+SUM(W6:W10)</f>
        <v>1</v>
      </c>
      <c r="X11" s="68">
        <f t="shared" ref="X11" si="14">+SUM(X6:X10)</f>
        <v>1</v>
      </c>
      <c r="Y11" s="68">
        <f t="shared" ref="Y11" si="15">+SUM(Y6:Y10)</f>
        <v>1</v>
      </c>
      <c r="Z11" s="68">
        <f t="shared" ref="Z11" si="16">+SUM(Z6:Z10)</f>
        <v>1</v>
      </c>
      <c r="AA11" s="68">
        <f t="shared" ref="AA11" si="17">+SUM(AA6:AA10)</f>
        <v>1</v>
      </c>
      <c r="AB11" s="68">
        <f t="shared" ref="AB11:AF11" si="18">+SUM(AB6:AB10)</f>
        <v>1.0000000000000002</v>
      </c>
      <c r="AC11" s="68">
        <f t="shared" si="18"/>
        <v>1</v>
      </c>
      <c r="AD11" s="68">
        <f t="shared" si="18"/>
        <v>1</v>
      </c>
      <c r="AE11" s="68">
        <f t="shared" si="18"/>
        <v>1.0000000000000002</v>
      </c>
      <c r="AF11" s="68">
        <f t="shared" si="18"/>
        <v>1</v>
      </c>
      <c r="AH11" s="67" t="s">
        <v>362</v>
      </c>
      <c r="AI11" s="68">
        <f>+D11/C11-1</f>
        <v>1.4572868093154057E-2</v>
      </c>
      <c r="AJ11" s="68">
        <f>+E11/D11-1</f>
        <v>4.1520948455189943E-2</v>
      </c>
      <c r="AK11" s="68">
        <f>+F11/E11-1</f>
        <v>0.17650205225258619</v>
      </c>
      <c r="AL11" s="68">
        <f>+I11/F11-1</f>
        <v>0.63774807209110773</v>
      </c>
      <c r="AM11" s="68">
        <f>+L11/I11-1</f>
        <v>0.28575058345751092</v>
      </c>
      <c r="AN11" s="68">
        <f t="shared" ref="AN11:AQ11" si="19">+M11/L11-1</f>
        <v>4.1483786026377034E-2</v>
      </c>
      <c r="AO11" s="68">
        <f t="shared" si="19"/>
        <v>3.620704943102182E-2</v>
      </c>
      <c r="AP11" s="68">
        <f t="shared" si="19"/>
        <v>4.4446970929452156E-2</v>
      </c>
      <c r="AQ11" s="68">
        <f t="shared" si="19"/>
        <v>4.4251740445850674E-2</v>
      </c>
    </row>
    <row r="12" spans="2:43" hidden="1" outlineLevel="2">
      <c r="B12" s="69"/>
      <c r="C12" s="70"/>
      <c r="D12" s="70"/>
      <c r="E12" s="70"/>
      <c r="F12" s="70"/>
      <c r="G12" s="70"/>
      <c r="H12" s="1468"/>
      <c r="I12" s="70"/>
      <c r="J12" s="70"/>
      <c r="K12" s="1239"/>
      <c r="L12" s="70">
        <f>+L11-Ricavi!J55/1000</f>
        <v>-17.871360000004643</v>
      </c>
      <c r="M12" s="70">
        <f>+M11-Ricavi!K55/1000</f>
        <v>0</v>
      </c>
      <c r="N12" s="70">
        <f>+N11-Ricavi!L55/1000</f>
        <v>0</v>
      </c>
      <c r="O12" s="70">
        <f>+O11-Ricavi!M55/1000</f>
        <v>0</v>
      </c>
      <c r="P12" s="70">
        <f>+P11-Ricavi!N55/1000</f>
        <v>0</v>
      </c>
      <c r="Q12" s="72"/>
      <c r="R12" s="71"/>
      <c r="S12" s="71"/>
      <c r="T12" s="71"/>
      <c r="V12" s="67"/>
      <c r="W12" s="68"/>
      <c r="X12" s="68"/>
      <c r="Y12" s="68"/>
      <c r="Z12" s="68"/>
      <c r="AA12" s="68"/>
      <c r="AB12" s="68"/>
      <c r="AC12" s="68"/>
      <c r="AD12" s="68"/>
      <c r="AE12" s="68"/>
      <c r="AF12" s="68"/>
      <c r="AH12" s="67"/>
      <c r="AI12" s="68"/>
      <c r="AJ12" s="68"/>
      <c r="AK12" s="68"/>
      <c r="AL12" s="68"/>
      <c r="AM12" s="68"/>
      <c r="AN12" s="68"/>
      <c r="AO12" s="68"/>
      <c r="AP12" s="68"/>
      <c r="AQ12" s="68"/>
    </row>
    <row r="13" spans="2:43" outlineLevel="1" collapsed="1">
      <c r="B13" s="75" t="s">
        <v>2352</v>
      </c>
      <c r="C13" s="74">
        <f>-SUMIF(BdV!$C:$C,B13,BdV!$E:$E)/1000+2</f>
        <v>-9850.1128500000013</v>
      </c>
      <c r="D13" s="74">
        <f>-SUMIF(BdV!$C:$C,B13,BdV!$F:$F)/1000</f>
        <v>-9455.6252000000004</v>
      </c>
      <c r="E13" s="74">
        <f>-SUMIF(BdV!$C:$C,B13,BdV!$G:$G)/1000</f>
        <v>-10419.766989999998</v>
      </c>
      <c r="F13" s="76">
        <f>-SUMIF(BdV!$C:$C,CE!B13,BdV!$H:$H)/1000</f>
        <v>-11069.803960000001</v>
      </c>
      <c r="G13" s="76">
        <v>0</v>
      </c>
      <c r="H13" s="1469">
        <f>+F13+G13</f>
        <v>-11069.803960000001</v>
      </c>
      <c r="I13" s="74">
        <f>-SUMIF(BdV!$C:$C,CE!B13,BdV!$I:$I)/1000</f>
        <v>-21800.479280000003</v>
      </c>
      <c r="J13" s="74">
        <f>-SUMIF(BdV!$C:$C,CE!B13,BdV!$J:$J)/1000</f>
        <v>-10541.588269999998</v>
      </c>
      <c r="K13" s="1238">
        <f>+J13*$K$2</f>
        <v>-21083.176539999997</v>
      </c>
      <c r="L13" s="76">
        <f>-SUMIF(BdV!$C:$C,CE!B13,BdV!$K:$K)/1000</f>
        <v>-27196.371784924857</v>
      </c>
      <c r="M13" s="76">
        <f>-SUMIF(BdV!$C:$C,CE!B13,BdV!$L:$L)/1000</f>
        <v>-28139.063824969584</v>
      </c>
      <c r="N13" s="76">
        <f>-SUMIF(BdV!$C:$C,CE!B13,BdV!$M:$M)/1000</f>
        <v>-29267.492561474286</v>
      </c>
      <c r="O13" s="76">
        <f>-SUMIF(BdV!$C:$C,CE!B13,BdV!$N:$N)/1000</f>
        <v>-30538.937668250997</v>
      </c>
      <c r="P13" s="76">
        <f>-SUMIF(BdV!$C:$C,CE!B13,BdV!$O:$O)/1000</f>
        <v>-31890.338811438451</v>
      </c>
      <c r="Q13" s="74"/>
      <c r="R13" s="60">
        <f t="shared" ref="R13:R15" si="20">IF(P13*L13&lt;=0,"n/a",IF(L13&gt;P13,-ABS((P13/L13)^(1/(5))-1),ABS((P13/L13)^(1/(5))-1)))</f>
        <v>-3.2356348343516528E-2</v>
      </c>
      <c r="S13" s="60">
        <f t="shared" si="7"/>
        <v>-3.7378573346851018E-2</v>
      </c>
      <c r="T13" s="60">
        <f t="shared" si="8"/>
        <v>0.96936453064341355</v>
      </c>
      <c r="V13" s="58" t="str">
        <f t="shared" ref="V13:V14" si="21">+B13</f>
        <v>Materie Prime</v>
      </c>
      <c r="W13" s="61">
        <f t="shared" ref="W13:Z15" si="22">-C13/C$11</f>
        <v>0.3764579306214389</v>
      </c>
      <c r="X13" s="61">
        <f t="shared" si="22"/>
        <v>0.35619043240753834</v>
      </c>
      <c r="Y13" s="61">
        <f t="shared" si="22"/>
        <v>0.37686169586685131</v>
      </c>
      <c r="Z13" s="61">
        <f t="shared" si="22"/>
        <v>0.34030727357614332</v>
      </c>
      <c r="AA13" s="61">
        <f>-I13/I$11</f>
        <v>0.40921377684487892</v>
      </c>
      <c r="AB13" s="61">
        <f t="shared" ref="AB13:AF15" si="23">-L13/L$11</f>
        <v>0.39704382343222622</v>
      </c>
      <c r="AC13" s="61">
        <f t="shared" si="23"/>
        <v>0.39444332057795722</v>
      </c>
      <c r="AD13" s="61">
        <f t="shared" si="23"/>
        <v>0.39592592113748226</v>
      </c>
      <c r="AE13" s="61">
        <f t="shared" si="23"/>
        <v>0.39554504639303084</v>
      </c>
      <c r="AF13" s="61">
        <f t="shared" si="23"/>
        <v>0.39554504639303084</v>
      </c>
      <c r="AH13" s="58" t="str">
        <f t="shared" ref="AH13:AH14" si="24">+V13</f>
        <v>Materie Prime</v>
      </c>
      <c r="AI13" s="61">
        <f t="shared" ref="AI13:AK15" si="25">+IFERROR(D13/C13-1,0)</f>
        <v>-4.0049048778156959E-2</v>
      </c>
      <c r="AJ13" s="61">
        <f t="shared" si="25"/>
        <v>0.10196489069807857</v>
      </c>
      <c r="AK13" s="61">
        <f t="shared" si="25"/>
        <v>6.2384981413101892E-2</v>
      </c>
      <c r="AL13" s="61">
        <f>+IFERROR(I13/F13-1,0)</f>
        <v>0.96936453064341355</v>
      </c>
      <c r="AM13" s="61">
        <f>+IFERROR(L13/I13-1,0)</f>
        <v>0.2475125631698889</v>
      </c>
      <c r="AN13" s="61">
        <f t="shared" ref="AN13:AQ15" si="26">+IFERROR(M13/L13-1,0)</f>
        <v>3.4662419218995488E-2</v>
      </c>
      <c r="AO13" s="61">
        <f t="shared" si="26"/>
        <v>4.0101857813171993E-2</v>
      </c>
      <c r="AP13" s="61">
        <f t="shared" si="26"/>
        <v>4.344222874939252E-2</v>
      </c>
      <c r="AQ13" s="61">
        <f t="shared" si="26"/>
        <v>4.4251740445850674E-2</v>
      </c>
    </row>
    <row r="14" spans="2:43" outlineLevel="1">
      <c r="B14" s="75" t="s">
        <v>2353</v>
      </c>
      <c r="C14" s="74">
        <f>-SUMIF(BdV!$C:$C,B14,BdV!$E:$E)/1000</f>
        <v>18.035510000000002</v>
      </c>
      <c r="D14" s="74">
        <f>-SUMIF(BdV!$C:$C,B14,BdV!$F:$F)/1000</f>
        <v>31.299449999999997</v>
      </c>
      <c r="E14" s="74">
        <f>-SUMIF(BdV!$C:$C,B14,BdV!$G:$G)/1000</f>
        <v>-12.37139</v>
      </c>
      <c r="F14" s="76">
        <f>-SUMIF(BdV!$C:$C,CE!B14,BdV!$H:$H)/1000</f>
        <v>-20.17483</v>
      </c>
      <c r="G14" s="76">
        <v>0</v>
      </c>
      <c r="H14" s="1469">
        <f>+F14+G14</f>
        <v>-20.17483</v>
      </c>
      <c r="I14" s="74">
        <f>-SUMIF(BdV!$C:$C,CE!B14,BdV!$I:$I)/1000</f>
        <v>218.51880000000003</v>
      </c>
      <c r="J14" s="74">
        <f>-SUMIF(BdV!$C:$C,CE!B14,BdV!$J:$J)/1000</f>
        <v>-298.55258000000003</v>
      </c>
      <c r="K14" s="1238">
        <f>+J14*$K$2</f>
        <v>-597.10516000000007</v>
      </c>
      <c r="L14" s="76">
        <f>-SUMIF(BdV!$C:$C,CE!B14,BdV!$K:$K)/1000</f>
        <v>-20.414564866945906</v>
      </c>
      <c r="M14" s="76">
        <f>-SUMIF(BdV!$C:$C,CE!B14,BdV!$L:$L)/1000</f>
        <v>7.1811580420964161</v>
      </c>
      <c r="N14" s="76">
        <f>-SUMIF(BdV!$C:$C,CE!B14,BdV!$M:$M)/1000</f>
        <v>11.44182891404169</v>
      </c>
      <c r="O14" s="76">
        <f>-SUMIF(BdV!$C:$C,CE!B14,BdV!$N:$N)/1000</f>
        <v>12.89195933665766</v>
      </c>
      <c r="P14" s="76">
        <f>-SUMIF(BdV!$C:$C,CE!B14,BdV!$O:$O)/1000</f>
        <v>13.702682477305702</v>
      </c>
      <c r="Q14" s="74"/>
      <c r="R14" s="60" t="str">
        <f t="shared" si="20"/>
        <v>n/a</v>
      </c>
      <c r="S14" s="60" t="str">
        <f t="shared" si="7"/>
        <v>n/a</v>
      </c>
      <c r="T14" s="60">
        <f t="shared" si="8"/>
        <v>-11.831258553355841</v>
      </c>
      <c r="V14" s="58" t="str">
        <f t="shared" si="21"/>
        <v>Variazione rimanenze MP</v>
      </c>
      <c r="W14" s="61">
        <f t="shared" si="22"/>
        <v>-6.892926888956676E-4</v>
      </c>
      <c r="X14" s="61">
        <f t="shared" si="22"/>
        <v>-1.1790404541011338E-3</v>
      </c>
      <c r="Y14" s="61">
        <f t="shared" si="22"/>
        <v>4.4744791511217914E-4</v>
      </c>
      <c r="Z14" s="61">
        <f t="shared" si="22"/>
        <v>6.2021345788694374E-4</v>
      </c>
      <c r="AA14" s="61">
        <f>-I14/I$11</f>
        <v>-4.1017861264016544E-3</v>
      </c>
      <c r="AB14" s="61">
        <f t="shared" si="23"/>
        <v>2.9803522883777912E-4</v>
      </c>
      <c r="AC14" s="61">
        <f t="shared" si="23"/>
        <v>-1.006629019834733E-4</v>
      </c>
      <c r="AD14" s="61">
        <f t="shared" si="23"/>
        <v>-1.5478321700344662E-4</v>
      </c>
      <c r="AE14" s="61">
        <f t="shared" si="23"/>
        <v>-1.6697865228025685E-4</v>
      </c>
      <c r="AF14" s="61">
        <f t="shared" si="23"/>
        <v>-1.6995831271164778E-4</v>
      </c>
      <c r="AH14" s="58" t="str">
        <f t="shared" si="24"/>
        <v>Variazione rimanenze MP</v>
      </c>
      <c r="AI14" s="61">
        <f t="shared" si="25"/>
        <v>0.73543470630994046</v>
      </c>
      <c r="AJ14" s="61">
        <f t="shared" si="25"/>
        <v>-1.395259022123392</v>
      </c>
      <c r="AK14" s="61">
        <f t="shared" si="25"/>
        <v>0.63076501508722949</v>
      </c>
      <c r="AL14" s="61">
        <f>+IFERROR(I14/F14-1,0)</f>
        <v>-11.831258553355841</v>
      </c>
      <c r="AM14" s="61">
        <f>+IFERROR(L14/I14-1,0)</f>
        <v>-1.0934224646435269</v>
      </c>
      <c r="AN14" s="61">
        <f t="shared" si="26"/>
        <v>-1.3517664025121463</v>
      </c>
      <c r="AO14" s="61">
        <f t="shared" si="26"/>
        <v>0.59331250572246752</v>
      </c>
      <c r="AP14" s="61">
        <f t="shared" si="26"/>
        <v>0.12673939048645755</v>
      </c>
      <c r="AQ14" s="61">
        <f t="shared" si="26"/>
        <v>6.2885952358133101E-2</v>
      </c>
    </row>
    <row r="15" spans="2:43">
      <c r="B15" s="77" t="s">
        <v>4539</v>
      </c>
      <c r="C15" s="78">
        <f>+C13+C14</f>
        <v>-9832.0773400000016</v>
      </c>
      <c r="D15" s="78">
        <f t="shared" ref="D15:E15" si="27">+D13+D14</f>
        <v>-9424.32575</v>
      </c>
      <c r="E15" s="78">
        <f t="shared" si="27"/>
        <v>-10432.138379999999</v>
      </c>
      <c r="F15" s="78">
        <f t="shared" ref="F15" si="28">+F13+F14</f>
        <v>-11089.978790000001</v>
      </c>
      <c r="G15" s="78">
        <f t="shared" ref="G15:H15" si="29">+G13+G14</f>
        <v>0</v>
      </c>
      <c r="H15" s="1470">
        <f t="shared" si="29"/>
        <v>-11089.978790000001</v>
      </c>
      <c r="I15" s="78">
        <f t="shared" ref="I15" si="30">+I13+I14</f>
        <v>-21581.960480000002</v>
      </c>
      <c r="J15" s="78">
        <f t="shared" ref="J15" si="31">+J13+J14</f>
        <v>-10840.140849999998</v>
      </c>
      <c r="K15" s="1236">
        <f t="shared" ref="K15" si="32">+K13+K14</f>
        <v>-21680.281699999996</v>
      </c>
      <c r="L15" s="78">
        <f t="shared" ref="L15" si="33">+L13+L14</f>
        <v>-27216.786349791804</v>
      </c>
      <c r="M15" s="78">
        <f t="shared" ref="M15" si="34">+M13+M14</f>
        <v>-28131.882666927486</v>
      </c>
      <c r="N15" s="78">
        <f t="shared" ref="N15" si="35">+N13+N14</f>
        <v>-29256.050732560245</v>
      </c>
      <c r="O15" s="78">
        <f t="shared" ref="O15" si="36">+O13+O14</f>
        <v>-30526.045708914338</v>
      </c>
      <c r="P15" s="78">
        <f t="shared" ref="P15" si="37">+P13+P14</f>
        <v>-31876.636128961145</v>
      </c>
      <c r="Q15" s="78"/>
      <c r="R15" s="60">
        <f t="shared" si="20"/>
        <v>-3.2112714639893847E-2</v>
      </c>
      <c r="S15" s="60">
        <f t="shared" si="7"/>
        <v>-3.6786725698980227E-2</v>
      </c>
      <c r="T15" s="60">
        <f t="shared" si="8"/>
        <v>0.94607770570857874</v>
      </c>
      <c r="V15" s="77" t="s">
        <v>366</v>
      </c>
      <c r="W15" s="68">
        <f t="shared" si="22"/>
        <v>0.37576863793254323</v>
      </c>
      <c r="X15" s="68">
        <f t="shared" si="22"/>
        <v>0.35501139195343717</v>
      </c>
      <c r="Y15" s="68">
        <f t="shared" si="22"/>
        <v>0.37730914378196351</v>
      </c>
      <c r="Z15" s="68">
        <f t="shared" si="22"/>
        <v>0.34092748703403025</v>
      </c>
      <c r="AA15" s="68">
        <f>-I15/I$11</f>
        <v>0.40511199071847726</v>
      </c>
      <c r="AB15" s="68">
        <f t="shared" si="23"/>
        <v>0.39734185866106403</v>
      </c>
      <c r="AC15" s="68">
        <f t="shared" si="23"/>
        <v>0.39434265767597376</v>
      </c>
      <c r="AD15" s="68">
        <f t="shared" si="23"/>
        <v>0.3957711379204788</v>
      </c>
      <c r="AE15" s="68">
        <f t="shared" si="23"/>
        <v>0.39537806774075057</v>
      </c>
      <c r="AF15" s="68">
        <f t="shared" si="23"/>
        <v>0.39537508808031918</v>
      </c>
      <c r="AH15" s="77" t="s">
        <v>366</v>
      </c>
      <c r="AI15" s="79">
        <f t="shared" si="25"/>
        <v>-4.147156047493028E-2</v>
      </c>
      <c r="AJ15" s="79">
        <f t="shared" si="25"/>
        <v>0.10693737215099963</v>
      </c>
      <c r="AK15" s="79">
        <f t="shared" si="25"/>
        <v>6.3059018778085063E-2</v>
      </c>
      <c r="AL15" s="79">
        <f>+IFERROR(I15/F15-1,0)</f>
        <v>0.94607770570857874</v>
      </c>
      <c r="AM15" s="79">
        <f>+IFERROR(L15/I15-1,0)</f>
        <v>0.26108962042691131</v>
      </c>
      <c r="AN15" s="79">
        <f t="shared" si="26"/>
        <v>3.3622496990453055E-2</v>
      </c>
      <c r="AO15" s="79">
        <f t="shared" si="26"/>
        <v>3.9960641061337787E-2</v>
      </c>
      <c r="AP15" s="79">
        <f t="shared" si="26"/>
        <v>4.3409651834540597E-2</v>
      </c>
      <c r="AQ15" s="79">
        <f t="shared" si="26"/>
        <v>4.4243870723563949E-2</v>
      </c>
    </row>
    <row r="16" spans="2:43">
      <c r="B16" s="80" t="s">
        <v>4498</v>
      </c>
      <c r="C16" s="81">
        <f>+C15/C11</f>
        <v>-0.37576863793254323</v>
      </c>
      <c r="D16" s="81">
        <f>+D15/D11</f>
        <v>-0.35501139195343717</v>
      </c>
      <c r="E16" s="81">
        <f>+E15/E11</f>
        <v>-0.37730914378196351</v>
      </c>
      <c r="F16" s="81">
        <f>+IFERROR(#REF!/F11,0)</f>
        <v>0</v>
      </c>
      <c r="G16" s="81">
        <f>+IFERROR(#REF!/G11,0)</f>
        <v>0</v>
      </c>
      <c r="H16" s="1471">
        <f>+H15/H11</f>
        <v>-0.34092748703403025</v>
      </c>
      <c r="I16" s="81">
        <f>+I15/I11</f>
        <v>-0.40511199071847726</v>
      </c>
      <c r="J16" s="81">
        <f>+J15/J11</f>
        <v>-0.39762645510592637</v>
      </c>
      <c r="K16" s="1240">
        <f>+IFERROR(#REF!/K11,0)</f>
        <v>0</v>
      </c>
      <c r="L16" s="81">
        <f>+L15/L11</f>
        <v>-0.39734185866106403</v>
      </c>
      <c r="M16" s="81">
        <f>+M15/M11</f>
        <v>-0.39434265767597376</v>
      </c>
      <c r="N16" s="81">
        <f>+N15/N11</f>
        <v>-0.3957711379204788</v>
      </c>
      <c r="O16" s="81">
        <f>+O15/O11</f>
        <v>-0.39537806774075057</v>
      </c>
      <c r="P16" s="81">
        <f>+P15/P11</f>
        <v>-0.39537508808031918</v>
      </c>
      <c r="Q16" s="82"/>
      <c r="R16" s="83"/>
      <c r="S16" s="83"/>
      <c r="T16" s="83"/>
    </row>
    <row r="17" spans="2:43">
      <c r="B17" s="84" t="s">
        <v>367</v>
      </c>
      <c r="C17" s="85">
        <f t="shared" ref="C17:P17" si="38">+C11+C15</f>
        <v>16333.164640000001</v>
      </c>
      <c r="D17" s="85">
        <f t="shared" si="38"/>
        <v>17122.218849999997</v>
      </c>
      <c r="E17" s="85">
        <f t="shared" si="38"/>
        <v>17216.643929999998</v>
      </c>
      <c r="F17" s="85">
        <f t="shared" si="38"/>
        <v>21438.870339999998</v>
      </c>
      <c r="G17" s="85">
        <f t="shared" si="38"/>
        <v>0</v>
      </c>
      <c r="H17" s="1472">
        <f t="shared" si="38"/>
        <v>21438.870339999998</v>
      </c>
      <c r="I17" s="85">
        <f t="shared" si="38"/>
        <v>31692.099470000001</v>
      </c>
      <c r="J17" s="85">
        <f t="shared" si="38"/>
        <v>16421.980950000005</v>
      </c>
      <c r="K17" s="1241">
        <f t="shared" si="38"/>
        <v>32843.961900000009</v>
      </c>
      <c r="L17" s="85">
        <f t="shared" si="38"/>
        <v>41280.367314071118</v>
      </c>
      <c r="M17" s="85">
        <f t="shared" si="38"/>
        <v>43206.792262942996</v>
      </c>
      <c r="N17" s="85">
        <f t="shared" si="38"/>
        <v>44665.587126839651</v>
      </c>
      <c r="O17" s="85">
        <f t="shared" si="38"/>
        <v>46681.185039479802</v>
      </c>
      <c r="P17" s="85">
        <f t="shared" si="38"/>
        <v>48747.148955053832</v>
      </c>
      <c r="Q17" s="72"/>
      <c r="R17" s="86">
        <f>IF(P17*L17&lt;=0,"n/a",IF(L17&gt;P17,-ABS((P17/L17)^(1/(5))-1),ABS((P17/L17)^(1/(5))-1)))</f>
        <v>3.3810963427631568E-2</v>
      </c>
      <c r="S17" s="86">
        <f t="shared" si="7"/>
        <v>4.0194964523120547E-2</v>
      </c>
      <c r="T17" s="86">
        <f>+I17/F17-1</f>
        <v>0.47825416952449396</v>
      </c>
      <c r="U17" s="60">
        <f>IF(I17*C17&lt;=0,"n/a",IF(C17&gt;I17,-ABS((I17/C17)^(1/(4))-1),ABS((I17/C17)^(1/(4))-1)))</f>
        <v>0.18023956036376032</v>
      </c>
      <c r="V17" s="84" t="s">
        <v>367</v>
      </c>
      <c r="W17" s="87">
        <f>+C17/C$11</f>
        <v>0.62423136206745677</v>
      </c>
      <c r="X17" s="87">
        <f>+D17/D$11</f>
        <v>0.64498860804656288</v>
      </c>
      <c r="Y17" s="87">
        <f>+E17/E$11</f>
        <v>0.62269085621803644</v>
      </c>
      <c r="Z17" s="87">
        <f>+F17/F$11</f>
        <v>0.65907251296596969</v>
      </c>
      <c r="AA17" s="87">
        <f>+I17/I$11</f>
        <v>0.59488800928152274</v>
      </c>
      <c r="AB17" s="87">
        <f>+L17/L$11</f>
        <v>0.60265814133893603</v>
      </c>
      <c r="AC17" s="87">
        <f t="shared" ref="AC17:AF17" si="39">+M17/M$11</f>
        <v>0.60565734232402624</v>
      </c>
      <c r="AD17" s="87">
        <f t="shared" si="39"/>
        <v>0.6042288620795212</v>
      </c>
      <c r="AE17" s="87">
        <f t="shared" si="39"/>
        <v>0.60462193225924943</v>
      </c>
      <c r="AF17" s="87">
        <f t="shared" si="39"/>
        <v>0.60462491191968082</v>
      </c>
      <c r="AH17" s="84" t="s">
        <v>367</v>
      </c>
      <c r="AI17" s="87">
        <f>+D17/C17-1</f>
        <v>4.8309940381522809E-2</v>
      </c>
      <c r="AJ17" s="87">
        <f>+E17/D17-1</f>
        <v>5.514768899242295E-3</v>
      </c>
      <c r="AK17" s="87">
        <f>+F17/E17-1</f>
        <v>0.24524096723884559</v>
      </c>
      <c r="AL17" s="87">
        <f>+I17/F17-1</f>
        <v>0.47825416952449396</v>
      </c>
      <c r="AM17" s="87">
        <f>+L17/I17-1</f>
        <v>0.30254441972667201</v>
      </c>
      <c r="AN17" s="87">
        <f t="shared" ref="AN17:AQ17" si="40">+M17/L17-1</f>
        <v>4.6666855801334561E-2</v>
      </c>
      <c r="AO17" s="87">
        <f t="shared" si="40"/>
        <v>3.3763091113519605E-2</v>
      </c>
      <c r="AP17" s="87">
        <f t="shared" si="40"/>
        <v>4.5126417053834578E-2</v>
      </c>
      <c r="AQ17" s="87">
        <f t="shared" si="40"/>
        <v>4.4256886662726647E-2</v>
      </c>
    </row>
    <row r="18" spans="2:43">
      <c r="B18" s="80" t="s">
        <v>2660</v>
      </c>
      <c r="C18" s="88">
        <f>+IFERROR(C17/C11,0)</f>
        <v>0.62423136206745677</v>
      </c>
      <c r="D18" s="88">
        <f>+IFERROR(D17/D11,0)</f>
        <v>0.64498860804656288</v>
      </c>
      <c r="E18" s="88">
        <f>+IFERROR(E17/E11,0)</f>
        <v>0.62269085621803644</v>
      </c>
      <c r="F18" s="88">
        <f>+IFERROR(F17/F11,0)</f>
        <v>0.65907251296596969</v>
      </c>
      <c r="G18" s="88"/>
      <c r="H18" s="1473">
        <f>+IFERROR(H17/H11,0)</f>
        <v>0.65907251296596969</v>
      </c>
      <c r="I18" s="88">
        <f>+IFERROR(I17/I11,0)</f>
        <v>0.59488800928152274</v>
      </c>
      <c r="J18" s="88">
        <f>+IFERROR(J17/J11,0)</f>
        <v>0.60237354489407358</v>
      </c>
      <c r="K18" s="1242">
        <f>+IFERROR(K17/K11,0)</f>
        <v>0.60237354489407358</v>
      </c>
      <c r="L18" s="88">
        <f>+L17/L11</f>
        <v>0.60265814133893603</v>
      </c>
      <c r="M18" s="88">
        <f>+M17/M11</f>
        <v>0.60565734232402624</v>
      </c>
      <c r="N18" s="88">
        <f>+N17/N11</f>
        <v>0.6042288620795212</v>
      </c>
      <c r="O18" s="88">
        <f>+O17/O11</f>
        <v>0.60462193225924943</v>
      </c>
      <c r="P18" s="88">
        <f>+P17/P11</f>
        <v>0.60462491191968082</v>
      </c>
      <c r="Q18" s="89"/>
      <c r="R18" s="88"/>
      <c r="S18" s="88"/>
      <c r="T18" s="88"/>
      <c r="V18" s="90"/>
      <c r="W18" s="62"/>
      <c r="X18" s="62"/>
      <c r="Y18" s="62"/>
      <c r="Z18" s="62"/>
      <c r="AA18" s="62"/>
      <c r="AB18" s="62"/>
      <c r="AC18" s="62"/>
      <c r="AD18" s="62"/>
      <c r="AH18" s="90"/>
      <c r="AI18" s="62"/>
      <c r="AJ18" s="62"/>
      <c r="AK18" s="62"/>
      <c r="AL18" s="62"/>
      <c r="AM18" s="62"/>
      <c r="AN18" s="62"/>
      <c r="AO18" s="62"/>
    </row>
    <row r="19" spans="2:43" ht="3" customHeight="1">
      <c r="B19" s="80"/>
      <c r="C19" s="88"/>
      <c r="D19" s="88"/>
      <c r="E19" s="88"/>
      <c r="F19" s="88"/>
      <c r="G19" s="88"/>
      <c r="H19" s="1473"/>
      <c r="I19" s="88"/>
      <c r="J19" s="88"/>
      <c r="K19" s="1242"/>
      <c r="L19" s="88"/>
      <c r="M19" s="88"/>
      <c r="N19" s="88"/>
      <c r="O19" s="88"/>
      <c r="P19" s="88"/>
      <c r="Q19" s="89"/>
      <c r="R19" s="88"/>
      <c r="S19" s="88"/>
      <c r="T19" s="88"/>
      <c r="V19" s="90"/>
      <c r="W19" s="62"/>
      <c r="X19" s="62"/>
      <c r="Y19" s="62"/>
      <c r="Z19" s="62"/>
      <c r="AA19" s="62"/>
      <c r="AB19" s="62"/>
      <c r="AC19" s="62"/>
      <c r="AD19" s="62"/>
      <c r="AH19" s="90"/>
      <c r="AI19" s="62"/>
      <c r="AJ19" s="62"/>
      <c r="AK19" s="62"/>
      <c r="AL19" s="62"/>
      <c r="AM19" s="62"/>
      <c r="AN19" s="62"/>
      <c r="AO19" s="62"/>
    </row>
    <row r="20" spans="2:43" outlineLevel="1">
      <c r="B20" s="73" t="s">
        <v>368</v>
      </c>
      <c r="C20" s="74">
        <f>-SUMIF(BdV!$C:$C,B20,BdV!$E:$E)/1000</f>
        <v>-6823.9928299999992</v>
      </c>
      <c r="D20" s="74">
        <f>-SUMIF(BdV!$C:$C,B20,BdV!$F:$F)/1000</f>
        <v>-7333.3275999999987</v>
      </c>
      <c r="E20" s="74">
        <f>-SUMIF(BdV!$C:$C,B20,BdV!$G:$G)/1000</f>
        <v>-7605.46245</v>
      </c>
      <c r="F20" s="74">
        <f>-SUMIF(BdV!$C:$C,CE!B20,BdV!$H:$H)/1000</f>
        <v>-9357.3451100000002</v>
      </c>
      <c r="G20" s="923">
        <f>-9700.527-F20</f>
        <v>-343.18188999999984</v>
      </c>
      <c r="H20" s="1467">
        <f>+F20+G20</f>
        <v>-9700.527</v>
      </c>
      <c r="I20" s="74">
        <f>-SUMIF(BdV!$C:$C,CE!B20,BdV!$I:$I)/1000</f>
        <v>-11094.046650000004</v>
      </c>
      <c r="J20" s="74">
        <f>-SUMIF(BdV!$C:$C,CE!B20,BdV!$J:$J)/1000</f>
        <v>-6366.9365400000006</v>
      </c>
      <c r="K20" s="1238">
        <f t="shared" ref="K20:K23" si="41">+J20*$K$2</f>
        <v>-12733.873080000001</v>
      </c>
      <c r="L20" s="74">
        <f>-SUMIF(BdV!$C:$C,CE!B20,BdV!$K:$K)/1000</f>
        <v>-16208.068575834446</v>
      </c>
      <c r="M20" s="74">
        <f>-SUMIF(BdV!$C:$C,CE!B20,BdV!$L:$L)/1000</f>
        <v>-17226.299447825008</v>
      </c>
      <c r="N20" s="74">
        <f>-SUMIF(BdV!$C:$C,CE!B20,BdV!$M:$M)/1000</f>
        <v>-17861.548164755935</v>
      </c>
      <c r="O20" s="74">
        <f>-SUMIF(BdV!$C:$C,CE!B20,BdV!$N:$N)/1000</f>
        <v>-18651.952758103784</v>
      </c>
      <c r="P20" s="74">
        <f>-SUMIF(BdV!$C:$C,CE!B20,BdV!$O:$O)/1000</f>
        <v>-19477.334130363655</v>
      </c>
      <c r="Q20" s="74"/>
      <c r="R20" s="60">
        <f t="shared" ref="R20:R24" si="42">IF(P20*L20&lt;=0,"n/a",IF(L20&gt;P20,-ABS((P20/L20)^(1/(5))-1),ABS((P20/L20)^(1/(5))-1)))</f>
        <v>-3.7432023800932912E-2</v>
      </c>
      <c r="S20" s="60">
        <f t="shared" si="7"/>
        <v>-4.9769418140186206E-2</v>
      </c>
      <c r="T20" s="60">
        <f t="shared" ref="T20:T24" si="43">+I20/F20-1</f>
        <v>0.18559767963928442</v>
      </c>
      <c r="V20" s="58" t="str">
        <f t="shared" ref="V20:V23" si="44">+B20</f>
        <v>Personale</v>
      </c>
      <c r="W20" s="61">
        <f t="shared" ref="W20:Z24" si="45">-C20/C$11</f>
        <v>0.26080373478739749</v>
      </c>
      <c r="X20" s="61">
        <f t="shared" si="45"/>
        <v>0.27624414817437293</v>
      </c>
      <c r="Y20" s="61">
        <f t="shared" si="45"/>
        <v>0.27507404719408779</v>
      </c>
      <c r="Z20" s="61">
        <f t="shared" si="45"/>
        <v>0.28766296257835056</v>
      </c>
      <c r="AA20" s="61">
        <f>-I20/I$11</f>
        <v>0.20824481296173492</v>
      </c>
      <c r="AB20" s="61">
        <f>-L20/L$11</f>
        <v>0.23662397207586958</v>
      </c>
      <c r="AC20" s="61">
        <f t="shared" ref="AB20:AF24" si="46">-M20/M$11</f>
        <v>0.24147209721458002</v>
      </c>
      <c r="AD20" s="61">
        <f t="shared" si="46"/>
        <v>0.24162814409941616</v>
      </c>
      <c r="AE20" s="61">
        <f t="shared" si="46"/>
        <v>0.24158297839858389</v>
      </c>
      <c r="AF20" s="61">
        <f t="shared" si="46"/>
        <v>0.24158297839858384</v>
      </c>
      <c r="AH20" s="58" t="str">
        <f t="shared" ref="AH20:AH23" si="47">+V20</f>
        <v>Personale</v>
      </c>
      <c r="AI20" s="61">
        <f t="shared" ref="AI20:AK24" si="48">+IFERROR(D20/C20-1,0)</f>
        <v>7.4638819630764353E-2</v>
      </c>
      <c r="AJ20" s="61">
        <f t="shared" si="48"/>
        <v>3.7109326740019322E-2</v>
      </c>
      <c r="AK20" s="61">
        <f t="shared" si="48"/>
        <v>0.23034531713452888</v>
      </c>
      <c r="AL20" s="61">
        <f>+IFERROR(I20/F20-1,0)</f>
        <v>0.18559767963928442</v>
      </c>
      <c r="AM20" s="61">
        <f>+IFERROR(L20/I20-1,0)</f>
        <v>0.4609699316375635</v>
      </c>
      <c r="AN20" s="61">
        <f t="shared" ref="AN20:AQ24" si="49">+IFERROR(M20/L20-1,0)</f>
        <v>6.2822468156921607E-2</v>
      </c>
      <c r="AO20" s="61">
        <f t="shared" si="49"/>
        <v>3.6876679106558452E-2</v>
      </c>
      <c r="AP20" s="61">
        <f t="shared" si="49"/>
        <v>4.4251740445851118E-2</v>
      </c>
      <c r="AQ20" s="61">
        <f t="shared" si="49"/>
        <v>4.4251740445850452E-2</v>
      </c>
    </row>
    <row r="21" spans="2:43" outlineLevel="1">
      <c r="B21" s="73" t="s">
        <v>369</v>
      </c>
      <c r="C21" s="74">
        <f>-SUMIF(BdV!$C:$C,B21,BdV!$E:$E)/1000</f>
        <v>-5066.85581</v>
      </c>
      <c r="D21" s="74">
        <f>-SUMIF(BdV!$C:$C,B21,BdV!$F:$F)/1000</f>
        <v>-4838.3880399999989</v>
      </c>
      <c r="E21" s="74">
        <f>-SUMIF(BdV!$C:$C,B21,BdV!$G:$G)/1000</f>
        <v>-4493.7199799999989</v>
      </c>
      <c r="F21" s="74">
        <f>-SUMIF(BdV!$C:$C,CE!B21,BdV!$H:$H)/1000</f>
        <v>-5490.7197299999989</v>
      </c>
      <c r="G21" s="74">
        <v>0</v>
      </c>
      <c r="H21" s="1467">
        <f>+F21+G21</f>
        <v>-5490.7197299999989</v>
      </c>
      <c r="I21" s="74">
        <f>-SUMIF(BdV!$C:$C,CE!B21,BdV!$I:$I)/1000</f>
        <v>-7747.0019200000024</v>
      </c>
      <c r="J21" s="74">
        <f>-SUMIF(BdV!$C:$C,CE!B21,BdV!$J:$J)/1000</f>
        <v>-3538.7718200000008</v>
      </c>
      <c r="K21" s="1238">
        <f t="shared" si="41"/>
        <v>-7077.5436400000017</v>
      </c>
      <c r="L21" s="74">
        <f>-SUMIF(BdV!$C:$C,CE!B21,BdV!$K:$K)/1000</f>
        <v>-9813.5783478559788</v>
      </c>
      <c r="M21" s="74">
        <f>-SUMIF(BdV!$C:$C,CE!B21,BdV!$L:$L)/1000</f>
        <v>-10052.164090811273</v>
      </c>
      <c r="N21" s="74">
        <f>-SUMIF(BdV!$C:$C,CE!B21,BdV!$M:$M)/1000</f>
        <v>-10338.711616603465</v>
      </c>
      <c r="O21" s="74">
        <f>-SUMIF(BdV!$C:$C,CE!B21,BdV!$N:$N)/1000</f>
        <v>-10695.594105024275</v>
      </c>
      <c r="P21" s="74">
        <f>-SUMIF(BdV!$C:$C,CE!B21,BdV!$O:$O)/1000</f>
        <v>-11068.133252889014</v>
      </c>
      <c r="Q21" s="74"/>
      <c r="R21" s="60">
        <f t="shared" si="42"/>
        <v>-2.4352418179064417E-2</v>
      </c>
      <c r="S21" s="60">
        <f t="shared" si="7"/>
        <v>-2.6406783709911563E-2</v>
      </c>
      <c r="T21" s="60">
        <f t="shared" si="43"/>
        <v>0.41092649068795284</v>
      </c>
      <c r="V21" s="58" t="str">
        <f t="shared" si="44"/>
        <v>Servizi</v>
      </c>
      <c r="W21" s="61">
        <f t="shared" si="45"/>
        <v>0.19364834515472726</v>
      </c>
      <c r="X21" s="61">
        <f t="shared" si="45"/>
        <v>0.1822605583101011</v>
      </c>
      <c r="Y21" s="61">
        <f t="shared" si="45"/>
        <v>0.16252867593285339</v>
      </c>
      <c r="Z21" s="61">
        <f t="shared" si="45"/>
        <v>0.16879538861201632</v>
      </c>
      <c r="AA21" s="61">
        <f>-I21/I$11</f>
        <v>0.14541789995489168</v>
      </c>
      <c r="AB21" s="61">
        <f t="shared" si="46"/>
        <v>0.14326987068709884</v>
      </c>
      <c r="AC21" s="61">
        <f t="shared" si="46"/>
        <v>0.1409076367158916</v>
      </c>
      <c r="AD21" s="61">
        <f t="shared" si="46"/>
        <v>0.13986042403805846</v>
      </c>
      <c r="AE21" s="61">
        <f t="shared" si="46"/>
        <v>0.13853098992605348</v>
      </c>
      <c r="AF21" s="61">
        <f t="shared" si="46"/>
        <v>0.13728124078217532</v>
      </c>
      <c r="AH21" s="58" t="str">
        <f t="shared" si="47"/>
        <v>Servizi</v>
      </c>
      <c r="AI21" s="61">
        <f t="shared" si="48"/>
        <v>-4.5090639751203199E-2</v>
      </c>
      <c r="AJ21" s="61">
        <f t="shared" si="48"/>
        <v>-7.1236134255986627E-2</v>
      </c>
      <c r="AK21" s="61">
        <f t="shared" si="48"/>
        <v>0.22186512609537368</v>
      </c>
      <c r="AL21" s="61">
        <f>+IFERROR(I21/F21-1,0)</f>
        <v>0.41092649068795284</v>
      </c>
      <c r="AM21" s="61">
        <f>+IFERROR(L21/I21-1,0)</f>
        <v>0.26675821810767997</v>
      </c>
      <c r="AN21" s="61">
        <f t="shared" si="49"/>
        <v>2.4311798866661016E-2</v>
      </c>
      <c r="AO21" s="61">
        <f t="shared" si="49"/>
        <v>2.8506053343690052E-2</v>
      </c>
      <c r="AP21" s="61">
        <f t="shared" si="49"/>
        <v>3.4519048567683619E-2</v>
      </c>
      <c r="AQ21" s="61">
        <f t="shared" si="49"/>
        <v>3.4831085043675936E-2</v>
      </c>
    </row>
    <row r="22" spans="2:43" outlineLevel="1">
      <c r="B22" s="73" t="s">
        <v>370</v>
      </c>
      <c r="C22" s="74">
        <f>-SUMIF(BdV!$C:$C,B22,BdV!$E:$E)/1000</f>
        <v>-1918.6296899999998</v>
      </c>
      <c r="D22" s="74">
        <f>-SUMIF(BdV!$C:$C,B22,BdV!$F:$F)/1000</f>
        <v>-1804.2732099999998</v>
      </c>
      <c r="E22" s="74">
        <f>-SUMIF(BdV!$C:$C,B22,BdV!$G:$G)/1000</f>
        <v>-1666.17472</v>
      </c>
      <c r="F22" s="74">
        <f>-SUMIF(BdV!$C:$C,CE!B22,BdV!$H:$H)/1000</f>
        <v>-1714.95724</v>
      </c>
      <c r="G22" s="74">
        <v>0</v>
      </c>
      <c r="H22" s="1467">
        <f>+F22+G22</f>
        <v>-1714.95724</v>
      </c>
      <c r="I22" s="74">
        <f>-SUMIF(BdV!$C:$C,CE!B22,BdV!$I:$I)/1000</f>
        <v>-3992.0922900000005</v>
      </c>
      <c r="J22" s="74">
        <f>-SUMIF(BdV!$C:$C,CE!B22,BdV!$J:$J)/1000</f>
        <v>-2200.8134099999997</v>
      </c>
      <c r="K22" s="1238">
        <f t="shared" si="41"/>
        <v>-4401.6268199999995</v>
      </c>
      <c r="L22" s="74">
        <f>-SUMIF(BdV!$C:$C,CE!B22,BdV!$K:$K)/1000</f>
        <v>-3467.6000053529588</v>
      </c>
      <c r="M22" s="74">
        <f>-SUMIF(BdV!$C:$C,CE!B22,BdV!$L:$L)/1000</f>
        <v>-3509.3696896585579</v>
      </c>
      <c r="N22" s="74">
        <f>-SUMIF(BdV!$C:$C,CE!B22,BdV!$M:$M)/1000</f>
        <v>-3293.6203065952241</v>
      </c>
      <c r="O22" s="74">
        <f>-SUMIF(BdV!$C:$C,CE!B22,BdV!$N:$N)/1000</f>
        <v>-3034.4284728578377</v>
      </c>
      <c r="P22" s="74">
        <f>-SUMIF(BdV!$C:$C,CE!B22,BdV!$O:$O)/1000</f>
        <v>-2861.1844787981672</v>
      </c>
      <c r="Q22" s="74"/>
      <c r="R22" s="60">
        <f t="shared" si="42"/>
        <v>3.7715760023358857E-2</v>
      </c>
      <c r="S22" s="60">
        <f t="shared" si="7"/>
        <v>2.5409287642815359E-2</v>
      </c>
      <c r="T22" s="60">
        <f t="shared" si="43"/>
        <v>1.327808645538008</v>
      </c>
      <c r="V22" s="58" t="str">
        <f t="shared" si="44"/>
        <v>Godimento beni di terzi</v>
      </c>
      <c r="W22" s="61">
        <f t="shared" si="45"/>
        <v>7.3327420073796681E-2</v>
      </c>
      <c r="X22" s="61">
        <f t="shared" si="45"/>
        <v>6.7966405315138451E-2</v>
      </c>
      <c r="Y22" s="61">
        <f t="shared" si="45"/>
        <v>6.0262137453965872E-2</v>
      </c>
      <c r="Z22" s="61">
        <f t="shared" si="45"/>
        <v>5.2721116358782169E-2</v>
      </c>
      <c r="AA22" s="61">
        <f>-I22/I$11</f>
        <v>7.4935011406052979E-2</v>
      </c>
      <c r="AB22" s="61">
        <f t="shared" si="46"/>
        <v>5.0624001434710159E-2</v>
      </c>
      <c r="AC22" s="61">
        <f t="shared" si="46"/>
        <v>4.9193087663997763E-2</v>
      </c>
      <c r="AD22" s="61">
        <f t="shared" si="46"/>
        <v>4.4555564540652376E-2</v>
      </c>
      <c r="AE22" s="61">
        <f t="shared" si="46"/>
        <v>3.9302387139703902E-2</v>
      </c>
      <c r="AF22" s="61">
        <f t="shared" si="46"/>
        <v>3.5488094187300132E-2</v>
      </c>
      <c r="AH22" s="58" t="str">
        <f t="shared" si="47"/>
        <v>Godimento beni di terzi</v>
      </c>
      <c r="AI22" s="61">
        <f t="shared" si="48"/>
        <v>-5.9603205660806791E-2</v>
      </c>
      <c r="AJ22" s="61">
        <f t="shared" si="48"/>
        <v>-7.6539677713221677E-2</v>
      </c>
      <c r="AK22" s="61">
        <f t="shared" si="48"/>
        <v>2.9278153974152232E-2</v>
      </c>
      <c r="AL22" s="61">
        <f>+IFERROR(I22/F22-1,0)</f>
        <v>1.327808645538008</v>
      </c>
      <c r="AM22" s="61">
        <f>+IFERROR(L22/I22-1,0)</f>
        <v>-0.13138280544286762</v>
      </c>
      <c r="AN22" s="61">
        <f t="shared" si="49"/>
        <v>1.204570430301044E-2</v>
      </c>
      <c r="AO22" s="61">
        <f t="shared" si="49"/>
        <v>-6.14781006683639E-2</v>
      </c>
      <c r="AP22" s="61">
        <f t="shared" si="49"/>
        <v>-7.8695116500944073E-2</v>
      </c>
      <c r="AQ22" s="61">
        <f t="shared" si="49"/>
        <v>-5.7092792138385362E-2</v>
      </c>
    </row>
    <row r="23" spans="2:43" outlineLevel="1">
      <c r="B23" s="73" t="s">
        <v>391</v>
      </c>
      <c r="C23" s="74">
        <f>-SUMIF(BdV!$C:$C,B23,BdV!$E:$E)/1000</f>
        <v>-121.85395</v>
      </c>
      <c r="D23" s="74">
        <f>-SUMIF(BdV!$C:$C,B23,BdV!$F:$F)/1000</f>
        <v>-536.55592999999999</v>
      </c>
      <c r="E23" s="74">
        <f>-SUMIF(BdV!$C:$C,B23,BdV!$G:$G)/1000</f>
        <v>-695.06123000000014</v>
      </c>
      <c r="F23" s="74">
        <f>-SUMIF(BdV!$C:$C,CE!B23,BdV!$H:$H)/1000</f>
        <v>-710.78998999999988</v>
      </c>
      <c r="G23" s="74">
        <v>0</v>
      </c>
      <c r="H23" s="1467">
        <f>+F23+G23</f>
        <v>-710.78998999999988</v>
      </c>
      <c r="I23" s="74">
        <f>-SUMIF(BdV!$C:$C,CE!B23,BdV!$I:$I)/1000</f>
        <v>-902.87016000000017</v>
      </c>
      <c r="J23" s="74">
        <f>-SUMIF(BdV!$C:$C,CE!B23,BdV!$J:$J)/1000</f>
        <v>-144.86299000000002</v>
      </c>
      <c r="K23" s="1238">
        <f t="shared" si="41"/>
        <v>-289.72598000000005</v>
      </c>
      <c r="L23" s="74">
        <f>-SUMIF(BdV!$C:$C,CE!B23,BdV!$K:$K)/1000</f>
        <v>-752.78072543073392</v>
      </c>
      <c r="M23" s="74">
        <f>-SUMIF(BdV!$C:$C,CE!B23,BdV!$L:$L)/1000</f>
        <v>-755.14723449009216</v>
      </c>
      <c r="N23" s="74">
        <f>-SUMIF(BdV!$C:$C,CE!B23,BdV!$M:$M)/1000</f>
        <v>-779.72853384414293</v>
      </c>
      <c r="O23" s="74">
        <f>-SUMIF(BdV!$C:$C,CE!B23,BdV!$N:$N)/1000</f>
        <v>-810.2715400697623</v>
      </c>
      <c r="P23" s="74">
        <f>-SUMIF(BdV!$C:$C,CE!B23,BdV!$O:$O)/1000</f>
        <v>-842.16147946019271</v>
      </c>
      <c r="Q23" s="74"/>
      <c r="R23" s="60">
        <f t="shared" si="42"/>
        <v>-2.2693219200721204E-2</v>
      </c>
      <c r="S23" s="60">
        <f t="shared" si="7"/>
        <v>-1.7741463487456643E-2</v>
      </c>
      <c r="T23" s="60">
        <f t="shared" si="43"/>
        <v>0.27023477075134439</v>
      </c>
      <c r="V23" s="58" t="str">
        <f t="shared" si="44"/>
        <v>Oneri diversi di gestione</v>
      </c>
      <c r="W23" s="61">
        <f t="shared" si="45"/>
        <v>4.6570924164638658E-3</v>
      </c>
      <c r="X23" s="61">
        <f t="shared" si="45"/>
        <v>2.0211893415311009E-2</v>
      </c>
      <c r="Y23" s="61">
        <f t="shared" si="45"/>
        <v>2.5138945440957475E-2</v>
      </c>
      <c r="Z23" s="61">
        <f t="shared" si="45"/>
        <v>2.1851064793573283E-2</v>
      </c>
      <c r="AA23" s="61">
        <f>-I23/I$11</f>
        <v>1.6947650711197582E-2</v>
      </c>
      <c r="AB23" s="61">
        <f t="shared" si="46"/>
        <v>1.0989956299861244E-2</v>
      </c>
      <c r="AC23" s="61">
        <f t="shared" si="46"/>
        <v>1.0585383527692938E-2</v>
      </c>
      <c r="AD23" s="61">
        <f t="shared" si="46"/>
        <v>1.054804190522941E-2</v>
      </c>
      <c r="AE23" s="61">
        <f t="shared" si="46"/>
        <v>1.0494762371549188E-2</v>
      </c>
      <c r="AF23" s="61">
        <f t="shared" si="46"/>
        <v>1.0445571100173582E-2</v>
      </c>
      <c r="AH23" s="58" t="str">
        <f t="shared" si="47"/>
        <v>Oneri diversi di gestione</v>
      </c>
      <c r="AI23" s="61">
        <f t="shared" si="48"/>
        <v>3.4032707187579883</v>
      </c>
      <c r="AJ23" s="61">
        <f t="shared" si="48"/>
        <v>0.29541244656451782</v>
      </c>
      <c r="AK23" s="61">
        <f t="shared" si="48"/>
        <v>2.2629315693524887E-2</v>
      </c>
      <c r="AL23" s="61">
        <f>+IFERROR(I23/F23-1,0)</f>
        <v>0.27023477075134439</v>
      </c>
      <c r="AM23" s="61">
        <f>+IFERROR(L23/I23-1,0)</f>
        <v>-0.16623590103948749</v>
      </c>
      <c r="AN23" s="61">
        <f t="shared" si="49"/>
        <v>3.1436897617220794E-3</v>
      </c>
      <c r="AO23" s="61">
        <f t="shared" si="49"/>
        <v>3.2551664405748859E-2</v>
      </c>
      <c r="AP23" s="61">
        <f t="shared" si="49"/>
        <v>3.9171333226756699E-2</v>
      </c>
      <c r="AQ23" s="61">
        <f t="shared" si="49"/>
        <v>3.9357101679376338E-2</v>
      </c>
    </row>
    <row r="24" spans="2:43" outlineLevel="1">
      <c r="B24" s="63" t="s">
        <v>371</v>
      </c>
      <c r="C24" s="78">
        <f t="shared" ref="C24:P24" si="50">+SUM(C20:C23)</f>
        <v>-13931.332280000001</v>
      </c>
      <c r="D24" s="78">
        <f t="shared" si="50"/>
        <v>-14512.544779999998</v>
      </c>
      <c r="E24" s="78">
        <f t="shared" si="50"/>
        <v>-14460.418379999999</v>
      </c>
      <c r="F24" s="78">
        <f t="shared" si="50"/>
        <v>-17273.81207</v>
      </c>
      <c r="G24" s="78">
        <f t="shared" ref="G24:H24" si="51">+SUM(G20:G23)</f>
        <v>-343.18188999999984</v>
      </c>
      <c r="H24" s="1470">
        <f t="shared" si="51"/>
        <v>-17616.99396</v>
      </c>
      <c r="I24" s="78">
        <f t="shared" si="50"/>
        <v>-23736.011020000005</v>
      </c>
      <c r="J24" s="78">
        <f t="shared" ref="J24:K24" si="52">+SUM(J20:J23)</f>
        <v>-12251.384759999999</v>
      </c>
      <c r="K24" s="1243">
        <f t="shared" si="52"/>
        <v>-24502.769519999998</v>
      </c>
      <c r="L24" s="78">
        <f>+SUM(L20:L23)</f>
        <v>-30242.027654474114</v>
      </c>
      <c r="M24" s="78">
        <f t="shared" si="50"/>
        <v>-31542.98046278493</v>
      </c>
      <c r="N24" s="78">
        <f t="shared" si="50"/>
        <v>-32273.608621798769</v>
      </c>
      <c r="O24" s="78">
        <f t="shared" si="50"/>
        <v>-33192.246876055659</v>
      </c>
      <c r="P24" s="78">
        <f t="shared" si="50"/>
        <v>-34248.813341511028</v>
      </c>
      <c r="Q24" s="74"/>
      <c r="R24" s="60">
        <f t="shared" si="42"/>
        <v>-2.5196050624839206E-2</v>
      </c>
      <c r="S24" s="60">
        <f t="shared" si="7"/>
        <v>-3.3042789971100994E-2</v>
      </c>
      <c r="T24" s="60">
        <f t="shared" si="43"/>
        <v>0.37410381239605583</v>
      </c>
      <c r="V24" s="63" t="s">
        <v>371</v>
      </c>
      <c r="W24" s="79">
        <f t="shared" si="45"/>
        <v>0.53243659243238539</v>
      </c>
      <c r="X24" s="79">
        <f t="shared" si="45"/>
        <v>0.54668300521492352</v>
      </c>
      <c r="Y24" s="79">
        <f t="shared" si="45"/>
        <v>0.52300380602186458</v>
      </c>
      <c r="Z24" s="79">
        <f t="shared" si="45"/>
        <v>0.53103053234272235</v>
      </c>
      <c r="AA24" s="79">
        <f>-I24/I$11</f>
        <v>0.44554537503387714</v>
      </c>
      <c r="AB24" s="79">
        <f t="shared" si="46"/>
        <v>0.44150780049753974</v>
      </c>
      <c r="AC24" s="79">
        <f t="shared" si="46"/>
        <v>0.44215820512216231</v>
      </c>
      <c r="AD24" s="79">
        <f t="shared" si="46"/>
        <v>0.43659217458335642</v>
      </c>
      <c r="AE24" s="79">
        <f t="shared" si="46"/>
        <v>0.42991111783589048</v>
      </c>
      <c r="AF24" s="79">
        <f t="shared" si="46"/>
        <v>0.42479788446823286</v>
      </c>
      <c r="AH24" s="63" t="s">
        <v>371</v>
      </c>
      <c r="AI24" s="61">
        <f t="shared" si="48"/>
        <v>4.1719807432516243E-2</v>
      </c>
      <c r="AJ24" s="61">
        <f t="shared" si="48"/>
        <v>-3.5918166517450167E-3</v>
      </c>
      <c r="AK24" s="61">
        <f t="shared" si="48"/>
        <v>0.19455824970397573</v>
      </c>
      <c r="AL24" s="61">
        <f>+IFERROR(I24/F24-1,0)</f>
        <v>0.37410381239605583</v>
      </c>
      <c r="AM24" s="61">
        <f>+IFERROR(L24/I24-1,0)</f>
        <v>0.27409898946339917</v>
      </c>
      <c r="AN24" s="61">
        <f t="shared" si="49"/>
        <v>4.3018041752182157E-2</v>
      </c>
      <c r="AO24" s="61">
        <f t="shared" si="49"/>
        <v>2.3162939845708275E-2</v>
      </c>
      <c r="AP24" s="61">
        <f t="shared" si="49"/>
        <v>2.8464069978106243E-2</v>
      </c>
      <c r="AQ24" s="61">
        <f t="shared" si="49"/>
        <v>3.18317247217621E-2</v>
      </c>
    </row>
    <row r="25" spans="2:43" ht="3.4" customHeight="1">
      <c r="B25" s="91"/>
      <c r="C25" s="92"/>
      <c r="D25" s="92"/>
      <c r="E25" s="92"/>
      <c r="F25" s="92"/>
      <c r="G25" s="92"/>
      <c r="H25" s="1474"/>
      <c r="I25" s="92"/>
      <c r="J25" s="92"/>
      <c r="K25" s="1244"/>
      <c r="L25" s="92"/>
      <c r="M25" s="92"/>
      <c r="N25" s="92"/>
      <c r="O25" s="92"/>
      <c r="P25" s="92"/>
      <c r="Q25" s="59"/>
      <c r="R25" s="57"/>
      <c r="S25" s="57"/>
      <c r="T25" s="57"/>
      <c r="V25" s="91"/>
      <c r="AH25" s="91"/>
    </row>
    <row r="26" spans="2:43" ht="11.25" customHeight="1">
      <c r="B26" s="93" t="s">
        <v>3</v>
      </c>
      <c r="C26" s="85">
        <f t="shared" ref="C26:P26" si="53">+C17+C24</f>
        <v>2401.8323600000003</v>
      </c>
      <c r="D26" s="85">
        <f t="shared" si="53"/>
        <v>2609.6740699999991</v>
      </c>
      <c r="E26" s="85">
        <f t="shared" si="53"/>
        <v>2756.2255499999992</v>
      </c>
      <c r="F26" s="85">
        <f t="shared" si="53"/>
        <v>4165.0582699999977</v>
      </c>
      <c r="G26" s="85">
        <f t="shared" ref="G26:H26" si="54">+G17+G24</f>
        <v>-343.18188999999984</v>
      </c>
      <c r="H26" s="1472">
        <f t="shared" si="54"/>
        <v>3821.8763799999979</v>
      </c>
      <c r="I26" s="85">
        <f>+I17+I24</f>
        <v>7956.0884499999956</v>
      </c>
      <c r="J26" s="85">
        <f>+J17+J24</f>
        <v>4170.5961900000057</v>
      </c>
      <c r="K26" s="1241">
        <f>+K17+K24</f>
        <v>8341.1923800000113</v>
      </c>
      <c r="L26" s="85">
        <f>+L17+L24</f>
        <v>11038.339659597004</v>
      </c>
      <c r="M26" s="85">
        <f t="shared" si="53"/>
        <v>11663.811800158066</v>
      </c>
      <c r="N26" s="85">
        <f t="shared" si="53"/>
        <v>12391.978505040883</v>
      </c>
      <c r="O26" s="85">
        <f t="shared" si="53"/>
        <v>13488.938163424144</v>
      </c>
      <c r="P26" s="85">
        <f t="shared" si="53"/>
        <v>14498.335613542804</v>
      </c>
      <c r="Q26" s="72"/>
      <c r="R26" s="86">
        <f>IF(P26*L26&lt;=0,"n/a",IF(L26&gt;P26,-ABS((P26/L26)^(1/(5))-1),ABS((P26/L26)^(1/(5))-1)))</f>
        <v>5.604610485945738E-2</v>
      </c>
      <c r="S26" s="86">
        <f t="shared" si="7"/>
        <v>5.9542664111419619E-2</v>
      </c>
      <c r="T26" s="86">
        <f>+I26/F26-1</f>
        <v>0.9101985936921837</v>
      </c>
      <c r="U26" s="60">
        <f>IF(I26*C26&lt;=0,"n/a",IF(C26&gt;I26,-ABS((I26/C26)^(1/(4))-1),ABS((I26/C26)^(1/(4))-1)))</f>
        <v>0.34908473336486234</v>
      </c>
      <c r="V26" s="93" t="s">
        <v>3</v>
      </c>
      <c r="W26" s="87">
        <f>+C26/C$11</f>
        <v>9.1794769635071424E-2</v>
      </c>
      <c r="X26" s="87">
        <f>+D26/D$11</f>
        <v>9.8305602831639319E-2</v>
      </c>
      <c r="Y26" s="87">
        <f>+E26/E$11</f>
        <v>9.9687050196171884E-2</v>
      </c>
      <c r="Z26" s="87">
        <f>+F26/F$11</f>
        <v>0.1280419806232474</v>
      </c>
      <c r="AA26" s="87">
        <f>+I26/I$11</f>
        <v>0.1493426342476456</v>
      </c>
      <c r="AB26" s="87">
        <f t="shared" ref="AB26:AF26" si="55">+L26/L$11</f>
        <v>0.16115034084139626</v>
      </c>
      <c r="AC26" s="87">
        <f t="shared" si="55"/>
        <v>0.16349913720186396</v>
      </c>
      <c r="AD26" s="87">
        <f t="shared" si="55"/>
        <v>0.16763668749616478</v>
      </c>
      <c r="AE26" s="87">
        <f t="shared" si="55"/>
        <v>0.17471081442335898</v>
      </c>
      <c r="AF26" s="87">
        <f t="shared" si="55"/>
        <v>0.17982702745144799</v>
      </c>
      <c r="AH26" s="93" t="s">
        <v>3</v>
      </c>
      <c r="AI26" s="87">
        <f>+D26/C26-1</f>
        <v>8.6534644740983824E-2</v>
      </c>
      <c r="AJ26" s="87">
        <f>+E26/D26-1</f>
        <v>5.6157005077649425E-2</v>
      </c>
      <c r="AK26" s="87">
        <f>+F26/E26-1</f>
        <v>0.51114565714696281</v>
      </c>
      <c r="AL26" s="87">
        <f>+I26/F26-1</f>
        <v>0.9101985936921837</v>
      </c>
      <c r="AM26" s="87">
        <f>+L26/I26-1</f>
        <v>0.38740786115782933</v>
      </c>
      <c r="AN26" s="87">
        <f t="shared" ref="AN26:AQ26" si="56">+M26/L26-1</f>
        <v>5.6663607014236117E-2</v>
      </c>
      <c r="AO26" s="87">
        <f t="shared" si="56"/>
        <v>6.2429565682202481E-2</v>
      </c>
      <c r="AP26" s="87">
        <f t="shared" si="56"/>
        <v>8.8521752836888234E-2</v>
      </c>
      <c r="AQ26" s="87">
        <f t="shared" si="56"/>
        <v>7.4831498068223423E-2</v>
      </c>
    </row>
    <row r="27" spans="2:43">
      <c r="B27" s="94" t="s">
        <v>372</v>
      </c>
      <c r="C27" s="95">
        <f>+C26/C11</f>
        <v>9.1794769635071424E-2</v>
      </c>
      <c r="D27" s="95">
        <f>+D26/D11</f>
        <v>9.8305602831639319E-2</v>
      </c>
      <c r="E27" s="95">
        <f>+E26/E11</f>
        <v>9.9687050196171884E-2</v>
      </c>
      <c r="F27" s="95">
        <f>+F26/F11</f>
        <v>0.1280419806232474</v>
      </c>
      <c r="G27" s="95"/>
      <c r="H27" s="1475">
        <f t="shared" ref="H27:P27" si="57">+H26/H11</f>
        <v>0.11749190279453327</v>
      </c>
      <c r="I27" s="95">
        <f t="shared" si="57"/>
        <v>0.1493426342476456</v>
      </c>
      <c r="J27" s="95">
        <f t="shared" si="57"/>
        <v>0.15298134974952701</v>
      </c>
      <c r="K27" s="1245">
        <f t="shared" si="57"/>
        <v>0.15298134974952701</v>
      </c>
      <c r="L27" s="95">
        <f t="shared" si="57"/>
        <v>0.16115034084139626</v>
      </c>
      <c r="M27" s="95">
        <f t="shared" si="57"/>
        <v>0.16349913720186396</v>
      </c>
      <c r="N27" s="95">
        <f t="shared" si="57"/>
        <v>0.16763668749616478</v>
      </c>
      <c r="O27" s="95">
        <f t="shared" si="57"/>
        <v>0.17471081442335898</v>
      </c>
      <c r="P27" s="95">
        <f t="shared" si="57"/>
        <v>0.17982702745144799</v>
      </c>
      <c r="Q27" s="96"/>
      <c r="R27" s="97">
        <f>-IF(P27*L27&lt;=0,"n/a",IF(L27&gt;P27,-ABS((P27/L27)^(1/(5))-1),ABS((P27/L27)^(1/(5))-1)))</f>
        <v>-2.2173805478141517E-2</v>
      </c>
      <c r="S27" s="97">
        <f t="shared" si="7"/>
        <v>1.9926606157174787E-2</v>
      </c>
      <c r="T27" s="97">
        <f>+I27/F27-1</f>
        <v>0.166356795800227</v>
      </c>
      <c r="U27" s="60">
        <f>IF(I27*C27&lt;=0,"n/a",IF(C27&gt;I27,-ABS((I27/C27)^(1/(4))-1),ABS((I27/C27)^(1/(4))-1)))</f>
        <v>0.12938357619794782</v>
      </c>
      <c r="V27" s="94"/>
      <c r="AH27" s="94"/>
    </row>
    <row r="28" spans="2:43" ht="3.4" customHeight="1">
      <c r="B28" s="94"/>
      <c r="C28" s="98"/>
      <c r="D28" s="98"/>
      <c r="E28" s="98"/>
      <c r="F28" s="98"/>
      <c r="G28" s="98"/>
      <c r="H28" s="1476"/>
      <c r="I28" s="98"/>
      <c r="J28" s="98"/>
      <c r="K28" s="1246"/>
      <c r="L28" s="98">
        <v>0</v>
      </c>
      <c r="M28" s="98">
        <v>0</v>
      </c>
      <c r="N28" s="98">
        <v>0</v>
      </c>
      <c r="O28" s="98">
        <v>0</v>
      </c>
      <c r="P28" s="98">
        <v>0</v>
      </c>
      <c r="Q28" s="96"/>
      <c r="R28" s="95"/>
      <c r="S28" s="95"/>
      <c r="T28" s="95"/>
      <c r="V28" s="94"/>
      <c r="AH28" s="94"/>
    </row>
    <row r="29" spans="2:43">
      <c r="B29" s="91" t="s">
        <v>373</v>
      </c>
      <c r="C29" s="74">
        <f>-SUMIF(BdV!$C:$C,B29,BdV!$E:$E)/1000</f>
        <v>-1008.8810500000001</v>
      </c>
      <c r="D29" s="74">
        <f>-SUMIF(BdV!$C:$C,B29,BdV!$F:$F)/1000</f>
        <v>-1096.4354499999997</v>
      </c>
      <c r="E29" s="74">
        <f>-SUMIF(BdV!$C:$C,B29,BdV!$G:$G)/1000</f>
        <v>-1214.2543099999996</v>
      </c>
      <c r="F29" s="74">
        <f>-SUMIF(BdV!$C:$C,CE!B29,BdV!$H:$H)/1000</f>
        <v>-1436.1092499999995</v>
      </c>
      <c r="G29" s="74">
        <v>0</v>
      </c>
      <c r="H29" s="1467">
        <f>+F29+G29</f>
        <v>-1436.1092499999995</v>
      </c>
      <c r="I29" s="74">
        <f>-SUMIF(BdV!$C:$C,CE!B29,BdV!$I:$I)/1000</f>
        <v>-1521.0348400000003</v>
      </c>
      <c r="J29" s="74">
        <f>-SUMIF(BdV!$C:$C,CE!B29,BdV!$J:$J)/1000</f>
        <v>-877.66613000000007</v>
      </c>
      <c r="K29" s="1238">
        <f t="shared" ref="K29:K30" si="58">+J29*$K$2</f>
        <v>-1755.3322600000001</v>
      </c>
      <c r="L29" s="74">
        <f>+Capex!I22</f>
        <v>-1842.8945622342942</v>
      </c>
      <c r="M29" s="74">
        <f>+Capex!J22</f>
        <v>-2114.2576737136042</v>
      </c>
      <c r="N29" s="74">
        <f>+Capex!K22</f>
        <v>-2460.1002931407866</v>
      </c>
      <c r="O29" s="74">
        <f>+Capex!L22</f>
        <v>-2952.5412911323938</v>
      </c>
      <c r="P29" s="74">
        <f>+Capex!M22</f>
        <v>-3295.8796501617016</v>
      </c>
      <c r="Q29" s="74"/>
      <c r="R29" s="60">
        <f t="shared" ref="R29:R31" si="59">IF(P29*L29&lt;=0,"n/a",IF(L29&gt;P29,-ABS((P29/L29)^(1/(5))-1),ABS((P29/L29)^(1/(5))-1)))</f>
        <v>-0.12329589366120786</v>
      </c>
      <c r="S29" s="60">
        <f t="shared" si="7"/>
        <v>-0.15538350259910017</v>
      </c>
      <c r="T29" s="60">
        <f t="shared" ref="T29:T31" si="60">+I29/F29-1</f>
        <v>5.913588398654257E-2</v>
      </c>
      <c r="V29" s="58" t="str">
        <f t="shared" ref="V29:V31" si="61">+B29</f>
        <v>Ammortamenti imm. materiali</v>
      </c>
      <c r="W29" s="61">
        <f t="shared" ref="W29:Z31" si="62">-C29/C$11</f>
        <v>3.8558063050636457E-2</v>
      </c>
      <c r="X29" s="61">
        <f t="shared" si="62"/>
        <v>4.1302379142783043E-2</v>
      </c>
      <c r="Y29" s="61">
        <f t="shared" si="62"/>
        <v>4.3917099002252574E-2</v>
      </c>
      <c r="Z29" s="61">
        <f t="shared" si="62"/>
        <v>4.4148787565789896E-2</v>
      </c>
      <c r="AA29" s="61">
        <f>-I29/I$11</f>
        <v>2.855113429364229E-2</v>
      </c>
      <c r="AB29" s="61">
        <f t="shared" ref="AB29:AF31" si="63">-L29/L$11</f>
        <v>2.690468820468012E-2</v>
      </c>
      <c r="AC29" s="61">
        <f t="shared" si="63"/>
        <v>2.9636906990381112E-2</v>
      </c>
      <c r="AD29" s="61">
        <f t="shared" si="63"/>
        <v>3.3279840171019148E-2</v>
      </c>
      <c r="AE29" s="61">
        <f t="shared" si="63"/>
        <v>3.824177169045536E-2</v>
      </c>
      <c r="AF29" s="61">
        <f t="shared" si="63"/>
        <v>4.0879743449494355E-2</v>
      </c>
      <c r="AH29" s="58" t="str">
        <f t="shared" ref="AH29:AH31" si="64">+V29</f>
        <v>Ammortamenti imm. materiali</v>
      </c>
      <c r="AI29" s="61">
        <f t="shared" ref="AI29:AK31" si="65">+IFERROR(D29/C29-1,0)</f>
        <v>8.678366988853603E-2</v>
      </c>
      <c r="AJ29" s="61">
        <f t="shared" si="65"/>
        <v>0.10745626657729823</v>
      </c>
      <c r="AK29" s="61">
        <f t="shared" si="65"/>
        <v>0.18270879351459746</v>
      </c>
      <c r="AL29" s="61">
        <f>+IFERROR(I29/F29-1,0)</f>
        <v>5.913588398654257E-2</v>
      </c>
      <c r="AM29" s="61">
        <f>+IFERROR(L29/I29-1,0)</f>
        <v>0.21160575272180737</v>
      </c>
      <c r="AN29" s="61">
        <f t="shared" ref="AN29:AQ31" si="66">+IFERROR(M29/L29-1,0)</f>
        <v>0.14724831091276003</v>
      </c>
      <c r="AO29" s="61">
        <f t="shared" si="66"/>
        <v>0.16357638131199237</v>
      </c>
      <c r="AP29" s="61">
        <f t="shared" si="66"/>
        <v>0.20017110658643622</v>
      </c>
      <c r="AQ29" s="61">
        <f t="shared" si="66"/>
        <v>0.11628570955484485</v>
      </c>
    </row>
    <row r="30" spans="2:43">
      <c r="B30" s="91" t="s">
        <v>374</v>
      </c>
      <c r="C30" s="74">
        <f>-SUMIF(BdV!$C:$C,B30,BdV!$E:$E)/1000</f>
        <v>-66.597589999999997</v>
      </c>
      <c r="D30" s="74">
        <f>-SUMIF(BdV!$C:$C,B30,BdV!$F:$F)/1000</f>
        <v>-66.735590000000002</v>
      </c>
      <c r="E30" s="74">
        <f>-SUMIF(BdV!$C:$C,B30,BdV!$G:$G)/1000</f>
        <v>-68.66758999999999</v>
      </c>
      <c r="F30" s="74">
        <f>-SUMIF(BdV!$C:$C,CE!B30,BdV!$H:$H)/1000</f>
        <v>-234.86759000000001</v>
      </c>
      <c r="G30" s="923">
        <f>-474.868-F30</f>
        <v>-240.00040999999999</v>
      </c>
      <c r="H30" s="1467">
        <f>+F30+G30</f>
        <v>-474.86799999999999</v>
      </c>
      <c r="I30" s="74">
        <f>-SUMIF(BdV!$C:$C,CE!B30,BdV!$I:$I)/1000</f>
        <v>-463.74299999999999</v>
      </c>
      <c r="J30" s="74">
        <f>-SUMIF(BdV!$C:$C,CE!B30,BdV!$J:$J)/1000</f>
        <v>-206.22594000000001</v>
      </c>
      <c r="K30" s="1238">
        <f t="shared" si="58"/>
        <v>-412.45188000000002</v>
      </c>
      <c r="L30" s="74">
        <f>+Capex!I27</f>
        <v>-412.87</v>
      </c>
      <c r="M30" s="74">
        <f>+Capex!J27</f>
        <v>-412.87</v>
      </c>
      <c r="N30" s="74">
        <f>+Capex!K27</f>
        <v>-410.93799999999999</v>
      </c>
      <c r="O30" s="74">
        <f>+Capex!L27</f>
        <v>-404.738</v>
      </c>
      <c r="P30" s="74">
        <f>+Capex!M27</f>
        <v>-400.13799999999998</v>
      </c>
      <c r="Q30" s="74"/>
      <c r="R30" s="60">
        <f t="shared" si="59"/>
        <v>6.2450751133765747E-3</v>
      </c>
      <c r="S30" s="60">
        <f t="shared" si="7"/>
        <v>2.342463090971747E-3</v>
      </c>
      <c r="T30" s="60">
        <f t="shared" si="60"/>
        <v>0.97448698647608212</v>
      </c>
      <c r="V30" s="58" t="str">
        <f t="shared" si="61"/>
        <v>Ammortamenti imm. immateriali</v>
      </c>
      <c r="W30" s="61">
        <f t="shared" si="62"/>
        <v>2.5452694093525056E-3</v>
      </c>
      <c r="X30" s="61">
        <f t="shared" si="62"/>
        <v>2.5139087216646647E-3</v>
      </c>
      <c r="Y30" s="61">
        <f t="shared" si="62"/>
        <v>2.4835665176894364E-3</v>
      </c>
      <c r="Z30" s="61">
        <f t="shared" si="62"/>
        <v>7.2202858779713613E-3</v>
      </c>
      <c r="AA30" s="61">
        <f>-I30/I$11</f>
        <v>8.7048556170722258E-3</v>
      </c>
      <c r="AB30" s="61">
        <f t="shared" si="63"/>
        <v>6.027549728943234E-3</v>
      </c>
      <c r="AC30" s="61">
        <f t="shared" si="63"/>
        <v>5.787463818270693E-3</v>
      </c>
      <c r="AD30" s="61">
        <f t="shared" si="63"/>
        <v>5.5591030163808118E-3</v>
      </c>
      <c r="AE30" s="61">
        <f t="shared" si="63"/>
        <v>5.2422292067303335E-3</v>
      </c>
      <c r="AF30" s="61">
        <f t="shared" si="63"/>
        <v>4.9630267244713377E-3</v>
      </c>
      <c r="AH30" s="58" t="str">
        <f t="shared" si="64"/>
        <v>Ammortamenti imm. immateriali</v>
      </c>
      <c r="AI30" s="61">
        <f t="shared" si="65"/>
        <v>2.0721470551712251E-3</v>
      </c>
      <c r="AJ30" s="61">
        <f t="shared" si="65"/>
        <v>2.8950069970161252E-2</v>
      </c>
      <c r="AK30" s="61">
        <f t="shared" si="65"/>
        <v>2.4203558039535107</v>
      </c>
      <c r="AL30" s="61">
        <f>+IFERROR(I30/F30-1,0)</f>
        <v>0.97448698647608212</v>
      </c>
      <c r="AM30" s="61">
        <f>+IFERROR(L30/I30-1,0)</f>
        <v>-0.10970084723650808</v>
      </c>
      <c r="AN30" s="61">
        <f t="shared" si="66"/>
        <v>0</v>
      </c>
      <c r="AO30" s="61">
        <f t="shared" si="66"/>
        <v>-4.6794390486110116E-3</v>
      </c>
      <c r="AP30" s="61">
        <f t="shared" si="66"/>
        <v>-1.508743411414859E-2</v>
      </c>
      <c r="AQ30" s="61">
        <f t="shared" si="66"/>
        <v>-1.1365377108153996E-2</v>
      </c>
    </row>
    <row r="31" spans="2:43" outlineLevel="1">
      <c r="B31" s="91" t="s">
        <v>375</v>
      </c>
      <c r="C31" s="74">
        <f>-SUMIF(BdV!$C:$C,B31,BdV!$E:$E)/1000</f>
        <v>-64.347999999999999</v>
      </c>
      <c r="D31" s="74">
        <f>-SUMIF(BdV!$C:$C,B31,BdV!$F:$F)/1000</f>
        <v>-61.098080000000003</v>
      </c>
      <c r="E31" s="74">
        <f>-SUMIF(BdV!$C:$C,B31,BdV!$G:$G)/1000</f>
        <v>-82.573999999999998</v>
      </c>
      <c r="F31" s="74">
        <f>-SUMIF(BdV!$C:$C,CE!B31,BdV!$H:$H)/1000</f>
        <v>-82.537999999999997</v>
      </c>
      <c r="G31" s="74">
        <v>0</v>
      </c>
      <c r="H31" s="1467">
        <f>+F31+G31</f>
        <v>-82.537999999999997</v>
      </c>
      <c r="I31" s="74">
        <f>-SUMIF(BdV!$C:$C,CE!B31,BdV!$I:$I)/1000</f>
        <v>-548.572</v>
      </c>
      <c r="J31" s="74">
        <f>-SUMIF(BdV!$C:$C,CE!B31,BdV!$J:$J)/1000</f>
        <v>-400</v>
      </c>
      <c r="K31" s="1238">
        <f>+J31</f>
        <v>-400</v>
      </c>
      <c r="L31" s="74">
        <f>-CCN!I37</f>
        <v>-613.16158900000005</v>
      </c>
      <c r="M31" s="74">
        <f>-CCN!J37</f>
        <v>-651.6819134000001</v>
      </c>
      <c r="N31" s="74">
        <f>-CCN!K37</f>
        <v>-675.71377819999998</v>
      </c>
      <c r="O31" s="74">
        <f>-CCN!L37</f>
        <v>-705.61528892859155</v>
      </c>
      <c r="P31" s="74">
        <f>-CCN!M37</f>
        <v>-736.8399935488834</v>
      </c>
      <c r="Q31" s="74"/>
      <c r="R31" s="60">
        <f t="shared" si="59"/>
        <v>-3.7432023800932912E-2</v>
      </c>
      <c r="S31" s="60">
        <f t="shared" si="7"/>
        <v>-4.9769418140186206E-2</v>
      </c>
      <c r="T31" s="60">
        <f t="shared" si="60"/>
        <v>5.6462962514235873</v>
      </c>
      <c r="V31" s="58" t="str">
        <f t="shared" si="61"/>
        <v>Accantonamenti e svalutazioni</v>
      </c>
      <c r="W31" s="61">
        <f t="shared" si="62"/>
        <v>2.4592931358779655E-3</v>
      </c>
      <c r="X31" s="61">
        <f t="shared" si="62"/>
        <v>2.301545490029614E-3</v>
      </c>
      <c r="Y31" s="61">
        <f t="shared" si="62"/>
        <v>2.9865329718384982E-3</v>
      </c>
      <c r="Z31" s="61">
        <f t="shared" si="62"/>
        <v>2.5373784258441116E-3</v>
      </c>
      <c r="AA31" s="61">
        <f>-I31/I$11</f>
        <v>1.0297169025879732E-2</v>
      </c>
      <c r="AB31" s="61">
        <f t="shared" si="63"/>
        <v>8.9516360345274614E-3</v>
      </c>
      <c r="AC31" s="61">
        <f t="shared" si="63"/>
        <v>9.1350437058248749E-3</v>
      </c>
      <c r="AD31" s="61">
        <f t="shared" si="63"/>
        <v>9.1409470591712009E-3</v>
      </c>
      <c r="AE31" s="61">
        <f t="shared" si="63"/>
        <v>9.1392384118539043E-3</v>
      </c>
      <c r="AF31" s="61">
        <f t="shared" si="63"/>
        <v>9.1392384118539026E-3</v>
      </c>
      <c r="AH31" s="58" t="str">
        <f t="shared" si="64"/>
        <v>Accantonamenti e svalutazioni</v>
      </c>
      <c r="AI31" s="61">
        <f t="shared" si="65"/>
        <v>-5.0505377012494468E-2</v>
      </c>
      <c r="AJ31" s="61">
        <f t="shared" si="65"/>
        <v>0.35149909784399114</v>
      </c>
      <c r="AK31" s="61">
        <f t="shared" si="65"/>
        <v>-4.3597258216876433E-4</v>
      </c>
      <c r="AL31" s="61">
        <f>+IFERROR(I31/F31-1,0)</f>
        <v>5.6462962514235873</v>
      </c>
      <c r="AM31" s="61">
        <f>+IFERROR(L31/I31-1,0)</f>
        <v>0.11774131563404633</v>
      </c>
      <c r="AN31" s="61">
        <f t="shared" si="66"/>
        <v>6.2822468156921829E-2</v>
      </c>
      <c r="AO31" s="61">
        <f t="shared" si="66"/>
        <v>3.6876679106558452E-2</v>
      </c>
      <c r="AP31" s="61">
        <f t="shared" si="66"/>
        <v>4.4251740445850674E-2</v>
      </c>
      <c r="AQ31" s="61">
        <f t="shared" si="66"/>
        <v>4.4251740445850452E-2</v>
      </c>
    </row>
    <row r="32" spans="2:43" ht="3" customHeight="1">
      <c r="B32" s="91"/>
      <c r="C32" s="100"/>
      <c r="D32" s="100"/>
      <c r="E32" s="100"/>
      <c r="F32" s="100"/>
      <c r="G32" s="100"/>
      <c r="H32" s="1477"/>
      <c r="I32" s="100"/>
      <c r="J32" s="100"/>
      <c r="K32" s="1247"/>
      <c r="L32" s="100"/>
      <c r="M32" s="100"/>
      <c r="N32" s="100"/>
      <c r="O32" s="100"/>
      <c r="P32" s="100"/>
      <c r="Q32" s="59"/>
      <c r="R32" s="57"/>
      <c r="S32" s="57"/>
      <c r="T32" s="57"/>
      <c r="V32" s="91"/>
      <c r="AH32" s="91"/>
    </row>
    <row r="33" spans="1:43">
      <c r="B33" s="93" t="s">
        <v>5</v>
      </c>
      <c r="C33" s="85">
        <f t="shared" ref="C33:I33" si="67">+C26+SUM(C29:C31)</f>
        <v>1262.0057200000003</v>
      </c>
      <c r="D33" s="85">
        <f t="shared" si="67"/>
        <v>1385.4049499999994</v>
      </c>
      <c r="E33" s="85">
        <f t="shared" si="67"/>
        <v>1390.7296499999995</v>
      </c>
      <c r="F33" s="85">
        <f t="shared" si="67"/>
        <v>2411.5434299999979</v>
      </c>
      <c r="G33" s="85">
        <f t="shared" ref="G33:H33" si="68">+G26+SUM(G29:G31)</f>
        <v>-583.18229999999983</v>
      </c>
      <c r="H33" s="1472">
        <f t="shared" si="68"/>
        <v>1828.3611299999984</v>
      </c>
      <c r="I33" s="85">
        <f t="shared" si="67"/>
        <v>5422.7386099999949</v>
      </c>
      <c r="J33" s="85">
        <f t="shared" ref="J33:K33" si="69">+J26+SUM(J29:J31)</f>
        <v>2686.7041200000058</v>
      </c>
      <c r="K33" s="1241">
        <f t="shared" si="69"/>
        <v>5773.4082400000116</v>
      </c>
      <c r="L33" s="85">
        <f t="shared" ref="L33:P33" si="70">+L26+SUM(L29:L31)</f>
        <v>8169.4135083627098</v>
      </c>
      <c r="M33" s="85">
        <f>+M26+SUM(M29:M31)</f>
        <v>8485.0022130444613</v>
      </c>
      <c r="N33" s="85">
        <f t="shared" si="70"/>
        <v>8845.2264337000961</v>
      </c>
      <c r="O33" s="85">
        <f t="shared" si="70"/>
        <v>9426.0435833631582</v>
      </c>
      <c r="P33" s="85">
        <f t="shared" si="70"/>
        <v>10065.47796983222</v>
      </c>
      <c r="Q33" s="72"/>
      <c r="R33" s="86">
        <f>IF(P33*L33&lt;=0,"n/a",IF(L33&gt;P33,-ABS((P33/L33)^(1/(5))-1),ABS((P33/L33)^(1/(5))-1)))</f>
        <v>4.262636961023647E-2</v>
      </c>
      <c r="S33" s="86">
        <f t="shared" si="7"/>
        <v>4.0540618520833682E-2</v>
      </c>
      <c r="T33" s="86">
        <f>+I33/F33-1</f>
        <v>1.248658905554108</v>
      </c>
      <c r="U33" s="60">
        <f>IF(I33*C33&lt;=0,"n/a",IF(C33&gt;I33,-ABS((I33/C33)^(1/(4))-1),ABS((I33/C33)^(1/(4))-1)))</f>
        <v>0.43975745800481647</v>
      </c>
      <c r="V33" s="93" t="s">
        <v>5</v>
      </c>
      <c r="W33" s="87">
        <f>+C33/C$11</f>
        <v>4.8232144039204498E-2</v>
      </c>
      <c r="X33" s="87">
        <f>+D33/D$11</f>
        <v>5.2187769477161992E-2</v>
      </c>
      <c r="Y33" s="87">
        <f>+E33/E$11</f>
        <v>5.0299851704391378E-2</v>
      </c>
      <c r="Z33" s="87">
        <f>+F33/F$11</f>
        <v>7.4135528753642016E-2</v>
      </c>
      <c r="AA33" s="87">
        <f>+I33/I$11</f>
        <v>0.10178947531105136</v>
      </c>
      <c r="AB33" s="87">
        <f t="shared" ref="AB33:AF33" si="71">+L33/L$11</f>
        <v>0.11926646687324545</v>
      </c>
      <c r="AC33" s="87">
        <f t="shared" si="71"/>
        <v>0.11893972268738727</v>
      </c>
      <c r="AD33" s="87">
        <f t="shared" si="71"/>
        <v>0.1196567972495936</v>
      </c>
      <c r="AE33" s="87">
        <f t="shared" si="71"/>
        <v>0.12208757511431938</v>
      </c>
      <c r="AF33" s="87">
        <f t="shared" si="71"/>
        <v>0.1248450188656284</v>
      </c>
      <c r="AH33" s="93" t="s">
        <v>5</v>
      </c>
      <c r="AI33" s="87">
        <f>+D33/C33-1</f>
        <v>9.7780246194129061E-2</v>
      </c>
      <c r="AJ33" s="87">
        <f>+E33/D33-1</f>
        <v>3.8434249855971991E-3</v>
      </c>
      <c r="AK33" s="87">
        <f>+F33/E33-1</f>
        <v>0.73401309880752064</v>
      </c>
      <c r="AL33" s="87">
        <f>+I33/F33-1</f>
        <v>1.248658905554108</v>
      </c>
      <c r="AM33" s="87">
        <f>+L33/I33-1</f>
        <v>0.50651065741904122</v>
      </c>
      <c r="AN33" s="87">
        <f t="shared" ref="AN33:AQ33" si="72">+M33/L33-1</f>
        <v>3.8630521561761499E-2</v>
      </c>
      <c r="AO33" s="87">
        <f t="shared" si="72"/>
        <v>4.2454228250152104E-2</v>
      </c>
      <c r="AP33" s="87">
        <f t="shared" si="72"/>
        <v>6.5664474959076458E-2</v>
      </c>
      <c r="AQ33" s="87">
        <f t="shared" si="72"/>
        <v>6.7836985986109211E-2</v>
      </c>
    </row>
    <row r="34" spans="1:43">
      <c r="B34" s="94" t="s">
        <v>376</v>
      </c>
      <c r="C34" s="95">
        <f>+IFERROR(C33/C11,0)</f>
        <v>4.8232144039204498E-2</v>
      </c>
      <c r="D34" s="95">
        <f>+IFERROR(D33/D11,0)</f>
        <v>5.2187769477161992E-2</v>
      </c>
      <c r="E34" s="95">
        <f>+IFERROR(E33/E11,0)</f>
        <v>5.0299851704391378E-2</v>
      </c>
      <c r="F34" s="95">
        <f>+IFERROR(F33/F11,0)</f>
        <v>7.4135528753642016E-2</v>
      </c>
      <c r="G34" s="95"/>
      <c r="H34" s="1475">
        <f t="shared" ref="H34:P34" si="73">+IFERROR(H33/H11,0)</f>
        <v>5.620737219115992E-2</v>
      </c>
      <c r="I34" s="95">
        <f t="shared" si="73"/>
        <v>0.10178947531105136</v>
      </c>
      <c r="J34" s="95">
        <f t="shared" si="73"/>
        <v>9.8550807589745465E-2</v>
      </c>
      <c r="K34" s="1245">
        <f t="shared" si="73"/>
        <v>0.10588699372621853</v>
      </c>
      <c r="L34" s="95">
        <f t="shared" si="73"/>
        <v>0.11926646687324545</v>
      </c>
      <c r="M34" s="95">
        <f t="shared" si="73"/>
        <v>0.11893972268738727</v>
      </c>
      <c r="N34" s="95">
        <f t="shared" si="73"/>
        <v>0.1196567972495936</v>
      </c>
      <c r="O34" s="95">
        <f t="shared" si="73"/>
        <v>0.12208757511431938</v>
      </c>
      <c r="P34" s="95">
        <f t="shared" si="73"/>
        <v>0.1248450188656284</v>
      </c>
      <c r="Q34" s="96"/>
      <c r="R34" s="95"/>
      <c r="S34" s="95">
        <f t="shared" si="7"/>
        <v>1.6350427065383588E-3</v>
      </c>
      <c r="T34" s="95"/>
      <c r="U34" s="60">
        <f>IF(I34*C34&lt;=0,"n/a",IF(C34&gt;I34,-ABS((I34/C34)^(1/(4))-1),ABS((I34/C34)^(1/(4))-1)))</f>
        <v>0.20529006560137342</v>
      </c>
      <c r="V34" s="94" t="s">
        <v>376</v>
      </c>
      <c r="AH34" s="94" t="s">
        <v>376</v>
      </c>
    </row>
    <row r="35" spans="1:43" ht="1.1499999999999999" customHeight="1">
      <c r="B35" s="101" t="s">
        <v>245</v>
      </c>
      <c r="C35" s="102"/>
      <c r="D35" s="102"/>
      <c r="E35" s="102"/>
      <c r="F35" s="102"/>
      <c r="G35" s="102"/>
      <c r="H35" s="102"/>
      <c r="I35" s="102"/>
      <c r="J35" s="102"/>
      <c r="K35" s="1248"/>
      <c r="L35" s="102"/>
      <c r="M35" s="102"/>
      <c r="N35" s="102"/>
      <c r="O35" s="102"/>
      <c r="P35" s="102"/>
      <c r="V35" s="101" t="s">
        <v>245</v>
      </c>
      <c r="AH35" s="101" t="s">
        <v>245</v>
      </c>
    </row>
    <row r="36" spans="1:43" outlineLevel="1">
      <c r="B36" s="91" t="s">
        <v>377</v>
      </c>
      <c r="C36" s="74">
        <f>-SUMIF(BdV!$C:$C,B36,BdV!$E:$E)/1000</f>
        <v>-115.56386000000001</v>
      </c>
      <c r="D36" s="74">
        <f>-SUMIF(BdV!$C:$C,B36,BdV!$F:$F)/1000</f>
        <v>-155.35613000000001</v>
      </c>
      <c r="E36" s="74">
        <f>-SUMIF(BdV!$C:$C,B36,BdV!$G:$G)/1000</f>
        <v>-40.722740000000002</v>
      </c>
      <c r="F36" s="74">
        <f>-SUMIF(BdV!$C:$C,CE!B36,BdV!$H:$H)/1000</f>
        <v>-49.136220000000044</v>
      </c>
      <c r="G36" s="74">
        <v>0</v>
      </c>
      <c r="H36" s="1467">
        <f>+F36+G36</f>
        <v>-49.136220000000044</v>
      </c>
      <c r="I36" s="74">
        <f>-SUMIF(BdV!$C:$C,CE!B36,BdV!$I:$I)/1000</f>
        <v>-105.61643000000002</v>
      </c>
      <c r="J36" s="74">
        <f>-SUMIF(BdV!$C:$C,CE!B36,BdV!$J:$J)/1000</f>
        <v>-184.79653999999999</v>
      </c>
      <c r="K36" s="1238">
        <f>+J36*$K$2</f>
        <v>-369.59307999999999</v>
      </c>
      <c r="L36" s="74">
        <f>-SUMIF(BdV!$C:$C,CE!B36,BdV!$K:$K)/1000</f>
        <v>-444.07848349185718</v>
      </c>
      <c r="M36" s="74">
        <f>-SUMIF(BdV!$C:$C,CE!B36,BdV!$L:$L)/1000</f>
        <v>-408.46014543857149</v>
      </c>
      <c r="N36" s="74">
        <f>-SUMIF(BdV!$C:$C,CE!B36,BdV!$M:$M)/1000</f>
        <v>-376.25014202857147</v>
      </c>
      <c r="O36" s="74">
        <f>-SUMIF(BdV!$C:$C,CE!B36,BdV!$N:$N)/1000</f>
        <v>-358.74417030000001</v>
      </c>
      <c r="P36" s="74">
        <f>-SUMIF(BdV!$C:$C,CE!B36,BdV!$O:$O)/1000</f>
        <v>-351.32847335714291</v>
      </c>
      <c r="Q36" s="74"/>
      <c r="R36" s="60">
        <f t="shared" ref="R36:R38" si="74">IF(P36*L36&lt;=0,"n/a",IF(L36&gt;P36,-ABS((P36/L36)^(1/(5))-1),ABS((P36/L36)^(1/(5))-1)))</f>
        <v>4.5775147450265119E-2</v>
      </c>
      <c r="S36" s="60">
        <f t="shared" si="7"/>
        <v>7.953247525021423E-2</v>
      </c>
      <c r="T36" s="60">
        <f t="shared" ref="T36:T38" si="75">+I36/F36-1</f>
        <v>1.1494618430151919</v>
      </c>
      <c r="V36" s="58" t="str">
        <f t="shared" ref="V36:V38" si="76">+B36</f>
        <v>Oneri e proventi finanziari</v>
      </c>
      <c r="W36" s="61">
        <f>-C36/C$11</f>
        <v>4.4166937224709739E-3</v>
      </c>
      <c r="X36" s="61">
        <f>-D36/D$11</f>
        <v>5.8522166383944384E-3</v>
      </c>
      <c r="Y36" s="61">
        <f>-E36/E$11</f>
        <v>1.4728583538838678E-3</v>
      </c>
      <c r="Z36" s="61">
        <f>-F36/F$11</f>
        <v>1.5105428354882607E-3</v>
      </c>
      <c r="AA36" s="61">
        <f>-I36/I$11</f>
        <v>1.9825113779412644E-3</v>
      </c>
      <c r="AB36" s="61">
        <f t="shared" ref="AB36:AF36" si="77">-L36/L$11</f>
        <v>6.4831669600621655E-3</v>
      </c>
      <c r="AC36" s="61">
        <f t="shared" si="77"/>
        <v>5.7256480561225509E-3</v>
      </c>
      <c r="AD36" s="61">
        <f t="shared" si="77"/>
        <v>5.0898512657985891E-3</v>
      </c>
      <c r="AE36" s="61">
        <f t="shared" si="77"/>
        <v>4.6465100071920616E-3</v>
      </c>
      <c r="AF36" s="61">
        <f t="shared" si="77"/>
        <v>4.357628124145212E-3</v>
      </c>
      <c r="AH36" s="58" t="str">
        <f t="shared" ref="AH36:AH38" si="78">+V36</f>
        <v>Oneri e proventi finanziari</v>
      </c>
      <c r="AI36" s="61">
        <f t="shared" ref="AI36:AK38" si="79">+IFERROR(D36/C36-1,0)</f>
        <v>0.34433143718113945</v>
      </c>
      <c r="AJ36" s="61">
        <f t="shared" si="79"/>
        <v>-0.73787490715686599</v>
      </c>
      <c r="AK36" s="61">
        <f t="shared" si="79"/>
        <v>0.20660397605858649</v>
      </c>
      <c r="AL36" s="61">
        <f>+IFERROR(I36/F36-1,0)</f>
        <v>1.1494618430151919</v>
      </c>
      <c r="AM36" s="61">
        <f>+IFERROR(L36/I36-1,0)</f>
        <v>3.2046344824555906</v>
      </c>
      <c r="AN36" s="61">
        <f t="shared" ref="AN36:AQ38" si="80">+IFERROR(M36/L36-1,0)</f>
        <v>-8.0207304288226866E-2</v>
      </c>
      <c r="AO36" s="61">
        <f t="shared" si="80"/>
        <v>-7.8857151106910384E-2</v>
      </c>
      <c r="AP36" s="61">
        <f t="shared" si="80"/>
        <v>-4.6527482047414415E-2</v>
      </c>
      <c r="AQ36" s="61">
        <f t="shared" si="80"/>
        <v>-2.0671268153725553E-2</v>
      </c>
    </row>
    <row r="37" spans="1:43" ht="10.5" hidden="1" customHeight="1" outlineLevel="2">
      <c r="B37" s="91" t="s">
        <v>378</v>
      </c>
      <c r="C37" s="74">
        <f>-SUMIF(BdV!$C:$C,B37,BdV!$E:$E)/1000</f>
        <v>0</v>
      </c>
      <c r="D37" s="74">
        <f>-SUMIF(BdV!$C:$C,B37,BdV!$F:$F)/1000</f>
        <v>0</v>
      </c>
      <c r="E37" s="74">
        <f>-SUMIF(BdV!$C:$C,B37,BdV!$G:$G)/1000</f>
        <v>-1.0320000000000001E-2</v>
      </c>
      <c r="F37" s="74">
        <f>-SUMIF(BdV!$C:$C,CE!B37,BdV!$H:$H)/1000</f>
        <v>-1.9399999999999997E-2</v>
      </c>
      <c r="G37" s="74">
        <f>-SUMIF(BdV!$C:$C,CE!C37,BdV!$H:$H)/1000</f>
        <v>0</v>
      </c>
      <c r="H37" s="1467">
        <f>-SUMIF(BdV!$C:$C,CE!D37,BdV!$H:$H)/1000</f>
        <v>0</v>
      </c>
      <c r="I37" s="74">
        <f>-SUMIF(BdV!$C:$C,CE!B37,BdV!$I:$I)/1000</f>
        <v>0</v>
      </c>
      <c r="J37" s="74">
        <f>-SUMIF(BdV!$C:$C,CE!C37,BdV!$I:$I)/1000</f>
        <v>0</v>
      </c>
      <c r="K37" s="1238">
        <f>-SUMIF(BdV!$C:$C,CE!D37,BdV!$I:$I)/1000</f>
        <v>0</v>
      </c>
      <c r="L37" s="74">
        <f>-SUMIF(BdV!$C:$C,CE!B37,BdV!$K:$K)/1000</f>
        <v>0</v>
      </c>
      <c r="M37" s="74">
        <f>-SUMIF(BdV!$C:$C,CE!B37,BdV!$L:$L)/1000</f>
        <v>0</v>
      </c>
      <c r="N37" s="74">
        <f>-SUMIF(BdV!$C:$C,CE!B37,BdV!$M:$M)/1000</f>
        <v>0</v>
      </c>
      <c r="O37" s="74">
        <f>-SUMIF(BdV!$C:$C,CE!B37,BdV!$N:$N)/1000</f>
        <v>0</v>
      </c>
      <c r="P37" s="74">
        <f>-SUMIF(BdV!$C:$C,CE!B37,BdV!$O:$O)/1000</f>
        <v>0</v>
      </c>
      <c r="Q37" s="74"/>
      <c r="R37" s="60" t="str">
        <f t="shared" si="74"/>
        <v>n/a</v>
      </c>
      <c r="S37" s="60" t="str">
        <f t="shared" si="7"/>
        <v>n/a</v>
      </c>
      <c r="T37" s="60">
        <f t="shared" si="75"/>
        <v>-1</v>
      </c>
      <c r="V37" s="58" t="str">
        <f t="shared" si="76"/>
        <v>Dividendi</v>
      </c>
      <c r="W37" s="61">
        <f>C37/C$11</f>
        <v>0</v>
      </c>
      <c r="X37" s="61">
        <f>D37/D$11</f>
        <v>0</v>
      </c>
      <c r="Y37" s="61">
        <f>E37/E$11</f>
        <v>-3.7325332755314394E-7</v>
      </c>
      <c r="Z37" s="61">
        <f>F37/F$11</f>
        <v>-5.9639367880704353E-7</v>
      </c>
      <c r="AA37" s="61">
        <f>I37/I$11</f>
        <v>0</v>
      </c>
      <c r="AB37" s="61">
        <f t="shared" ref="AB37:AF37" si="81">L37/L$11</f>
        <v>0</v>
      </c>
      <c r="AC37" s="61">
        <f t="shared" si="81"/>
        <v>0</v>
      </c>
      <c r="AD37" s="61">
        <f t="shared" si="81"/>
        <v>0</v>
      </c>
      <c r="AE37" s="61">
        <f t="shared" si="81"/>
        <v>0</v>
      </c>
      <c r="AF37" s="61">
        <f t="shared" si="81"/>
        <v>0</v>
      </c>
      <c r="AH37" s="58" t="str">
        <f t="shared" si="78"/>
        <v>Dividendi</v>
      </c>
      <c r="AI37" s="61">
        <f t="shared" si="79"/>
        <v>0</v>
      </c>
      <c r="AJ37" s="61">
        <f t="shared" si="79"/>
        <v>0</v>
      </c>
      <c r="AK37" s="61">
        <f t="shared" si="79"/>
        <v>0.87984496124030964</v>
      </c>
      <c r="AL37" s="61">
        <f>+IFERROR(I37/F37-1,0)</f>
        <v>-1</v>
      </c>
      <c r="AM37" s="61">
        <f>+IFERROR(L37/I37-1,0)</f>
        <v>0</v>
      </c>
      <c r="AN37" s="61">
        <f t="shared" si="80"/>
        <v>0</v>
      </c>
      <c r="AO37" s="61">
        <f t="shared" si="80"/>
        <v>0</v>
      </c>
      <c r="AP37" s="61">
        <f t="shared" si="80"/>
        <v>0</v>
      </c>
      <c r="AQ37" s="61">
        <f t="shared" si="80"/>
        <v>0</v>
      </c>
    </row>
    <row r="38" spans="1:43" hidden="1" outlineLevel="2">
      <c r="B38" s="91" t="s">
        <v>379</v>
      </c>
      <c r="C38" s="74">
        <f>-SUMIF(BdV!$C:$C,B38,BdV!$E:$E)/1000</f>
        <v>0</v>
      </c>
      <c r="D38" s="74">
        <f>-SUMIF(BdV!$C:$C,B38,BdV!$F:$F)/1000</f>
        <v>0</v>
      </c>
      <c r="E38" s="74">
        <f>-SUMIF(BdV!$C:$C,B38,BdV!$G:$G)/1000</f>
        <v>0</v>
      </c>
      <c r="F38" s="74">
        <f>-SUMIF(BdV!$C:$C,CE!B38,BdV!$H:$H)/1000</f>
        <v>0</v>
      </c>
      <c r="G38" s="74">
        <f>-SUMIF(BdV!$C:$C,CE!C38,BdV!$H:$H)/1000</f>
        <v>0</v>
      </c>
      <c r="H38" s="1467">
        <f>-SUMIF(BdV!$C:$C,CE!D38,BdV!$H:$H)/1000</f>
        <v>0</v>
      </c>
      <c r="I38" s="74">
        <f>-SUMIF(BdV!$C:$C,CE!B38,BdV!$I:$I)/1000</f>
        <v>0</v>
      </c>
      <c r="J38" s="74">
        <f>-SUMIF(BdV!$C:$C,CE!C38,BdV!$I:$I)/1000</f>
        <v>0</v>
      </c>
      <c r="K38" s="1238">
        <f>-SUMIF(BdV!$C:$C,CE!D38,BdV!$I:$I)/1000</f>
        <v>0</v>
      </c>
      <c r="L38" s="74">
        <f>-SUMIF(BdV!$C:$C,CE!B38,BdV!$K:$K)/1000</f>
        <v>0</v>
      </c>
      <c r="M38" s="74">
        <f>-SUMIF(BdV!$C:$C,CE!B38,BdV!$L:$L)/1000</f>
        <v>0</v>
      </c>
      <c r="N38" s="74">
        <f>-SUMIF(BdV!$C:$C,CE!B38,BdV!$M:$M)/1000</f>
        <v>0</v>
      </c>
      <c r="O38" s="74">
        <f>-SUMIF(BdV!$C:$C,CE!B38,BdV!$N:$N)/1000</f>
        <v>0</v>
      </c>
      <c r="P38" s="74">
        <f>-SUMIF(BdV!$C:$C,CE!B38,BdV!$O:$O)/1000</f>
        <v>0</v>
      </c>
      <c r="Q38" s="74"/>
      <c r="R38" s="60" t="str">
        <f t="shared" si="74"/>
        <v>n/a</v>
      </c>
      <c r="S38" s="60" t="str">
        <f t="shared" si="7"/>
        <v>n/a</v>
      </c>
      <c r="T38" s="60" t="e">
        <f t="shared" si="75"/>
        <v>#DIV/0!</v>
      </c>
      <c r="V38" s="58" t="str">
        <f t="shared" si="76"/>
        <v>Oneri e proventi straordinari</v>
      </c>
      <c r="W38" s="61">
        <f>-C38/C$11</f>
        <v>0</v>
      </c>
      <c r="X38" s="61">
        <f>-D38/D$11</f>
        <v>0</v>
      </c>
      <c r="Y38" s="61">
        <f>-E38/E$11</f>
        <v>0</v>
      </c>
      <c r="Z38" s="61">
        <f>-F38/F$11</f>
        <v>0</v>
      </c>
      <c r="AA38" s="61">
        <f>-I38/I$11</f>
        <v>0</v>
      </c>
      <c r="AB38" s="61">
        <f t="shared" ref="AB38:AF38" si="82">-L38/L$11</f>
        <v>0</v>
      </c>
      <c r="AC38" s="61">
        <f t="shared" si="82"/>
        <v>0</v>
      </c>
      <c r="AD38" s="61">
        <f t="shared" si="82"/>
        <v>0</v>
      </c>
      <c r="AE38" s="61">
        <f t="shared" si="82"/>
        <v>0</v>
      </c>
      <c r="AF38" s="61">
        <f t="shared" si="82"/>
        <v>0</v>
      </c>
      <c r="AH38" s="58" t="str">
        <f t="shared" si="78"/>
        <v>Oneri e proventi straordinari</v>
      </c>
      <c r="AI38" s="61">
        <f t="shared" si="79"/>
        <v>0</v>
      </c>
      <c r="AJ38" s="61">
        <f t="shared" si="79"/>
        <v>0</v>
      </c>
      <c r="AK38" s="61">
        <f t="shared" si="79"/>
        <v>0</v>
      </c>
      <c r="AL38" s="61">
        <f>+IFERROR(I38/F38-1,0)</f>
        <v>0</v>
      </c>
      <c r="AM38" s="61">
        <f>+IFERROR(L38/I38-1,0)</f>
        <v>0</v>
      </c>
      <c r="AN38" s="61">
        <f t="shared" si="80"/>
        <v>0</v>
      </c>
      <c r="AO38" s="61">
        <f t="shared" si="80"/>
        <v>0</v>
      </c>
      <c r="AP38" s="61">
        <f t="shared" si="80"/>
        <v>0</v>
      </c>
      <c r="AQ38" s="61">
        <f t="shared" si="80"/>
        <v>0</v>
      </c>
    </row>
    <row r="39" spans="1:43" ht="3.4" customHeight="1">
      <c r="B39" s="91"/>
      <c r="C39" s="102"/>
      <c r="D39" s="102"/>
      <c r="E39" s="102"/>
      <c r="F39" s="102"/>
      <c r="G39" s="102"/>
      <c r="H39" s="102"/>
      <c r="I39" s="102"/>
      <c r="J39" s="102"/>
      <c r="K39" s="1248"/>
      <c r="L39" s="102"/>
      <c r="M39" s="102"/>
      <c r="N39" s="102"/>
      <c r="O39" s="102"/>
      <c r="P39" s="102"/>
      <c r="V39" s="91"/>
      <c r="AH39" s="91"/>
    </row>
    <row r="40" spans="1:43">
      <c r="B40" s="93" t="s">
        <v>380</v>
      </c>
      <c r="C40" s="85">
        <f t="shared" ref="C40:I40" si="83">+C33+SUM(C36:C38)</f>
        <v>1146.4418600000004</v>
      </c>
      <c r="D40" s="85">
        <f t="shared" si="83"/>
        <v>1230.0488199999995</v>
      </c>
      <c r="E40" s="85">
        <f t="shared" si="83"/>
        <v>1349.9965899999995</v>
      </c>
      <c r="F40" s="85">
        <f t="shared" si="83"/>
        <v>2362.3878099999979</v>
      </c>
      <c r="G40" s="85">
        <f t="shared" ref="G40:H40" si="84">+G33+SUM(G36:G38)</f>
        <v>-583.18229999999983</v>
      </c>
      <c r="H40" s="1472">
        <f t="shared" si="84"/>
        <v>1779.2249099999983</v>
      </c>
      <c r="I40" s="85">
        <f t="shared" si="83"/>
        <v>5317.1221799999948</v>
      </c>
      <c r="J40" s="85">
        <f t="shared" ref="J40:K40" si="85">+J33+SUM(J36:J38)</f>
        <v>2501.907580000006</v>
      </c>
      <c r="K40" s="1241">
        <f t="shared" si="85"/>
        <v>5403.8151600000119</v>
      </c>
      <c r="L40" s="85">
        <f>+L33+SUM(L36:L38)</f>
        <v>7725.335024870853</v>
      </c>
      <c r="M40" s="85">
        <f>+M33+SUM(M36:M38)</f>
        <v>8076.5420676058902</v>
      </c>
      <c r="N40" s="85">
        <f t="shared" ref="N40:P40" si="86">+N33+SUM(N36:N38)</f>
        <v>8468.9762916715245</v>
      </c>
      <c r="O40" s="85">
        <f t="shared" si="86"/>
        <v>9067.2994130631578</v>
      </c>
      <c r="P40" s="85">
        <f t="shared" si="86"/>
        <v>9714.1494964750764</v>
      </c>
      <c r="Q40" s="72"/>
      <c r="R40" s="86">
        <f>IF(P40*L40&lt;=0,"n/a",IF(L40&gt;P40,-ABS((P40/L40)^(1/(5))-1),ABS((P40/L40)^(1/(5))-1)))</f>
        <v>4.68814200194827E-2</v>
      </c>
      <c r="S40" s="86">
        <f t="shared" si="7"/>
        <v>4.7024386995045964E-2</v>
      </c>
      <c r="T40" s="86">
        <f>+I40/F40-1</f>
        <v>1.2507406097731257</v>
      </c>
      <c r="V40" s="93" t="s">
        <v>380</v>
      </c>
      <c r="W40" s="87">
        <f>+C40/C$11</f>
        <v>4.381545031673352E-2</v>
      </c>
      <c r="X40" s="87">
        <f>+D40/D$11</f>
        <v>4.6335552838767557E-2</v>
      </c>
      <c r="Y40" s="87">
        <f>+E40/E$11</f>
        <v>4.8826620097179953E-2</v>
      </c>
      <c r="Z40" s="87">
        <f>+F40/F$11</f>
        <v>7.2624389524474947E-2</v>
      </c>
      <c r="AA40" s="87">
        <f>+I40/I$11</f>
        <v>9.9806963933110088E-2</v>
      </c>
      <c r="AB40" s="87">
        <f t="shared" ref="AB40:AF40" si="87">+L40/L$11</f>
        <v>0.11278329991318328</v>
      </c>
      <c r="AC40" s="87">
        <f t="shared" si="87"/>
        <v>0.11321407463126472</v>
      </c>
      <c r="AD40" s="87">
        <f t="shared" si="87"/>
        <v>0.11456694598379502</v>
      </c>
      <c r="AE40" s="87">
        <f t="shared" si="87"/>
        <v>0.1174410651071273</v>
      </c>
      <c r="AF40" s="87">
        <f t="shared" si="87"/>
        <v>0.12048739074148318</v>
      </c>
      <c r="AH40" s="93" t="s">
        <v>380</v>
      </c>
      <c r="AI40" s="87">
        <f>+D40/C40-1</f>
        <v>7.2927344087033941E-2</v>
      </c>
      <c r="AJ40" s="87">
        <f>+E40/D40-1</f>
        <v>9.7514641735927166E-2</v>
      </c>
      <c r="AK40" s="87">
        <f>+F40/E40-1</f>
        <v>0.74992131646791704</v>
      </c>
      <c r="AL40" s="87">
        <f>+I40/F40-1</f>
        <v>1.2507406097731257</v>
      </c>
      <c r="AM40" s="87">
        <f>+L40/I40-1</f>
        <v>0.45291658971636806</v>
      </c>
      <c r="AN40" s="87">
        <f t="shared" ref="AN40:AQ40" si="88">+M40/L40-1</f>
        <v>4.5461723226807083E-2</v>
      </c>
      <c r="AO40" s="87">
        <f t="shared" si="88"/>
        <v>4.8589386494951148E-2</v>
      </c>
      <c r="AP40" s="87">
        <f t="shared" si="88"/>
        <v>7.0648812888994605E-2</v>
      </c>
      <c r="AQ40" s="87">
        <f t="shared" si="88"/>
        <v>7.133878059436416E-2</v>
      </c>
    </row>
    <row r="41" spans="1:43">
      <c r="B41" s="91" t="s">
        <v>381</v>
      </c>
      <c r="C41" s="74">
        <f>-SUMIF(BdV!$C:$C,B41,BdV!$E:$E)/1000</f>
        <v>-134.05699999999999</v>
      </c>
      <c r="D41" s="74">
        <f>-SUMIF(BdV!$C:$C,B41,BdV!$F:$F)/1000</f>
        <v>-129.78514999999999</v>
      </c>
      <c r="E41" s="74">
        <f>-SUMIF(BdV!$C:$C,B41,BdV!$G:$G)/1000</f>
        <v>-184.721</v>
      </c>
      <c r="F41" s="74">
        <f>-SUMIF(BdV!$C:$C,CE!B41,BdV!$H:$H)/1000</f>
        <v>-570.58000000000004</v>
      </c>
      <c r="G41" s="923">
        <f>-503.62-F41</f>
        <v>66.960000000000036</v>
      </c>
      <c r="H41" s="1467">
        <f>+F41+G41</f>
        <v>-503.62</v>
      </c>
      <c r="I41" s="74">
        <f>-SUMIF(BdV!$C:$C,CE!B41,BdV!$I:$I)/1000</f>
        <v>-1678.249</v>
      </c>
      <c r="J41" s="74">
        <f>-SUMIF(BdV!$C:$C,CE!B41,BdV!$J:$J)/1000</f>
        <v>-570.85536000000002</v>
      </c>
      <c r="K41" s="1238">
        <f>+J41*$K$2</f>
        <v>-1141.71072</v>
      </c>
      <c r="L41" s="74">
        <f>+L105</f>
        <v>-2155.3684719389676</v>
      </c>
      <c r="M41" s="74">
        <f>+M105</f>
        <v>-2253.3552368620431</v>
      </c>
      <c r="N41" s="74">
        <f t="shared" ref="N41:P41" si="89">+N105</f>
        <v>-2362.8443853763551</v>
      </c>
      <c r="O41" s="74">
        <f t="shared" si="89"/>
        <v>-2529.7765362446207</v>
      </c>
      <c r="P41" s="74">
        <f t="shared" si="89"/>
        <v>-2710.2477095165459</v>
      </c>
      <c r="Q41" s="74"/>
      <c r="R41" s="60">
        <f>IF(P41*L41&lt;=0,"n/a",IF(L41&gt;P41,-ABS((P41/L41)^(1/(5))-1),ABS((P41/L41)^(1/(5))-1)))</f>
        <v>-4.68814200194827E-2</v>
      </c>
      <c r="S41" s="60">
        <f t="shared" si="7"/>
        <v>-4.7024386995046186E-2</v>
      </c>
      <c r="T41" s="60">
        <f>+I41/F41-1</f>
        <v>1.9413035858249499</v>
      </c>
      <c r="V41" s="58" t="str">
        <f>+B41</f>
        <v>Taxes</v>
      </c>
      <c r="W41" s="61">
        <f>-C41/C$11</f>
        <v>5.1234764082239139E-3</v>
      </c>
      <c r="X41" s="61">
        <f>-D41/D$11</f>
        <v>4.8889658505687399E-3</v>
      </c>
      <c r="Y41" s="61">
        <f>-E41/E$11</f>
        <v>6.6809813874946023E-3</v>
      </c>
      <c r="Z41" s="61">
        <f>-F41/F$11</f>
        <v>1.7540737384212524E-2</v>
      </c>
      <c r="AA41" s="61">
        <f>-I41/I$11</f>
        <v>3.150217951429099E-2</v>
      </c>
      <c r="AB41" s="61">
        <f t="shared" ref="AB41:AF41" si="90">-L41/L$11</f>
        <v>3.1466540675778129E-2</v>
      </c>
      <c r="AC41" s="61">
        <f t="shared" si="90"/>
        <v>3.1586726822122851E-2</v>
      </c>
      <c r="AD41" s="61">
        <f t="shared" si="90"/>
        <v>3.196417792947881E-2</v>
      </c>
      <c r="AE41" s="61">
        <f t="shared" si="90"/>
        <v>3.2766057164888514E-2</v>
      </c>
      <c r="AF41" s="61">
        <f t="shared" si="90"/>
        <v>3.3615982016873804E-2</v>
      </c>
      <c r="AH41" s="58" t="str">
        <f>+V41</f>
        <v>Taxes</v>
      </c>
      <c r="AI41" s="61">
        <f>+IFERROR(D41/C41-1,0)</f>
        <v>-3.1865922704521266E-2</v>
      </c>
      <c r="AJ41" s="61">
        <f>+IFERROR(E41/D41-1,0)</f>
        <v>0.42328301812649616</v>
      </c>
      <c r="AK41" s="61">
        <f>+IFERROR(F41/E41-1,0)</f>
        <v>2.0888745730046936</v>
      </c>
      <c r="AL41" s="61">
        <f>+IFERROR(I41/F41-1,0)</f>
        <v>1.9413035858249499</v>
      </c>
      <c r="AM41" s="61">
        <f>+IFERROR(L41/I41-1,0)</f>
        <v>0.28429599656485283</v>
      </c>
      <c r="AN41" s="61">
        <f t="shared" ref="AN41:AQ41" si="91">+IFERROR(M41/L41-1,0)</f>
        <v>4.5461723226807083E-2</v>
      </c>
      <c r="AO41" s="61">
        <f t="shared" si="91"/>
        <v>4.8589386494951148E-2</v>
      </c>
      <c r="AP41" s="61">
        <f t="shared" si="91"/>
        <v>7.0648812888994605E-2</v>
      </c>
      <c r="AQ41" s="61">
        <f t="shared" si="91"/>
        <v>7.1338780594363937E-2</v>
      </c>
    </row>
    <row r="42" spans="1:43" ht="11.25" customHeight="1" thickBot="1">
      <c r="B42" s="103" t="s">
        <v>3470</v>
      </c>
      <c r="C42" s="104">
        <f t="shared" ref="C42:P42" si="92">+SUM(C40:C41)</f>
        <v>1012.3848600000003</v>
      </c>
      <c r="D42" s="104">
        <f t="shared" si="92"/>
        <v>1100.2636699999996</v>
      </c>
      <c r="E42" s="104">
        <f t="shared" si="92"/>
        <v>1165.2755899999995</v>
      </c>
      <c r="F42" s="104">
        <f t="shared" si="92"/>
        <v>1791.807809999998</v>
      </c>
      <c r="G42" s="104">
        <f t="shared" ref="G42:H42" si="93">+SUM(G40:G41)</f>
        <v>-516.22229999999979</v>
      </c>
      <c r="H42" s="104">
        <f t="shared" si="93"/>
        <v>1275.6049099999982</v>
      </c>
      <c r="I42" s="104">
        <f t="shared" si="92"/>
        <v>3638.873179999995</v>
      </c>
      <c r="J42" s="104">
        <f t="shared" ref="J42:K42" si="94">+SUM(J40:J41)</f>
        <v>1931.0522200000059</v>
      </c>
      <c r="K42" s="1249">
        <f t="shared" si="94"/>
        <v>4262.1044400000119</v>
      </c>
      <c r="L42" s="104">
        <f t="shared" si="92"/>
        <v>5569.9665529318854</v>
      </c>
      <c r="M42" s="104">
        <f t="shared" si="92"/>
        <v>5823.1868307438472</v>
      </c>
      <c r="N42" s="104">
        <f t="shared" si="92"/>
        <v>6106.1319062951698</v>
      </c>
      <c r="O42" s="104">
        <f t="shared" si="92"/>
        <v>6537.522876818537</v>
      </c>
      <c r="P42" s="104">
        <f t="shared" si="92"/>
        <v>7003.9017869585305</v>
      </c>
      <c r="Q42" s="105"/>
      <c r="R42" s="639">
        <f>IF(P42*L42&lt;=0,"n/a",IF(L42&gt;P42,-ABS((P42/L42)^(1/(5))-1),ABS((P42/L42)^(1/(5))-1)))</f>
        <v>4.68814200194827E-2</v>
      </c>
      <c r="S42" s="639">
        <f t="shared" si="7"/>
        <v>4.7024386995046186E-2</v>
      </c>
      <c r="T42" s="639">
        <f>+I42/F42-1</f>
        <v>1.0308389994125537</v>
      </c>
      <c r="U42" s="60">
        <f>IF(I42*C42&lt;=0,"n/a",IF(C42&gt;I42,-ABS((I42/C42)^(1/(4))-1),ABS((I42/C42)^(1/(4))-1)))</f>
        <v>0.37690925655213126</v>
      </c>
      <c r="V42" s="103" t="s">
        <v>382</v>
      </c>
      <c r="W42" s="106">
        <f>+C42/C$11</f>
        <v>3.8691973908509605E-2</v>
      </c>
      <c r="X42" s="106">
        <f>+D42/D$11</f>
        <v>4.1446586988198822E-2</v>
      </c>
      <c r="Y42" s="106">
        <f>+E42/E$11</f>
        <v>4.2145638709685351E-2</v>
      </c>
      <c r="Z42" s="106">
        <f>+F42/F$11</f>
        <v>5.5083652140262424E-2</v>
      </c>
      <c r="AA42" s="106">
        <f>+I42/I$11</f>
        <v>6.8304784418819098E-2</v>
      </c>
      <c r="AB42" s="106">
        <f t="shared" ref="AB42:AF42" si="95">+L42/L$11</f>
        <v>8.1316759237405153E-2</v>
      </c>
      <c r="AC42" s="106">
        <f t="shared" si="95"/>
        <v>8.1627347809141867E-2</v>
      </c>
      <c r="AD42" s="106">
        <f t="shared" si="95"/>
        <v>8.2602768054316211E-2</v>
      </c>
      <c r="AE42" s="106">
        <f t="shared" si="95"/>
        <v>8.4675007942238797E-2</v>
      </c>
      <c r="AF42" s="106">
        <f t="shared" si="95"/>
        <v>8.6871408724609384E-2</v>
      </c>
      <c r="AH42" s="103" t="s">
        <v>382</v>
      </c>
      <c r="AI42" s="106">
        <f>+D42/C42-1</f>
        <v>8.6803757614470012E-2</v>
      </c>
      <c r="AJ42" s="106">
        <f>+E42/D42-1</f>
        <v>5.9087582161101437E-2</v>
      </c>
      <c r="AK42" s="106">
        <f>+F42/E42-1</f>
        <v>0.53766870719397697</v>
      </c>
      <c r="AL42" s="106">
        <f>+I42/F42-1</f>
        <v>1.0308389994125537</v>
      </c>
      <c r="AM42" s="106">
        <f>+L42/I42-1</f>
        <v>0.53068443922299413</v>
      </c>
      <c r="AN42" s="106">
        <f t="shared" ref="AN42:AQ42" si="96">+M42/L42-1</f>
        <v>4.5461723226807083E-2</v>
      </c>
      <c r="AO42" s="106">
        <f t="shared" si="96"/>
        <v>4.8589386494951148E-2</v>
      </c>
      <c r="AP42" s="106">
        <f t="shared" si="96"/>
        <v>7.0648812888994605E-2</v>
      </c>
      <c r="AQ42" s="106">
        <f t="shared" si="96"/>
        <v>7.133878059436416E-2</v>
      </c>
    </row>
    <row r="43" spans="1:43">
      <c r="B43" s="47" t="s">
        <v>383</v>
      </c>
      <c r="C43" s="107"/>
      <c r="D43" s="107"/>
      <c r="E43" s="107"/>
      <c r="F43" s="107">
        <f>+F42-BdV!H749/1000</f>
        <v>-3.8800000002083834E-2</v>
      </c>
      <c r="G43" s="915"/>
      <c r="H43" s="915"/>
      <c r="I43" s="107">
        <f>+I42-BdV!I749/1000</f>
        <v>0.11848000000327374</v>
      </c>
      <c r="J43" s="107">
        <f>+J42-BdV!J749/1000</f>
        <v>-3.5709999998971398E-2</v>
      </c>
      <c r="K43" s="107"/>
      <c r="L43" s="107"/>
      <c r="M43" s="107"/>
      <c r="N43" s="107"/>
      <c r="O43" s="107"/>
      <c r="P43" s="107"/>
      <c r="Q43" s="107"/>
      <c r="R43" s="107"/>
      <c r="S43" s="107"/>
      <c r="T43" s="107"/>
    </row>
    <row r="44" spans="1:43">
      <c r="C44" s="815"/>
      <c r="D44" s="815"/>
      <c r="E44" s="815"/>
      <c r="F44" s="815"/>
      <c r="G44" s="916"/>
      <c r="H44" s="916"/>
      <c r="I44" s="815"/>
      <c r="J44" s="815"/>
      <c r="K44" s="815"/>
      <c r="L44" s="108"/>
      <c r="M44" s="108"/>
      <c r="N44" s="108"/>
      <c r="O44" s="108"/>
      <c r="P44" s="108"/>
    </row>
    <row r="45" spans="1:43">
      <c r="L45" s="112"/>
      <c r="M45" s="112"/>
      <c r="N45" s="112"/>
      <c r="O45" s="112"/>
      <c r="P45" s="112"/>
    </row>
    <row r="46" spans="1:43">
      <c r="A46" s="110"/>
      <c r="F46" s="112"/>
      <c r="G46" s="917"/>
      <c r="H46" s="917"/>
      <c r="I46" s="112"/>
      <c r="J46" s="112"/>
      <c r="K46" s="112"/>
    </row>
    <row r="47" spans="1:43" s="109" customFormat="1">
      <c r="G47" s="918"/>
      <c r="H47" s="918"/>
    </row>
    <row r="48" spans="1:43">
      <c r="B48" s="110" t="s">
        <v>384</v>
      </c>
      <c r="C48" s="107"/>
      <c r="D48" s="107"/>
      <c r="E48" s="107"/>
      <c r="F48" s="107"/>
      <c r="G48" s="915"/>
      <c r="H48" s="915"/>
      <c r="I48" s="107"/>
      <c r="J48" s="107"/>
      <c r="K48" s="107"/>
      <c r="L48" s="107"/>
      <c r="M48" s="107"/>
      <c r="N48" s="107"/>
      <c r="O48" s="107"/>
      <c r="P48" s="107"/>
    </row>
    <row r="50" spans="2:20">
      <c r="B50" s="48"/>
      <c r="C50" s="49">
        <f>+C4</f>
        <v>2018</v>
      </c>
      <c r="D50" s="49">
        <f>+D4</f>
        <v>2019</v>
      </c>
      <c r="E50" s="49">
        <f>+E4</f>
        <v>2020</v>
      </c>
      <c r="F50" s="49">
        <f>+F4</f>
        <v>2021</v>
      </c>
      <c r="G50" s="919"/>
      <c r="H50" s="49" t="s">
        <v>3880</v>
      </c>
      <c r="I50" s="49">
        <f>+I4</f>
        <v>2022</v>
      </c>
      <c r="J50" s="49"/>
      <c r="K50" s="49"/>
      <c r="L50" s="49">
        <f>+L4</f>
        <v>2023</v>
      </c>
      <c r="M50" s="49">
        <f>+M4</f>
        <v>2024</v>
      </c>
      <c r="N50" s="49">
        <f>+N4</f>
        <v>2025</v>
      </c>
      <c r="O50" s="49">
        <f>+O4</f>
        <v>2026</v>
      </c>
      <c r="P50" s="49">
        <f>+P4</f>
        <v>2027</v>
      </c>
      <c r="Q50" s="50"/>
      <c r="R50" s="50"/>
      <c r="S50" s="50"/>
      <c r="T50" s="50"/>
    </row>
    <row r="51" spans="2:20">
      <c r="B51" s="8" t="s">
        <v>361</v>
      </c>
      <c r="C51" s="107">
        <f>+C11</f>
        <v>26165.241980000003</v>
      </c>
      <c r="D51" s="107">
        <f>+D11</f>
        <v>26546.544599999997</v>
      </c>
      <c r="E51" s="107">
        <f>+E11</f>
        <v>27648.782309999999</v>
      </c>
      <c r="F51" s="107">
        <f>+F11</f>
        <v>32528.849129999999</v>
      </c>
      <c r="G51" s="915"/>
      <c r="H51" s="915"/>
      <c r="I51" s="107">
        <f>+I11</f>
        <v>53274.059950000003</v>
      </c>
      <c r="J51" s="107"/>
      <c r="K51" s="107"/>
      <c r="L51" s="107">
        <f>+L11</f>
        <v>68497.153663862919</v>
      </c>
      <c r="M51" s="107">
        <f>+M11</f>
        <v>71338.674929870482</v>
      </c>
      <c r="N51" s="107">
        <f>+N11</f>
        <v>73921.637859399896</v>
      </c>
      <c r="O51" s="107">
        <f>+O11</f>
        <v>77207.23074839414</v>
      </c>
      <c r="P51" s="107">
        <f>+P11</f>
        <v>80623.785084014977</v>
      </c>
      <c r="Q51" s="107"/>
      <c r="R51" s="107"/>
      <c r="S51" s="107"/>
      <c r="T51" s="107"/>
    </row>
    <row r="52" spans="2:20">
      <c r="B52" s="8" t="s">
        <v>385</v>
      </c>
      <c r="C52" s="111"/>
      <c r="D52" s="564">
        <f t="shared" ref="D52:E52" si="97">+IFERROR(D51/C51-1,0)</f>
        <v>1.4572868093154057E-2</v>
      </c>
      <c r="E52" s="564">
        <f t="shared" si="97"/>
        <v>4.1520948455189943E-2</v>
      </c>
      <c r="F52" s="564">
        <f>+IFERROR(F51/E51-1,0)</f>
        <v>0.17650205225258619</v>
      </c>
      <c r="G52" s="920"/>
      <c r="H52" s="920"/>
      <c r="I52" s="564">
        <f>+IFERROR(I51/F51-1,0)</f>
        <v>0.63774807209110773</v>
      </c>
      <c r="J52" s="564"/>
      <c r="K52" s="564"/>
      <c r="L52" s="564">
        <f>+IFERROR(L51/I51-1,0)</f>
        <v>0.28575058345751092</v>
      </c>
      <c r="M52" s="564">
        <f t="shared" ref="M52:P52" si="98">+IFERROR(M51/L51-1,0)</f>
        <v>4.1483786026377034E-2</v>
      </c>
      <c r="N52" s="564">
        <f t="shared" si="98"/>
        <v>3.620704943102182E-2</v>
      </c>
      <c r="O52" s="564">
        <f t="shared" si="98"/>
        <v>4.4446970929452156E-2</v>
      </c>
      <c r="P52" s="564">
        <f t="shared" si="98"/>
        <v>4.4251740445850674E-2</v>
      </c>
      <c r="Q52" s="111"/>
      <c r="R52" s="111"/>
      <c r="S52" s="111"/>
      <c r="T52" s="111"/>
    </row>
    <row r="54" spans="2:20">
      <c r="B54" s="109"/>
      <c r="C54" s="109"/>
      <c r="D54" s="109"/>
      <c r="E54" s="109"/>
      <c r="F54" s="109"/>
      <c r="G54" s="918"/>
      <c r="H54" s="918"/>
      <c r="I54" s="109"/>
      <c r="J54" s="109"/>
      <c r="K54" s="109"/>
      <c r="L54" s="109"/>
      <c r="M54" s="109"/>
      <c r="N54" s="109"/>
      <c r="O54" s="109"/>
      <c r="P54" s="109"/>
    </row>
    <row r="56" spans="2:20">
      <c r="B56" s="110" t="s">
        <v>386</v>
      </c>
    </row>
    <row r="58" spans="2:20">
      <c r="B58" s="48"/>
      <c r="C58" s="49">
        <f>+C50</f>
        <v>2018</v>
      </c>
      <c r="D58" s="49">
        <f t="shared" ref="D58:I58" si="99">+D50</f>
        <v>2019</v>
      </c>
      <c r="E58" s="49">
        <f t="shared" si="99"/>
        <v>2020</v>
      </c>
      <c r="F58" s="49">
        <f t="shared" si="99"/>
        <v>2021</v>
      </c>
      <c r="G58" s="49">
        <f t="shared" ref="G58:H58" si="100">+G50</f>
        <v>0</v>
      </c>
      <c r="H58" s="49" t="str">
        <f t="shared" si="100"/>
        <v>2021 Adj</v>
      </c>
      <c r="I58" s="49">
        <f t="shared" si="99"/>
        <v>2022</v>
      </c>
      <c r="J58" s="49"/>
      <c r="K58" s="49"/>
      <c r="L58" s="49">
        <f t="shared" ref="L58:P59" si="101">+L50</f>
        <v>2023</v>
      </c>
      <c r="M58" s="49">
        <f t="shared" si="101"/>
        <v>2024</v>
      </c>
      <c r="N58" s="49">
        <f t="shared" si="101"/>
        <v>2025</v>
      </c>
      <c r="O58" s="49">
        <f t="shared" si="101"/>
        <v>2026</v>
      </c>
      <c r="P58" s="49">
        <f t="shared" si="101"/>
        <v>2027</v>
      </c>
      <c r="Q58" s="50"/>
      <c r="R58" s="50"/>
      <c r="S58" s="50"/>
      <c r="T58" s="50"/>
    </row>
    <row r="59" spans="2:20">
      <c r="B59" s="8" t="s">
        <v>361</v>
      </c>
      <c r="C59" s="107">
        <f t="shared" ref="C59:I59" si="102">+C51</f>
        <v>26165.241980000003</v>
      </c>
      <c r="D59" s="107">
        <f t="shared" si="102"/>
        <v>26546.544599999997</v>
      </c>
      <c r="E59" s="107">
        <f t="shared" si="102"/>
        <v>27648.782309999999</v>
      </c>
      <c r="F59" s="107">
        <f t="shared" si="102"/>
        <v>32528.849129999999</v>
      </c>
      <c r="G59" s="107">
        <f t="shared" ref="G59:H59" si="103">+G51</f>
        <v>0</v>
      </c>
      <c r="H59" s="107">
        <f t="shared" si="103"/>
        <v>0</v>
      </c>
      <c r="I59" s="107">
        <f t="shared" si="102"/>
        <v>53274.059950000003</v>
      </c>
      <c r="J59" s="107"/>
      <c r="K59" s="107"/>
      <c r="L59" s="107">
        <f t="shared" si="101"/>
        <v>68497.153663862919</v>
      </c>
      <c r="M59" s="107">
        <f t="shared" si="101"/>
        <v>71338.674929870482</v>
      </c>
      <c r="N59" s="107">
        <f t="shared" si="101"/>
        <v>73921.637859399896</v>
      </c>
      <c r="O59" s="107">
        <f t="shared" si="101"/>
        <v>77207.23074839414</v>
      </c>
      <c r="P59" s="107">
        <f t="shared" si="101"/>
        <v>80623.785084014977</v>
      </c>
      <c r="Q59" s="107"/>
      <c r="R59" s="107"/>
      <c r="S59" s="107"/>
      <c r="T59" s="107"/>
    </row>
    <row r="60" spans="2:20">
      <c r="B60" s="8" t="s">
        <v>387</v>
      </c>
      <c r="C60" s="112">
        <f t="shared" ref="C60:I60" si="104">-C15</f>
        <v>9832.0773400000016</v>
      </c>
      <c r="D60" s="112">
        <f t="shared" si="104"/>
        <v>9424.32575</v>
      </c>
      <c r="E60" s="112">
        <f t="shared" si="104"/>
        <v>10432.138379999999</v>
      </c>
      <c r="F60" s="112">
        <f t="shared" si="104"/>
        <v>11089.978790000001</v>
      </c>
      <c r="G60" s="112">
        <f t="shared" si="104"/>
        <v>0</v>
      </c>
      <c r="H60" s="112">
        <f t="shared" si="104"/>
        <v>11089.978790000001</v>
      </c>
      <c r="I60" s="112">
        <f t="shared" si="104"/>
        <v>21581.960480000002</v>
      </c>
      <c r="J60" s="112"/>
      <c r="K60" s="112"/>
      <c r="L60" s="112">
        <f>-L15</f>
        <v>27216.786349791804</v>
      </c>
      <c r="M60" s="112">
        <f>-M15</f>
        <v>28131.882666927486</v>
      </c>
      <c r="N60" s="112">
        <f>-N15</f>
        <v>29256.050732560245</v>
      </c>
      <c r="O60" s="112">
        <f>-O15</f>
        <v>30526.045708914338</v>
      </c>
      <c r="P60" s="112">
        <f>-P15</f>
        <v>31876.636128961145</v>
      </c>
      <c r="Q60" s="112"/>
      <c r="R60" s="112"/>
      <c r="S60" s="112"/>
      <c r="T60" s="112"/>
    </row>
    <row r="61" spans="2:20">
      <c r="B61" s="47" t="s">
        <v>388</v>
      </c>
      <c r="C61" s="113">
        <f t="shared" ref="C61:P61" si="105">IFERROR(+C60/C59,"-")</f>
        <v>0.37576863793254323</v>
      </c>
      <c r="D61" s="113">
        <f t="shared" si="105"/>
        <v>0.35501139195343717</v>
      </c>
      <c r="E61" s="113">
        <f t="shared" si="105"/>
        <v>0.37730914378196351</v>
      </c>
      <c r="F61" s="113">
        <f t="shared" si="105"/>
        <v>0.34092748703403025</v>
      </c>
      <c r="G61" s="113" t="str">
        <f t="shared" ref="G61:H61" si="106">IFERROR(+G60/G59,"-")</f>
        <v>-</v>
      </c>
      <c r="H61" s="113" t="str">
        <f t="shared" si="106"/>
        <v>-</v>
      </c>
      <c r="I61" s="113">
        <f t="shared" si="105"/>
        <v>0.40511199071847726</v>
      </c>
      <c r="J61" s="113"/>
      <c r="K61" s="113"/>
      <c r="L61" s="113">
        <f t="shared" si="105"/>
        <v>0.39734185866106403</v>
      </c>
      <c r="M61" s="113">
        <f t="shared" si="105"/>
        <v>0.39434265767597376</v>
      </c>
      <c r="N61" s="113">
        <f t="shared" si="105"/>
        <v>0.3957711379204788</v>
      </c>
      <c r="O61" s="113">
        <f t="shared" si="105"/>
        <v>0.39537806774075057</v>
      </c>
      <c r="P61" s="113">
        <f t="shared" si="105"/>
        <v>0.39537508808031918</v>
      </c>
      <c r="Q61" s="114"/>
      <c r="R61" s="114"/>
      <c r="S61" s="114"/>
      <c r="T61" s="114"/>
    </row>
    <row r="62" spans="2:20">
      <c r="G62" s="8"/>
      <c r="H62" s="8"/>
      <c r="M62" s="92">
        <f>+IFERROR(M61/L61-1,"-")</f>
        <v>-7.5481626707962768E-3</v>
      </c>
      <c r="N62" s="92">
        <f t="shared" ref="N62:P62" si="107">+IFERROR(N61/M61-1,"-")</f>
        <v>3.6224339839967534E-3</v>
      </c>
      <c r="O62" s="92">
        <f t="shared" si="107"/>
        <v>-9.9317545436372612E-4</v>
      </c>
      <c r="P62" s="92">
        <f t="shared" si="107"/>
        <v>-7.5362309508442138E-6</v>
      </c>
    </row>
    <row r="63" spans="2:20">
      <c r="G63" s="8"/>
      <c r="H63" s="8"/>
    </row>
    <row r="64" spans="2:20">
      <c r="G64" s="8"/>
      <c r="H64" s="8"/>
    </row>
    <row r="65" spans="2:20">
      <c r="B65" s="110" t="s">
        <v>387</v>
      </c>
      <c r="G65" s="8"/>
      <c r="H65" s="8"/>
    </row>
    <row r="66" spans="2:20">
      <c r="G66" s="8"/>
      <c r="H66" s="8"/>
    </row>
    <row r="67" spans="2:20">
      <c r="B67" s="48"/>
      <c r="C67" s="49">
        <f>+C$58</f>
        <v>2018</v>
      </c>
      <c r="D67" s="49">
        <f t="shared" ref="D67:I67" si="108">+D$58</f>
        <v>2019</v>
      </c>
      <c r="E67" s="49">
        <f t="shared" si="108"/>
        <v>2020</v>
      </c>
      <c r="F67" s="49">
        <f t="shared" si="108"/>
        <v>2021</v>
      </c>
      <c r="G67" s="49">
        <f t="shared" si="108"/>
        <v>0</v>
      </c>
      <c r="H67" s="49" t="str">
        <f t="shared" si="108"/>
        <v>2021 Adj</v>
      </c>
      <c r="I67" s="49">
        <f t="shared" si="108"/>
        <v>2022</v>
      </c>
      <c r="J67" s="49"/>
      <c r="K67" s="49"/>
      <c r="L67" s="49">
        <f t="shared" ref="L67:P67" si="109">+L58</f>
        <v>2023</v>
      </c>
      <c r="M67" s="49">
        <f t="shared" si="109"/>
        <v>2024</v>
      </c>
      <c r="N67" s="49">
        <f t="shared" si="109"/>
        <v>2025</v>
      </c>
      <c r="O67" s="49">
        <f t="shared" si="109"/>
        <v>2026</v>
      </c>
      <c r="P67" s="49">
        <f t="shared" si="109"/>
        <v>2027</v>
      </c>
      <c r="Q67" s="50"/>
      <c r="R67" s="50"/>
      <c r="S67" s="50"/>
      <c r="T67" s="50"/>
    </row>
    <row r="68" spans="2:20">
      <c r="B68" s="75" t="s">
        <v>2352</v>
      </c>
      <c r="C68" s="112">
        <f t="shared" ref="C68:P68" si="110">+-C13</f>
        <v>9850.1128500000013</v>
      </c>
      <c r="D68" s="112">
        <f t="shared" si="110"/>
        <v>9455.6252000000004</v>
      </c>
      <c r="E68" s="112">
        <f t="shared" si="110"/>
        <v>10419.766989999998</v>
      </c>
      <c r="F68" s="112">
        <f t="shared" si="110"/>
        <v>11069.803960000001</v>
      </c>
      <c r="G68" s="112">
        <f t="shared" ref="G68:H68" si="111">+-G13</f>
        <v>0</v>
      </c>
      <c r="H68" s="112">
        <f t="shared" si="111"/>
        <v>11069.803960000001</v>
      </c>
      <c r="I68" s="112">
        <f t="shared" si="110"/>
        <v>21800.479280000003</v>
      </c>
      <c r="J68" s="112"/>
      <c r="K68" s="112"/>
      <c r="L68" s="112">
        <f t="shared" si="110"/>
        <v>27196.371784924857</v>
      </c>
      <c r="M68" s="112">
        <f t="shared" si="110"/>
        <v>28139.063824969584</v>
      </c>
      <c r="N68" s="112">
        <f t="shared" si="110"/>
        <v>29267.492561474286</v>
      </c>
      <c r="O68" s="112">
        <f t="shared" si="110"/>
        <v>30538.937668250997</v>
      </c>
      <c r="P68" s="112">
        <f t="shared" si="110"/>
        <v>31890.338811438451</v>
      </c>
      <c r="Q68" s="112"/>
      <c r="R68" s="112"/>
      <c r="S68" s="112"/>
      <c r="T68" s="112"/>
    </row>
    <row r="69" spans="2:20">
      <c r="B69" s="75" t="s">
        <v>2353</v>
      </c>
      <c r="C69" s="112">
        <f t="shared" ref="C69:P69" si="112">+-C14</f>
        <v>-18.035510000000002</v>
      </c>
      <c r="D69" s="112">
        <f t="shared" si="112"/>
        <v>-31.299449999999997</v>
      </c>
      <c r="E69" s="112">
        <f t="shared" si="112"/>
        <v>12.37139</v>
      </c>
      <c r="F69" s="112">
        <f t="shared" si="112"/>
        <v>20.17483</v>
      </c>
      <c r="G69" s="112">
        <f t="shared" ref="G69:H69" si="113">+-G14</f>
        <v>0</v>
      </c>
      <c r="H69" s="112">
        <f t="shared" si="113"/>
        <v>20.17483</v>
      </c>
      <c r="I69" s="112">
        <f t="shared" si="112"/>
        <v>-218.51880000000003</v>
      </c>
      <c r="J69" s="112"/>
      <c r="K69" s="112"/>
      <c r="L69" s="112">
        <f t="shared" si="112"/>
        <v>20.414564866945906</v>
      </c>
      <c r="M69" s="112">
        <f t="shared" si="112"/>
        <v>-7.1811580420964161</v>
      </c>
      <c r="N69" s="112">
        <f t="shared" si="112"/>
        <v>-11.44182891404169</v>
      </c>
      <c r="O69" s="112">
        <f t="shared" si="112"/>
        <v>-12.89195933665766</v>
      </c>
      <c r="P69" s="112">
        <f t="shared" si="112"/>
        <v>-13.702682477305702</v>
      </c>
      <c r="Q69" s="112"/>
      <c r="R69" s="112"/>
      <c r="S69" s="112"/>
      <c r="T69" s="112"/>
    </row>
    <row r="70" spans="2:20">
      <c r="B70" s="77" t="s">
        <v>389</v>
      </c>
      <c r="C70" s="115">
        <f t="shared" ref="C70:I70" si="114">+SUM(C68:C69)</f>
        <v>9832.0773400000016</v>
      </c>
      <c r="D70" s="115">
        <f t="shared" si="114"/>
        <v>9424.32575</v>
      </c>
      <c r="E70" s="115">
        <f t="shared" si="114"/>
        <v>10432.138379999999</v>
      </c>
      <c r="F70" s="115">
        <f t="shared" si="114"/>
        <v>11089.978790000001</v>
      </c>
      <c r="G70" s="115">
        <f t="shared" si="114"/>
        <v>0</v>
      </c>
      <c r="H70" s="115">
        <f t="shared" si="114"/>
        <v>11089.978790000001</v>
      </c>
      <c r="I70" s="115">
        <f t="shared" si="114"/>
        <v>21581.960480000002</v>
      </c>
      <c r="J70" s="115"/>
      <c r="K70" s="115"/>
      <c r="L70" s="115">
        <f>+SUM(L68:L69)</f>
        <v>27216.786349791804</v>
      </c>
      <c r="M70" s="115">
        <f>+SUM(M68:M69)</f>
        <v>28131.882666927486</v>
      </c>
      <c r="N70" s="115">
        <f>+SUM(N68:N69)</f>
        <v>29256.050732560245</v>
      </c>
      <c r="O70" s="115">
        <f>+SUM(O68:O69)</f>
        <v>30526.045708914338</v>
      </c>
      <c r="P70" s="115">
        <f>+SUM(P68:P69)</f>
        <v>31876.636128961145</v>
      </c>
      <c r="Q70" s="115"/>
      <c r="R70" s="115"/>
      <c r="S70" s="115"/>
      <c r="T70" s="115"/>
    </row>
    <row r="71" spans="2:20" ht="3.4" customHeight="1">
      <c r="G71" s="8"/>
      <c r="H71" s="8"/>
    </row>
    <row r="72" spans="2:20">
      <c r="C72" s="112">
        <f t="shared" ref="C72:I72" si="115">+C70+C15</f>
        <v>0</v>
      </c>
      <c r="D72" s="112">
        <f t="shared" si="115"/>
        <v>0</v>
      </c>
      <c r="E72" s="112">
        <f t="shared" si="115"/>
        <v>0</v>
      </c>
      <c r="F72" s="112">
        <f t="shared" si="115"/>
        <v>0</v>
      </c>
      <c r="G72" s="112">
        <f t="shared" si="115"/>
        <v>0</v>
      </c>
      <c r="H72" s="112">
        <f t="shared" si="115"/>
        <v>0</v>
      </c>
      <c r="I72" s="112">
        <f t="shared" si="115"/>
        <v>0</v>
      </c>
      <c r="J72" s="112"/>
      <c r="K72" s="112"/>
      <c r="L72" s="112">
        <f>+L70+L15</f>
        <v>0</v>
      </c>
      <c r="M72" s="112">
        <f>+M70+M15</f>
        <v>0</v>
      </c>
      <c r="N72" s="112">
        <f>+N70+N15</f>
        <v>0</v>
      </c>
      <c r="O72" s="112">
        <f>+O70+O15</f>
        <v>0</v>
      </c>
      <c r="P72" s="112">
        <f>+P70+P15</f>
        <v>0</v>
      </c>
    </row>
    <row r="73" spans="2:20">
      <c r="G73" s="8"/>
      <c r="H73" s="8"/>
    </row>
    <row r="74" spans="2:20">
      <c r="B74" s="110" t="s">
        <v>3</v>
      </c>
      <c r="G74" s="8"/>
      <c r="H74" s="8"/>
    </row>
    <row r="75" spans="2:20">
      <c r="G75" s="8"/>
      <c r="H75" s="8"/>
    </row>
    <row r="76" spans="2:20">
      <c r="B76" s="48"/>
      <c r="C76" s="49">
        <f>+C$58</f>
        <v>2018</v>
      </c>
      <c r="D76" s="49">
        <f t="shared" ref="D76:I76" si="116">+D$58</f>
        <v>2019</v>
      </c>
      <c r="E76" s="49">
        <f t="shared" si="116"/>
        <v>2020</v>
      </c>
      <c r="F76" s="49">
        <f t="shared" si="116"/>
        <v>2021</v>
      </c>
      <c r="G76" s="49">
        <f t="shared" si="116"/>
        <v>0</v>
      </c>
      <c r="H76" s="49" t="str">
        <f t="shared" si="116"/>
        <v>2021 Adj</v>
      </c>
      <c r="I76" s="49">
        <f t="shared" si="116"/>
        <v>2022</v>
      </c>
      <c r="J76" s="49"/>
      <c r="K76" s="49"/>
      <c r="L76" s="49">
        <f>+L67</f>
        <v>2023</v>
      </c>
      <c r="M76" s="49">
        <f>+M67</f>
        <v>2024</v>
      </c>
      <c r="N76" s="49">
        <f>+N67</f>
        <v>2025</v>
      </c>
      <c r="O76" s="49">
        <f>+O67</f>
        <v>2026</v>
      </c>
      <c r="P76" s="49">
        <f>+P67</f>
        <v>2027</v>
      </c>
      <c r="Q76" s="50"/>
    </row>
    <row r="77" spans="2:20">
      <c r="B77" s="116" t="s">
        <v>390</v>
      </c>
      <c r="C77" s="117">
        <f t="shared" ref="C77:P77" si="117">+C17</f>
        <v>16333.164640000001</v>
      </c>
      <c r="D77" s="117">
        <f t="shared" si="117"/>
        <v>17122.218849999997</v>
      </c>
      <c r="E77" s="117">
        <f t="shared" si="117"/>
        <v>17216.643929999998</v>
      </c>
      <c r="F77" s="117">
        <f t="shared" si="117"/>
        <v>21438.870339999998</v>
      </c>
      <c r="G77" s="117">
        <f t="shared" ref="G77:H77" si="118">+G17</f>
        <v>0</v>
      </c>
      <c r="H77" s="117">
        <f t="shared" si="118"/>
        <v>21438.870339999998</v>
      </c>
      <c r="I77" s="117">
        <f t="shared" si="117"/>
        <v>31692.099470000001</v>
      </c>
      <c r="J77" s="117"/>
      <c r="K77" s="117"/>
      <c r="L77" s="117">
        <f t="shared" si="117"/>
        <v>41280.367314071118</v>
      </c>
      <c r="M77" s="117">
        <f t="shared" si="117"/>
        <v>43206.792262942996</v>
      </c>
      <c r="N77" s="117">
        <f t="shared" si="117"/>
        <v>44665.587126839651</v>
      </c>
      <c r="O77" s="117">
        <f t="shared" si="117"/>
        <v>46681.185039479802</v>
      </c>
      <c r="P77" s="117">
        <f t="shared" si="117"/>
        <v>48747.148955053832</v>
      </c>
      <c r="Q77" s="117"/>
    </row>
    <row r="78" spans="2:20">
      <c r="B78" s="73" t="s">
        <v>368</v>
      </c>
      <c r="C78" s="112">
        <f t="shared" ref="C78:P78" si="119">+C20</f>
        <v>-6823.9928299999992</v>
      </c>
      <c r="D78" s="112">
        <f t="shared" si="119"/>
        <v>-7333.3275999999987</v>
      </c>
      <c r="E78" s="112">
        <f t="shared" si="119"/>
        <v>-7605.46245</v>
      </c>
      <c r="F78" s="112">
        <f t="shared" si="119"/>
        <v>-9357.3451100000002</v>
      </c>
      <c r="G78" s="112">
        <f t="shared" ref="G78:H78" si="120">+G20</f>
        <v>-343.18188999999984</v>
      </c>
      <c r="H78" s="112">
        <f t="shared" si="120"/>
        <v>-9700.527</v>
      </c>
      <c r="I78" s="112">
        <f t="shared" si="119"/>
        <v>-11094.046650000004</v>
      </c>
      <c r="J78" s="112"/>
      <c r="K78" s="112"/>
      <c r="L78" s="112">
        <f t="shared" si="119"/>
        <v>-16208.068575834446</v>
      </c>
      <c r="M78" s="112">
        <f t="shared" si="119"/>
        <v>-17226.299447825008</v>
      </c>
      <c r="N78" s="112">
        <f t="shared" si="119"/>
        <v>-17861.548164755935</v>
      </c>
      <c r="O78" s="112">
        <f t="shared" si="119"/>
        <v>-18651.952758103784</v>
      </c>
      <c r="P78" s="112">
        <f t="shared" si="119"/>
        <v>-19477.334130363655</v>
      </c>
      <c r="Q78" s="112"/>
    </row>
    <row r="79" spans="2:20">
      <c r="B79" s="73" t="s">
        <v>369</v>
      </c>
      <c r="C79" s="112">
        <f t="shared" ref="C79:P79" si="121">+C21</f>
        <v>-5066.85581</v>
      </c>
      <c r="D79" s="112">
        <f t="shared" si="121"/>
        <v>-4838.3880399999989</v>
      </c>
      <c r="E79" s="112">
        <f t="shared" si="121"/>
        <v>-4493.7199799999989</v>
      </c>
      <c r="F79" s="112">
        <f t="shared" si="121"/>
        <v>-5490.7197299999989</v>
      </c>
      <c r="G79" s="112">
        <f t="shared" ref="G79:H79" si="122">+G21</f>
        <v>0</v>
      </c>
      <c r="H79" s="112">
        <f t="shared" si="122"/>
        <v>-5490.7197299999989</v>
      </c>
      <c r="I79" s="112">
        <f t="shared" si="121"/>
        <v>-7747.0019200000024</v>
      </c>
      <c r="J79" s="112"/>
      <c r="K79" s="112"/>
      <c r="L79" s="112">
        <f t="shared" si="121"/>
        <v>-9813.5783478559788</v>
      </c>
      <c r="M79" s="112">
        <f t="shared" si="121"/>
        <v>-10052.164090811273</v>
      </c>
      <c r="N79" s="112">
        <f t="shared" si="121"/>
        <v>-10338.711616603465</v>
      </c>
      <c r="O79" s="112">
        <f t="shared" si="121"/>
        <v>-10695.594105024275</v>
      </c>
      <c r="P79" s="112">
        <f t="shared" si="121"/>
        <v>-11068.133252889014</v>
      </c>
      <c r="Q79" s="112"/>
    </row>
    <row r="80" spans="2:20">
      <c r="B80" s="73" t="s">
        <v>391</v>
      </c>
      <c r="C80" s="112">
        <f t="shared" ref="C80:P80" si="123">+C22</f>
        <v>-1918.6296899999998</v>
      </c>
      <c r="D80" s="112">
        <f t="shared" si="123"/>
        <v>-1804.2732099999998</v>
      </c>
      <c r="E80" s="112">
        <f t="shared" si="123"/>
        <v>-1666.17472</v>
      </c>
      <c r="F80" s="112">
        <f t="shared" si="123"/>
        <v>-1714.95724</v>
      </c>
      <c r="G80" s="112">
        <f t="shared" ref="G80:H80" si="124">+G22</f>
        <v>0</v>
      </c>
      <c r="H80" s="112">
        <f t="shared" si="124"/>
        <v>-1714.95724</v>
      </c>
      <c r="I80" s="112">
        <f t="shared" si="123"/>
        <v>-3992.0922900000005</v>
      </c>
      <c r="J80" s="112"/>
      <c r="K80" s="112"/>
      <c r="L80" s="112">
        <f t="shared" si="123"/>
        <v>-3467.6000053529588</v>
      </c>
      <c r="M80" s="112">
        <f t="shared" si="123"/>
        <v>-3509.3696896585579</v>
      </c>
      <c r="N80" s="112">
        <f t="shared" si="123"/>
        <v>-3293.6203065952241</v>
      </c>
      <c r="O80" s="112">
        <f t="shared" si="123"/>
        <v>-3034.4284728578377</v>
      </c>
      <c r="P80" s="112">
        <f t="shared" si="123"/>
        <v>-2861.1844787981672</v>
      </c>
      <c r="Q80" s="112"/>
    </row>
    <row r="81" spans="2:17">
      <c r="B81" s="73" t="s">
        <v>365</v>
      </c>
      <c r="C81" s="112">
        <f t="shared" ref="C81:P81" si="125">+C23</f>
        <v>-121.85395</v>
      </c>
      <c r="D81" s="112">
        <f t="shared" si="125"/>
        <v>-536.55592999999999</v>
      </c>
      <c r="E81" s="112">
        <f t="shared" si="125"/>
        <v>-695.06123000000014</v>
      </c>
      <c r="F81" s="112">
        <f t="shared" si="125"/>
        <v>-710.78998999999988</v>
      </c>
      <c r="G81" s="112">
        <f t="shared" ref="G81:H81" si="126">+G23</f>
        <v>0</v>
      </c>
      <c r="H81" s="112">
        <f t="shared" si="126"/>
        <v>-710.78998999999988</v>
      </c>
      <c r="I81" s="112">
        <f t="shared" si="125"/>
        <v>-902.87016000000017</v>
      </c>
      <c r="J81" s="112"/>
      <c r="K81" s="112"/>
      <c r="L81" s="112">
        <f t="shared" si="125"/>
        <v>-752.78072543073392</v>
      </c>
      <c r="M81" s="112">
        <f t="shared" si="125"/>
        <v>-755.14723449009216</v>
      </c>
      <c r="N81" s="112">
        <f t="shared" si="125"/>
        <v>-779.72853384414293</v>
      </c>
      <c r="O81" s="112">
        <f t="shared" si="125"/>
        <v>-810.2715400697623</v>
      </c>
      <c r="P81" s="112">
        <f t="shared" si="125"/>
        <v>-842.16147946019271</v>
      </c>
      <c r="Q81" s="112"/>
    </row>
    <row r="82" spans="2:17">
      <c r="B82" s="118" t="s">
        <v>392</v>
      </c>
      <c r="C82" s="119">
        <f t="shared" ref="C82:I82" si="127">+SUM(C77:C81)</f>
        <v>2401.8323600000017</v>
      </c>
      <c r="D82" s="119">
        <f t="shared" si="127"/>
        <v>2609.67407</v>
      </c>
      <c r="E82" s="119">
        <f t="shared" si="127"/>
        <v>2756.2255500000001</v>
      </c>
      <c r="F82" s="119">
        <f t="shared" si="127"/>
        <v>4165.0582699999986</v>
      </c>
      <c r="G82" s="119">
        <f t="shared" ref="G82:H82" si="128">+SUM(G77:G81)</f>
        <v>-343.18188999999984</v>
      </c>
      <c r="H82" s="119">
        <f t="shared" si="128"/>
        <v>3821.8763799999992</v>
      </c>
      <c r="I82" s="119">
        <f t="shared" si="127"/>
        <v>7956.0884499999938</v>
      </c>
      <c r="J82" s="119"/>
      <c r="K82" s="119"/>
      <c r="L82" s="119">
        <f t="shared" ref="L82:P82" si="129">+SUM(L77:L81)</f>
        <v>11038.339659596999</v>
      </c>
      <c r="M82" s="119">
        <f t="shared" si="129"/>
        <v>11663.811800158064</v>
      </c>
      <c r="N82" s="119">
        <f t="shared" si="129"/>
        <v>12391.978505040883</v>
      </c>
      <c r="O82" s="119">
        <f t="shared" si="129"/>
        <v>13488.938163424142</v>
      </c>
      <c r="P82" s="119">
        <f t="shared" si="129"/>
        <v>14498.335613542804</v>
      </c>
      <c r="Q82" s="119"/>
    </row>
    <row r="83" spans="2:17">
      <c r="C83" s="107">
        <f t="shared" ref="C83:P83" si="130">+C82-C26</f>
        <v>0</v>
      </c>
      <c r="D83" s="107">
        <f t="shared" si="130"/>
        <v>0</v>
      </c>
      <c r="E83" s="107">
        <f t="shared" si="130"/>
        <v>0</v>
      </c>
      <c r="F83" s="107">
        <f t="shared" si="130"/>
        <v>0</v>
      </c>
      <c r="G83" s="107">
        <f t="shared" ref="G83:H83" si="131">+G82-G26</f>
        <v>0</v>
      </c>
      <c r="H83" s="107">
        <f t="shared" si="131"/>
        <v>0</v>
      </c>
      <c r="I83" s="107">
        <f t="shared" si="130"/>
        <v>0</v>
      </c>
      <c r="J83" s="107"/>
      <c r="K83" s="107"/>
      <c r="L83" s="107">
        <f t="shared" si="130"/>
        <v>0</v>
      </c>
      <c r="M83" s="107">
        <f t="shared" si="130"/>
        <v>0</v>
      </c>
      <c r="N83" s="107">
        <f t="shared" si="130"/>
        <v>0</v>
      </c>
      <c r="O83" s="107">
        <f t="shared" si="130"/>
        <v>0</v>
      </c>
      <c r="P83" s="107">
        <f t="shared" si="130"/>
        <v>0</v>
      </c>
    </row>
    <row r="84" spans="2:17">
      <c r="B84" s="110" t="s">
        <v>393</v>
      </c>
      <c r="C84" s="107"/>
      <c r="D84" s="107"/>
      <c r="E84" s="107"/>
      <c r="F84" s="107"/>
      <c r="G84" s="107"/>
      <c r="H84" s="107"/>
      <c r="I84" s="107"/>
      <c r="J84" s="107"/>
      <c r="K84" s="107"/>
      <c r="L84" s="107"/>
      <c r="M84" s="107"/>
      <c r="N84" s="107"/>
      <c r="O84" s="107"/>
      <c r="P84" s="107"/>
    </row>
    <row r="85" spans="2:17">
      <c r="C85" s="107"/>
      <c r="D85" s="107"/>
      <c r="E85" s="107"/>
      <c r="F85" s="107"/>
      <c r="G85" s="107"/>
      <c r="H85" s="107"/>
      <c r="I85" s="107"/>
      <c r="J85" s="107"/>
      <c r="K85" s="107"/>
      <c r="L85" s="107"/>
      <c r="M85" s="107"/>
      <c r="N85" s="107"/>
      <c r="O85" s="107"/>
      <c r="P85" s="107"/>
    </row>
    <row r="86" spans="2:17">
      <c r="B86" s="48"/>
      <c r="C86" s="49">
        <f>+C$58</f>
        <v>2018</v>
      </c>
      <c r="D86" s="49">
        <f t="shared" ref="D86:I86" si="132">+D$58</f>
        <v>2019</v>
      </c>
      <c r="E86" s="49">
        <f t="shared" si="132"/>
        <v>2020</v>
      </c>
      <c r="F86" s="49">
        <f t="shared" si="132"/>
        <v>2021</v>
      </c>
      <c r="G86" s="49">
        <f t="shared" si="132"/>
        <v>0</v>
      </c>
      <c r="H86" s="49" t="str">
        <f t="shared" si="132"/>
        <v>2021 Adj</v>
      </c>
      <c r="I86" s="49">
        <f t="shared" si="132"/>
        <v>2022</v>
      </c>
      <c r="J86" s="49"/>
      <c r="K86" s="49"/>
      <c r="L86" s="49">
        <f t="shared" ref="L86:P86" si="133">+L76</f>
        <v>2023</v>
      </c>
      <c r="M86" s="49">
        <f t="shared" si="133"/>
        <v>2024</v>
      </c>
      <c r="N86" s="49">
        <f t="shared" si="133"/>
        <v>2025</v>
      </c>
      <c r="O86" s="49">
        <f t="shared" si="133"/>
        <v>2026</v>
      </c>
      <c r="P86" s="49">
        <f t="shared" si="133"/>
        <v>2027</v>
      </c>
    </row>
    <row r="87" spans="2:17">
      <c r="B87" s="8" t="s">
        <v>394</v>
      </c>
      <c r="C87" s="107">
        <f t="shared" ref="C87:P87" si="134">+C82</f>
        <v>2401.8323600000017</v>
      </c>
      <c r="D87" s="107">
        <f t="shared" si="134"/>
        <v>2609.67407</v>
      </c>
      <c r="E87" s="107">
        <f t="shared" si="134"/>
        <v>2756.2255500000001</v>
      </c>
      <c r="F87" s="107">
        <f t="shared" si="134"/>
        <v>4165.0582699999986</v>
      </c>
      <c r="G87" s="107">
        <f t="shared" ref="G87:H87" si="135">+G82</f>
        <v>-343.18188999999984</v>
      </c>
      <c r="H87" s="107">
        <f t="shared" si="135"/>
        <v>3821.8763799999992</v>
      </c>
      <c r="I87" s="107">
        <f t="shared" si="134"/>
        <v>7956.0884499999938</v>
      </c>
      <c r="J87" s="107"/>
      <c r="K87" s="107"/>
      <c r="L87" s="107">
        <f t="shared" si="134"/>
        <v>11038.339659596999</v>
      </c>
      <c r="M87" s="107">
        <f t="shared" si="134"/>
        <v>11663.811800158064</v>
      </c>
      <c r="N87" s="107">
        <f t="shared" si="134"/>
        <v>12391.978505040883</v>
      </c>
      <c r="O87" s="107">
        <f t="shared" si="134"/>
        <v>13488.938163424142</v>
      </c>
      <c r="P87" s="107">
        <f t="shared" si="134"/>
        <v>14498.335613542804</v>
      </c>
    </row>
    <row r="88" spans="2:17">
      <c r="B88" s="8" t="s">
        <v>395</v>
      </c>
      <c r="C88" s="111"/>
      <c r="D88" s="564">
        <f t="shared" ref="D88" si="136">+IFERROR(D87/C87-1,0)</f>
        <v>8.6534644740983602E-2</v>
      </c>
      <c r="E88" s="564">
        <f t="shared" ref="E88" si="137">+IFERROR(E87/D87-1,0)</f>
        <v>5.6157005077649425E-2</v>
      </c>
      <c r="F88" s="564">
        <f>+IFERROR(F87/E87-1,0)</f>
        <v>0.51114565714696258</v>
      </c>
      <c r="G88" s="564">
        <f>+IFERROR(G87/F87-1,0)</f>
        <v>-1.0823954594997778</v>
      </c>
      <c r="H88" s="564">
        <f>+IFERROR(H87/G87-1,0)</f>
        <v>-12.136591094594184</v>
      </c>
      <c r="I88" s="564">
        <f t="shared" ref="I88" si="138">+IFERROR(I87/F87-1,0)</f>
        <v>0.91019859369218303</v>
      </c>
      <c r="J88" s="564"/>
      <c r="K88" s="564"/>
      <c r="L88" s="564">
        <f t="shared" ref="L88" si="139">+IFERROR(L87/I87-1,0)</f>
        <v>0.3874078611578291</v>
      </c>
      <c r="M88" s="564">
        <f t="shared" ref="M88" si="140">+IFERROR(M87/L87-1,0)</f>
        <v>5.6663607014236561E-2</v>
      </c>
      <c r="N88" s="564">
        <f t="shared" ref="N88" si="141">+IFERROR(N87/M87-1,0)</f>
        <v>6.2429565682202703E-2</v>
      </c>
      <c r="O88" s="564">
        <f t="shared" ref="O88" si="142">+IFERROR(O87/N87-1,0)</f>
        <v>8.8521752836888012E-2</v>
      </c>
      <c r="P88" s="564">
        <f t="shared" ref="P88" si="143">+IFERROR(P87/O87-1,0)</f>
        <v>7.4831498068223645E-2</v>
      </c>
    </row>
    <row r="89" spans="2:17"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</row>
    <row r="90" spans="2:17">
      <c r="C90" s="107"/>
      <c r="D90" s="107"/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</row>
    <row r="91" spans="2:17">
      <c r="G91" s="8"/>
      <c r="H91" s="8"/>
    </row>
    <row r="92" spans="2:17">
      <c r="B92" s="48" t="s">
        <v>4</v>
      </c>
      <c r="C92" s="49">
        <f>+C$58</f>
        <v>2018</v>
      </c>
      <c r="D92" s="49">
        <f t="shared" ref="D92:I92" si="144">+D$58</f>
        <v>2019</v>
      </c>
      <c r="E92" s="49">
        <f t="shared" si="144"/>
        <v>2020</v>
      </c>
      <c r="F92" s="49">
        <f t="shared" si="144"/>
        <v>2021</v>
      </c>
      <c r="G92" s="49">
        <f t="shared" si="144"/>
        <v>0</v>
      </c>
      <c r="H92" s="49" t="str">
        <f t="shared" si="144"/>
        <v>2021 Adj</v>
      </c>
      <c r="I92" s="49">
        <f t="shared" si="144"/>
        <v>2022</v>
      </c>
      <c r="J92" s="49"/>
      <c r="K92" s="49"/>
      <c r="L92" s="49">
        <f t="shared" ref="L92:P92" si="145">+L86</f>
        <v>2023</v>
      </c>
      <c r="M92" s="49">
        <f t="shared" si="145"/>
        <v>2024</v>
      </c>
      <c r="N92" s="49">
        <f t="shared" si="145"/>
        <v>2025</v>
      </c>
      <c r="O92" s="49">
        <f t="shared" si="145"/>
        <v>2026</v>
      </c>
      <c r="P92" s="49">
        <f t="shared" si="145"/>
        <v>2027</v>
      </c>
    </row>
    <row r="93" spans="2:17">
      <c r="B93" s="8" t="s">
        <v>396</v>
      </c>
      <c r="C93" s="57">
        <f t="shared" ref="C93:I93" si="146">+C11</f>
        <v>26165.241980000003</v>
      </c>
      <c r="D93" s="57">
        <f t="shared" si="146"/>
        <v>26546.544599999997</v>
      </c>
      <c r="E93" s="57">
        <f t="shared" si="146"/>
        <v>27648.782309999999</v>
      </c>
      <c r="F93" s="57">
        <f t="shared" si="146"/>
        <v>32528.849129999999</v>
      </c>
      <c r="G93" s="57">
        <f t="shared" si="146"/>
        <v>0</v>
      </c>
      <c r="H93" s="57">
        <f t="shared" si="146"/>
        <v>32528.849129999999</v>
      </c>
      <c r="I93" s="57">
        <f t="shared" si="146"/>
        <v>53274.059950000003</v>
      </c>
      <c r="J93" s="57"/>
      <c r="K93" s="57"/>
      <c r="L93" s="57">
        <f>+L11</f>
        <v>68497.153663862919</v>
      </c>
      <c r="M93" s="57">
        <f>+M11</f>
        <v>71338.674929870482</v>
      </c>
      <c r="N93" s="57">
        <f>+N11</f>
        <v>73921.637859399896</v>
      </c>
      <c r="O93" s="57">
        <f>+O11</f>
        <v>77207.23074839414</v>
      </c>
      <c r="P93" s="57">
        <f>+P11</f>
        <v>80623.785084014977</v>
      </c>
    </row>
    <row r="94" spans="2:17">
      <c r="B94" s="8" t="s">
        <v>397</v>
      </c>
      <c r="C94" s="112">
        <f t="shared" ref="C94:P94" si="147">+C15</f>
        <v>-9832.0773400000016</v>
      </c>
      <c r="D94" s="112">
        <f t="shared" si="147"/>
        <v>-9424.32575</v>
      </c>
      <c r="E94" s="112">
        <f t="shared" si="147"/>
        <v>-10432.138379999999</v>
      </c>
      <c r="F94" s="112">
        <f t="shared" si="147"/>
        <v>-11089.978790000001</v>
      </c>
      <c r="G94" s="112">
        <f t="shared" ref="G94:H94" si="148">+G15</f>
        <v>0</v>
      </c>
      <c r="H94" s="112">
        <f t="shared" si="148"/>
        <v>-11089.978790000001</v>
      </c>
      <c r="I94" s="112">
        <f t="shared" si="147"/>
        <v>-21581.960480000002</v>
      </c>
      <c r="J94" s="112"/>
      <c r="K94" s="112"/>
      <c r="L94" s="112">
        <f t="shared" si="147"/>
        <v>-27216.786349791804</v>
      </c>
      <c r="M94" s="112">
        <f t="shared" si="147"/>
        <v>-28131.882666927486</v>
      </c>
      <c r="N94" s="112">
        <f t="shared" si="147"/>
        <v>-29256.050732560245</v>
      </c>
      <c r="O94" s="112">
        <f t="shared" si="147"/>
        <v>-30526.045708914338</v>
      </c>
      <c r="P94" s="112">
        <f t="shared" si="147"/>
        <v>-31876.636128961145</v>
      </c>
    </row>
    <row r="95" spans="2:17">
      <c r="B95" s="8" t="s">
        <v>398</v>
      </c>
      <c r="C95" s="112">
        <f t="shared" ref="C95:P95" si="149">+C24</f>
        <v>-13931.332280000001</v>
      </c>
      <c r="D95" s="112">
        <f t="shared" si="149"/>
        <v>-14512.544779999998</v>
      </c>
      <c r="E95" s="112">
        <f t="shared" si="149"/>
        <v>-14460.418379999999</v>
      </c>
      <c r="F95" s="112">
        <f t="shared" si="149"/>
        <v>-17273.81207</v>
      </c>
      <c r="G95" s="112">
        <f t="shared" ref="G95:H95" si="150">+G24</f>
        <v>-343.18188999999984</v>
      </c>
      <c r="H95" s="112">
        <f t="shared" si="150"/>
        <v>-17616.99396</v>
      </c>
      <c r="I95" s="112">
        <f t="shared" si="149"/>
        <v>-23736.011020000005</v>
      </c>
      <c r="J95" s="112"/>
      <c r="K95" s="112"/>
      <c r="L95" s="112">
        <f t="shared" si="149"/>
        <v>-30242.027654474114</v>
      </c>
      <c r="M95" s="112">
        <f t="shared" si="149"/>
        <v>-31542.98046278493</v>
      </c>
      <c r="N95" s="112">
        <f t="shared" si="149"/>
        <v>-32273.608621798769</v>
      </c>
      <c r="O95" s="112">
        <f t="shared" si="149"/>
        <v>-33192.246876055659</v>
      </c>
      <c r="P95" s="112">
        <f t="shared" si="149"/>
        <v>-34248.813341511028</v>
      </c>
    </row>
    <row r="96" spans="2:17" ht="1.7" customHeight="1">
      <c r="G96" s="8"/>
      <c r="H96" s="8"/>
    </row>
    <row r="97" spans="2:16" ht="11.25" thickBot="1">
      <c r="B97" s="120" t="s">
        <v>3</v>
      </c>
      <c r="C97" s="121">
        <f t="shared" ref="C97:I97" si="151">+SUM(C93:C95)</f>
        <v>2401.8323600000003</v>
      </c>
      <c r="D97" s="121">
        <f t="shared" si="151"/>
        <v>2609.6740699999991</v>
      </c>
      <c r="E97" s="121">
        <f t="shared" si="151"/>
        <v>2756.2255499999992</v>
      </c>
      <c r="F97" s="121">
        <f t="shared" si="151"/>
        <v>4165.0582699999977</v>
      </c>
      <c r="G97" s="121">
        <f t="shared" ref="G97:H97" si="152">+SUM(G93:G95)</f>
        <v>-343.18188999999984</v>
      </c>
      <c r="H97" s="121">
        <f t="shared" si="152"/>
        <v>3821.8763799999979</v>
      </c>
      <c r="I97" s="121">
        <f t="shared" si="151"/>
        <v>7956.0884499999956</v>
      </c>
      <c r="J97" s="121"/>
      <c r="K97" s="121"/>
      <c r="L97" s="121">
        <f>+SUM(L93:L95)</f>
        <v>11038.339659597004</v>
      </c>
      <c r="M97" s="121">
        <f t="shared" ref="M97:P97" si="153">+SUM(M93:M95)</f>
        <v>11663.811800158066</v>
      </c>
      <c r="N97" s="121">
        <f t="shared" si="153"/>
        <v>12391.978505040883</v>
      </c>
      <c r="O97" s="121">
        <f t="shared" si="153"/>
        <v>13488.938163424144</v>
      </c>
      <c r="P97" s="121">
        <f t="shared" si="153"/>
        <v>14498.335613542804</v>
      </c>
    </row>
    <row r="98" spans="2:16" ht="11.25" thickTop="1">
      <c r="B98" s="47" t="s">
        <v>399</v>
      </c>
      <c r="C98" s="122">
        <f t="shared" ref="C98:P98" si="154">+C97/C93</f>
        <v>9.1794769635071424E-2</v>
      </c>
      <c r="D98" s="122">
        <f t="shared" si="154"/>
        <v>9.8305602831639319E-2</v>
      </c>
      <c r="E98" s="122">
        <f t="shared" si="154"/>
        <v>9.9687050196171884E-2</v>
      </c>
      <c r="F98" s="122">
        <f t="shared" si="154"/>
        <v>0.1280419806232474</v>
      </c>
      <c r="G98" s="122" t="e">
        <f t="shared" ref="G98:H98" si="155">+G97/G93</f>
        <v>#DIV/0!</v>
      </c>
      <c r="H98" s="122">
        <f t="shared" si="155"/>
        <v>0.11749190279453327</v>
      </c>
      <c r="I98" s="122">
        <f t="shared" si="154"/>
        <v>0.1493426342476456</v>
      </c>
      <c r="J98" s="122"/>
      <c r="K98" s="122"/>
      <c r="L98" s="122">
        <f t="shared" si="154"/>
        <v>0.16115034084139626</v>
      </c>
      <c r="M98" s="122">
        <f>+M97/M93</f>
        <v>0.16349913720186396</v>
      </c>
      <c r="N98" s="122">
        <f t="shared" si="154"/>
        <v>0.16763668749616478</v>
      </c>
      <c r="O98" s="122">
        <f t="shared" si="154"/>
        <v>0.17471081442335898</v>
      </c>
      <c r="P98" s="122">
        <f t="shared" si="154"/>
        <v>0.17982702745144799</v>
      </c>
    </row>
    <row r="99" spans="2:16">
      <c r="G99" s="8"/>
      <c r="H99" s="8"/>
    </row>
    <row r="100" spans="2:16">
      <c r="G100" s="8"/>
      <c r="H100" s="8"/>
    </row>
    <row r="101" spans="2:16">
      <c r="G101" s="8"/>
      <c r="H101" s="8"/>
    </row>
    <row r="102" spans="2:16">
      <c r="G102" s="8"/>
      <c r="H102" s="8"/>
    </row>
    <row r="103" spans="2:16">
      <c r="B103" s="48" t="s">
        <v>2511</v>
      </c>
      <c r="C103" s="49">
        <f>+C$58</f>
        <v>2018</v>
      </c>
      <c r="D103" s="49">
        <f t="shared" ref="D103:P103" si="156">+D$58</f>
        <v>2019</v>
      </c>
      <c r="E103" s="49">
        <f t="shared" si="156"/>
        <v>2020</v>
      </c>
      <c r="F103" s="49">
        <f t="shared" si="156"/>
        <v>2021</v>
      </c>
      <c r="G103" s="49">
        <f t="shared" si="156"/>
        <v>0</v>
      </c>
      <c r="H103" s="49" t="str">
        <f t="shared" si="156"/>
        <v>2021 Adj</v>
      </c>
      <c r="I103" s="49">
        <f t="shared" si="156"/>
        <v>2022</v>
      </c>
      <c r="J103" s="49"/>
      <c r="K103" s="49"/>
      <c r="L103" s="49">
        <f t="shared" si="156"/>
        <v>2023</v>
      </c>
      <c r="M103" s="49">
        <f t="shared" si="156"/>
        <v>2024</v>
      </c>
      <c r="N103" s="49">
        <f t="shared" si="156"/>
        <v>2025</v>
      </c>
      <c r="O103" s="49">
        <f t="shared" si="156"/>
        <v>2026</v>
      </c>
      <c r="P103" s="49">
        <f t="shared" si="156"/>
        <v>2027</v>
      </c>
    </row>
    <row r="104" spans="2:16">
      <c r="B104" s="8" t="s">
        <v>380</v>
      </c>
      <c r="C104" s="102">
        <f t="shared" ref="C104:P104" si="157">+C40</f>
        <v>1146.4418600000004</v>
      </c>
      <c r="D104" s="102">
        <f t="shared" si="157"/>
        <v>1230.0488199999995</v>
      </c>
      <c r="E104" s="102">
        <f t="shared" si="157"/>
        <v>1349.9965899999995</v>
      </c>
      <c r="F104" s="102">
        <f t="shared" si="157"/>
        <v>2362.3878099999979</v>
      </c>
      <c r="G104" s="102">
        <f t="shared" ref="G104:H104" si="158">+G40</f>
        <v>-583.18229999999983</v>
      </c>
      <c r="H104" s="102">
        <f t="shared" si="158"/>
        <v>1779.2249099999983</v>
      </c>
      <c r="I104" s="102">
        <f t="shared" si="157"/>
        <v>5317.1221799999948</v>
      </c>
      <c r="J104" s="102"/>
      <c r="K104" s="102"/>
      <c r="L104" s="102">
        <f>+L40</f>
        <v>7725.335024870853</v>
      </c>
      <c r="M104" s="102">
        <f t="shared" si="157"/>
        <v>8076.5420676058902</v>
      </c>
      <c r="N104" s="102">
        <f t="shared" si="157"/>
        <v>8468.9762916715245</v>
      </c>
      <c r="O104" s="102">
        <f t="shared" si="157"/>
        <v>9067.2994130631578</v>
      </c>
      <c r="P104" s="102">
        <f t="shared" si="157"/>
        <v>9714.1494964750764</v>
      </c>
    </row>
    <row r="105" spans="2:16">
      <c r="B105" s="8" t="s">
        <v>381</v>
      </c>
      <c r="C105" s="112">
        <f>+C41</f>
        <v>-134.05699999999999</v>
      </c>
      <c r="D105" s="112">
        <f t="shared" ref="D105:I105" si="159">+D41</f>
        <v>-129.78514999999999</v>
      </c>
      <c r="E105" s="112">
        <f t="shared" si="159"/>
        <v>-184.721</v>
      </c>
      <c r="F105" s="112">
        <f t="shared" si="159"/>
        <v>-570.58000000000004</v>
      </c>
      <c r="G105" s="112">
        <f t="shared" ref="G105:H105" si="160">+G41</f>
        <v>66.960000000000036</v>
      </c>
      <c r="H105" s="112">
        <f t="shared" si="160"/>
        <v>-503.62</v>
      </c>
      <c r="I105" s="112">
        <f t="shared" si="159"/>
        <v>-1678.249</v>
      </c>
      <c r="J105" s="112"/>
      <c r="K105" s="112"/>
      <c r="L105" s="112">
        <f>-L104*L106</f>
        <v>-2155.3684719389676</v>
      </c>
      <c r="M105" s="112">
        <f>-M104*M106</f>
        <v>-2253.3552368620431</v>
      </c>
      <c r="N105" s="112">
        <f t="shared" ref="N105:P105" si="161">-N104*N106</f>
        <v>-2362.8443853763551</v>
      </c>
      <c r="O105" s="112">
        <f t="shared" si="161"/>
        <v>-2529.7765362446207</v>
      </c>
      <c r="P105" s="112">
        <f t="shared" si="161"/>
        <v>-2710.2477095165459</v>
      </c>
    </row>
    <row r="106" spans="2:16">
      <c r="B106" s="8" t="s">
        <v>2512</v>
      </c>
      <c r="C106" s="649">
        <f>-C105/C104</f>
        <v>0.11693309942468426</v>
      </c>
      <c r="D106" s="649">
        <f t="shared" ref="D106:I106" si="162">-D105/D104</f>
        <v>0.10551219422331549</v>
      </c>
      <c r="E106" s="649">
        <f t="shared" si="162"/>
        <v>0.1368307159946234</v>
      </c>
      <c r="F106" s="649">
        <f t="shared" si="162"/>
        <v>0.2415268134997702</v>
      </c>
      <c r="G106" s="649">
        <f t="shared" ref="G106:H106" si="163">-G105/G104</f>
        <v>0.11481829952658038</v>
      </c>
      <c r="H106" s="649">
        <f t="shared" si="163"/>
        <v>0.28305583918561511</v>
      </c>
      <c r="I106" s="649">
        <f t="shared" si="162"/>
        <v>0.31563107695975529</v>
      </c>
      <c r="J106" s="649"/>
      <c r="K106" s="649"/>
      <c r="L106" s="816">
        <f>+AVERAGE(C106:F106,I106)*0+L110</f>
        <v>0.27899999999999997</v>
      </c>
      <c r="M106" s="816">
        <f>+L106</f>
        <v>0.27899999999999997</v>
      </c>
      <c r="N106" s="816">
        <f t="shared" ref="N106:P106" si="164">+M106</f>
        <v>0.27899999999999997</v>
      </c>
      <c r="O106" s="816">
        <f t="shared" si="164"/>
        <v>0.27899999999999997</v>
      </c>
      <c r="P106" s="816">
        <f t="shared" si="164"/>
        <v>0.27899999999999997</v>
      </c>
    </row>
    <row r="108" spans="2:16" outlineLevel="1">
      <c r="B108" s="8" t="s">
        <v>3467</v>
      </c>
      <c r="L108" s="649">
        <v>0.24</v>
      </c>
      <c r="M108" s="649">
        <v>0.24</v>
      </c>
      <c r="N108" s="649">
        <v>0.24</v>
      </c>
      <c r="O108" s="649">
        <v>0.24</v>
      </c>
      <c r="P108" s="649">
        <v>0.24</v>
      </c>
    </row>
    <row r="109" spans="2:16" outlineLevel="1">
      <c r="B109" s="8" t="s">
        <v>3468</v>
      </c>
      <c r="L109" s="649">
        <v>3.9E-2</v>
      </c>
      <c r="M109" s="649">
        <v>3.9E-2</v>
      </c>
      <c r="N109" s="649">
        <v>3.9E-2</v>
      </c>
      <c r="O109" s="649">
        <v>3.9E-2</v>
      </c>
      <c r="P109" s="649">
        <v>3.9E-2</v>
      </c>
    </row>
    <row r="110" spans="2:16">
      <c r="L110" s="817">
        <f>+L108+L109</f>
        <v>0.27899999999999997</v>
      </c>
      <c r="M110" s="817">
        <f t="shared" ref="M110:P110" si="165">+M108+M109</f>
        <v>0.27899999999999997</v>
      </c>
      <c r="N110" s="817">
        <f t="shared" si="165"/>
        <v>0.27899999999999997</v>
      </c>
      <c r="O110" s="817">
        <f t="shared" si="165"/>
        <v>0.27899999999999997</v>
      </c>
      <c r="P110" s="817">
        <f t="shared" si="165"/>
        <v>0.27899999999999997</v>
      </c>
    </row>
  </sheetData>
  <pageMargins left="0.7" right="0.7" top="0.75" bottom="0.75" header="0.3" footer="0.3"/>
  <ignoredErrors>
    <ignoredError sqref="L33 I40 K16 C9:H9" formula="1"/>
    <ignoredError sqref="M16:P28 S13:T13 R16:T19 S14:T14 S15:T15 R25:T28 S20:T24 R32:T35 S29:T31 S36:T38 M32:P34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AO81"/>
  <sheetViews>
    <sheetView showGridLines="0" zoomScale="130" zoomScaleNormal="130" workbookViewId="0">
      <selection activeCell="AB32" sqref="AB32"/>
    </sheetView>
  </sheetViews>
  <sheetFormatPr defaultColWidth="8.7109375" defaultRowHeight="10.5" outlineLevelRow="1" outlineLevelCol="2"/>
  <cols>
    <col min="1" max="1" width="2.85546875" style="8" customWidth="1"/>
    <col min="2" max="2" width="37.42578125" style="8" bestFit="1" customWidth="1"/>
    <col min="3" max="5" width="8.7109375" style="8" hidden="1" customWidth="1" outlineLevel="1"/>
    <col min="6" max="6" width="11.28515625" style="8" hidden="1" customWidth="1" outlineLevel="2"/>
    <col min="7" max="7" width="10.140625" style="8" hidden="1" customWidth="1" outlineLevel="2"/>
    <col min="8" max="8" width="8.7109375" style="8" hidden="1" customWidth="1" outlineLevel="1" collapsed="1"/>
    <col min="9" max="10" width="8.7109375" style="8" hidden="1" customWidth="1" outlineLevel="1"/>
    <col min="11" max="11" width="9.85546875" style="8" bestFit="1" customWidth="1" collapsed="1"/>
    <col min="12" max="15" width="11" style="8" bestFit="1" customWidth="1"/>
    <col min="16" max="16" width="7.140625" style="8" bestFit="1" customWidth="1"/>
    <col min="17" max="17" width="2.140625" style="8" customWidth="1"/>
    <col min="18" max="18" width="4.140625" style="8" customWidth="1"/>
    <col min="19" max="19" width="5.5703125" style="8" customWidth="1"/>
    <col min="20" max="20" width="23.42578125" style="8" bestFit="1" customWidth="1"/>
    <col min="21" max="24" width="9.85546875" style="8" bestFit="1" customWidth="1"/>
    <col min="25" max="25" width="9.85546875" style="8" bestFit="1" customWidth="1" outlineLevel="1"/>
    <col min="26" max="26" width="10.7109375" style="8" bestFit="1" customWidth="1"/>
    <col min="27" max="30" width="9.85546875" style="8" bestFit="1" customWidth="1"/>
    <col min="31" max="31" width="13" style="8" customWidth="1"/>
    <col min="32" max="32" width="30.85546875" style="8" bestFit="1" customWidth="1"/>
    <col min="33" max="34" width="9.7109375" style="8" bestFit="1" customWidth="1"/>
    <col min="35" max="35" width="10.28515625" style="8" bestFit="1" customWidth="1"/>
    <col min="36" max="36" width="10.28515625" style="8" bestFit="1" customWidth="1" outlineLevel="1"/>
    <col min="37" max="37" width="12.42578125" style="8" bestFit="1" customWidth="1"/>
    <col min="38" max="38" width="10.7109375" style="8" bestFit="1" customWidth="1"/>
    <col min="39" max="41" width="8.7109375" style="8" bestFit="1" customWidth="1"/>
    <col min="42" max="69" width="13" style="8" customWidth="1"/>
    <col min="70" max="16384" width="8.7109375" style="8"/>
  </cols>
  <sheetData>
    <row r="2" spans="2:41" ht="12.75">
      <c r="B2" s="46" t="s">
        <v>4548</v>
      </c>
      <c r="C2" s="47"/>
      <c r="D2" s="47"/>
      <c r="E2" s="47"/>
      <c r="F2" s="47"/>
      <c r="G2" s="47"/>
      <c r="H2" s="47"/>
      <c r="I2" s="47"/>
      <c r="J2" s="47"/>
      <c r="K2" s="47"/>
    </row>
    <row r="4" spans="2:41">
      <c r="B4" s="820"/>
      <c r="C4" s="820">
        <v>2018</v>
      </c>
      <c r="D4" s="820">
        <v>2019</v>
      </c>
      <c r="E4" s="820">
        <v>2020</v>
      </c>
      <c r="F4" s="820">
        <v>2021</v>
      </c>
      <c r="G4" s="871" t="s">
        <v>3879</v>
      </c>
      <c r="H4" s="871" t="s">
        <v>3880</v>
      </c>
      <c r="I4" s="820">
        <v>2022</v>
      </c>
      <c r="J4" s="1037">
        <v>45078</v>
      </c>
      <c r="K4" s="153">
        <f>+I4+1</f>
        <v>2023</v>
      </c>
      <c r="L4" s="153">
        <f t="shared" ref="L4:O4" si="0">+K4+1</f>
        <v>2024</v>
      </c>
      <c r="M4" s="153">
        <f t="shared" si="0"/>
        <v>2025</v>
      </c>
      <c r="N4" s="153">
        <f t="shared" si="0"/>
        <v>2026</v>
      </c>
      <c r="O4" s="153">
        <f t="shared" si="0"/>
        <v>2027</v>
      </c>
      <c r="P4" s="50"/>
      <c r="T4" s="52"/>
      <c r="U4" s="52">
        <f>+C4</f>
        <v>2018</v>
      </c>
      <c r="V4" s="52">
        <f>+D4</f>
        <v>2019</v>
      </c>
      <c r="W4" s="52">
        <f>+E4</f>
        <v>2020</v>
      </c>
      <c r="X4" s="52">
        <f>+F4</f>
        <v>2021</v>
      </c>
      <c r="Y4" s="52">
        <f>+I4</f>
        <v>2022</v>
      </c>
      <c r="Z4" s="52">
        <f t="shared" ref="Z4:AD4" si="1">+K4</f>
        <v>2023</v>
      </c>
      <c r="AA4" s="52">
        <f t="shared" si="1"/>
        <v>2024</v>
      </c>
      <c r="AB4" s="52">
        <f t="shared" si="1"/>
        <v>2025</v>
      </c>
      <c r="AC4" s="52">
        <f t="shared" si="1"/>
        <v>2026</v>
      </c>
      <c r="AD4" s="52">
        <f t="shared" si="1"/>
        <v>2027</v>
      </c>
      <c r="AF4" s="52" t="s">
        <v>353</v>
      </c>
      <c r="AG4" s="52">
        <f>+D4</f>
        <v>2019</v>
      </c>
      <c r="AH4" s="52">
        <f>+E4</f>
        <v>2020</v>
      </c>
      <c r="AI4" s="52">
        <f>+F4</f>
        <v>2021</v>
      </c>
      <c r="AJ4" s="52">
        <f>+I4</f>
        <v>2022</v>
      </c>
      <c r="AK4" s="52">
        <f>+Z4</f>
        <v>2023</v>
      </c>
      <c r="AL4" s="52">
        <f>+AA4</f>
        <v>2024</v>
      </c>
      <c r="AM4" s="52">
        <f>+AB4</f>
        <v>2025</v>
      </c>
      <c r="AN4" s="52">
        <f>+AC4</f>
        <v>2026</v>
      </c>
      <c r="AO4" s="52">
        <f>+AD4</f>
        <v>2027</v>
      </c>
    </row>
    <row r="5" spans="2:41">
      <c r="B5" s="820" t="s">
        <v>354</v>
      </c>
      <c r="C5" s="53" t="s">
        <v>400</v>
      </c>
      <c r="D5" s="53" t="s">
        <v>400</v>
      </c>
      <c r="E5" s="53" t="s">
        <v>400</v>
      </c>
      <c r="F5" s="53" t="s">
        <v>400</v>
      </c>
      <c r="G5" s="53" t="s">
        <v>400</v>
      </c>
      <c r="H5" s="53" t="s">
        <v>400</v>
      </c>
      <c r="I5" s="53" t="s">
        <v>400</v>
      </c>
      <c r="J5" s="53" t="s">
        <v>400</v>
      </c>
      <c r="K5" s="53" t="s">
        <v>355</v>
      </c>
      <c r="L5" s="53" t="s">
        <v>355</v>
      </c>
      <c r="M5" s="53" t="s">
        <v>355</v>
      </c>
      <c r="N5" s="53" t="s">
        <v>355</v>
      </c>
      <c r="O5" s="53" t="s">
        <v>355</v>
      </c>
      <c r="P5" s="54"/>
      <c r="T5" s="56"/>
      <c r="U5" s="57"/>
      <c r="V5" s="57"/>
      <c r="W5" s="57"/>
      <c r="X5" s="57"/>
      <c r="Y5" s="57"/>
      <c r="Z5" s="57"/>
      <c r="AA5" s="57"/>
      <c r="AB5" s="57"/>
      <c r="AF5" s="56"/>
      <c r="AG5" s="57"/>
      <c r="AH5" s="57"/>
      <c r="AI5" s="57"/>
      <c r="AJ5" s="57"/>
      <c r="AK5" s="57"/>
      <c r="AL5" s="57"/>
      <c r="AM5" s="57"/>
    </row>
    <row r="6" spans="2:41" ht="3" customHeight="1"/>
    <row r="7" spans="2:41" ht="11.25" customHeight="1">
      <c r="B7" s="8" t="s">
        <v>401</v>
      </c>
      <c r="C7" s="74">
        <f>+SUMIF(BdV!$C:$C,B7,BdV!$E:$E)/1000</f>
        <v>250.66577000000001</v>
      </c>
      <c r="D7" s="74">
        <f>+SUMIF(BdV!$C:$C,B7,BdV!$F:$F)/1000</f>
        <v>188.53018</v>
      </c>
      <c r="E7" s="74">
        <f>+SUMIF(BdV!$C:$C,B7,BdV!$G:$G)/1000</f>
        <v>129.52259000000004</v>
      </c>
      <c r="F7" s="74">
        <f>+SUMIF(BdV!$C:$C,SP!B7,BdV!$H:$H)/1000</f>
        <v>8221.1811800000014</v>
      </c>
      <c r="G7" s="74">
        <f>+F7-H7</f>
        <v>240.00018000000182</v>
      </c>
      <c r="H7" s="74">
        <v>7981.1809999999996</v>
      </c>
      <c r="I7" s="74">
        <f>+SUMIF(BdV!$C:$C,SP!B7,BdV!$I:$I)/1000</f>
        <v>7996.9581000000007</v>
      </c>
      <c r="J7" s="1467">
        <f>+SUMIF(BdV!$C:$C,SP!B7,BdV!$J:$J)/1000</f>
        <v>7434.2651599999999</v>
      </c>
      <c r="K7" s="74">
        <f>+Capex!I26</f>
        <v>7584.0880999999999</v>
      </c>
      <c r="L7" s="74">
        <f>+Capex!J26</f>
        <v>7171.2181</v>
      </c>
      <c r="M7" s="74">
        <f>+Capex!K26</f>
        <v>6760.2800999999999</v>
      </c>
      <c r="N7" s="74">
        <f>+Capex!L26</f>
        <v>6355.5420999999997</v>
      </c>
      <c r="O7" s="74">
        <f>+Capex!M26</f>
        <v>5955.4040999999997</v>
      </c>
      <c r="P7" s="59"/>
      <c r="T7" s="8" t="s">
        <v>401</v>
      </c>
      <c r="U7" s="61">
        <f t="shared" ref="U7:U18" si="2">+C7/C$26</f>
        <v>1.748973699434125E-2</v>
      </c>
      <c r="V7" s="61">
        <f t="shared" ref="V7:V18" si="3">+D7/D$26</f>
        <v>1.3455664969110263E-2</v>
      </c>
      <c r="W7" s="61">
        <f t="shared" ref="W7:W18" si="4">+E7/E$26</f>
        <v>7.7446656187237072E-3</v>
      </c>
      <c r="X7" s="61">
        <f t="shared" ref="X7:X18" si="5">+F7/F$26</f>
        <v>0.35402379952617613</v>
      </c>
      <c r="Y7" s="61">
        <f t="shared" ref="Y7:Y18" si="6">+I7/I$26</f>
        <v>0.33094895001399083</v>
      </c>
      <c r="Z7" s="61">
        <f t="shared" ref="Z7:Z18" si="7">+K7/K$26</f>
        <v>0.23018522266538655</v>
      </c>
      <c r="AA7" s="61">
        <f t="shared" ref="AA7:AA18" si="8">+L7/L$26</f>
        <v>0.20592418615293401</v>
      </c>
      <c r="AB7" s="61">
        <f t="shared" ref="AB7:AB18" si="9">+M7/M$26</f>
        <v>0.18350959755466978</v>
      </c>
      <c r="AC7" s="61">
        <f t="shared" ref="AC7:AC18" si="10">+N7/N$26</f>
        <v>0.16886019331111649</v>
      </c>
      <c r="AD7" s="61">
        <f t="shared" ref="AD7:AD18" si="11">+O7/O$26</f>
        <v>0.1507679935448771</v>
      </c>
      <c r="AF7" s="8" t="s">
        <v>401</v>
      </c>
      <c r="AG7" s="61">
        <f t="shared" ref="AG7:AI8" si="12">+IFERROR(D7/C7-1,0)</f>
        <v>-0.24788222979148689</v>
      </c>
      <c r="AH7" s="61">
        <f t="shared" si="12"/>
        <v>-0.31298750152362853</v>
      </c>
      <c r="AI7" s="61">
        <f t="shared" si="12"/>
        <v>62.472952324378312</v>
      </c>
      <c r="AJ7" s="61">
        <f>+IFERROR(I7/F7-1,0)</f>
        <v>-2.7273827822390961E-2</v>
      </c>
      <c r="AK7" s="61">
        <f>+IFERROR(K7/I7-1,0)</f>
        <v>-5.162838104653833E-2</v>
      </c>
      <c r="AL7" s="61">
        <f t="shared" ref="AL7:AO8" si="13">+IFERROR(L7/K7-1,0)</f>
        <v>-5.4438977310930725E-2</v>
      </c>
      <c r="AM7" s="61">
        <f t="shared" si="13"/>
        <v>-5.7303793340213738E-2</v>
      </c>
      <c r="AN7" s="61">
        <f t="shared" si="13"/>
        <v>-5.9870004498778107E-2</v>
      </c>
      <c r="AO7" s="61">
        <f t="shared" si="13"/>
        <v>-6.2958909516152795E-2</v>
      </c>
    </row>
    <row r="8" spans="2:41">
      <c r="B8" s="8" t="s">
        <v>402</v>
      </c>
      <c r="C8" s="74">
        <f>+SUMIF(BdV!$C:$C,B8,BdV!$E:$E)/1000</f>
        <v>5353.854769999999</v>
      </c>
      <c r="D8" s="74">
        <f>+SUMIF(BdV!$C:$C,B8,BdV!$F:$F)/1000</f>
        <v>4843.1765400000022</v>
      </c>
      <c r="E8" s="74">
        <f>+SUMIF(BdV!$C:$C,B8,BdV!$G:$G)/1000</f>
        <v>4899.8916599999984</v>
      </c>
      <c r="F8" s="74">
        <f>+SUMIF(BdV!$C:$C,SP!B8,BdV!$H:$H)/1000</f>
        <v>5325.4994699999988</v>
      </c>
      <c r="G8" s="74">
        <f>+F8-H8</f>
        <v>0</v>
      </c>
      <c r="H8" s="74">
        <f>+F8</f>
        <v>5325.4994699999988</v>
      </c>
      <c r="I8" s="74">
        <f>+SUMIF(BdV!$C:$C,SP!B8,BdV!$I:$I)/1000</f>
        <v>6142.4648399999996</v>
      </c>
      <c r="J8" s="1467">
        <f>+SUMIF(BdV!$C:$C,SP!B8,BdV!$J:$J)/1000</f>
        <v>6945.0452399999995</v>
      </c>
      <c r="K8" s="74">
        <f>+Capex!I21</f>
        <v>7688.5218579657076</v>
      </c>
      <c r="L8" s="74">
        <f>+Capex!J21</f>
        <v>8888.8426674215953</v>
      </c>
      <c r="M8" s="74">
        <f>+Capex!K21</f>
        <v>9865.5515045476495</v>
      </c>
      <c r="N8" s="74">
        <f>+Capex!L21</f>
        <v>10501.904129276592</v>
      </c>
      <c r="O8" s="74">
        <f>+Capex!M21</f>
        <v>10953.733197028616</v>
      </c>
      <c r="P8" s="59"/>
      <c r="T8" s="8" t="s">
        <v>402</v>
      </c>
      <c r="U8" s="61">
        <f t="shared" si="2"/>
        <v>0.37355523984467187</v>
      </c>
      <c r="V8" s="61">
        <f t="shared" si="3"/>
        <v>0.34566434354698378</v>
      </c>
      <c r="W8" s="61">
        <f t="shared" si="4"/>
        <v>0.29298381444250776</v>
      </c>
      <c r="X8" s="61">
        <f t="shared" si="5"/>
        <v>0.22932879296354788</v>
      </c>
      <c r="Y8" s="61">
        <f t="shared" si="6"/>
        <v>0.25420194327338741</v>
      </c>
      <c r="Z8" s="61">
        <f t="shared" si="7"/>
        <v>0.23335489942996943</v>
      </c>
      <c r="AA8" s="61">
        <f t="shared" si="8"/>
        <v>0.25524641233966472</v>
      </c>
      <c r="AB8" s="61">
        <f t="shared" si="9"/>
        <v>0.26780301399854811</v>
      </c>
      <c r="AC8" s="61">
        <f t="shared" si="10"/>
        <v>0.27902475249191694</v>
      </c>
      <c r="AD8" s="61">
        <f t="shared" si="11"/>
        <v>0.27730651828343883</v>
      </c>
      <c r="AF8" s="8" t="s">
        <v>402</v>
      </c>
      <c r="AG8" s="61">
        <f t="shared" si="12"/>
        <v>-9.5385148073412696E-2</v>
      </c>
      <c r="AH8" s="61">
        <f t="shared" si="12"/>
        <v>1.1710314404520084E-2</v>
      </c>
      <c r="AI8" s="61">
        <f t="shared" si="12"/>
        <v>8.686065724155223E-2</v>
      </c>
      <c r="AJ8" s="61">
        <f>+IFERROR(I8/F8-1,0)</f>
        <v>0.15340633767821998</v>
      </c>
      <c r="AK8" s="61">
        <f>+IFERROR(K8/I8-1,0)</f>
        <v>0.25169977496618579</v>
      </c>
      <c r="AL8" s="61">
        <f t="shared" si="13"/>
        <v>0.15611854029032801</v>
      </c>
      <c r="AM8" s="61">
        <f t="shared" si="13"/>
        <v>0.10988031554498989</v>
      </c>
      <c r="AN8" s="61">
        <f t="shared" si="13"/>
        <v>6.4502488729150986E-2</v>
      </c>
      <c r="AO8" s="61">
        <f t="shared" si="13"/>
        <v>4.3023537654704125E-2</v>
      </c>
    </row>
    <row r="9" spans="2:41">
      <c r="B9" s="8" t="s">
        <v>403</v>
      </c>
      <c r="C9" s="74">
        <f>+SUMIF(BdV!$C:$C,B9,BdV!$E:$E)/1000</f>
        <v>56.55</v>
      </c>
      <c r="D9" s="74">
        <f>+SUMIF(BdV!$C:$C,B9,BdV!$F:$F)/1000</f>
        <v>56.75</v>
      </c>
      <c r="E9" s="74">
        <f>+SUMIF(BdV!$C:$C,B9,BdV!$G:$G)/1000</f>
        <v>56.95</v>
      </c>
      <c r="F9" s="74">
        <f>+SUMIF(BdV!$C:$C,SP!B9,BdV!$H:$H)/1000</f>
        <v>77.150000000000006</v>
      </c>
      <c r="G9" s="74">
        <f>+F9-H9</f>
        <v>0</v>
      </c>
      <c r="H9" s="74">
        <f>+F9</f>
        <v>77.150000000000006</v>
      </c>
      <c r="I9" s="74">
        <f>+SUMIF(BdV!$C:$C,SP!B9,BdV!$I:$I)/1000</f>
        <v>230.99780999999999</v>
      </c>
      <c r="J9" s="1467">
        <f>+SUMIF(BdV!$C:$C,SP!B9,BdV!$J:$J)/1000</f>
        <v>208.74951000000001</v>
      </c>
      <c r="K9" s="74">
        <f>+J9</f>
        <v>208.74951000000001</v>
      </c>
      <c r="L9" s="74">
        <f t="shared" ref="L9:O9" si="14">+K9</f>
        <v>208.74951000000001</v>
      </c>
      <c r="M9" s="74">
        <f t="shared" si="14"/>
        <v>208.74951000000001</v>
      </c>
      <c r="N9" s="74">
        <f t="shared" si="14"/>
        <v>208.74951000000001</v>
      </c>
      <c r="O9" s="74">
        <f t="shared" si="14"/>
        <v>208.74951000000001</v>
      </c>
      <c r="P9" s="59"/>
      <c r="T9" s="8" t="s">
        <v>403</v>
      </c>
      <c r="U9" s="61">
        <f t="shared" si="2"/>
        <v>3.9456708709370162E-3</v>
      </c>
      <c r="V9" s="61">
        <f t="shared" si="3"/>
        <v>4.0503275761843939E-3</v>
      </c>
      <c r="W9" s="61">
        <f t="shared" si="4"/>
        <v>3.4052647263023003E-3</v>
      </c>
      <c r="X9" s="61">
        <f t="shared" si="5"/>
        <v>3.3222642264459233E-3</v>
      </c>
      <c r="Y9" s="61">
        <f t="shared" si="6"/>
        <v>9.5596952890163751E-3</v>
      </c>
      <c r="Z9" s="61">
        <f t="shared" si="7"/>
        <v>6.335771922354164E-3</v>
      </c>
      <c r="AA9" s="61">
        <f t="shared" si="8"/>
        <v>5.9943195642834738E-3</v>
      </c>
      <c r="AB9" s="61">
        <f t="shared" si="9"/>
        <v>5.6665608529792308E-3</v>
      </c>
      <c r="AC9" s="61">
        <f t="shared" si="10"/>
        <v>5.5462590063247086E-3</v>
      </c>
      <c r="AD9" s="61">
        <f t="shared" si="11"/>
        <v>5.2847370636320487E-3</v>
      </c>
      <c r="AF9" s="8" t="s">
        <v>403</v>
      </c>
      <c r="AG9" s="61">
        <f>+D9/C9-1</f>
        <v>3.5366931918656697E-3</v>
      </c>
      <c r="AH9" s="61">
        <f>+E9/D9-1</f>
        <v>3.5242290748900285E-3</v>
      </c>
      <c r="AI9" s="61">
        <f>+F9/E9-1</f>
        <v>0.35469710272168564</v>
      </c>
      <c r="AJ9" s="61">
        <f>+I9/F9-1</f>
        <v>1.9941388204795847</v>
      </c>
      <c r="AK9" s="61">
        <f>+K9/I9-1</f>
        <v>-9.6313900118793261E-2</v>
      </c>
      <c r="AL9" s="61">
        <f t="shared" ref="AL9:AO9" si="15">+L9/K9-1</f>
        <v>0</v>
      </c>
      <c r="AM9" s="61">
        <f t="shared" si="15"/>
        <v>0</v>
      </c>
      <c r="AN9" s="61">
        <f t="shared" si="15"/>
        <v>0</v>
      </c>
      <c r="AO9" s="61">
        <f t="shared" si="15"/>
        <v>0</v>
      </c>
    </row>
    <row r="10" spans="2:41" ht="1.9" customHeight="1">
      <c r="C10" s="57"/>
      <c r="D10" s="57"/>
      <c r="E10" s="57"/>
      <c r="F10" s="57"/>
      <c r="G10" s="57"/>
      <c r="H10" s="57"/>
      <c r="I10" s="57"/>
      <c r="J10" s="1478"/>
      <c r="K10" s="57"/>
      <c r="L10" s="57"/>
      <c r="M10" s="57"/>
      <c r="N10" s="57"/>
      <c r="O10" s="57"/>
      <c r="P10" s="59"/>
      <c r="Q10" s="60"/>
      <c r="R10" s="60"/>
      <c r="U10" s="8">
        <f t="shared" si="2"/>
        <v>0</v>
      </c>
      <c r="V10" s="8">
        <f t="shared" si="3"/>
        <v>0</v>
      </c>
      <c r="W10" s="8">
        <f t="shared" si="4"/>
        <v>0</v>
      </c>
      <c r="X10" s="8">
        <f t="shared" si="5"/>
        <v>0</v>
      </c>
      <c r="Y10" s="8">
        <f t="shared" si="6"/>
        <v>0</v>
      </c>
      <c r="Z10" s="8">
        <f t="shared" si="7"/>
        <v>0</v>
      </c>
      <c r="AA10" s="8">
        <f t="shared" si="8"/>
        <v>0</v>
      </c>
      <c r="AB10" s="8">
        <f t="shared" si="9"/>
        <v>0</v>
      </c>
      <c r="AC10" s="8">
        <f t="shared" si="10"/>
        <v>0</v>
      </c>
      <c r="AD10" s="8">
        <f t="shared" si="11"/>
        <v>0</v>
      </c>
    </row>
    <row r="11" spans="2:41">
      <c r="B11" s="123" t="s">
        <v>404</v>
      </c>
      <c r="C11" s="124">
        <f t="shared" ref="C11:I11" si="16">+SUM(C7:C9)</f>
        <v>5661.0705399999988</v>
      </c>
      <c r="D11" s="124">
        <f t="shared" si="16"/>
        <v>5088.456720000002</v>
      </c>
      <c r="E11" s="124">
        <f t="shared" si="16"/>
        <v>5086.3642499999978</v>
      </c>
      <c r="F11" s="124">
        <f t="shared" si="16"/>
        <v>13623.83065</v>
      </c>
      <c r="G11" s="124">
        <f t="shared" ref="G11:H11" si="17">+SUM(G7:G9)</f>
        <v>240.00018000000182</v>
      </c>
      <c r="H11" s="124">
        <f t="shared" si="17"/>
        <v>13383.830469999999</v>
      </c>
      <c r="I11" s="124">
        <f t="shared" si="16"/>
        <v>14370.420750000001</v>
      </c>
      <c r="J11" s="124">
        <f t="shared" ref="J11" si="18">+SUM(J7:J9)</f>
        <v>14588.059909999998</v>
      </c>
      <c r="K11" s="124">
        <f>+SUM(K7:K9)</f>
        <v>15481.359467965707</v>
      </c>
      <c r="L11" s="124">
        <f t="shared" ref="L11:O11" si="19">+SUM(L7:L9)</f>
        <v>16268.810277421595</v>
      </c>
      <c r="M11" s="124">
        <f t="shared" si="19"/>
        <v>16834.581114547651</v>
      </c>
      <c r="N11" s="124">
        <f t="shared" si="19"/>
        <v>17066.195739276594</v>
      </c>
      <c r="O11" s="124">
        <f t="shared" si="19"/>
        <v>17117.886807028619</v>
      </c>
      <c r="P11" s="119">
        <f>+L11-K11</f>
        <v>787.45080945588779</v>
      </c>
      <c r="Q11" s="60"/>
      <c r="R11" s="60"/>
      <c r="T11" s="123" t="s">
        <v>404</v>
      </c>
      <c r="U11" s="125">
        <f t="shared" si="2"/>
        <v>0.39499064770995013</v>
      </c>
      <c r="V11" s="125">
        <f t="shared" si="3"/>
        <v>0.36317033609227839</v>
      </c>
      <c r="W11" s="125">
        <f t="shared" si="4"/>
        <v>0.30413374478753374</v>
      </c>
      <c r="X11" s="125">
        <f t="shared" si="5"/>
        <v>0.58667485671616992</v>
      </c>
      <c r="Y11" s="125">
        <f t="shared" si="6"/>
        <v>0.59471058857639458</v>
      </c>
      <c r="Z11" s="125">
        <f t="shared" si="7"/>
        <v>0.46987589401771013</v>
      </c>
      <c r="AA11" s="125">
        <f t="shared" si="8"/>
        <v>0.46716491805688221</v>
      </c>
      <c r="AB11" s="125">
        <f t="shared" si="9"/>
        <v>0.45697917240619718</v>
      </c>
      <c r="AC11" s="125">
        <f t="shared" si="10"/>
        <v>0.45343120480935822</v>
      </c>
      <c r="AD11" s="125">
        <f t="shared" si="11"/>
        <v>0.43335924889194805</v>
      </c>
      <c r="AF11" s="123" t="s">
        <v>404</v>
      </c>
      <c r="AG11" s="125">
        <f>+D11/C11-1</f>
        <v>-0.10114938790358141</v>
      </c>
      <c r="AH11" s="125">
        <f>+E11/D11-1</f>
        <v>-4.11218983504269E-4</v>
      </c>
      <c r="AI11" s="125">
        <f>+F11/E11-1</f>
        <v>1.6785007876697007</v>
      </c>
      <c r="AJ11" s="125">
        <f>+I11/F11-1</f>
        <v>5.4800306843215241E-2</v>
      </c>
      <c r="AK11" s="125">
        <f>+K11/I11-1</f>
        <v>7.7307320174721195E-2</v>
      </c>
      <c r="AL11" s="125">
        <f t="shared" ref="AL11:AO11" si="20">+L11/K11-1</f>
        <v>5.0864448376468196E-2</v>
      </c>
      <c r="AM11" s="125">
        <f t="shared" si="20"/>
        <v>3.4776411272756214E-2</v>
      </c>
      <c r="AN11" s="125">
        <f t="shared" si="20"/>
        <v>1.3758264797500308E-2</v>
      </c>
      <c r="AO11" s="125">
        <f t="shared" si="20"/>
        <v>3.0288570775653945E-3</v>
      </c>
    </row>
    <row r="12" spans="2:41">
      <c r="B12" s="8" t="s">
        <v>2344</v>
      </c>
      <c r="C12" s="74">
        <f>+SUMIF(BdV!$C:$C,B12,BdV!$E:$E)/1000</f>
        <v>794.50555000000008</v>
      </c>
      <c r="D12" s="74">
        <f>+SUMIF(BdV!$C:$C,B12,BdV!$F:$F)/1000</f>
        <v>1100.3050000000001</v>
      </c>
      <c r="E12" s="74">
        <f>+SUMIF(BdV!$C:$C,B12,BdV!$G:$G)/1000</f>
        <v>1028.0787499999999</v>
      </c>
      <c r="F12" s="74">
        <f>+SUMIF(BdV!$C:$C,SP!B12,BdV!$H:$H)/1000</f>
        <v>985.12792000000002</v>
      </c>
      <c r="G12" s="74">
        <f t="shared" ref="G12" si="21">+F12-H12</f>
        <v>0</v>
      </c>
      <c r="H12" s="74">
        <f>+F12</f>
        <v>985.12792000000002</v>
      </c>
      <c r="I12" s="74">
        <f>+SUMIF(BdV!$C:$C,SP!B12,BdV!$I:$I)/1000</f>
        <v>701.56955000000005</v>
      </c>
      <c r="J12" s="1467">
        <f>+SUMIF(BdV!$C:$C,SP!B12,BdV!$J:$J)/1000</f>
        <v>864.18901000000005</v>
      </c>
      <c r="K12" s="74">
        <f>+CCN!I5</f>
        <v>2119.3035951735465</v>
      </c>
      <c r="L12" s="74">
        <f>+CCN!J5</f>
        <v>2242.1513192393572</v>
      </c>
      <c r="M12" s="74">
        <f>+CCN!K5</f>
        <v>2325.7546192692066</v>
      </c>
      <c r="N12" s="74">
        <f>+CCN!L5</f>
        <v>2428.4330775196022</v>
      </c>
      <c r="O12" s="74">
        <f>+CCN!M5</f>
        <v>2535.8954677561178</v>
      </c>
      <c r="P12" s="74">
        <f>+SUM(CE!M29:M31)</f>
        <v>-3178.8095871136043</v>
      </c>
      <c r="Q12" s="60"/>
      <c r="R12" s="60"/>
      <c r="T12" s="8" t="s">
        <v>406</v>
      </c>
      <c r="U12" s="61">
        <f t="shared" si="2"/>
        <v>5.5435144216318184E-2</v>
      </c>
      <c r="V12" s="61">
        <f t="shared" si="3"/>
        <v>7.8530320417860261E-2</v>
      </c>
      <c r="W12" s="61">
        <f t="shared" si="4"/>
        <v>6.1472876264020378E-2</v>
      </c>
      <c r="X12" s="61">
        <f t="shared" si="5"/>
        <v>4.2421973390655621E-2</v>
      </c>
      <c r="Y12" s="61">
        <f t="shared" si="6"/>
        <v>2.903400305852397E-2</v>
      </c>
      <c r="Z12" s="61">
        <f t="shared" si="7"/>
        <v>6.432314122914487E-2</v>
      </c>
      <c r="AA12" s="61">
        <f t="shared" si="8"/>
        <v>6.4384206310235073E-2</v>
      </c>
      <c r="AB12" s="61">
        <f t="shared" si="9"/>
        <v>6.3133226416610511E-2</v>
      </c>
      <c r="AC12" s="61">
        <f t="shared" si="10"/>
        <v>6.4520960204648731E-2</v>
      </c>
      <c r="AD12" s="61">
        <f t="shared" si="11"/>
        <v>6.4199148385772425E-2</v>
      </c>
      <c r="AF12" s="8" t="s">
        <v>406</v>
      </c>
      <c r="AG12" s="61"/>
      <c r="AH12" s="61"/>
      <c r="AI12" s="61"/>
      <c r="AJ12" s="61"/>
      <c r="AK12" s="61"/>
      <c r="AL12" s="61"/>
      <c r="AM12" s="61"/>
      <c r="AN12" s="61"/>
      <c r="AO12" s="61"/>
    </row>
    <row r="13" spans="2:41">
      <c r="B13" s="8" t="s">
        <v>2345</v>
      </c>
      <c r="C13" s="74">
        <f>+SUMIF(BdV!$C:$C,B13,BdV!$E:$E)/1000</f>
        <v>14317.311210000002</v>
      </c>
      <c r="D13" s="74">
        <f>+SUMIF(BdV!$C:$C,B13,BdV!$F:$F)/1000</f>
        <v>13154.665749999998</v>
      </c>
      <c r="E13" s="74">
        <f>+SUMIF(BdV!$C:$C,B13,BdV!$G:$G)/1000-40.65</f>
        <v>17593.991219999996</v>
      </c>
      <c r="F13" s="74">
        <f>+SUMIF(BdV!$C:$C,SP!B13,BdV!$H:$H)/1000</f>
        <v>17572.798529999996</v>
      </c>
      <c r="G13" s="74">
        <f>+H13-F13</f>
        <v>0</v>
      </c>
      <c r="H13" s="74">
        <f>+F13</f>
        <v>17572.798529999996</v>
      </c>
      <c r="I13" s="74">
        <f>+SUMIF(BdV!$C:$C,SP!B13,BdV!$I:$I)/1000</f>
        <v>30513.71428</v>
      </c>
      <c r="J13" s="1467">
        <f>+SUMIF(BdV!$C:$C,SP!B13,BdV!$J:$J)/1000</f>
        <v>32053.624660000001</v>
      </c>
      <c r="K13" s="74">
        <f>+CCN!I6</f>
        <v>32361.306086111115</v>
      </c>
      <c r="L13" s="74">
        <f>+CCN!J6</f>
        <v>34394.323207222224</v>
      </c>
      <c r="M13" s="74">
        <f>+CCN!K6</f>
        <v>35662.671627222218</v>
      </c>
      <c r="N13" s="74">
        <f>+CCN!L6</f>
        <v>37240.806915675661</v>
      </c>
      <c r="O13" s="74">
        <f>+CCN!M6</f>
        <v>38888.777437302175</v>
      </c>
      <c r="P13" s="74">
        <f>-P12</f>
        <v>3178.8095871136043</v>
      </c>
      <c r="Q13" s="60"/>
      <c r="R13" s="60"/>
      <c r="T13" s="8" t="s">
        <v>407</v>
      </c>
      <c r="U13" s="61">
        <f t="shared" si="2"/>
        <v>0.99896370983973493</v>
      </c>
      <c r="V13" s="61">
        <f t="shared" si="3"/>
        <v>0.93886705625926614</v>
      </c>
      <c r="W13" s="61">
        <f t="shared" si="4"/>
        <v>1.0520140069594093</v>
      </c>
      <c r="X13" s="61">
        <f>+F13/F$26</f>
        <v>0.75672689455295516</v>
      </c>
      <c r="Y13" s="61">
        <f t="shared" si="6"/>
        <v>1.2627903730035697</v>
      </c>
      <c r="Z13" s="61">
        <f t="shared" si="7"/>
        <v>0.98220041077505627</v>
      </c>
      <c r="AA13" s="61">
        <f t="shared" si="8"/>
        <v>0.98764574106708691</v>
      </c>
      <c r="AB13" s="61">
        <f t="shared" si="9"/>
        <v>0.96807268652017686</v>
      </c>
      <c r="AC13" s="61">
        <f t="shared" si="10"/>
        <v>0.98944979923002263</v>
      </c>
      <c r="AD13" s="61">
        <f t="shared" si="11"/>
        <v>0.98451471087164966</v>
      </c>
      <c r="AF13" s="8" t="s">
        <v>407</v>
      </c>
      <c r="AG13" s="61">
        <f t="shared" ref="AG13:AI14" si="22">+IFERROR(D13/C13-1,0)</f>
        <v>-8.1205572956181027E-2</v>
      </c>
      <c r="AH13" s="61">
        <f t="shared" si="22"/>
        <v>0.33747155225133696</v>
      </c>
      <c r="AI13" s="61">
        <f t="shared" si="22"/>
        <v>-1.2045413536360128E-3</v>
      </c>
      <c r="AJ13" s="61">
        <f>+IFERROR(I13/F13-1,0)</f>
        <v>0.73641746520381957</v>
      </c>
      <c r="AK13" s="61">
        <f>+IFERROR(K13/I13-1,0)</f>
        <v>6.054955451038313E-2</v>
      </c>
      <c r="AL13" s="61">
        <f t="shared" ref="AL13:AO14" si="23">+IFERROR(L13/K13-1,0)</f>
        <v>6.2822468156921607E-2</v>
      </c>
      <c r="AM13" s="61">
        <f t="shared" si="23"/>
        <v>3.6876679106558674E-2</v>
      </c>
      <c r="AN13" s="61">
        <f t="shared" si="23"/>
        <v>4.4251740445850674E-2</v>
      </c>
      <c r="AO13" s="61">
        <f t="shared" si="23"/>
        <v>4.4251740445850452E-2</v>
      </c>
    </row>
    <row r="14" spans="2:41">
      <c r="B14" s="8" t="s">
        <v>2346</v>
      </c>
      <c r="C14" s="74">
        <f>-SUMIF(BdV!$C:$C,B14,BdV!$E:$E)/1000</f>
        <v>-7466.1214600000012</v>
      </c>
      <c r="D14" s="74">
        <f>-SUMIF(BdV!$C:$C,B14,BdV!$F:$F)/1000</f>
        <v>-7397.4661399999995</v>
      </c>
      <c r="E14" s="74">
        <f>-SUMIF(BdV!$C:$C,B14,BdV!$G:$G)/1000</f>
        <v>-8084.8894900000005</v>
      </c>
      <c r="F14" s="74">
        <f>-SUMIF(BdV!$C:$C,SP!B14,BdV!$H:$H)/1000</f>
        <v>-9231.1495099999993</v>
      </c>
      <c r="G14" s="74">
        <f>+H14-F14</f>
        <v>0</v>
      </c>
      <c r="H14" s="74">
        <f>+F14</f>
        <v>-9231.1495099999993</v>
      </c>
      <c r="I14" s="74">
        <f>-SUMIF(BdV!$C:$C,SP!B14,BdV!$I:$I)/1000</f>
        <v>-18313.998540000001</v>
      </c>
      <c r="J14" s="1467">
        <f>-SUMIF(BdV!$C:$C,SP!B14,BdV!$J:$J)/1000</f>
        <v>-14097.93909</v>
      </c>
      <c r="K14" s="74">
        <f>+CCN!I7</f>
        <v>-16865.645890889082</v>
      </c>
      <c r="L14" s="74">
        <f>+CCN!J7</f>
        <v>-17375.249002266424</v>
      </c>
      <c r="M14" s="74">
        <f>+CCN!K7</f>
        <v>-16683.26507737282</v>
      </c>
      <c r="N14" s="74">
        <f>+CCN!L7</f>
        <v>-17215.7067623851</v>
      </c>
      <c r="O14" s="74">
        <f>+CCN!M7</f>
        <v>-16545.987085017587</v>
      </c>
      <c r="P14" s="74">
        <f>+P13+P11</f>
        <v>3966.2603965694921</v>
      </c>
      <c r="Q14" s="60"/>
      <c r="R14" s="60"/>
      <c r="T14" s="8" t="s">
        <v>408</v>
      </c>
      <c r="U14" s="61">
        <f t="shared" si="2"/>
        <v>-0.52093471199999564</v>
      </c>
      <c r="V14" s="61">
        <f t="shared" si="3"/>
        <v>-0.52796759648867531</v>
      </c>
      <c r="W14" s="61">
        <f t="shared" si="4"/>
        <v>-0.48342737482614911</v>
      </c>
      <c r="X14" s="61">
        <f t="shared" si="5"/>
        <v>-0.39751546060980958</v>
      </c>
      <c r="Y14" s="61">
        <f t="shared" si="6"/>
        <v>-0.75791301036962544</v>
      </c>
      <c r="Z14" s="61">
        <f t="shared" si="7"/>
        <v>-0.51189047431949863</v>
      </c>
      <c r="AA14" s="61">
        <f t="shared" si="8"/>
        <v>-0.49893671620394475</v>
      </c>
      <c r="AB14" s="61">
        <f t="shared" si="9"/>
        <v>-0.45287165841642613</v>
      </c>
      <c r="AC14" s="61">
        <f t="shared" si="10"/>
        <v>-0.45740355836583063</v>
      </c>
      <c r="AD14" s="61">
        <f t="shared" si="11"/>
        <v>-0.41888094109811147</v>
      </c>
      <c r="AF14" s="8" t="s">
        <v>408</v>
      </c>
      <c r="AG14" s="61">
        <f t="shared" si="22"/>
        <v>-9.1955803783564383E-3</v>
      </c>
      <c r="AH14" s="61">
        <f t="shared" si="22"/>
        <v>9.2926866712228273E-2</v>
      </c>
      <c r="AI14" s="61">
        <f t="shared" si="22"/>
        <v>0.14177806900363699</v>
      </c>
      <c r="AJ14" s="61">
        <f>+IFERROR(I14/F14-1,0)</f>
        <v>0.98393477650434047</v>
      </c>
      <c r="AK14" s="61">
        <f>+IFERROR(K14/I14-1,0)</f>
        <v>-7.9084458041619898E-2</v>
      </c>
      <c r="AL14" s="61">
        <f t="shared" si="23"/>
        <v>3.0215451852492192E-2</v>
      </c>
      <c r="AM14" s="61">
        <f t="shared" si="23"/>
        <v>-3.9825842196756001E-2</v>
      </c>
      <c r="AN14" s="61">
        <f t="shared" si="23"/>
        <v>3.1914717085831157E-2</v>
      </c>
      <c r="AO14" s="61">
        <f t="shared" si="23"/>
        <v>-3.8901666170964022E-2</v>
      </c>
    </row>
    <row r="15" spans="2:41">
      <c r="B15" s="118" t="s">
        <v>409</v>
      </c>
      <c r="C15" s="78">
        <f t="shared" ref="C15:I15" si="24">+SUM(C12:C14)</f>
        <v>7645.6953000000003</v>
      </c>
      <c r="D15" s="78">
        <f t="shared" si="24"/>
        <v>6857.504609999999</v>
      </c>
      <c r="E15" s="78">
        <f t="shared" si="24"/>
        <v>10537.180479999995</v>
      </c>
      <c r="F15" s="78">
        <f t="shared" si="24"/>
        <v>9326.7769399999961</v>
      </c>
      <c r="G15" s="78">
        <f t="shared" ref="G15:H15" si="25">+SUM(G12:G14)</f>
        <v>0</v>
      </c>
      <c r="H15" s="78">
        <f t="shared" si="25"/>
        <v>9326.7769399999961</v>
      </c>
      <c r="I15" s="78">
        <f t="shared" si="24"/>
        <v>12901.28529</v>
      </c>
      <c r="J15" s="1470">
        <f t="shared" ref="J15" si="26">+SUM(J12:J14)</f>
        <v>18819.874580000003</v>
      </c>
      <c r="K15" s="78">
        <f t="shared" ref="K15:O15" si="27">+SUM(K12:K14)</f>
        <v>17614.963790395577</v>
      </c>
      <c r="L15" s="78">
        <f t="shared" si="27"/>
        <v>19261.225524195153</v>
      </c>
      <c r="M15" s="78">
        <f t="shared" si="27"/>
        <v>21305.161169118608</v>
      </c>
      <c r="N15" s="78">
        <f t="shared" si="27"/>
        <v>22453.533230810161</v>
      </c>
      <c r="O15" s="78">
        <f t="shared" si="27"/>
        <v>24878.685820040708</v>
      </c>
      <c r="P15" s="78"/>
      <c r="Q15" s="60"/>
      <c r="R15" s="60"/>
      <c r="T15" s="118" t="s">
        <v>409</v>
      </c>
      <c r="U15" s="79">
        <f t="shared" si="2"/>
        <v>0.53346414205605752</v>
      </c>
      <c r="V15" s="79">
        <f t="shared" si="3"/>
        <v>0.48942978018845118</v>
      </c>
      <c r="W15" s="79">
        <f t="shared" si="4"/>
        <v>0.63005950839728042</v>
      </c>
      <c r="X15" s="79">
        <f t="shared" si="5"/>
        <v>0.40163340733380121</v>
      </c>
      <c r="Y15" s="79">
        <f t="shared" si="6"/>
        <v>0.53391136569246811</v>
      </c>
      <c r="Z15" s="79">
        <f t="shared" si="7"/>
        <v>0.53463307768470247</v>
      </c>
      <c r="AA15" s="79">
        <f t="shared" si="8"/>
        <v>0.55309323117337716</v>
      </c>
      <c r="AB15" s="79">
        <f t="shared" si="9"/>
        <v>0.57833425452036136</v>
      </c>
      <c r="AC15" s="79">
        <f t="shared" si="10"/>
        <v>0.59656720106884065</v>
      </c>
      <c r="AD15" s="79">
        <f t="shared" si="11"/>
        <v>0.62983291815931064</v>
      </c>
      <c r="AF15" s="118" t="s">
        <v>409</v>
      </c>
      <c r="AG15" s="79">
        <f>+D15/C15-1</f>
        <v>-0.10308947179728722</v>
      </c>
      <c r="AH15" s="79">
        <f>+E15/D15-1</f>
        <v>0.53659108951003631</v>
      </c>
      <c r="AI15" s="79">
        <f>+F15/E15-1</f>
        <v>-0.11486977396822573</v>
      </c>
      <c r="AJ15" s="79">
        <f>+I15/F15-1</f>
        <v>0.38325226098952947</v>
      </c>
      <c r="AK15" s="79">
        <f>+K15/I15-1</f>
        <v>0.36536503103680906</v>
      </c>
      <c r="AL15" s="79">
        <f t="shared" ref="AL15:AO15" si="28">+L15/K15-1</f>
        <v>9.3458138965757387E-2</v>
      </c>
      <c r="AM15" s="79">
        <f t="shared" si="28"/>
        <v>0.10611659379388638</v>
      </c>
      <c r="AN15" s="79">
        <f t="shared" si="28"/>
        <v>5.3901120605278185E-2</v>
      </c>
      <c r="AO15" s="79">
        <f t="shared" si="28"/>
        <v>0.10800761574142004</v>
      </c>
    </row>
    <row r="16" spans="2:41">
      <c r="B16" s="8" t="s">
        <v>2347</v>
      </c>
      <c r="C16" s="74">
        <f>+SUMIF(BdV!$C:$C,B16,BdV!$E:$E)/1000</f>
        <v>3035.2536</v>
      </c>
      <c r="D16" s="74">
        <f>+SUMIF(BdV!$C:$C,B16,BdV!$F:$F)/1000</f>
        <v>4446.6181900000001</v>
      </c>
      <c r="E16" s="74">
        <f>+SUMIF(BdV!$C:$C,B16,BdV!$G:$G)/1000</f>
        <v>4877.9992000000002</v>
      </c>
      <c r="F16" s="74">
        <f>+SUMIF(BdV!$C:$C,SP!B16,BdV!$H:$H)/1000</f>
        <v>7449.8008899999995</v>
      </c>
      <c r="G16" s="74">
        <f t="shared" ref="G16" si="29">+F16-H16</f>
        <v>0</v>
      </c>
      <c r="H16" s="74">
        <f>+F16</f>
        <v>7449.8008899999995</v>
      </c>
      <c r="I16" s="74">
        <f>+SUMIF(BdV!$C:$C,SP!B16,BdV!$I:$I)/1000</f>
        <v>5504.8043900000011</v>
      </c>
      <c r="J16" s="1467">
        <f>+SUMIF(BdV!$C:$C,SP!B16,BdV!$J:$J)/1000</f>
        <v>7070.6184400000011</v>
      </c>
      <c r="K16" s="74">
        <f>+CCN!I8</f>
        <v>9736.056990905061</v>
      </c>
      <c r="L16" s="74">
        <f>+CCN!J8</f>
        <v>10139.83029103674</v>
      </c>
      <c r="M16" s="74">
        <f>+CCN!K8</f>
        <v>10507.579648066778</v>
      </c>
      <c r="N16" s="74">
        <f>+CCN!L8</f>
        <v>10972.700017314306</v>
      </c>
      <c r="O16" s="74">
        <f>+CCN!M8</f>
        <v>11456.841370350794</v>
      </c>
      <c r="P16" s="74"/>
      <c r="Q16" s="60"/>
      <c r="R16" s="60"/>
      <c r="T16" s="8" t="s">
        <v>410</v>
      </c>
      <c r="U16" s="61">
        <f t="shared" si="2"/>
        <v>0.2117791638448579</v>
      </c>
      <c r="V16" s="61">
        <f t="shared" si="3"/>
        <v>0.31736141455013456</v>
      </c>
      <c r="W16" s="61">
        <f t="shared" si="4"/>
        <v>0.29167477806305248</v>
      </c>
      <c r="X16" s="61">
        <f t="shared" si="5"/>
        <v>0.3208063122617239</v>
      </c>
      <c r="Y16" s="61">
        <f t="shared" si="6"/>
        <v>0.227812777073686</v>
      </c>
      <c r="Z16" s="61">
        <f t="shared" si="7"/>
        <v>0.29549979071767041</v>
      </c>
      <c r="AA16" s="61">
        <f t="shared" si="8"/>
        <v>0.29116898570001776</v>
      </c>
      <c r="AB16" s="61">
        <f t="shared" si="9"/>
        <v>0.2852310383545163</v>
      </c>
      <c r="AC16" s="61">
        <f t="shared" si="10"/>
        <v>0.29153331327450183</v>
      </c>
      <c r="AD16" s="61">
        <f t="shared" si="11"/>
        <v>0.29004328787188927</v>
      </c>
      <c r="AF16" s="8" t="s">
        <v>410</v>
      </c>
      <c r="AG16" s="61">
        <f t="shared" ref="AG16:AI17" si="30">+IFERROR(D16/C16-1,0)</f>
        <v>0.46499066503042785</v>
      </c>
      <c r="AH16" s="61">
        <f t="shared" si="30"/>
        <v>9.7013278758705468E-2</v>
      </c>
      <c r="AI16" s="61">
        <f t="shared" si="30"/>
        <v>0.52722470516190301</v>
      </c>
      <c r="AJ16" s="61">
        <f>+IFERROR(I16/F16-1,0)</f>
        <v>-0.26108033338324543</v>
      </c>
      <c r="AK16" s="61">
        <f>+IFERROR(K16/I16-1,0)</f>
        <v>0.76864722179620615</v>
      </c>
      <c r="AL16" s="61">
        <f t="shared" ref="AL16:AO17" si="31">+IFERROR(L16/K16-1,0)</f>
        <v>4.1471953225917346E-2</v>
      </c>
      <c r="AM16" s="61">
        <f t="shared" si="31"/>
        <v>3.6267801972496017E-2</v>
      </c>
      <c r="AN16" s="61">
        <f t="shared" si="31"/>
        <v>4.4265224231072375E-2</v>
      </c>
      <c r="AO16" s="61">
        <f t="shared" si="31"/>
        <v>4.4122353866645314E-2</v>
      </c>
    </row>
    <row r="17" spans="2:41">
      <c r="B17" s="8" t="s">
        <v>2348</v>
      </c>
      <c r="C17" s="74">
        <f>-SUMIF(BdV!$C:$C,B17,BdV!$E:$E)/1000</f>
        <v>-924.78734999999972</v>
      </c>
      <c r="D17" s="74">
        <f>-SUMIF(BdV!$C:$C,B17,BdV!$F:$F)/1000</f>
        <v>-1194.5848600000002</v>
      </c>
      <c r="E17" s="74">
        <f>-SUMIF(BdV!$C:$C,B17,BdV!$G:$G)/1000</f>
        <v>-2554.5690800000002</v>
      </c>
      <c r="F17" s="74">
        <f>-SUMIF(BdV!$C:$C,SP!B17,BdV!$H:$H)/1000</f>
        <v>-3572.9592200000002</v>
      </c>
      <c r="G17" s="74">
        <f>+H17-F17</f>
        <v>-335.02777999999989</v>
      </c>
      <c r="H17" s="74">
        <f>-1013.361-479.49-867.747-1547.389</f>
        <v>-3907.9870000000001</v>
      </c>
      <c r="I17" s="74">
        <f>-SUMIF(BdV!$C:$C,SP!B17,BdV!$I:$I)/1000</f>
        <v>-4473.3825299999999</v>
      </c>
      <c r="J17" s="1467">
        <f>-SUMIF(BdV!$C:$C,SP!B17,BdV!$J:$J)/1000</f>
        <v>-8071.5645600000007</v>
      </c>
      <c r="K17" s="74">
        <f>+CCN!I9</f>
        <v>-4924.5714934361467</v>
      </c>
      <c r="L17" s="74">
        <f>+CCN!J9</f>
        <v>-5128.347320802889</v>
      </c>
      <c r="M17" s="74">
        <f>+CCN!K9</f>
        <v>-5316.7783228020689</v>
      </c>
      <c r="N17" s="74">
        <f>+CCN!L9</f>
        <v>-5544.5718723837199</v>
      </c>
      <c r="O17" s="74">
        <f>+CCN!M9</f>
        <v>-5783.5940509663642</v>
      </c>
      <c r="P17" s="74"/>
      <c r="Q17" s="60"/>
      <c r="R17" s="60"/>
      <c r="T17" s="8" t="s">
        <v>411</v>
      </c>
      <c r="U17" s="61">
        <f t="shared" si="2"/>
        <v>-6.4525314035473638E-2</v>
      </c>
      <c r="V17" s="61">
        <f t="shared" si="3"/>
        <v>-8.5259207058156372E-2</v>
      </c>
      <c r="W17" s="61">
        <f t="shared" si="4"/>
        <v>-0.15274774326648849</v>
      </c>
      <c r="X17" s="61">
        <f t="shared" si="5"/>
        <v>-0.15386020219256163</v>
      </c>
      <c r="Y17" s="61">
        <f t="shared" si="6"/>
        <v>-0.18512804904085087</v>
      </c>
      <c r="Z17" s="61">
        <f t="shared" si="7"/>
        <v>-0.14946603610105935</v>
      </c>
      <c r="AA17" s="61">
        <f t="shared" si="8"/>
        <v>-0.14726239442444436</v>
      </c>
      <c r="AB17" s="61">
        <f t="shared" si="9"/>
        <v>-0.14432535869405763</v>
      </c>
      <c r="AC17" s="61">
        <f t="shared" si="10"/>
        <v>-0.14731355145898478</v>
      </c>
      <c r="AD17" s="61">
        <f t="shared" si="11"/>
        <v>-0.14641842197446961</v>
      </c>
      <c r="AF17" s="8" t="s">
        <v>411</v>
      </c>
      <c r="AG17" s="61">
        <f t="shared" si="30"/>
        <v>0.29174005245638424</v>
      </c>
      <c r="AH17" s="61">
        <f t="shared" si="30"/>
        <v>1.1384576061009177</v>
      </c>
      <c r="AI17" s="61">
        <f t="shared" si="30"/>
        <v>0.39865437500715384</v>
      </c>
      <c r="AJ17" s="61">
        <f>+IFERROR(I17/F17-1,0)</f>
        <v>0.25201051972823785</v>
      </c>
      <c r="AK17" s="61">
        <f>+IFERROR(K17/I17-1,0)</f>
        <v>0.10086080508660333</v>
      </c>
      <c r="AL17" s="61">
        <f t="shared" si="31"/>
        <v>4.137940278425245E-2</v>
      </c>
      <c r="AM17" s="61">
        <f t="shared" si="31"/>
        <v>3.6743026595491779E-2</v>
      </c>
      <c r="AN17" s="61">
        <f t="shared" si="31"/>
        <v>4.2844281960132236E-2</v>
      </c>
      <c r="AO17" s="61">
        <f t="shared" si="31"/>
        <v>4.3109221790984531E-2</v>
      </c>
    </row>
    <row r="18" spans="2:41">
      <c r="B18" s="118" t="s">
        <v>412</v>
      </c>
      <c r="C18" s="115">
        <f t="shared" ref="C18:O18" si="32">+SUM(C16:C17)</f>
        <v>2110.4662500000004</v>
      </c>
      <c r="D18" s="115">
        <f t="shared" si="32"/>
        <v>3252.0333300000002</v>
      </c>
      <c r="E18" s="115">
        <f t="shared" si="32"/>
        <v>2323.43012</v>
      </c>
      <c r="F18" s="115">
        <f t="shared" si="32"/>
        <v>3876.8416699999993</v>
      </c>
      <c r="G18" s="115">
        <f t="shared" si="32"/>
        <v>-335.02777999999989</v>
      </c>
      <c r="H18" s="115">
        <f t="shared" si="32"/>
        <v>3541.8138899999994</v>
      </c>
      <c r="I18" s="115">
        <f t="shared" si="32"/>
        <v>1031.4218600000013</v>
      </c>
      <c r="J18" s="115">
        <f t="shared" si="32"/>
        <v>-1000.9461199999996</v>
      </c>
      <c r="K18" s="115">
        <f t="shared" si="32"/>
        <v>4811.4854974689142</v>
      </c>
      <c r="L18" s="115">
        <f t="shared" si="32"/>
        <v>5011.4829702338511</v>
      </c>
      <c r="M18" s="115">
        <f t="shared" si="32"/>
        <v>5190.8013252647088</v>
      </c>
      <c r="N18" s="115">
        <f t="shared" si="32"/>
        <v>5428.1281449305861</v>
      </c>
      <c r="O18" s="115">
        <f t="shared" si="32"/>
        <v>5673.2473193844298</v>
      </c>
      <c r="P18" s="115"/>
      <c r="Q18" s="60"/>
      <c r="R18" s="60"/>
      <c r="T18" s="118" t="s">
        <v>412</v>
      </c>
      <c r="U18" s="79">
        <f t="shared" si="2"/>
        <v>0.14725384980938425</v>
      </c>
      <c r="V18" s="79">
        <f t="shared" si="3"/>
        <v>0.23210220749197821</v>
      </c>
      <c r="W18" s="79">
        <f t="shared" si="4"/>
        <v>0.13892703479656401</v>
      </c>
      <c r="X18" s="79">
        <f t="shared" si="5"/>
        <v>0.16694611006916227</v>
      </c>
      <c r="Y18" s="79">
        <f t="shared" si="6"/>
        <v>4.2684728032835115E-2</v>
      </c>
      <c r="Z18" s="79">
        <f t="shared" si="7"/>
        <v>0.14603375461661108</v>
      </c>
      <c r="AA18" s="79">
        <f t="shared" si="8"/>
        <v>0.14390659127557343</v>
      </c>
      <c r="AB18" s="79">
        <f t="shared" si="9"/>
        <v>0.14090567966045864</v>
      </c>
      <c r="AC18" s="79">
        <f t="shared" si="10"/>
        <v>0.14421976181551704</v>
      </c>
      <c r="AD18" s="79">
        <f t="shared" si="11"/>
        <v>0.14362486589741963</v>
      </c>
      <c r="AF18" s="118" t="s">
        <v>412</v>
      </c>
      <c r="AG18" s="79">
        <f>+D18/C18-1</f>
        <v>0.54090752695050193</v>
      </c>
      <c r="AH18" s="79">
        <f>+E18/D18-1</f>
        <v>-0.2855454159813301</v>
      </c>
      <c r="AI18" s="79">
        <f>+F18/E18-1</f>
        <v>0.6685854403918976</v>
      </c>
      <c r="AJ18" s="79">
        <f>+I18/F18-1</f>
        <v>-0.73395306081715694</v>
      </c>
      <c r="AK18" s="79">
        <f>+K18/I18-1</f>
        <v>3.6649054902413143</v>
      </c>
      <c r="AL18" s="79">
        <f t="shared" ref="AL18:AO18" si="33">+L18/K18-1</f>
        <v>4.1566678912395405E-2</v>
      </c>
      <c r="AM18" s="79">
        <f t="shared" si="33"/>
        <v>3.5781495436767008E-2</v>
      </c>
      <c r="AN18" s="79">
        <f t="shared" si="33"/>
        <v>4.5720651744222796E-2</v>
      </c>
      <c r="AO18" s="79">
        <f t="shared" si="33"/>
        <v>4.5157219562468098E-2</v>
      </c>
    </row>
    <row r="19" spans="2:41" ht="3" customHeight="1"/>
    <row r="20" spans="2:41">
      <c r="B20" s="123" t="s">
        <v>413</v>
      </c>
      <c r="C20" s="126">
        <f t="shared" ref="C20:O20" si="34">+C15+C18</f>
        <v>9756.1615500000007</v>
      </c>
      <c r="D20" s="126">
        <f t="shared" si="34"/>
        <v>10109.537939999998</v>
      </c>
      <c r="E20" s="126">
        <f t="shared" si="34"/>
        <v>12860.610599999996</v>
      </c>
      <c r="F20" s="126">
        <f t="shared" si="34"/>
        <v>13203.618609999996</v>
      </c>
      <c r="G20" s="126">
        <f t="shared" si="34"/>
        <v>-335.02777999999989</v>
      </c>
      <c r="H20" s="126">
        <f t="shared" si="34"/>
        <v>12868.590829999996</v>
      </c>
      <c r="I20" s="126">
        <f t="shared" si="34"/>
        <v>13932.707150000002</v>
      </c>
      <c r="J20" s="126">
        <f t="shared" si="34"/>
        <v>17818.928460000003</v>
      </c>
      <c r="K20" s="126">
        <f t="shared" si="34"/>
        <v>22426.449287864492</v>
      </c>
      <c r="L20" s="126">
        <f t="shared" si="34"/>
        <v>24272.708494429004</v>
      </c>
      <c r="M20" s="126">
        <f t="shared" si="34"/>
        <v>26495.962494383319</v>
      </c>
      <c r="N20" s="126">
        <f t="shared" si="34"/>
        <v>27881.661375740747</v>
      </c>
      <c r="O20" s="126">
        <f t="shared" si="34"/>
        <v>30551.933139425139</v>
      </c>
      <c r="P20" s="115"/>
      <c r="Q20" s="60"/>
      <c r="R20" s="60"/>
      <c r="T20" s="123" t="s">
        <v>413</v>
      </c>
      <c r="U20" s="125">
        <f t="shared" ref="U20:X22" si="35">+C20/C$26</f>
        <v>0.6807179918654418</v>
      </c>
      <c r="V20" s="125">
        <f t="shared" si="35"/>
        <v>0.72153198768042937</v>
      </c>
      <c r="W20" s="125">
        <f t="shared" si="35"/>
        <v>0.76898654319384452</v>
      </c>
      <c r="X20" s="125">
        <f t="shared" si="35"/>
        <v>0.56857951740296353</v>
      </c>
      <c r="Y20" s="125">
        <f>+I20/I$26</f>
        <v>0.57659609372530318</v>
      </c>
      <c r="Z20" s="125">
        <f t="shared" ref="Z20:AD20" si="36">+K20/K$26</f>
        <v>0.68066683230131353</v>
      </c>
      <c r="AA20" s="125">
        <f t="shared" si="36"/>
        <v>0.69699982244895053</v>
      </c>
      <c r="AB20" s="125">
        <f t="shared" si="36"/>
        <v>0.71923993418082</v>
      </c>
      <c r="AC20" s="125">
        <f t="shared" si="36"/>
        <v>0.74078696288435775</v>
      </c>
      <c r="AD20" s="125">
        <f t="shared" si="36"/>
        <v>0.77345778405673027</v>
      </c>
      <c r="AF20" s="123" t="s">
        <v>413</v>
      </c>
      <c r="AG20" s="125">
        <f>+D20/C20-1</f>
        <v>3.6220842407022058E-2</v>
      </c>
      <c r="AH20" s="125">
        <f>+E20/D20-1</f>
        <v>0.27212644893639903</v>
      </c>
      <c r="AI20" s="125">
        <f>+F20/E20-1</f>
        <v>2.6671207197580538E-2</v>
      </c>
      <c r="AJ20" s="125">
        <f>+I20/F20-1</f>
        <v>5.5218842768437471E-2</v>
      </c>
      <c r="AK20" s="125">
        <f>+K20/I20-1</f>
        <v>0.6096261154720739</v>
      </c>
      <c r="AL20" s="125">
        <f t="shared" ref="AL20:AO20" si="37">+L20/K20-1</f>
        <v>8.2325078877447E-2</v>
      </c>
      <c r="AM20" s="125">
        <f t="shared" si="37"/>
        <v>9.1594804941714347E-2</v>
      </c>
      <c r="AN20" s="125">
        <f t="shared" si="37"/>
        <v>5.2298491955186543E-2</v>
      </c>
      <c r="AO20" s="125">
        <f t="shared" si="37"/>
        <v>9.5771615891144135E-2</v>
      </c>
    </row>
    <row r="21" spans="2:41">
      <c r="B21" s="8" t="s">
        <v>414</v>
      </c>
      <c r="C21" s="74">
        <f>-SUMIF(BdV!$C:$C,B21,BdV!$E:$E)/1000</f>
        <v>0</v>
      </c>
      <c r="D21" s="74">
        <f>-SUMIF(BdV!$C:$C,B21,BdV!$F:$F)/1000</f>
        <v>0</v>
      </c>
      <c r="E21" s="74">
        <f>-SUMIF(BdV!$C:$C,B21,BdV!$G:$G)/1000</f>
        <v>0</v>
      </c>
      <c r="F21" s="74">
        <f>-SUMIF(BdV!$C:$C,SP!B21,BdV!$H:$H)/1000</f>
        <v>-2187.36</v>
      </c>
      <c r="G21" s="74">
        <f>+H21-F21</f>
        <v>66.960000000000036</v>
      </c>
      <c r="H21" s="74">
        <v>-2120.4</v>
      </c>
      <c r="I21" s="74">
        <f>-SUMIF(BdV!$C:$C,SP!B21,BdV!$I:$I)/1000</f>
        <v>-2439.0590300000003</v>
      </c>
      <c r="J21" s="1467">
        <f>-SUMIF(BdV!$C:$C,SP!B21,BdV!$J:$J)/1000</f>
        <v>-2379.83871</v>
      </c>
      <c r="K21" s="74">
        <f>+CCN!I13</f>
        <v>-2474.8747582209362</v>
      </c>
      <c r="L21" s="74">
        <f>+CCN!J13</f>
        <v>-2397.6647653756941</v>
      </c>
      <c r="M21" s="74">
        <f>+CCN!K13</f>
        <v>-2307.5198287814992</v>
      </c>
      <c r="N21" s="74">
        <f>+CCN!L13</f>
        <v>-2222.6151690703346</v>
      </c>
      <c r="O21" s="74">
        <f>+CCN!M13</f>
        <v>-2138.8918246287449</v>
      </c>
      <c r="P21" s="74"/>
      <c r="Q21" s="60"/>
      <c r="R21" s="60"/>
      <c r="T21" s="8" t="s">
        <v>414</v>
      </c>
      <c r="U21" s="61">
        <f t="shared" si="35"/>
        <v>0</v>
      </c>
      <c r="V21" s="61">
        <f t="shared" si="35"/>
        <v>0</v>
      </c>
      <c r="W21" s="61">
        <f t="shared" si="35"/>
        <v>0</v>
      </c>
      <c r="X21" s="61">
        <f t="shared" si="35"/>
        <v>-9.4192973147877571E-2</v>
      </c>
      <c r="Y21" s="61">
        <f>+I21/I$26</f>
        <v>-0.10093888387393739</v>
      </c>
      <c r="Z21" s="61">
        <f t="shared" ref="Z21:AD22" si="38">+K21/K$26</f>
        <v>-7.511510807608246E-2</v>
      </c>
      <c r="AA21" s="61">
        <f t="shared" si="38"/>
        <v>-6.8849832565761077E-2</v>
      </c>
      <c r="AB21" s="61">
        <f t="shared" si="38"/>
        <v>-6.2638238189141521E-2</v>
      </c>
      <c r="AC21" s="61">
        <f t="shared" si="38"/>
        <v>-5.9052590825483885E-2</v>
      </c>
      <c r="AD21" s="61">
        <f t="shared" si="38"/>
        <v>-5.4148538603588134E-2</v>
      </c>
      <c r="AF21" s="8" t="s">
        <v>414</v>
      </c>
      <c r="AG21" s="61">
        <f t="shared" ref="AG21:AI22" si="39">+IFERROR(D21/C21-1,0)</f>
        <v>0</v>
      </c>
      <c r="AH21" s="61">
        <f t="shared" si="39"/>
        <v>0</v>
      </c>
      <c r="AI21" s="61">
        <f t="shared" si="39"/>
        <v>0</v>
      </c>
      <c r="AJ21" s="61">
        <f>+IFERROR(I21/F21-1,0)</f>
        <v>0.11506977818008934</v>
      </c>
      <c r="AK21" s="61">
        <f>+IFERROR(K21/I21-1,0)</f>
        <v>1.4684240020601758E-2</v>
      </c>
      <c r="AL21" s="61">
        <f t="shared" ref="AL21:AO22" si="40">+IFERROR(L21/K21-1,0)</f>
        <v>-3.119753538588943E-2</v>
      </c>
      <c r="AM21" s="61">
        <f t="shared" si="40"/>
        <v>-3.7596972644367899E-2</v>
      </c>
      <c r="AN21" s="61">
        <f t="shared" si="40"/>
        <v>-3.6794769280920625E-2</v>
      </c>
      <c r="AO21" s="61">
        <f t="shared" si="40"/>
        <v>-3.7668844164601478E-2</v>
      </c>
    </row>
    <row r="22" spans="2:41">
      <c r="B22" s="8" t="s">
        <v>415</v>
      </c>
      <c r="C22" s="74">
        <f>-SUMIF(BdV!$C:$C,B22,BdV!$E:$E)/1000</f>
        <v>-1085.0686000000001</v>
      </c>
      <c r="D22" s="74">
        <f>-SUMIF(BdV!$C:$C,B22,BdV!$F:$F)/1000</f>
        <v>-1186.78225</v>
      </c>
      <c r="E22" s="74">
        <f>-SUMIF(BdV!$C:$C,B22,BdV!$G:$G)/1000</f>
        <v>-1222.8712700000001</v>
      </c>
      <c r="F22" s="74">
        <f>-SUMIF(BdV!$C:$C,SP!B22,BdV!$H:$H)/1000</f>
        <v>-1417.9748400000001</v>
      </c>
      <c r="G22" s="74">
        <f t="shared" ref="G22" si="41">+F22-H22</f>
        <v>0</v>
      </c>
      <c r="H22" s="74">
        <f>+F22</f>
        <v>-1417.9748400000001</v>
      </c>
      <c r="I22" s="74">
        <f>-SUMIF(BdV!$C:$C,SP!B22,BdV!$I:$I)/1000</f>
        <v>-1700.3478500000001</v>
      </c>
      <c r="J22" s="1467">
        <f>-SUMIF(BdV!$C:$C,SP!B22,BdV!$J:$J)/1000</f>
        <v>-1693.8855600000002</v>
      </c>
      <c r="K22" s="74">
        <f>+CCN!I12</f>
        <v>-2485.171269048863</v>
      </c>
      <c r="L22" s="74">
        <f>+CCN!J12</f>
        <v>-3319.2992323497292</v>
      </c>
      <c r="M22" s="74">
        <f>+CCN!K12</f>
        <v>-4184.187064887049</v>
      </c>
      <c r="N22" s="74">
        <f>+CCN!L12</f>
        <v>-5087.3476893045845</v>
      </c>
      <c r="O22" s="74">
        <f>+CCN!M12</f>
        <v>-6030.4747432547574</v>
      </c>
      <c r="P22" s="74"/>
      <c r="Q22" s="60"/>
      <c r="R22" s="60"/>
      <c r="T22" s="8" t="s">
        <v>415</v>
      </c>
      <c r="U22" s="61">
        <f t="shared" si="35"/>
        <v>-7.5708639575391853E-2</v>
      </c>
      <c r="V22" s="61">
        <f t="shared" si="35"/>
        <v>-8.4702323772707686E-2</v>
      </c>
      <c r="W22" s="61">
        <f t="shared" si="35"/>
        <v>-7.3120287981378332E-2</v>
      </c>
      <c r="X22" s="61">
        <f t="shared" si="35"/>
        <v>-6.1061400971255758E-2</v>
      </c>
      <c r="Y22" s="61">
        <f>+I22/I$26</f>
        <v>-7.0367798427760517E-2</v>
      </c>
      <c r="Z22" s="61">
        <f t="shared" si="38"/>
        <v>-7.5427618242941266E-2</v>
      </c>
      <c r="AA22" s="61">
        <f t="shared" si="38"/>
        <v>-9.5314907940071789E-2</v>
      </c>
      <c r="AB22" s="61">
        <f t="shared" si="38"/>
        <v>-0.11358086839787561</v>
      </c>
      <c r="AC22" s="61">
        <f t="shared" si="38"/>
        <v>-0.13516557686823191</v>
      </c>
      <c r="AD22" s="61">
        <f t="shared" si="38"/>
        <v>-0.15266849434509033</v>
      </c>
      <c r="AF22" s="8" t="s">
        <v>415</v>
      </c>
      <c r="AG22" s="61">
        <f t="shared" si="39"/>
        <v>9.3739372791729503E-2</v>
      </c>
      <c r="AH22" s="61">
        <f t="shared" si="39"/>
        <v>3.0409133604753613E-2</v>
      </c>
      <c r="AI22" s="61">
        <f t="shared" si="39"/>
        <v>0.15954546875567699</v>
      </c>
      <c r="AJ22" s="61">
        <f>+IFERROR(I22/F22-1,0)</f>
        <v>0.19913823717774859</v>
      </c>
      <c r="AK22" s="61">
        <f>+IFERROR(K22/I22-1,0)</f>
        <v>0.46156639010592038</v>
      </c>
      <c r="AL22" s="61">
        <f t="shared" si="40"/>
        <v>0.33564204354418914</v>
      </c>
      <c r="AM22" s="61">
        <f t="shared" si="40"/>
        <v>0.26056338160421477</v>
      </c>
      <c r="AN22" s="61">
        <f t="shared" si="40"/>
        <v>0.21585091928530109</v>
      </c>
      <c r="AO22" s="61">
        <f t="shared" si="40"/>
        <v>0.18538678925620933</v>
      </c>
    </row>
    <row r="23" spans="2:41" ht="3" customHeight="1">
      <c r="U23" s="61"/>
      <c r="V23" s="61"/>
      <c r="W23" s="61"/>
      <c r="X23" s="61"/>
      <c r="Y23" s="61"/>
      <c r="Z23" s="61"/>
      <c r="AA23" s="61"/>
      <c r="AB23" s="61"/>
      <c r="AC23" s="61"/>
      <c r="AD23" s="61"/>
      <c r="AG23" s="61"/>
      <c r="AH23" s="61"/>
      <c r="AI23" s="61"/>
      <c r="AJ23" s="61"/>
      <c r="AK23" s="61"/>
      <c r="AL23" s="61"/>
      <c r="AM23" s="61"/>
      <c r="AN23" s="61"/>
      <c r="AO23" s="61"/>
    </row>
    <row r="24" spans="2:41">
      <c r="B24" s="123" t="s">
        <v>416</v>
      </c>
      <c r="C24" s="126">
        <f t="shared" ref="C24:I24" si="42">+SUM(C21:C22)</f>
        <v>-1085.0686000000001</v>
      </c>
      <c r="D24" s="126">
        <f t="shared" si="42"/>
        <v>-1186.78225</v>
      </c>
      <c r="E24" s="126">
        <f t="shared" si="42"/>
        <v>-1222.8712700000001</v>
      </c>
      <c r="F24" s="126">
        <f t="shared" si="42"/>
        <v>-3605.3348400000004</v>
      </c>
      <c r="G24" s="126">
        <f t="shared" ref="G24:H24" si="43">+SUM(G21:G22)</f>
        <v>66.960000000000036</v>
      </c>
      <c r="H24" s="126">
        <f t="shared" si="43"/>
        <v>-3538.3748400000004</v>
      </c>
      <c r="I24" s="126">
        <f t="shared" si="42"/>
        <v>-4139.4068800000005</v>
      </c>
      <c r="J24" s="126">
        <f t="shared" ref="J24" si="44">+SUM(J21:J22)</f>
        <v>-4073.7242700000002</v>
      </c>
      <c r="K24" s="126">
        <f t="shared" ref="K24:O24" si="45">+SUM(K21:K22)</f>
        <v>-4960.0460272697992</v>
      </c>
      <c r="L24" s="126">
        <f t="shared" si="45"/>
        <v>-5716.9639977254228</v>
      </c>
      <c r="M24" s="126">
        <f t="shared" si="45"/>
        <v>-6491.7068936685482</v>
      </c>
      <c r="N24" s="126">
        <f t="shared" si="45"/>
        <v>-7309.9628583749191</v>
      </c>
      <c r="O24" s="126">
        <f t="shared" si="45"/>
        <v>-8169.3665678835023</v>
      </c>
      <c r="P24" s="115"/>
      <c r="Q24" s="60"/>
      <c r="R24" s="60"/>
      <c r="T24" s="123" t="s">
        <v>416</v>
      </c>
      <c r="U24" s="125">
        <f>+C24/C$26</f>
        <v>-7.5708639575391853E-2</v>
      </c>
      <c r="V24" s="125">
        <f>+D24/D$26</f>
        <v>-8.4702323772707686E-2</v>
      </c>
      <c r="W24" s="125">
        <f>+E24/E$26</f>
        <v>-7.3120287981378332E-2</v>
      </c>
      <c r="X24" s="125">
        <f>+F24/F$26</f>
        <v>-0.15525437411913334</v>
      </c>
      <c r="Y24" s="125">
        <f>+I24/I$26</f>
        <v>-0.1713066823016979</v>
      </c>
      <c r="Z24" s="125">
        <f t="shared" ref="Z24:AD24" si="46">+K24/K$26</f>
        <v>-0.15054272631902374</v>
      </c>
      <c r="AA24" s="125">
        <f t="shared" si="46"/>
        <v>-0.16416474050583285</v>
      </c>
      <c r="AB24" s="125">
        <f t="shared" si="46"/>
        <v>-0.17621910658701712</v>
      </c>
      <c r="AC24" s="125">
        <f t="shared" si="46"/>
        <v>-0.19421816769371578</v>
      </c>
      <c r="AD24" s="125">
        <f t="shared" si="46"/>
        <v>-0.20681703294867845</v>
      </c>
      <c r="AF24" s="123" t="s">
        <v>416</v>
      </c>
      <c r="AG24" s="125">
        <f>+D24/C24-1</f>
        <v>9.3739372791729503E-2</v>
      </c>
      <c r="AH24" s="125">
        <f>+E24/D24-1</f>
        <v>3.0409133604753613E-2</v>
      </c>
      <c r="AI24" s="125">
        <f>+F24/E24-1</f>
        <v>1.9482537765401915</v>
      </c>
      <c r="AJ24" s="125">
        <f>+I24/F24-1</f>
        <v>0.14813382492928162</v>
      </c>
      <c r="AK24" s="125">
        <f>+K24/I24-1</f>
        <v>0.19825041873385452</v>
      </c>
      <c r="AL24" s="125">
        <f t="shared" ref="AL24:AO24" si="47">+L24/K24-1</f>
        <v>0.15260301341845817</v>
      </c>
      <c r="AM24" s="125">
        <f t="shared" si="47"/>
        <v>0.13551649026500212</v>
      </c>
      <c r="AN24" s="125">
        <f t="shared" si="47"/>
        <v>0.12604635084563465</v>
      </c>
      <c r="AO24" s="125">
        <f t="shared" si="47"/>
        <v>0.11756608428235404</v>
      </c>
    </row>
    <row r="25" spans="2:41" ht="3" customHeight="1"/>
    <row r="26" spans="2:41" ht="11.25" customHeight="1">
      <c r="B26" s="103" t="s">
        <v>417</v>
      </c>
      <c r="C26" s="127">
        <f t="shared" ref="C26:O26" si="48">+SUM(C11+C20+C24)</f>
        <v>14332.163489999999</v>
      </c>
      <c r="D26" s="127">
        <f t="shared" si="48"/>
        <v>14011.21241</v>
      </c>
      <c r="E26" s="127">
        <f t="shared" si="48"/>
        <v>16724.103579999995</v>
      </c>
      <c r="F26" s="127">
        <f t="shared" si="48"/>
        <v>23222.114419999994</v>
      </c>
      <c r="G26" s="127">
        <f t="shared" si="48"/>
        <v>-28.067599999998038</v>
      </c>
      <c r="H26" s="127">
        <f t="shared" si="48"/>
        <v>22714.046459999994</v>
      </c>
      <c r="I26" s="127">
        <f t="shared" si="48"/>
        <v>24163.721020000005</v>
      </c>
      <c r="J26" s="127">
        <f t="shared" si="48"/>
        <v>28333.2641</v>
      </c>
      <c r="K26" s="127">
        <f t="shared" si="48"/>
        <v>32947.762728560403</v>
      </c>
      <c r="L26" s="127">
        <f t="shared" si="48"/>
        <v>34824.554774125179</v>
      </c>
      <c r="M26" s="127">
        <f t="shared" si="48"/>
        <v>36838.83671526242</v>
      </c>
      <c r="N26" s="127">
        <f t="shared" si="48"/>
        <v>37637.894256642416</v>
      </c>
      <c r="O26" s="127">
        <f t="shared" si="48"/>
        <v>39500.453378570259</v>
      </c>
      <c r="P26" s="128"/>
      <c r="Q26" s="60"/>
      <c r="R26" s="60"/>
      <c r="T26" s="103" t="s">
        <v>417</v>
      </c>
      <c r="U26" s="129">
        <f>+C26/C$26</f>
        <v>1</v>
      </c>
      <c r="V26" s="129">
        <f>+D26/D$26</f>
        <v>1</v>
      </c>
      <c r="W26" s="129">
        <f>+E26/E$26</f>
        <v>1</v>
      </c>
      <c r="X26" s="129">
        <f>+F26/F$26</f>
        <v>1</v>
      </c>
      <c r="Y26" s="129">
        <f>+I26/I$26</f>
        <v>1</v>
      </c>
      <c r="Z26" s="129">
        <f t="shared" ref="Z26:AD26" si="49">+K26/K$26</f>
        <v>1</v>
      </c>
      <c r="AA26" s="129">
        <f t="shared" si="49"/>
        <v>1</v>
      </c>
      <c r="AB26" s="129">
        <f t="shared" si="49"/>
        <v>1</v>
      </c>
      <c r="AC26" s="129">
        <f t="shared" si="49"/>
        <v>1</v>
      </c>
      <c r="AD26" s="129">
        <f t="shared" si="49"/>
        <v>1</v>
      </c>
      <c r="AF26" s="103" t="s">
        <v>417</v>
      </c>
      <c r="AG26" s="129">
        <f t="shared" ref="AG26:AI27" si="50">+D26/C26-1</f>
        <v>-2.2393763525230259E-2</v>
      </c>
      <c r="AH26" s="129">
        <f t="shared" si="50"/>
        <v>0.19362287078481288</v>
      </c>
      <c r="AI26" s="129">
        <f t="shared" si="50"/>
        <v>0.3885416524070584</v>
      </c>
      <c r="AJ26" s="129">
        <f>+I26/F26-1</f>
        <v>4.0547840862805051E-2</v>
      </c>
      <c r="AK26" s="129">
        <f>+K26/I26-1</f>
        <v>0.36352189719828165</v>
      </c>
      <c r="AL26" s="129">
        <f t="shared" ref="AL26:AO26" si="51">+L26/K26-1</f>
        <v>5.6962655128565132E-2</v>
      </c>
      <c r="AM26" s="129">
        <f t="shared" si="51"/>
        <v>5.7840852645555163E-2</v>
      </c>
      <c r="AN26" s="129">
        <f t="shared" si="51"/>
        <v>2.1690629037939946E-2</v>
      </c>
      <c r="AO26" s="129">
        <f t="shared" si="51"/>
        <v>4.9486273308160245E-2</v>
      </c>
    </row>
    <row r="27" spans="2:41" outlineLevel="1">
      <c r="B27" s="8" t="s">
        <v>418</v>
      </c>
      <c r="C27" s="74">
        <f>+SUMIF(BdV!$C:$C,B27,BdV!$E:$E)/1000</f>
        <v>1000</v>
      </c>
      <c r="D27" s="74">
        <f>+SUMIF(BdV!$C:$C,B27,BdV!$F:$F)/1000</f>
        <v>1000</v>
      </c>
      <c r="E27" s="74">
        <f>+SUMIF(BdV!$C:$C,B27,BdV!$G:$G)/1000</f>
        <v>1000</v>
      </c>
      <c r="F27" s="74">
        <f>+SUMIF(BdV!$C:$C,SP!B27,BdV!$H:$H)/1000</f>
        <v>1000</v>
      </c>
      <c r="G27" s="74">
        <f t="shared" ref="G27:G29" si="52">+F27-H27</f>
        <v>0</v>
      </c>
      <c r="H27" s="74">
        <f>+F27</f>
        <v>1000</v>
      </c>
      <c r="I27" s="74">
        <f>+SUMIF(BdV!$C:$C,SP!B27,BdV!$I:$I)/1000</f>
        <v>1000</v>
      </c>
      <c r="J27" s="1467">
        <f>+SUMIF(BdV!$C:$C,SP!B27,BdV!$J:$J)/1000</f>
        <v>1000</v>
      </c>
      <c r="K27" s="74">
        <f>+SUMIF(BdV!$C:$C,SP!B27,BdV!$K:$K)/1000</f>
        <v>1000</v>
      </c>
      <c r="L27" s="74">
        <f>+SUMIF(BdV!$C:$C,SP!B27,BdV!$L:$L)/1000</f>
        <v>1000</v>
      </c>
      <c r="M27" s="74">
        <f>+SUMIF(BdV!$C:$C,SP!B27,BdV!$M:$M)/1000</f>
        <v>1000</v>
      </c>
      <c r="N27" s="74">
        <f>+SUMIF(BdV!$C:$C,SP!B27,BdV!$N:$N)/1000</f>
        <v>1000</v>
      </c>
      <c r="O27" s="74">
        <f>+SUMIF(BdV!$C:$C,SP!B27,BdV!$O:$O)/1000</f>
        <v>1000</v>
      </c>
      <c r="P27" s="74"/>
      <c r="Q27" s="60"/>
      <c r="R27" s="60"/>
      <c r="T27" s="8" t="s">
        <v>418</v>
      </c>
      <c r="U27" s="61">
        <f t="shared" ref="U27:U37" si="53">+C27/C$41</f>
        <v>6.97732496235004E-2</v>
      </c>
      <c r="V27" s="61">
        <f t="shared" ref="V27:V37" si="54">+D27/D$41</f>
        <v>7.1370552624037464E-2</v>
      </c>
      <c r="W27" s="61">
        <f t="shared" ref="W27:W37" si="55">+E27/E$41</f>
        <v>5.9793946973362121E-2</v>
      </c>
      <c r="X27" s="61">
        <f t="shared" ref="X27:X37" si="56">+F27/F$41</f>
        <v>4.3062400861256282E-2</v>
      </c>
      <c r="Y27" s="61">
        <f t="shared" ref="Y27:Y37" si="57">+I27/I$41</f>
        <v>4.1384354635294503E-2</v>
      </c>
      <c r="Z27" s="61">
        <f t="shared" ref="Z27:AD31" si="58">+K27/K$41</f>
        <v>3.0351095863304773E-2</v>
      </c>
      <c r="AA27" s="61">
        <f t="shared" si="58"/>
        <v>2.8715389860533458E-2</v>
      </c>
      <c r="AB27" s="61">
        <f t="shared" si="58"/>
        <v>2.7145282526541078E-2</v>
      </c>
      <c r="AC27" s="61">
        <f t="shared" si="58"/>
        <v>2.6568984183301378E-2</v>
      </c>
      <c r="AD27" s="61">
        <f t="shared" si="58"/>
        <v>2.5316180007123181E-2</v>
      </c>
      <c r="AF27" s="8" t="s">
        <v>418</v>
      </c>
      <c r="AG27" s="61">
        <f t="shared" si="50"/>
        <v>0</v>
      </c>
      <c r="AH27" s="61">
        <f t="shared" si="50"/>
        <v>0</v>
      </c>
      <c r="AI27" s="61">
        <f t="shared" si="50"/>
        <v>0</v>
      </c>
      <c r="AJ27" s="61">
        <f>+I27/F27-1</f>
        <v>0</v>
      </c>
      <c r="AK27" s="61">
        <f>+K27/I27-1</f>
        <v>0</v>
      </c>
      <c r="AL27" s="61">
        <f t="shared" ref="AL27:AO27" si="59">+L27/K27-1</f>
        <v>0</v>
      </c>
      <c r="AM27" s="61">
        <f t="shared" si="59"/>
        <v>0</v>
      </c>
      <c r="AN27" s="61">
        <f t="shared" si="59"/>
        <v>0</v>
      </c>
      <c r="AO27" s="61">
        <f t="shared" si="59"/>
        <v>0</v>
      </c>
    </row>
    <row r="28" spans="2:41" outlineLevel="1">
      <c r="B28" s="8" t="s">
        <v>2349</v>
      </c>
      <c r="C28" s="74">
        <f>+SUMIF(BdV!$C:$C,B28,BdV!$E:$E)/1000</f>
        <v>0</v>
      </c>
      <c r="D28" s="74">
        <f>+SUMIF(BdV!$C:$C,B28,BdV!$F:$F)/1000</f>
        <v>0</v>
      </c>
      <c r="E28" s="74">
        <f>+SUMIF(BdV!$C:$C,B28,BdV!$G:$G)/1000</f>
        <v>0</v>
      </c>
      <c r="F28" s="74">
        <f>+SUMIF(BdV!$C:$C,SP!B28,BdV!$H:$H)/1000</f>
        <v>5768</v>
      </c>
      <c r="G28" s="74">
        <f t="shared" si="52"/>
        <v>0</v>
      </c>
      <c r="H28" s="74">
        <f>+F28</f>
        <v>5768</v>
      </c>
      <c r="I28" s="74">
        <f>+SUMIF(BdV!$C:$C,SP!B28,BdV!$I:$I)/1000</f>
        <v>5768</v>
      </c>
      <c r="J28" s="1467">
        <f>+SUMIF(BdV!$C:$C,SP!B28,BdV!$J:$J)/1000</f>
        <v>5768</v>
      </c>
      <c r="K28" s="74">
        <f>+SUMIF(BdV!$C:$C,SP!B28,BdV!$K:$K)/1000</f>
        <v>5768</v>
      </c>
      <c r="L28" s="74">
        <f>+SUMIF(BdV!$C:$C,SP!B28,BdV!$L:$L)/1000</f>
        <v>5768</v>
      </c>
      <c r="M28" s="74">
        <f>+SUMIF(BdV!$C:$C,SP!B28,BdV!$M:$M)/1000</f>
        <v>5768</v>
      </c>
      <c r="N28" s="74">
        <f>+SUMIF(BdV!$C:$C,SP!B28,BdV!$N:$N)/1000</f>
        <v>5768</v>
      </c>
      <c r="O28" s="74">
        <f>+SUMIF(BdV!$C:$C,SP!B28,BdV!$O:$O)/1000</f>
        <v>5768</v>
      </c>
      <c r="P28" s="74"/>
      <c r="Q28" s="60"/>
      <c r="R28" s="60"/>
      <c r="T28" s="8" t="s">
        <v>419</v>
      </c>
      <c r="U28" s="61">
        <f t="shared" si="53"/>
        <v>0</v>
      </c>
      <c r="V28" s="61">
        <f t="shared" si="54"/>
        <v>0</v>
      </c>
      <c r="W28" s="61">
        <f t="shared" si="55"/>
        <v>0</v>
      </c>
      <c r="X28" s="61">
        <f t="shared" si="56"/>
        <v>0.24838392816772623</v>
      </c>
      <c r="Y28" s="61">
        <f t="shared" si="57"/>
        <v>0.23870495753637871</v>
      </c>
      <c r="Z28" s="61">
        <f t="shared" si="58"/>
        <v>0.17506512093954193</v>
      </c>
      <c r="AA28" s="61">
        <f t="shared" si="58"/>
        <v>0.16563036871555697</v>
      </c>
      <c r="AB28" s="61">
        <f t="shared" si="58"/>
        <v>0.15657398961308894</v>
      </c>
      <c r="AC28" s="61">
        <f t="shared" si="58"/>
        <v>0.15324990076928235</v>
      </c>
      <c r="AD28" s="61">
        <f t="shared" si="58"/>
        <v>0.14602372628108651</v>
      </c>
      <c r="AF28" s="8" t="s">
        <v>419</v>
      </c>
      <c r="AG28" s="61"/>
      <c r="AH28" s="61"/>
      <c r="AI28" s="61"/>
      <c r="AJ28" s="61"/>
      <c r="AK28" s="61"/>
      <c r="AL28" s="61"/>
      <c r="AM28" s="61"/>
      <c r="AN28" s="61"/>
      <c r="AO28" s="61"/>
    </row>
    <row r="29" spans="2:41" outlineLevel="1">
      <c r="B29" s="8" t="s">
        <v>420</v>
      </c>
      <c r="C29" s="74">
        <f>+SUMIF(BdV!$C:$C,B29,BdV!$E:$E)/1000</f>
        <v>2445.54945</v>
      </c>
      <c r="D29" s="74">
        <f>+SUMIF(BdV!$C:$C,B29,BdV!$F:$F)/1000</f>
        <v>3457.9543100000001</v>
      </c>
      <c r="E29" s="74">
        <f>+SUMIF(BdV!$C:$C,B29,BdV!$G:$G)/1000</f>
        <v>4560.3799800000006</v>
      </c>
      <c r="F29" s="74">
        <f>+SUMIF(BdV!$C:$C,SP!B29,BdV!$H:$H)/1000</f>
        <v>5726.3682099999996</v>
      </c>
      <c r="G29" s="74">
        <f t="shared" si="52"/>
        <v>0</v>
      </c>
      <c r="H29" s="74">
        <f>+F29</f>
        <v>5726.3682099999996</v>
      </c>
      <c r="I29" s="74">
        <f>+SUMIF(BdV!$C:$C,SP!B29,BdV!$I:$I)/1000</f>
        <v>7097.8127100000002</v>
      </c>
      <c r="J29" s="1467">
        <f>+I29+I30-12.2835</f>
        <v>10724.283909999993</v>
      </c>
      <c r="K29" s="74">
        <f>+SUMIF(BdV!$C:$C,SP!B29,BdV!$K:$K)/1000+I30</f>
        <v>10640.747129999991</v>
      </c>
      <c r="L29" s="74">
        <f>+K29+K30</f>
        <v>16210.713682931877</v>
      </c>
      <c r="M29" s="74">
        <f>+L29+L30</f>
        <v>22033.900513675726</v>
      </c>
      <c r="N29" s="74">
        <f>+M29+M30</f>
        <v>28140.032419970896</v>
      </c>
      <c r="O29" s="74">
        <f>+N29+N30</f>
        <v>34677.555296789433</v>
      </c>
      <c r="P29" s="74"/>
      <c r="Q29" s="60"/>
      <c r="R29" s="60"/>
      <c r="T29" s="8" t="s">
        <v>420</v>
      </c>
      <c r="U29" s="61">
        <f t="shared" si="53"/>
        <v>0.17063393224146411</v>
      </c>
      <c r="V29" s="61">
        <f t="shared" si="54"/>
        <v>0.24679611005337215</v>
      </c>
      <c r="W29" s="61">
        <f t="shared" si="55"/>
        <v>0.27268311870250223</v>
      </c>
      <c r="X29" s="61">
        <f t="shared" si="56"/>
        <v>0.24659116333817457</v>
      </c>
      <c r="Y29" s="61">
        <f t="shared" si="57"/>
        <v>0.29373839832554077</v>
      </c>
      <c r="Z29" s="61">
        <f t="shared" si="58"/>
        <v>0.32295833619981484</v>
      </c>
      <c r="AA29" s="61">
        <f t="shared" si="58"/>
        <v>0.46549696332287299</v>
      </c>
      <c r="AB29" s="61">
        <f t="shared" si="58"/>
        <v>0.59811645460542617</v>
      </c>
      <c r="AC29" s="61">
        <f t="shared" si="58"/>
        <v>0.74765207628379471</v>
      </c>
      <c r="AD29" s="61">
        <f t="shared" si="58"/>
        <v>0.87790323210048926</v>
      </c>
      <c r="AF29" s="8" t="s">
        <v>420</v>
      </c>
      <c r="AG29" s="61">
        <f>+D29/C29-1</f>
        <v>0.41397848651148728</v>
      </c>
      <c r="AH29" s="61">
        <f>+E29/D29-1</f>
        <v>0.31880862821463962</v>
      </c>
      <c r="AI29" s="61">
        <f>+F29/E29-1</f>
        <v>0.25567786787801805</v>
      </c>
      <c r="AJ29" s="61">
        <f>+I29/F29-1</f>
        <v>0.23949638753670022</v>
      </c>
      <c r="AK29" s="61">
        <f>+K29/I29-1</f>
        <v>0.49915862319224114</v>
      </c>
      <c r="AL29" s="61">
        <f t="shared" ref="AL29:AO29" si="60">+L29/K29-1</f>
        <v>0.52345634050716239</v>
      </c>
      <c r="AM29" s="61">
        <f t="shared" si="60"/>
        <v>0.35921841225750795</v>
      </c>
      <c r="AN29" s="61">
        <f t="shared" si="60"/>
        <v>0.27712442027707684</v>
      </c>
      <c r="AO29" s="61">
        <f t="shared" si="60"/>
        <v>0.23232108546466623</v>
      </c>
    </row>
    <row r="30" spans="2:41" outlineLevel="1">
      <c r="B30" s="8" t="s">
        <v>422</v>
      </c>
      <c r="C30" s="74">
        <f>+CE!C42</f>
        <v>1012.3848600000003</v>
      </c>
      <c r="D30" s="74">
        <f>+CE!D42</f>
        <v>1100.2636699999996</v>
      </c>
      <c r="E30" s="74">
        <f>+CE!E42</f>
        <v>1165.2755899999995</v>
      </c>
      <c r="F30" s="74">
        <f>+SUMIF(BdV!$C:$C,SP!B30,BdV!$H:$H)/1000</f>
        <v>1791.8466100000001</v>
      </c>
      <c r="G30" s="74">
        <f>+H30-F30</f>
        <v>-516.24170000000186</v>
      </c>
      <c r="H30" s="74">
        <f>+CE!H42</f>
        <v>1275.6049099999982</v>
      </c>
      <c r="I30" s="74">
        <f>+SUMIF(BdV!$C:$C,SP!B30,BdV!$I:$I)/1000</f>
        <v>3638.7546999999918</v>
      </c>
      <c r="J30" s="1467">
        <f>+SUMIF(BdV!$C:$C,SP!B30,BdV!$J:$J)/1000</f>
        <v>1931.0879399999999</v>
      </c>
      <c r="K30" s="74">
        <f>+CE!L42</f>
        <v>5569.9665529318854</v>
      </c>
      <c r="L30" s="74">
        <f>+CE!M42</f>
        <v>5823.1868307438472</v>
      </c>
      <c r="M30" s="74">
        <f>+CE!N42</f>
        <v>6106.1319062951698</v>
      </c>
      <c r="N30" s="74">
        <f>+CE!O42</f>
        <v>6537.522876818537</v>
      </c>
      <c r="O30" s="74">
        <f>+CE!P42</f>
        <v>7003.9017869585305</v>
      </c>
      <c r="P30" s="74"/>
      <c r="Q30" s="60"/>
      <c r="R30" s="60"/>
      <c r="T30" s="8" t="s">
        <v>422</v>
      </c>
      <c r="U30" s="61">
        <f t="shared" si="53"/>
        <v>7.0637381551832537E-2</v>
      </c>
      <c r="V30" s="61">
        <f t="shared" si="54"/>
        <v>7.8526426160051552E-2</v>
      </c>
      <c r="W30" s="61">
        <f t="shared" si="55"/>
        <v>6.9676426837813235E-2</v>
      </c>
      <c r="X30" s="61">
        <f t="shared" si="56"/>
        <v>7.7161217001703156E-2</v>
      </c>
      <c r="Y30" s="61">
        <f t="shared" si="57"/>
        <v>0.15058751493564432</v>
      </c>
      <c r="Z30" s="61">
        <f t="shared" si="58"/>
        <v>0.16905458880343691</v>
      </c>
      <c r="AA30" s="61">
        <f t="shared" si="58"/>
        <v>0.16721508007553385</v>
      </c>
      <c r="AB30" s="61">
        <f t="shared" si="58"/>
        <v>0.16575267574070923</v>
      </c>
      <c r="AC30" s="61">
        <f t="shared" si="58"/>
        <v>0.17369534191216265</v>
      </c>
      <c r="AD30" s="61">
        <f t="shared" si="58"/>
        <v>0.17731203839085388</v>
      </c>
      <c r="AF30" s="8" t="s">
        <v>422</v>
      </c>
      <c r="AG30" s="61">
        <f t="shared" ref="AG30:AI31" si="61">+D30/C30-1</f>
        <v>8.6803757614470012E-2</v>
      </c>
      <c r="AH30" s="61">
        <f t="shared" si="61"/>
        <v>5.9087582161101437E-2</v>
      </c>
      <c r="AI30" s="61">
        <f t="shared" si="61"/>
        <v>0.53770200403837576</v>
      </c>
      <c r="AJ30" s="61">
        <f>+I30/F30-1</f>
        <v>1.0307289026263202</v>
      </c>
      <c r="AK30" s="61">
        <f>+K30/I30-1</f>
        <v>0.53073427921148353</v>
      </c>
      <c r="AL30" s="61">
        <f t="shared" ref="AL30:AO31" si="62">+L30/K30-1</f>
        <v>4.5461723226807083E-2</v>
      </c>
      <c r="AM30" s="61">
        <f t="shared" si="62"/>
        <v>4.8589386494951148E-2</v>
      </c>
      <c r="AN30" s="61">
        <f t="shared" si="62"/>
        <v>7.0648812888994605E-2</v>
      </c>
      <c r="AO30" s="61">
        <f t="shared" si="62"/>
        <v>7.133878059436416E-2</v>
      </c>
    </row>
    <row r="31" spans="2:41">
      <c r="B31" s="123" t="s">
        <v>423</v>
      </c>
      <c r="C31" s="126">
        <f t="shared" ref="C31:O31" si="63">+SUM(C27:C30)</f>
        <v>4457.9343100000006</v>
      </c>
      <c r="D31" s="126">
        <f t="shared" si="63"/>
        <v>5558.2179799999994</v>
      </c>
      <c r="E31" s="126">
        <f t="shared" si="63"/>
        <v>6725.6555699999999</v>
      </c>
      <c r="F31" s="126">
        <f t="shared" si="63"/>
        <v>14286.214820000001</v>
      </c>
      <c r="G31" s="126">
        <f t="shared" si="63"/>
        <v>-516.24170000000186</v>
      </c>
      <c r="H31" s="126">
        <f t="shared" si="63"/>
        <v>13769.973119999999</v>
      </c>
      <c r="I31" s="126">
        <f t="shared" si="63"/>
        <v>17504.567409999992</v>
      </c>
      <c r="J31" s="126">
        <f t="shared" si="63"/>
        <v>19423.371849999992</v>
      </c>
      <c r="K31" s="126">
        <f t="shared" si="63"/>
        <v>22978.713682931873</v>
      </c>
      <c r="L31" s="126">
        <f t="shared" si="63"/>
        <v>28801.900513675726</v>
      </c>
      <c r="M31" s="126">
        <f t="shared" si="63"/>
        <v>34908.032419970899</v>
      </c>
      <c r="N31" s="126">
        <f t="shared" si="63"/>
        <v>41445.555296789433</v>
      </c>
      <c r="O31" s="126">
        <f t="shared" si="63"/>
        <v>48449.457083747962</v>
      </c>
      <c r="P31" s="115"/>
      <c r="Q31" s="60"/>
      <c r="R31" s="60"/>
      <c r="T31" s="123" t="s">
        <v>423</v>
      </c>
      <c r="U31" s="125">
        <f t="shared" si="53"/>
        <v>0.31104456341679709</v>
      </c>
      <c r="V31" s="125">
        <f t="shared" si="54"/>
        <v>0.39669308883746113</v>
      </c>
      <c r="W31" s="125">
        <f t="shared" si="55"/>
        <v>0.4021534925136776</v>
      </c>
      <c r="X31" s="125">
        <f t="shared" si="56"/>
        <v>0.61519870936886034</v>
      </c>
      <c r="Y31" s="125">
        <f t="shared" si="57"/>
        <v>0.7244152254328583</v>
      </c>
      <c r="Z31" s="125">
        <f t="shared" si="58"/>
        <v>0.69742914180609838</v>
      </c>
      <c r="AA31" s="125">
        <f t="shared" si="58"/>
        <v>0.8270578019744973</v>
      </c>
      <c r="AB31" s="125">
        <f t="shared" si="58"/>
        <v>0.94758840248576548</v>
      </c>
      <c r="AC31" s="125">
        <f t="shared" si="58"/>
        <v>1.101166303148541</v>
      </c>
      <c r="AD31" s="125">
        <f t="shared" si="58"/>
        <v>1.2265551767795528</v>
      </c>
      <c r="AF31" s="123" t="s">
        <v>423</v>
      </c>
      <c r="AG31" s="125">
        <f t="shared" si="61"/>
        <v>0.24681468893156455</v>
      </c>
      <c r="AH31" s="125">
        <f t="shared" si="61"/>
        <v>0.21003810829311886</v>
      </c>
      <c r="AI31" s="125">
        <f t="shared" si="61"/>
        <v>1.1241371448939663</v>
      </c>
      <c r="AJ31" s="125">
        <f>+I31/F31-1</f>
        <v>0.22527678818706098</v>
      </c>
      <c r="AK31" s="125">
        <f>+K31/I31-1</f>
        <v>0.3127267383828416</v>
      </c>
      <c r="AL31" s="125">
        <f t="shared" si="62"/>
        <v>0.25341657114032445</v>
      </c>
      <c r="AM31" s="125">
        <f t="shared" si="62"/>
        <v>0.21200447878069228</v>
      </c>
      <c r="AN31" s="125">
        <f t="shared" si="62"/>
        <v>0.18727846926939407</v>
      </c>
      <c r="AO31" s="125">
        <f t="shared" si="62"/>
        <v>0.16899041976404838</v>
      </c>
    </row>
    <row r="32" spans="2:41">
      <c r="B32" s="8" t="s">
        <v>424</v>
      </c>
      <c r="C32" s="74">
        <f>+SUMIF(BdV!$C:$C,B32,BdV!$E:$E)/1000*0+5791</f>
        <v>5791</v>
      </c>
      <c r="D32" s="74">
        <f>+SUMIF(BdV!$C:$C,B32,BdV!$F:$F)/1000*0+5152</f>
        <v>5152</v>
      </c>
      <c r="E32" s="74">
        <f>+SUMIF(BdV!$C:$C,B32,BdV!$G:$G)/1000*0+6274</f>
        <v>6274</v>
      </c>
      <c r="F32" s="74">
        <f>+SUMIF(BdV!$C:$C,SP!B32,BdV!$H:$H)/1000</f>
        <v>4141.2825599999996</v>
      </c>
      <c r="G32" s="74">
        <f>+H32-F32</f>
        <v>808.38244000000032</v>
      </c>
      <c r="H32" s="74">
        <v>4949.665</v>
      </c>
      <c r="I32" s="74">
        <f>+SUMIF(BdV!$C:$C,SP!B32,BdV!$I:$I)/1000</f>
        <v>6408.4168100000006</v>
      </c>
      <c r="J32" s="1467">
        <f>+SUMIF(BdV!$C:$C,SP!B32,BdV!$J:$J)/1000</f>
        <v>10220.921609999999</v>
      </c>
      <c r="K32" s="74">
        <f>+Finanziamenti!I53/1000</f>
        <v>9599.2613599999986</v>
      </c>
      <c r="L32" s="74">
        <f>+Finanziamenti!J53/1000</f>
        <v>8938.9200399999991</v>
      </c>
      <c r="M32" s="74">
        <f>+Finanziamenti!K53/1000</f>
        <v>8947.0636400000003</v>
      </c>
      <c r="N32" s="74">
        <f>+Finanziamenti!L53/1000</f>
        <v>8244.0830700000006</v>
      </c>
      <c r="O32" s="74">
        <f>+Finanziamenti!M53/1000</f>
        <v>8333.7350000000006</v>
      </c>
      <c r="P32" s="74"/>
      <c r="Q32" s="60"/>
      <c r="R32" s="60"/>
      <c r="T32" s="8" t="s">
        <v>424</v>
      </c>
      <c r="U32" s="61">
        <f t="shared" si="53"/>
        <v>0.40405688856969085</v>
      </c>
      <c r="V32" s="61">
        <f t="shared" si="54"/>
        <v>0.36770108711904098</v>
      </c>
      <c r="W32" s="61">
        <f t="shared" si="55"/>
        <v>0.37514722331087397</v>
      </c>
      <c r="X32" s="61">
        <f t="shared" si="56"/>
        <v>0.1783335696784496</v>
      </c>
      <c r="Y32" s="61">
        <f t="shared" si="57"/>
        <v>0.26520819391582273</v>
      </c>
      <c r="Z32" s="61">
        <f t="shared" ref="Z32:AD37" si="64">+K32/K$41</f>
        <v>0.29134810175427733</v>
      </c>
      <c r="AA32" s="61">
        <f t="shared" si="64"/>
        <v>0.25668457388073529</v>
      </c>
      <c r="AB32" s="61">
        <f>+M32/M$41</f>
        <v>0.24287057029074302</v>
      </c>
      <c r="AC32" s="61">
        <f t="shared" si="64"/>
        <v>0.21903691269265269</v>
      </c>
      <c r="AD32" s="61">
        <f t="shared" si="64"/>
        <v>0.21097833539166272</v>
      </c>
      <c r="AF32" s="8" t="s">
        <v>424</v>
      </c>
      <c r="AG32" s="61">
        <f t="shared" ref="AG32:AI37" si="65">+IFERROR(D32/C32-1,0)</f>
        <v>-0.11034363667760316</v>
      </c>
      <c r="AH32" s="61">
        <f t="shared" si="65"/>
        <v>0.21777950310559002</v>
      </c>
      <c r="AI32" s="61">
        <f t="shared" si="65"/>
        <v>-0.33992946126872814</v>
      </c>
      <c r="AJ32" s="61">
        <f t="shared" ref="AJ32:AJ37" si="66">+IFERROR(I32/F32-1,0)</f>
        <v>0.54744737099030538</v>
      </c>
      <c r="AK32" s="61">
        <f t="shared" ref="AK32:AK37" si="67">+IFERROR(K32/I32-1,0)</f>
        <v>0.49791464016835651</v>
      </c>
      <c r="AL32" s="61">
        <f t="shared" ref="AL32:AO37" si="68">+IFERROR(L32/K32-1,0)</f>
        <v>-6.8790847049089998E-2</v>
      </c>
      <c r="AM32" s="61">
        <f t="shared" si="68"/>
        <v>9.1102727886149815E-4</v>
      </c>
      <c r="AN32" s="61">
        <f t="shared" si="68"/>
        <v>-7.8571093074286003E-2</v>
      </c>
      <c r="AO32" s="61">
        <f t="shared" si="68"/>
        <v>1.0874699980431002E-2</v>
      </c>
    </row>
    <row r="33" spans="2:41">
      <c r="B33" s="8" t="s">
        <v>425</v>
      </c>
      <c r="C33" s="74">
        <f>+SUMIF(BdV!$C:$C,B33,BdV!$E:$E)/1000</f>
        <v>3036.3859499999999</v>
      </c>
      <c r="D33" s="74">
        <f>+SUMIF(BdV!$C:$C,B33,BdV!$F:$F)/1000</f>
        <v>3308.8259500000004</v>
      </c>
      <c r="E33" s="74">
        <f>+SUMIF(BdV!$C:$C,B33,BdV!$G:$G)/1000</f>
        <v>3701.3102900000004</v>
      </c>
      <c r="F33" s="74">
        <f>+SUMIF(BdV!$C:$C,SP!B33,BdV!$H:$H)/1000</f>
        <v>5424.3497500000003</v>
      </c>
      <c r="G33" s="74">
        <f>+H33-F33</f>
        <v>-789.23975000000064</v>
      </c>
      <c r="H33" s="74">
        <v>4635.1099999999997</v>
      </c>
      <c r="I33" s="74">
        <f>+SUMIF(BdV!$C:$C,SP!B33,BdV!$I:$I)/1000</f>
        <v>4297.5748800000001</v>
      </c>
      <c r="J33" s="1467">
        <f>+SUMIF(BdV!$C:$C,SP!B33,BdV!$J:$J)/1000</f>
        <v>4111.5366000000004</v>
      </c>
      <c r="K33" s="74">
        <f>+Finanziamenti!I54/1000</f>
        <v>3136.5047500000001</v>
      </c>
      <c r="L33" s="74">
        <f>+Finanziamenti!J54/1000</f>
        <v>1568.17371</v>
      </c>
      <c r="M33" s="74">
        <f>+Finanziamenti!K54/1000</f>
        <v>263.50206999999995</v>
      </c>
      <c r="N33" s="74">
        <f>+Finanziamenti!L54/1000</f>
        <v>0</v>
      </c>
      <c r="O33" s="74">
        <f>+Finanziamenti!M54/1000</f>
        <v>0</v>
      </c>
      <c r="P33" s="74"/>
      <c r="Q33" s="60"/>
      <c r="R33" s="60"/>
      <c r="T33" s="8" t="s">
        <v>425</v>
      </c>
      <c r="U33" s="61">
        <f t="shared" si="53"/>
        <v>0.2118585148426394</v>
      </c>
      <c r="V33" s="61">
        <f t="shared" si="54"/>
        <v>0.23615273658825578</v>
      </c>
      <c r="W33" s="61">
        <f t="shared" si="55"/>
        <v>0.22131595121221959</v>
      </c>
      <c r="X33" s="61">
        <f t="shared" si="56"/>
        <v>0.23358552334615532</v>
      </c>
      <c r="Y33" s="61">
        <f t="shared" si="57"/>
        <v>0.17785236290565323</v>
      </c>
      <c r="Z33" s="61">
        <f t="shared" si="64"/>
        <v>9.5196356342960781E-2</v>
      </c>
      <c r="AA33" s="61">
        <f t="shared" si="64"/>
        <v>4.5030719451689134E-2</v>
      </c>
      <c r="AB33" s="61">
        <f t="shared" si="64"/>
        <v>7.1528381364784023E-3</v>
      </c>
      <c r="AC33" s="61">
        <f t="shared" si="64"/>
        <v>0</v>
      </c>
      <c r="AD33" s="61">
        <f t="shared" si="64"/>
        <v>0</v>
      </c>
      <c r="AF33" s="8" t="s">
        <v>425</v>
      </c>
      <c r="AG33" s="61">
        <f t="shared" si="65"/>
        <v>8.9725089131044378E-2</v>
      </c>
      <c r="AH33" s="61">
        <f t="shared" si="65"/>
        <v>0.11861740264700238</v>
      </c>
      <c r="AI33" s="61">
        <f t="shared" si="65"/>
        <v>0.4655214842849611</v>
      </c>
      <c r="AJ33" s="61">
        <f t="shared" si="66"/>
        <v>-0.20772533518879388</v>
      </c>
      <c r="AK33" s="61">
        <f t="shared" si="67"/>
        <v>-0.27016867941111944</v>
      </c>
      <c r="AL33" s="61">
        <f t="shared" si="68"/>
        <v>-0.50002508046576366</v>
      </c>
      <c r="AM33" s="61">
        <f t="shared" si="68"/>
        <v>-0.83196882569852548</v>
      </c>
      <c r="AN33" s="61">
        <f t="shared" si="68"/>
        <v>-1</v>
      </c>
      <c r="AO33" s="61">
        <f t="shared" si="68"/>
        <v>0</v>
      </c>
    </row>
    <row r="34" spans="2:41" outlineLevel="1">
      <c r="B34" s="8" t="s">
        <v>427</v>
      </c>
      <c r="C34" s="74">
        <f>+SUMIF(BdV!$C:$C,B34,BdV!$E:$E)/1000</f>
        <v>0</v>
      </c>
      <c r="D34" s="74">
        <f>-SUMIF(BdV!$C:$C,B34,BdV!$F:$F)/1000</f>
        <v>0</v>
      </c>
      <c r="E34" s="74">
        <f>+SUMIF(BdV!$C:$C,B34,BdV!$G:$G)/1000</f>
        <v>0</v>
      </c>
      <c r="F34" s="74">
        <f>+SUMIF(BdV!$C:$C,SP!B34,BdV!$H:$H)/1000</f>
        <v>41.035179999999997</v>
      </c>
      <c r="G34" s="74">
        <f t="shared" ref="G34:G36" si="69">+F34-H34</f>
        <v>0</v>
      </c>
      <c r="H34" s="74">
        <f>+F34</f>
        <v>41.035179999999997</v>
      </c>
      <c r="I34" s="74">
        <f>+SUMIF(BdV!$C:$C,SP!B34,BdV!$I:$I)/1000</f>
        <v>108.49386</v>
      </c>
      <c r="J34" s="1467">
        <f>+SUMIF(BdV!$C:$C,SP!B34,BdV!$J:$J)/1000</f>
        <v>107.27416000000001</v>
      </c>
      <c r="K34" s="74">
        <f>+'Altri Finanziatori'!D33/1000</f>
        <v>82.308900000000008</v>
      </c>
      <c r="L34" s="74">
        <f>+'Altri Finanziatori'!E33/1000</f>
        <v>49.671539999999993</v>
      </c>
      <c r="M34" s="74">
        <f>+'Altri Finanziatori'!F33/1000</f>
        <v>22.226229999999994</v>
      </c>
      <c r="N34" s="74">
        <f>+'Altri Finanziatori'!G33/1000</f>
        <v>2.8310699999999995</v>
      </c>
      <c r="O34" s="74">
        <f>+'Altri Finanziatori'!H33/1000</f>
        <v>0</v>
      </c>
      <c r="P34" s="74"/>
      <c r="Q34" s="60"/>
      <c r="R34" s="60"/>
      <c r="T34" s="8" t="s">
        <v>427</v>
      </c>
      <c r="U34" s="61">
        <f t="shared" si="53"/>
        <v>0</v>
      </c>
      <c r="V34" s="61">
        <f t="shared" si="54"/>
        <v>0</v>
      </c>
      <c r="W34" s="61">
        <f t="shared" si="55"/>
        <v>0</v>
      </c>
      <c r="X34" s="61">
        <f t="shared" si="56"/>
        <v>1.7670733705738065E-3</v>
      </c>
      <c r="Y34" s="61">
        <f t="shared" si="57"/>
        <v>4.4899483779919933E-3</v>
      </c>
      <c r="Z34" s="61">
        <f t="shared" si="64"/>
        <v>2.4981653143031665E-3</v>
      </c>
      <c r="AA34" s="61">
        <f t="shared" si="64"/>
        <v>1.426337636073082E-3</v>
      </c>
      <c r="AB34" s="61">
        <f t="shared" si="64"/>
        <v>6.0333729284988292E-4</v>
      </c>
      <c r="AC34" s="61">
        <f t="shared" si="64"/>
        <v>7.5218654051819022E-5</v>
      </c>
      <c r="AD34" s="61">
        <f t="shared" si="64"/>
        <v>0</v>
      </c>
      <c r="AF34" s="8" t="s">
        <v>427</v>
      </c>
      <c r="AG34" s="61">
        <f t="shared" si="65"/>
        <v>0</v>
      </c>
      <c r="AH34" s="61">
        <f t="shared" si="65"/>
        <v>0</v>
      </c>
      <c r="AI34" s="61">
        <f t="shared" si="65"/>
        <v>0</v>
      </c>
      <c r="AJ34" s="61">
        <f t="shared" si="66"/>
        <v>1.6439230923319945</v>
      </c>
      <c r="AK34" s="61">
        <f t="shared" si="67"/>
        <v>-0.24134969481222246</v>
      </c>
      <c r="AL34" s="61">
        <f t="shared" si="68"/>
        <v>-0.39652285475811255</v>
      </c>
      <c r="AM34" s="61">
        <f t="shared" si="68"/>
        <v>-0.55253591895882437</v>
      </c>
      <c r="AN34" s="61">
        <f t="shared" si="68"/>
        <v>-0.87262482211333181</v>
      </c>
      <c r="AO34" s="61">
        <f t="shared" si="68"/>
        <v>-1</v>
      </c>
    </row>
    <row r="35" spans="2:41" outlineLevel="1">
      <c r="B35" s="8" t="s">
        <v>2350</v>
      </c>
      <c r="C35" s="74">
        <f>+SUMIF(BdV!$C:$C,B35,BdV!$E:$E)/1000</f>
        <v>1493.82</v>
      </c>
      <c r="D35" s="74">
        <f>+SUMIF(BdV!$C:$C,B35,BdV!$F:$F)/1000</f>
        <v>1185.6199999999999</v>
      </c>
      <c r="E35" s="74">
        <f>+SUMIF(BdV!$C:$C,B35,BdV!$G:$G)/1000</f>
        <v>855.32</v>
      </c>
      <c r="F35" s="74">
        <f>+SUMIF(BdV!$C:$C,SP!B35,BdV!$H:$H)/1000</f>
        <v>224.68</v>
      </c>
      <c r="G35" s="74">
        <f t="shared" si="69"/>
        <v>0</v>
      </c>
      <c r="H35" s="74">
        <f>+F35</f>
        <v>224.68</v>
      </c>
      <c r="I35" s="74">
        <f>+SUMIF(BdV!$C:$C,SP!B35,BdV!$I:$I)/1000</f>
        <v>0</v>
      </c>
      <c r="J35" s="1467">
        <f>+SUMIF(BdV!$C:$C,SP!B35,BdV!$J:$J)/1000</f>
        <v>0</v>
      </c>
      <c r="K35" s="74">
        <f>+SUMIF(BdV!$C:$C,SP!B35,BdV!$K:$K)/1000</f>
        <v>0</v>
      </c>
      <c r="L35" s="74">
        <f>+SUMIF(BdV!$C:$C,SP!B35,BdV!$L:$L)/1000</f>
        <v>0</v>
      </c>
      <c r="M35" s="74">
        <f>+SUMIF(BdV!$C:$C,SP!B35,BdV!$M:$M)/1000</f>
        <v>0</v>
      </c>
      <c r="N35" s="74">
        <f>+SUMIF(BdV!$C:$C,SP!B35,BdV!$N:$N)/1000</f>
        <v>0</v>
      </c>
      <c r="O35" s="74">
        <f>+SUMIF(BdV!$C:$C,SP!B35,BdV!$O:$O)/1000</f>
        <v>0</v>
      </c>
      <c r="P35" s="74"/>
      <c r="Q35" s="60"/>
      <c r="R35" s="60"/>
      <c r="T35" s="8" t="s">
        <v>428</v>
      </c>
      <c r="U35" s="61">
        <f t="shared" si="53"/>
        <v>0.10422867575257737</v>
      </c>
      <c r="V35" s="61">
        <f t="shared" si="54"/>
        <v>8.4618354602111284E-2</v>
      </c>
      <c r="W35" s="61">
        <f t="shared" si="55"/>
        <v>5.1142958725256094E-2</v>
      </c>
      <c r="X35" s="61">
        <f t="shared" si="56"/>
        <v>9.6752602255070624E-3</v>
      </c>
      <c r="Y35" s="61">
        <f t="shared" si="57"/>
        <v>0</v>
      </c>
      <c r="Z35" s="61">
        <f t="shared" si="64"/>
        <v>0</v>
      </c>
      <c r="AA35" s="61">
        <f t="shared" si="64"/>
        <v>0</v>
      </c>
      <c r="AB35" s="61">
        <f t="shared" si="64"/>
        <v>0</v>
      </c>
      <c r="AC35" s="61">
        <f t="shared" si="64"/>
        <v>0</v>
      </c>
      <c r="AD35" s="61">
        <f t="shared" si="64"/>
        <v>0</v>
      </c>
      <c r="AF35" s="8" t="s">
        <v>428</v>
      </c>
      <c r="AG35" s="61">
        <f t="shared" si="65"/>
        <v>-0.20631669143538045</v>
      </c>
      <c r="AH35" s="61">
        <f t="shared" si="65"/>
        <v>-0.27858841787419231</v>
      </c>
      <c r="AI35" s="61">
        <f t="shared" si="65"/>
        <v>-0.73731468923911514</v>
      </c>
      <c r="AJ35" s="61">
        <f t="shared" si="66"/>
        <v>-1</v>
      </c>
      <c r="AK35" s="61">
        <f t="shared" si="67"/>
        <v>0</v>
      </c>
      <c r="AL35" s="61">
        <f t="shared" si="68"/>
        <v>0</v>
      </c>
      <c r="AM35" s="61">
        <f t="shared" si="68"/>
        <v>0</v>
      </c>
      <c r="AN35" s="61">
        <f t="shared" si="68"/>
        <v>0</v>
      </c>
      <c r="AO35" s="61">
        <f t="shared" si="68"/>
        <v>0</v>
      </c>
    </row>
    <row r="36" spans="2:41" outlineLevel="1">
      <c r="B36" s="8" t="s">
        <v>429</v>
      </c>
      <c r="C36" s="74">
        <f>-SUMIF(BdV!$C:$C,B36,BdV!$E:$E)/1000</f>
        <v>0</v>
      </c>
      <c r="D36" s="74">
        <f>-SUMIF(BdV!$C:$C,B36,BdV!$F:$F)/1000</f>
        <v>-0.28299999999999997</v>
      </c>
      <c r="E36" s="74">
        <f>-SUMIF(BdV!$C:$C,B36,BdV!$G:$G)/1000</f>
        <v>-0.28299999999999997</v>
      </c>
      <c r="F36" s="74">
        <f>-SUMIF(BdV!$C:$C,SP!B36,BdV!$H:$H)/1000</f>
        <v>-0.99508000000000008</v>
      </c>
      <c r="G36" s="74">
        <f t="shared" si="69"/>
        <v>0</v>
      </c>
      <c r="H36" s="74">
        <f>+F36</f>
        <v>-0.99508000000000008</v>
      </c>
      <c r="I36" s="74">
        <f>-SUMIF(BdV!$C:$C,SP!B36,BdV!$I:$I)/1000</f>
        <v>-1.81036</v>
      </c>
      <c r="J36" s="1467">
        <f>-SUMIF(BdV!$C:$C,SP!B36,BdV!$J:$J)/1000</f>
        <v>-3.2869200000000003</v>
      </c>
      <c r="K36" s="74">
        <f>-SUMIF(BdV!$C:$C,SP!B36,BdV!$K:$K)/1000</f>
        <v>0</v>
      </c>
      <c r="L36" s="74">
        <f>-SUMIF(BdV!$C:$C,SP!B36,BdV!$L:$L)/1000</f>
        <v>0</v>
      </c>
      <c r="M36" s="74">
        <f>-SUMIF(BdV!$C:$C,SP!B36,BdV!$M:$M)/1000</f>
        <v>0</v>
      </c>
      <c r="N36" s="74">
        <f>-SUMIF(BdV!$C:$C,SP!B36,BdV!$N:$N)/1000</f>
        <v>0</v>
      </c>
      <c r="O36" s="74">
        <f>-SUMIF(BdV!$C:$C,SP!B36,BdV!$O:$O)/1000</f>
        <v>0</v>
      </c>
      <c r="P36" s="74"/>
      <c r="Q36" s="60"/>
      <c r="R36" s="60"/>
      <c r="T36" s="8" t="s">
        <v>429</v>
      </c>
      <c r="U36" s="61">
        <f t="shared" si="53"/>
        <v>0</v>
      </c>
      <c r="V36" s="61">
        <f t="shared" si="54"/>
        <v>-2.0197866392602599E-5</v>
      </c>
      <c r="W36" s="61">
        <f t="shared" si="55"/>
        <v>-1.692168699346148E-5</v>
      </c>
      <c r="X36" s="61">
        <f t="shared" si="56"/>
        <v>-4.2850533849018903E-5</v>
      </c>
      <c r="Y36" s="61">
        <f t="shared" si="57"/>
        <v>-7.4920580257551759E-5</v>
      </c>
      <c r="Z36" s="61">
        <f t="shared" si="64"/>
        <v>0</v>
      </c>
      <c r="AA36" s="61">
        <f t="shared" si="64"/>
        <v>0</v>
      </c>
      <c r="AB36" s="61">
        <f t="shared" si="64"/>
        <v>0</v>
      </c>
      <c r="AC36" s="61">
        <f t="shared" si="64"/>
        <v>0</v>
      </c>
      <c r="AD36" s="61">
        <f t="shared" si="64"/>
        <v>0</v>
      </c>
      <c r="AF36" s="8" t="s">
        <v>429</v>
      </c>
      <c r="AG36" s="61">
        <f t="shared" si="65"/>
        <v>0</v>
      </c>
      <c r="AH36" s="61">
        <f t="shared" si="65"/>
        <v>0</v>
      </c>
      <c r="AI36" s="61">
        <f t="shared" si="65"/>
        <v>2.5161837455830396</v>
      </c>
      <c r="AJ36" s="61">
        <f t="shared" si="66"/>
        <v>0.81931101017003649</v>
      </c>
      <c r="AK36" s="61">
        <f t="shared" si="67"/>
        <v>-1</v>
      </c>
      <c r="AL36" s="61">
        <f t="shared" si="68"/>
        <v>0</v>
      </c>
      <c r="AM36" s="61">
        <f t="shared" si="68"/>
        <v>0</v>
      </c>
      <c r="AN36" s="61">
        <f t="shared" si="68"/>
        <v>0</v>
      </c>
      <c r="AO36" s="61">
        <f t="shared" si="68"/>
        <v>0</v>
      </c>
    </row>
    <row r="37" spans="2:41">
      <c r="B37" s="8" t="s">
        <v>430</v>
      </c>
      <c r="C37" s="74">
        <f>-SUMIF(BdV!$C:$C,B37,BdV!$E:$E)/1000*0-447</f>
        <v>-447</v>
      </c>
      <c r="D37" s="74">
        <f>-SUMIF(BdV!$C:$C,B37,BdV!$F:$F)/1000*0-1193</f>
        <v>-1193</v>
      </c>
      <c r="E37" s="74">
        <f>-SUMIF(BdV!$C:$C,B37,BdV!$G:$G)/1000*0-831.902</f>
        <v>-831.90200000000004</v>
      </c>
      <c r="F37" s="74">
        <f>-SUMIF(BdV!$C:$C,SP!B37,BdV!$H:$H)/1000</f>
        <v>-894.45280999999977</v>
      </c>
      <c r="G37" s="74">
        <f>+H37-F37</f>
        <v>-10.990190000000212</v>
      </c>
      <c r="H37" s="74">
        <v>-905.44299999999998</v>
      </c>
      <c r="I37" s="74">
        <f>-SUMIF(BdV!$C:$C,SP!B37,BdV!$I:$I)/1000</f>
        <v>-4153.5215799999996</v>
      </c>
      <c r="J37" s="1467">
        <f>-SUMIF(BdV!$C:$C,SP!B37,BdV!$J:$J)/1000</f>
        <v>-5526.5532099999991</v>
      </c>
      <c r="K37" s="74">
        <f>-RF!I41</f>
        <v>-2849.0491943714683</v>
      </c>
      <c r="L37" s="74">
        <f>-RF!J41</f>
        <v>-4534.1342595505375</v>
      </c>
      <c r="M37" s="74">
        <f>-RF!K41</f>
        <v>-7302.0108747084741</v>
      </c>
      <c r="N37" s="74">
        <f>-RF!L41</f>
        <v>-12054.598410147006</v>
      </c>
      <c r="O37" s="74">
        <f>-RF!M41</f>
        <v>-17282.76193517771</v>
      </c>
      <c r="P37" s="74"/>
      <c r="Q37" s="60"/>
      <c r="R37" s="60"/>
      <c r="T37" s="8" t="s">
        <v>430</v>
      </c>
      <c r="U37" s="61">
        <f t="shared" si="53"/>
        <v>-3.118864258170468E-2</v>
      </c>
      <c r="V37" s="61">
        <f t="shared" si="54"/>
        <v>-8.5145069280476687E-2</v>
      </c>
      <c r="W37" s="61">
        <f t="shared" si="55"/>
        <v>-4.9742704075033901E-2</v>
      </c>
      <c r="X37" s="61">
        <f t="shared" si="56"/>
        <v>-3.851728545569709E-2</v>
      </c>
      <c r="Y37" s="61">
        <f t="shared" si="57"/>
        <v>-0.17189081005206874</v>
      </c>
      <c r="Z37" s="61">
        <f t="shared" si="64"/>
        <v>-8.6471765217639676E-2</v>
      </c>
      <c r="AA37" s="61">
        <f t="shared" si="64"/>
        <v>-0.13019943294299488</v>
      </c>
      <c r="AB37" s="61">
        <f t="shared" si="64"/>
        <v>-0.19821514820583688</v>
      </c>
      <c r="AC37" s="61">
        <f t="shared" si="64"/>
        <v>-0.32027843449524573</v>
      </c>
      <c r="AD37" s="61">
        <f t="shared" si="64"/>
        <v>-0.4375335121712155</v>
      </c>
      <c r="AF37" s="8" t="s">
        <v>430</v>
      </c>
      <c r="AG37" s="61">
        <f t="shared" si="65"/>
        <v>1.6689038031319909</v>
      </c>
      <c r="AH37" s="61">
        <f t="shared" si="65"/>
        <v>-0.30268063704945514</v>
      </c>
      <c r="AI37" s="61">
        <f t="shared" si="65"/>
        <v>7.5190118547617146E-2</v>
      </c>
      <c r="AJ37" s="61">
        <f t="shared" si="66"/>
        <v>3.6436452919187552</v>
      </c>
      <c r="AK37" s="61">
        <f t="shared" si="67"/>
        <v>-0.31406418878616527</v>
      </c>
      <c r="AL37" s="61">
        <f t="shared" si="68"/>
        <v>0.59145523654280652</v>
      </c>
      <c r="AM37" s="61">
        <f t="shared" si="68"/>
        <v>0.61045316629691349</v>
      </c>
      <c r="AN37" s="61">
        <f t="shared" si="68"/>
        <v>0.65086010100310543</v>
      </c>
      <c r="AO37" s="61">
        <f t="shared" si="68"/>
        <v>0.43370698443424516</v>
      </c>
    </row>
    <row r="38" spans="2:41" ht="1.9" customHeight="1">
      <c r="Q38" s="60"/>
      <c r="R38" s="60"/>
      <c r="U38" s="61"/>
      <c r="V38" s="61"/>
      <c r="W38" s="61"/>
      <c r="X38" s="61"/>
      <c r="Y38" s="61"/>
      <c r="Z38" s="61"/>
      <c r="AA38" s="61"/>
      <c r="AB38" s="61"/>
      <c r="AC38" s="61"/>
      <c r="AD38" s="61"/>
      <c r="AG38" s="61"/>
      <c r="AH38" s="61"/>
      <c r="AI38" s="61"/>
      <c r="AJ38" s="61"/>
      <c r="AK38" s="61"/>
      <c r="AL38" s="61"/>
      <c r="AM38" s="61"/>
      <c r="AN38" s="61"/>
      <c r="AO38" s="61"/>
    </row>
    <row r="39" spans="2:41">
      <c r="B39" s="123" t="s">
        <v>431</v>
      </c>
      <c r="C39" s="126">
        <f t="shared" ref="C39:O39" si="70">+SUM(C32:C37)</f>
        <v>9874.2059499999996</v>
      </c>
      <c r="D39" s="126">
        <f t="shared" si="70"/>
        <v>8453.1629500000017</v>
      </c>
      <c r="E39" s="126">
        <f t="shared" si="70"/>
        <v>9998.4452900000015</v>
      </c>
      <c r="F39" s="126">
        <f t="shared" si="70"/>
        <v>8935.8996000000006</v>
      </c>
      <c r="G39" s="126">
        <f t="shared" ref="G39:H39" si="71">+SUM(G32:G37)</f>
        <v>8.1524999999994634</v>
      </c>
      <c r="H39" s="126">
        <f t="shared" si="71"/>
        <v>8944.0521000000008</v>
      </c>
      <c r="I39" s="126">
        <f t="shared" si="70"/>
        <v>6659.1536100000021</v>
      </c>
      <c r="J39" s="126">
        <f t="shared" ref="J39" si="72">+SUM(J32:J37)</f>
        <v>8909.892240000001</v>
      </c>
      <c r="K39" s="126">
        <f t="shared" si="70"/>
        <v>9969.0258156285308</v>
      </c>
      <c r="L39" s="126">
        <f t="shared" si="70"/>
        <v>6022.6310304494618</v>
      </c>
      <c r="M39" s="126">
        <f t="shared" si="70"/>
        <v>1930.7810652915268</v>
      </c>
      <c r="N39" s="126">
        <f t="shared" si="70"/>
        <v>-3807.684270147005</v>
      </c>
      <c r="O39" s="126">
        <f t="shared" si="70"/>
        <v>-8949.0269351777097</v>
      </c>
      <c r="P39" s="115"/>
      <c r="Q39" s="60"/>
      <c r="R39" s="60"/>
      <c r="T39" s="123" t="s">
        <v>431</v>
      </c>
      <c r="U39" s="125">
        <f>+C39/C$41</f>
        <v>0.68895543658320291</v>
      </c>
      <c r="V39" s="125">
        <f>+D39/D$41</f>
        <v>0.60330691116253887</v>
      </c>
      <c r="W39" s="125">
        <f>+E39/E$41</f>
        <v>0.5978465074863224</v>
      </c>
      <c r="X39" s="125">
        <f>+F39/F$41</f>
        <v>0.38480129063113971</v>
      </c>
      <c r="Y39" s="125">
        <f>+I39/I$41</f>
        <v>0.2755847745671417</v>
      </c>
      <c r="Z39" s="125">
        <f t="shared" ref="Z39:AD39" si="73">+K39/K$41</f>
        <v>0.30257085819390162</v>
      </c>
      <c r="AA39" s="125">
        <f t="shared" si="73"/>
        <v>0.17294219802550265</v>
      </c>
      <c r="AB39" s="125">
        <f t="shared" si="73"/>
        <v>5.2411597514234451E-2</v>
      </c>
      <c r="AC39" s="125">
        <f t="shared" si="73"/>
        <v>-0.10116630314854123</v>
      </c>
      <c r="AD39" s="125">
        <f t="shared" si="73"/>
        <v>-0.22655517677955278</v>
      </c>
      <c r="AF39" s="123" t="s">
        <v>431</v>
      </c>
      <c r="AG39" s="125">
        <f>+D39/C39-1</f>
        <v>-0.14391466080368698</v>
      </c>
      <c r="AH39" s="125">
        <f>+E39/D39-1</f>
        <v>0.18280522322120851</v>
      </c>
      <c r="AI39" s="125">
        <f>+F39/E39-1</f>
        <v>-0.10627109107280019</v>
      </c>
      <c r="AJ39" s="125">
        <f>+I39/F39-1</f>
        <v>-0.25478643358974162</v>
      </c>
      <c r="AK39" s="125">
        <f>+K39/I39-1</f>
        <v>0.49704097539635028</v>
      </c>
      <c r="AL39" s="125">
        <f t="shared" ref="AL39:AO39" si="74">+L39/K39-1</f>
        <v>-0.39586564005003078</v>
      </c>
      <c r="AM39" s="125">
        <f t="shared" si="74"/>
        <v>-0.67941236055640708</v>
      </c>
      <c r="AN39" s="125">
        <f t="shared" si="74"/>
        <v>-2.9720953030850685</v>
      </c>
      <c r="AO39" s="125">
        <f t="shared" si="74"/>
        <v>1.3502544592102459</v>
      </c>
    </row>
    <row r="40" spans="2:41" ht="3" customHeight="1"/>
    <row r="41" spans="2:41">
      <c r="B41" s="103" t="s">
        <v>432</v>
      </c>
      <c r="C41" s="127">
        <f t="shared" ref="C41:O41" si="75">+C31+C39</f>
        <v>14332.14026</v>
      </c>
      <c r="D41" s="127">
        <f t="shared" si="75"/>
        <v>14011.380930000001</v>
      </c>
      <c r="E41" s="127">
        <f t="shared" si="75"/>
        <v>16724.100860000002</v>
      </c>
      <c r="F41" s="127">
        <f t="shared" si="75"/>
        <v>23222.114420000002</v>
      </c>
      <c r="G41" s="127">
        <f t="shared" ref="G41:H41" si="76">+G31+G39</f>
        <v>-508.08920000000239</v>
      </c>
      <c r="H41" s="127">
        <f t="shared" si="76"/>
        <v>22714.02522</v>
      </c>
      <c r="I41" s="127">
        <f t="shared" si="75"/>
        <v>24163.721019999994</v>
      </c>
      <c r="J41" s="127">
        <f t="shared" ref="J41" si="77">+J31+J39</f>
        <v>28333.264089999993</v>
      </c>
      <c r="K41" s="127">
        <f t="shared" si="75"/>
        <v>32947.739498560404</v>
      </c>
      <c r="L41" s="127">
        <f t="shared" si="75"/>
        <v>34824.531544125188</v>
      </c>
      <c r="M41" s="127">
        <f t="shared" si="75"/>
        <v>36838.813485262428</v>
      </c>
      <c r="N41" s="127">
        <f t="shared" si="75"/>
        <v>37637.871026642431</v>
      </c>
      <c r="O41" s="127">
        <f t="shared" si="75"/>
        <v>39500.430148570253</v>
      </c>
      <c r="P41" s="128"/>
      <c r="Q41" s="60"/>
      <c r="R41" s="60"/>
      <c r="T41" s="103" t="s">
        <v>432</v>
      </c>
      <c r="U41" s="129">
        <f>+C41/C$41</f>
        <v>1</v>
      </c>
      <c r="V41" s="129">
        <f>+D41/D$41</f>
        <v>1</v>
      </c>
      <c r="W41" s="129">
        <f>+E41/E$41</f>
        <v>1</v>
      </c>
      <c r="X41" s="129">
        <f>+F41/F$41</f>
        <v>1</v>
      </c>
      <c r="Y41" s="129">
        <f>+I41/I$41</f>
        <v>1</v>
      </c>
      <c r="Z41" s="129">
        <f t="shared" ref="Z41:AD41" si="78">+K41/K$41</f>
        <v>1</v>
      </c>
      <c r="AA41" s="129">
        <f t="shared" si="78"/>
        <v>1</v>
      </c>
      <c r="AB41" s="129">
        <f t="shared" si="78"/>
        <v>1</v>
      </c>
      <c r="AC41" s="129">
        <f t="shared" si="78"/>
        <v>1</v>
      </c>
      <c r="AD41" s="129">
        <f t="shared" si="78"/>
        <v>1</v>
      </c>
      <c r="AF41" s="103" t="s">
        <v>432</v>
      </c>
      <c r="AG41" s="129">
        <f>+D41/C41-1</f>
        <v>-2.2380420801156653E-2</v>
      </c>
      <c r="AH41" s="129">
        <f>+E41/D41-1</f>
        <v>0.19360832051834032</v>
      </c>
      <c r="AI41" s="129">
        <f>+F41/E41-1</f>
        <v>0.38854187823882791</v>
      </c>
      <c r="AJ41" s="129">
        <f>+I41/F41-1</f>
        <v>4.0547840862804163E-2</v>
      </c>
      <c r="AK41" s="129">
        <f>+K41/I41-1</f>
        <v>0.36352093583972422</v>
      </c>
      <c r="AL41" s="129">
        <f t="shared" ref="AL41:AO41" si="79">+L41/K41-1</f>
        <v>5.6962695290424525E-2</v>
      </c>
      <c r="AM41" s="129">
        <f t="shared" si="79"/>
        <v>5.7840891228787994E-2</v>
      </c>
      <c r="AN41" s="129">
        <f t="shared" si="79"/>
        <v>2.1690642715723518E-2</v>
      </c>
      <c r="AO41" s="129">
        <f t="shared" si="79"/>
        <v>4.9486303850964086E-2</v>
      </c>
    </row>
    <row r="42" spans="2:41">
      <c r="B42" s="47" t="s">
        <v>405</v>
      </c>
      <c r="C42" s="57">
        <f t="shared" ref="C42:O42" si="80">+C26-C41</f>
        <v>2.3229999998875428E-2</v>
      </c>
      <c r="D42" s="57">
        <f t="shared" si="80"/>
        <v>-0.16852000000108092</v>
      </c>
      <c r="E42" s="57">
        <f t="shared" si="80"/>
        <v>2.7199999931326602E-3</v>
      </c>
      <c r="F42" s="57">
        <f t="shared" si="80"/>
        <v>0</v>
      </c>
      <c r="G42" s="57">
        <f t="shared" si="80"/>
        <v>480.02160000000436</v>
      </c>
      <c r="H42" s="57">
        <f t="shared" si="80"/>
        <v>2.1239999994577374E-2</v>
      </c>
      <c r="I42" s="926">
        <f t="shared" si="80"/>
        <v>0</v>
      </c>
      <c r="J42" s="57">
        <f t="shared" si="80"/>
        <v>1.0000007023336366E-5</v>
      </c>
      <c r="K42" s="57">
        <f t="shared" si="80"/>
        <v>2.3229999998875428E-2</v>
      </c>
      <c r="L42" s="57">
        <f t="shared" si="80"/>
        <v>2.322999999159947E-2</v>
      </c>
      <c r="M42" s="57">
        <f t="shared" si="80"/>
        <v>2.322999999159947E-2</v>
      </c>
      <c r="N42" s="57">
        <f t="shared" si="80"/>
        <v>2.3229999984323513E-2</v>
      </c>
      <c r="O42" s="57">
        <f t="shared" si="80"/>
        <v>2.3230000006151386E-2</v>
      </c>
      <c r="P42" s="107"/>
      <c r="Q42" s="107"/>
      <c r="R42" s="107"/>
    </row>
    <row r="43" spans="2:41">
      <c r="K43" s="57"/>
      <c r="L43" s="57"/>
      <c r="M43" s="57"/>
      <c r="N43" s="57"/>
      <c r="O43" s="57"/>
    </row>
    <row r="44" spans="2:41">
      <c r="D44" s="112"/>
      <c r="H44" s="112"/>
      <c r="I44" s="112"/>
      <c r="J44" s="112"/>
      <c r="K44" s="112"/>
      <c r="L44" s="112"/>
      <c r="M44" s="112"/>
      <c r="N44" s="112"/>
      <c r="O44" s="112"/>
    </row>
    <row r="45" spans="2:41">
      <c r="C45" s="131"/>
      <c r="D45" s="57"/>
      <c r="E45" s="57"/>
      <c r="F45" s="57"/>
      <c r="G45" s="57"/>
      <c r="H45" s="926"/>
      <c r="I45" s="131"/>
      <c r="J45" s="57"/>
      <c r="K45" s="57"/>
      <c r="L45" s="57"/>
      <c r="M45" s="57"/>
      <c r="N45" s="57"/>
      <c r="O45" s="57"/>
      <c r="P45" s="131"/>
      <c r="Q45" s="131"/>
      <c r="R45" s="131"/>
    </row>
    <row r="46" spans="2:41">
      <c r="D46" s="107"/>
      <c r="E46" s="57"/>
      <c r="I46" s="112"/>
      <c r="J46" s="112"/>
      <c r="K46" s="57"/>
      <c r="L46" s="57"/>
      <c r="M46" s="57"/>
      <c r="N46" s="57"/>
      <c r="O46" s="57"/>
    </row>
    <row r="47" spans="2:41">
      <c r="B47" s="110" t="s">
        <v>433</v>
      </c>
      <c r="E47" s="57"/>
      <c r="I47" s="112"/>
      <c r="J47" s="112"/>
    </row>
    <row r="48" spans="2:41">
      <c r="I48" s="112"/>
      <c r="J48" s="112"/>
    </row>
    <row r="49" spans="2:18">
      <c r="B49" s="52" t="s">
        <v>434</v>
      </c>
      <c r="C49" s="49">
        <f>+C$4</f>
        <v>2018</v>
      </c>
      <c r="D49" s="49">
        <f t="shared" ref="D49:I49" si="81">+D$4</f>
        <v>2019</v>
      </c>
      <c r="E49" s="49">
        <f t="shared" si="81"/>
        <v>2020</v>
      </c>
      <c r="F49" s="49">
        <f t="shared" si="81"/>
        <v>2021</v>
      </c>
      <c r="G49" s="49"/>
      <c r="H49" s="49"/>
      <c r="I49" s="49">
        <f t="shared" si="81"/>
        <v>2022</v>
      </c>
      <c r="J49" s="49"/>
      <c r="K49" s="49">
        <f>+K4</f>
        <v>2023</v>
      </c>
      <c r="L49" s="49">
        <f>+L4</f>
        <v>2024</v>
      </c>
      <c r="M49" s="49">
        <f>+M4</f>
        <v>2025</v>
      </c>
      <c r="N49" s="49">
        <f>+N4</f>
        <v>2026</v>
      </c>
      <c r="O49" s="49">
        <f>+O4</f>
        <v>2027</v>
      </c>
      <c r="P49" s="50"/>
      <c r="Q49" s="50"/>
      <c r="R49" s="50"/>
    </row>
    <row r="50" spans="2:18">
      <c r="B50" s="8" t="str">
        <f>+B13</f>
        <v>Crediti commerciali</v>
      </c>
      <c r="C50" s="74">
        <f>+C13</f>
        <v>14317.311210000002</v>
      </c>
      <c r="D50" s="74">
        <f>+D13</f>
        <v>13154.665749999998</v>
      </c>
      <c r="E50" s="74">
        <f>+E13</f>
        <v>17593.991219999996</v>
      </c>
      <c r="F50" s="74">
        <f>+F13</f>
        <v>17572.798529999996</v>
      </c>
      <c r="G50" s="74"/>
      <c r="H50" s="74"/>
      <c r="I50" s="74">
        <f>+I13</f>
        <v>30513.71428</v>
      </c>
      <c r="J50" s="74"/>
      <c r="K50" s="74">
        <f>+K13</f>
        <v>32361.306086111115</v>
      </c>
      <c r="L50" s="74">
        <f>+L13</f>
        <v>34394.323207222224</v>
      </c>
      <c r="M50" s="74">
        <f>+M13</f>
        <v>35662.671627222218</v>
      </c>
      <c r="N50" s="74">
        <f>+N13</f>
        <v>37240.806915675661</v>
      </c>
      <c r="O50" s="74">
        <f>+O13</f>
        <v>38888.777437302175</v>
      </c>
      <c r="P50" s="74"/>
      <c r="Q50" s="74"/>
      <c r="R50" s="74"/>
    </row>
    <row r="51" spans="2:18">
      <c r="B51" s="47" t="s">
        <v>435</v>
      </c>
      <c r="C51" s="88">
        <v>0</v>
      </c>
      <c r="D51" s="88">
        <v>0</v>
      </c>
      <c r="E51" s="88">
        <v>0.30082191780821915</v>
      </c>
      <c r="F51" s="88">
        <v>0.30082191780821915</v>
      </c>
      <c r="G51" s="88"/>
      <c r="H51" s="88"/>
      <c r="I51" s="88">
        <v>0.30082191780821915</v>
      </c>
      <c r="J51" s="88"/>
      <c r="K51" s="88">
        <v>0.30082191780821921</v>
      </c>
      <c r="L51" s="88">
        <v>0.26739726027397259</v>
      </c>
      <c r="M51" s="88">
        <v>0.233972602739726</v>
      </c>
      <c r="N51" s="88">
        <v>0.20054794520547942</v>
      </c>
      <c r="O51" s="88">
        <v>0.20054794520547942</v>
      </c>
      <c r="P51" s="89"/>
      <c r="Q51" s="89"/>
      <c r="R51" s="89"/>
    </row>
    <row r="52" spans="2:18">
      <c r="B52" s="132" t="s">
        <v>436</v>
      </c>
      <c r="C52" s="133"/>
      <c r="D52" s="133"/>
      <c r="E52" s="133"/>
      <c r="F52" s="133"/>
      <c r="G52" s="133"/>
      <c r="H52" s="133"/>
      <c r="I52" s="133"/>
      <c r="J52" s="133"/>
      <c r="K52" s="133"/>
      <c r="L52" s="133"/>
      <c r="M52" s="133"/>
      <c r="N52" s="133"/>
      <c r="O52" s="133"/>
      <c r="P52" s="134"/>
      <c r="Q52" s="134"/>
      <c r="R52" s="134"/>
    </row>
    <row r="57" spans="2:18">
      <c r="B57" s="52" t="s">
        <v>437</v>
      </c>
      <c r="C57" s="49">
        <f>+C$4</f>
        <v>2018</v>
      </c>
      <c r="D57" s="49">
        <f t="shared" ref="D57:I57" si="82">+D$4</f>
        <v>2019</v>
      </c>
      <c r="E57" s="49">
        <f t="shared" si="82"/>
        <v>2020</v>
      </c>
      <c r="F57" s="49">
        <f t="shared" si="82"/>
        <v>2021</v>
      </c>
      <c r="G57" s="49"/>
      <c r="H57" s="49"/>
      <c r="I57" s="49">
        <f t="shared" si="82"/>
        <v>2022</v>
      </c>
      <c r="J57" s="49"/>
      <c r="K57" s="49">
        <f t="shared" ref="K57:O57" si="83">+K49</f>
        <v>2023</v>
      </c>
      <c r="L57" s="49">
        <f t="shared" si="83"/>
        <v>2024</v>
      </c>
      <c r="M57" s="49">
        <f t="shared" si="83"/>
        <v>2025</v>
      </c>
      <c r="N57" s="49">
        <f t="shared" si="83"/>
        <v>2026</v>
      </c>
      <c r="O57" s="49">
        <f t="shared" si="83"/>
        <v>2027</v>
      </c>
      <c r="P57" s="50"/>
      <c r="Q57" s="50"/>
      <c r="R57" s="50"/>
    </row>
    <row r="58" spans="2:18">
      <c r="B58" s="8" t="str">
        <f>+B14</f>
        <v>Debiti commerciali</v>
      </c>
      <c r="C58" s="112">
        <f>-C14</f>
        <v>7466.1214600000012</v>
      </c>
      <c r="D58" s="112">
        <f>-D14</f>
        <v>7397.4661399999995</v>
      </c>
      <c r="E58" s="112">
        <f>-E14</f>
        <v>8084.8894900000005</v>
      </c>
      <c r="F58" s="112">
        <f>-F14</f>
        <v>9231.1495099999993</v>
      </c>
      <c r="G58" s="112"/>
      <c r="H58" s="112"/>
      <c r="I58" s="112">
        <f>-I14</f>
        <v>18313.998540000001</v>
      </c>
      <c r="J58" s="112"/>
      <c r="K58" s="112">
        <f>-K14</f>
        <v>16865.645890889082</v>
      </c>
      <c r="L58" s="112">
        <f>-L14</f>
        <v>17375.249002266424</v>
      </c>
      <c r="M58" s="112">
        <f>-M14</f>
        <v>16683.26507737282</v>
      </c>
      <c r="N58" s="112">
        <f>-N14</f>
        <v>17215.7067623851</v>
      </c>
      <c r="O58" s="112">
        <f>-O14</f>
        <v>16545.987085017587</v>
      </c>
      <c r="P58" s="112"/>
      <c r="Q58" s="112"/>
      <c r="R58" s="112"/>
    </row>
    <row r="59" spans="2:18">
      <c r="B59" s="47" t="s">
        <v>435</v>
      </c>
      <c r="C59" s="88">
        <v>0</v>
      </c>
      <c r="D59" s="88">
        <v>0</v>
      </c>
      <c r="E59" s="88">
        <v>9.4119137529484406E-3</v>
      </c>
      <c r="F59" s="88">
        <v>9.4119137529484406E-3</v>
      </c>
      <c r="G59" s="88"/>
      <c r="H59" s="88"/>
      <c r="I59" s="88">
        <v>2.5042038089781463E-2</v>
      </c>
      <c r="J59" s="88"/>
      <c r="K59" s="88">
        <v>0.1177493497925239</v>
      </c>
      <c r="L59" s="88">
        <v>5.9168228776625698E-2</v>
      </c>
      <c r="M59" s="88">
        <v>6.1889946094035961E-2</v>
      </c>
      <c r="N59" s="88">
        <v>4.6096801489040773E-2</v>
      </c>
      <c r="O59" s="88">
        <v>4.9954738341141877E-2</v>
      </c>
      <c r="P59" s="89"/>
      <c r="Q59" s="89"/>
      <c r="R59" s="89"/>
    </row>
    <row r="60" spans="2:18">
      <c r="B60" s="132" t="s">
        <v>364</v>
      </c>
      <c r="C60" s="133"/>
      <c r="D60" s="133"/>
      <c r="E60" s="133"/>
      <c r="F60" s="133"/>
      <c r="G60" s="133"/>
      <c r="H60" s="133"/>
      <c r="I60" s="133"/>
      <c r="J60" s="133"/>
      <c r="K60" s="133"/>
      <c r="L60" s="133"/>
      <c r="M60" s="133"/>
      <c r="N60" s="133"/>
      <c r="O60" s="133"/>
      <c r="P60" s="134"/>
      <c r="Q60" s="134"/>
      <c r="R60" s="134"/>
    </row>
    <row r="63" spans="2:18">
      <c r="B63" s="52" t="s">
        <v>413</v>
      </c>
      <c r="C63" s="49">
        <f>+C$4</f>
        <v>2018</v>
      </c>
      <c r="D63" s="49">
        <f t="shared" ref="D63:I63" si="84">+D$4</f>
        <v>2019</v>
      </c>
      <c r="E63" s="49">
        <f t="shared" si="84"/>
        <v>2020</v>
      </c>
      <c r="F63" s="49">
        <f t="shared" si="84"/>
        <v>2021</v>
      </c>
      <c r="G63" s="49"/>
      <c r="H63" s="49"/>
      <c r="I63" s="49">
        <f t="shared" si="84"/>
        <v>2022</v>
      </c>
      <c r="J63" s="49"/>
      <c r="K63" s="49">
        <f t="shared" ref="K63:O63" si="85">+K57</f>
        <v>2023</v>
      </c>
      <c r="L63" s="49">
        <f t="shared" si="85"/>
        <v>2024</v>
      </c>
      <c r="M63" s="49">
        <f t="shared" si="85"/>
        <v>2025</v>
      </c>
      <c r="N63" s="49">
        <f t="shared" si="85"/>
        <v>2026</v>
      </c>
      <c r="O63" s="49">
        <f t="shared" si="85"/>
        <v>2027</v>
      </c>
      <c r="P63" s="50"/>
      <c r="Q63" s="50"/>
      <c r="R63" s="50"/>
    </row>
    <row r="64" spans="2:18">
      <c r="B64" s="8" t="s">
        <v>438</v>
      </c>
      <c r="C64" s="112">
        <f t="shared" ref="C64:F66" si="86">+C12</f>
        <v>794.50555000000008</v>
      </c>
      <c r="D64" s="112">
        <f t="shared" si="86"/>
        <v>1100.3050000000001</v>
      </c>
      <c r="E64" s="112">
        <f t="shared" si="86"/>
        <v>1028.0787499999999</v>
      </c>
      <c r="F64" s="112">
        <f t="shared" si="86"/>
        <v>985.12792000000002</v>
      </c>
      <c r="G64" s="112"/>
      <c r="H64" s="112"/>
      <c r="I64" s="112">
        <f>+I12</f>
        <v>701.56955000000005</v>
      </c>
      <c r="J64" s="112"/>
      <c r="K64" s="112">
        <f t="shared" ref="K64:O66" si="87">+K12</f>
        <v>2119.3035951735465</v>
      </c>
      <c r="L64" s="112">
        <f t="shared" si="87"/>
        <v>2242.1513192393572</v>
      </c>
      <c r="M64" s="112">
        <f t="shared" si="87"/>
        <v>2325.7546192692066</v>
      </c>
      <c r="N64" s="112">
        <f t="shared" si="87"/>
        <v>2428.4330775196022</v>
      </c>
      <c r="O64" s="112">
        <f t="shared" si="87"/>
        <v>2535.8954677561178</v>
      </c>
      <c r="P64" s="50"/>
      <c r="Q64" s="50"/>
      <c r="R64" s="50"/>
    </row>
    <row r="65" spans="1:18">
      <c r="B65" s="8" t="s">
        <v>407</v>
      </c>
      <c r="C65" s="112">
        <f t="shared" si="86"/>
        <v>14317.311210000002</v>
      </c>
      <c r="D65" s="112">
        <f t="shared" si="86"/>
        <v>13154.665749999998</v>
      </c>
      <c r="E65" s="112">
        <f t="shared" si="86"/>
        <v>17593.991219999996</v>
      </c>
      <c r="F65" s="112">
        <f t="shared" si="86"/>
        <v>17572.798529999996</v>
      </c>
      <c r="G65" s="112"/>
      <c r="H65" s="112"/>
      <c r="I65" s="112">
        <f>+I13</f>
        <v>30513.71428</v>
      </c>
      <c r="J65" s="112"/>
      <c r="K65" s="112">
        <f t="shared" si="87"/>
        <v>32361.306086111115</v>
      </c>
      <c r="L65" s="112">
        <f t="shared" si="87"/>
        <v>34394.323207222224</v>
      </c>
      <c r="M65" s="112">
        <f t="shared" si="87"/>
        <v>35662.671627222218</v>
      </c>
      <c r="N65" s="112">
        <f t="shared" si="87"/>
        <v>37240.806915675661</v>
      </c>
      <c r="O65" s="112">
        <f t="shared" si="87"/>
        <v>38888.777437302175</v>
      </c>
      <c r="P65" s="112"/>
      <c r="Q65" s="112"/>
      <c r="R65" s="112"/>
    </row>
    <row r="66" spans="1:18">
      <c r="B66" s="8" t="s">
        <v>408</v>
      </c>
      <c r="C66" s="112">
        <f t="shared" si="86"/>
        <v>-7466.1214600000012</v>
      </c>
      <c r="D66" s="112">
        <f t="shared" si="86"/>
        <v>-7397.4661399999995</v>
      </c>
      <c r="E66" s="112">
        <f t="shared" si="86"/>
        <v>-8084.8894900000005</v>
      </c>
      <c r="F66" s="112">
        <f t="shared" si="86"/>
        <v>-9231.1495099999993</v>
      </c>
      <c r="G66" s="112"/>
      <c r="H66" s="112"/>
      <c r="I66" s="112">
        <f>+I14</f>
        <v>-18313.998540000001</v>
      </c>
      <c r="J66" s="112"/>
      <c r="K66" s="112">
        <f t="shared" si="87"/>
        <v>-16865.645890889082</v>
      </c>
      <c r="L66" s="112">
        <f t="shared" si="87"/>
        <v>-17375.249002266424</v>
      </c>
      <c r="M66" s="112">
        <f t="shared" si="87"/>
        <v>-16683.26507737282</v>
      </c>
      <c r="N66" s="112">
        <f t="shared" si="87"/>
        <v>-17215.7067623851</v>
      </c>
      <c r="O66" s="112">
        <f t="shared" si="87"/>
        <v>-16545.987085017587</v>
      </c>
      <c r="P66" s="112"/>
      <c r="Q66" s="112"/>
      <c r="R66" s="112"/>
    </row>
    <row r="67" spans="1:18">
      <c r="B67" s="8" t="s">
        <v>410</v>
      </c>
      <c r="C67" s="112">
        <f t="shared" ref="C67:F68" si="88">+C16</f>
        <v>3035.2536</v>
      </c>
      <c r="D67" s="112">
        <f t="shared" si="88"/>
        <v>4446.6181900000001</v>
      </c>
      <c r="E67" s="112">
        <f t="shared" si="88"/>
        <v>4877.9992000000002</v>
      </c>
      <c r="F67" s="112">
        <f t="shared" si="88"/>
        <v>7449.8008899999995</v>
      </c>
      <c r="G67" s="112"/>
      <c r="H67" s="112"/>
      <c r="I67" s="112">
        <f>+I16</f>
        <v>5504.8043900000011</v>
      </c>
      <c r="J67" s="112"/>
      <c r="K67" s="112">
        <f t="shared" ref="K67:O68" si="89">+K16</f>
        <v>9736.056990905061</v>
      </c>
      <c r="L67" s="112">
        <f t="shared" si="89"/>
        <v>10139.83029103674</v>
      </c>
      <c r="M67" s="112">
        <f t="shared" si="89"/>
        <v>10507.579648066778</v>
      </c>
      <c r="N67" s="112">
        <f t="shared" si="89"/>
        <v>10972.700017314306</v>
      </c>
      <c r="O67" s="112">
        <f t="shared" si="89"/>
        <v>11456.841370350794</v>
      </c>
      <c r="P67" s="112"/>
      <c r="Q67" s="112"/>
      <c r="R67" s="112"/>
    </row>
    <row r="68" spans="1:18">
      <c r="B68" s="8" t="s">
        <v>411</v>
      </c>
      <c r="C68" s="112">
        <f t="shared" si="88"/>
        <v>-924.78734999999972</v>
      </c>
      <c r="D68" s="112">
        <f t="shared" si="88"/>
        <v>-1194.5848600000002</v>
      </c>
      <c r="E68" s="112">
        <f t="shared" si="88"/>
        <v>-2554.5690800000002</v>
      </c>
      <c r="F68" s="112">
        <f t="shared" si="88"/>
        <v>-3572.9592200000002</v>
      </c>
      <c r="G68" s="112"/>
      <c r="H68" s="112"/>
      <c r="I68" s="112">
        <f>+I17</f>
        <v>-4473.3825299999999</v>
      </c>
      <c r="J68" s="112"/>
      <c r="K68" s="112">
        <f t="shared" si="89"/>
        <v>-4924.5714934361467</v>
      </c>
      <c r="L68" s="112">
        <f t="shared" si="89"/>
        <v>-5128.347320802889</v>
      </c>
      <c r="M68" s="112">
        <f t="shared" si="89"/>
        <v>-5316.7783228020689</v>
      </c>
      <c r="N68" s="112">
        <f t="shared" si="89"/>
        <v>-5544.5718723837199</v>
      </c>
      <c r="O68" s="112">
        <f t="shared" si="89"/>
        <v>-5783.5940509663642</v>
      </c>
      <c r="P68" s="112"/>
      <c r="Q68" s="112"/>
      <c r="R68" s="112"/>
    </row>
    <row r="69" spans="1:18">
      <c r="B69" s="132" t="s">
        <v>413</v>
      </c>
      <c r="C69" s="135">
        <f t="shared" ref="C69:I69" si="90">+SUM(C64:C68)</f>
        <v>9756.1615499999989</v>
      </c>
      <c r="D69" s="135">
        <f t="shared" si="90"/>
        <v>10109.537939999998</v>
      </c>
      <c r="E69" s="135">
        <f t="shared" si="90"/>
        <v>12860.610599999996</v>
      </c>
      <c r="F69" s="135">
        <f t="shared" si="90"/>
        <v>13203.618609999994</v>
      </c>
      <c r="G69" s="135"/>
      <c r="H69" s="135"/>
      <c r="I69" s="135">
        <f t="shared" si="90"/>
        <v>13932.707150000002</v>
      </c>
      <c r="J69" s="135"/>
      <c r="K69" s="135">
        <f t="shared" ref="K69:O69" si="91">+SUM(K64:K68)</f>
        <v>22426.449287864492</v>
      </c>
      <c r="L69" s="135">
        <f t="shared" si="91"/>
        <v>24272.708494429004</v>
      </c>
      <c r="M69" s="135">
        <f t="shared" si="91"/>
        <v>26495.962494383319</v>
      </c>
      <c r="N69" s="135">
        <f t="shared" si="91"/>
        <v>27881.661375740747</v>
      </c>
      <c r="O69" s="135">
        <f t="shared" si="91"/>
        <v>30551.933139425135</v>
      </c>
      <c r="P69" s="115"/>
      <c r="Q69" s="115"/>
      <c r="R69" s="115"/>
    </row>
    <row r="70" spans="1:18">
      <c r="B70" s="47" t="s">
        <v>435</v>
      </c>
      <c r="C70" s="136">
        <v>0</v>
      </c>
      <c r="D70" s="136">
        <v>0</v>
      </c>
      <c r="E70" s="136">
        <v>0.29141000405527073</v>
      </c>
      <c r="F70" s="136">
        <v>0.29141000405527073</v>
      </c>
      <c r="G70" s="136"/>
      <c r="H70" s="136"/>
      <c r="I70" s="136">
        <v>0.27577987971843765</v>
      </c>
      <c r="J70" s="136"/>
      <c r="K70" s="136">
        <v>0.18307256801569527</v>
      </c>
      <c r="L70" s="136">
        <v>0.20822903149734689</v>
      </c>
      <c r="M70" s="136">
        <v>0.17208265664569003</v>
      </c>
      <c r="N70" s="136">
        <v>0.15445114371643864</v>
      </c>
      <c r="O70" s="136">
        <v>0.15059320686433755</v>
      </c>
      <c r="P70" s="136"/>
      <c r="Q70" s="136"/>
      <c r="R70" s="136"/>
    </row>
    <row r="73" spans="1:18">
      <c r="B73" s="109"/>
      <c r="C73" s="109"/>
      <c r="D73" s="109"/>
      <c r="E73" s="109"/>
      <c r="F73" s="109"/>
      <c r="G73" s="109"/>
      <c r="H73" s="109"/>
      <c r="I73" s="109"/>
      <c r="J73" s="109"/>
      <c r="K73" s="109"/>
      <c r="L73" s="109"/>
      <c r="M73" s="109"/>
      <c r="N73" s="109"/>
      <c r="O73" s="109"/>
    </row>
    <row r="74" spans="1:18">
      <c r="B74" s="118" t="s">
        <v>3728</v>
      </c>
    </row>
    <row r="76" spans="1:18">
      <c r="A76" s="131"/>
      <c r="B76" s="52"/>
      <c r="C76" s="49">
        <f>+C$4</f>
        <v>2018</v>
      </c>
      <c r="D76" s="49">
        <f t="shared" ref="D76:I76" si="92">+D$4</f>
        <v>2019</v>
      </c>
      <c r="E76" s="49">
        <f t="shared" si="92"/>
        <v>2020</v>
      </c>
      <c r="F76" s="49">
        <f t="shared" si="92"/>
        <v>2021</v>
      </c>
      <c r="G76" s="49"/>
      <c r="H76" s="49" t="str">
        <f t="shared" si="92"/>
        <v>2021 Adj</v>
      </c>
      <c r="I76" s="49">
        <f t="shared" si="92"/>
        <v>2022</v>
      </c>
      <c r="J76" s="1509">
        <v>45078</v>
      </c>
      <c r="K76" s="49">
        <f t="shared" ref="K76:O76" si="93">+K63</f>
        <v>2023</v>
      </c>
      <c r="L76" s="49">
        <f t="shared" si="93"/>
        <v>2024</v>
      </c>
      <c r="M76" s="49">
        <f t="shared" si="93"/>
        <v>2025</v>
      </c>
      <c r="N76" s="49">
        <f t="shared" si="93"/>
        <v>2026</v>
      </c>
      <c r="O76" s="49">
        <f t="shared" si="93"/>
        <v>2027</v>
      </c>
      <c r="P76" s="50"/>
      <c r="Q76" s="50"/>
      <c r="R76" s="50"/>
    </row>
    <row r="77" spans="1:18">
      <c r="B77" s="8" t="s">
        <v>439</v>
      </c>
      <c r="C77" s="112">
        <f t="shared" ref="C77:O77" si="94">+C39</f>
        <v>9874.2059499999996</v>
      </c>
      <c r="D77" s="112">
        <f t="shared" si="94"/>
        <v>8453.1629500000017</v>
      </c>
      <c r="E77" s="112">
        <f t="shared" si="94"/>
        <v>9998.4452900000015</v>
      </c>
      <c r="F77" s="112">
        <f t="shared" si="94"/>
        <v>8935.8996000000006</v>
      </c>
      <c r="G77" s="112"/>
      <c r="H77" s="112">
        <f t="shared" ref="H77" si="95">+H39</f>
        <v>8944.0521000000008</v>
      </c>
      <c r="I77" s="112">
        <f t="shared" si="94"/>
        <v>6659.1536100000021</v>
      </c>
      <c r="J77" s="112">
        <f t="shared" ref="J77" si="96">+J39</f>
        <v>8909.892240000001</v>
      </c>
      <c r="K77" s="112">
        <f t="shared" si="94"/>
        <v>9969.0258156285308</v>
      </c>
      <c r="L77" s="112">
        <f t="shared" si="94"/>
        <v>6022.6310304494618</v>
      </c>
      <c r="M77" s="112">
        <f t="shared" si="94"/>
        <v>1930.7810652915268</v>
      </c>
      <c r="N77" s="112">
        <f t="shared" si="94"/>
        <v>-3807.684270147005</v>
      </c>
      <c r="O77" s="112">
        <f t="shared" si="94"/>
        <v>-8949.0269351777097</v>
      </c>
      <c r="P77" s="112"/>
      <c r="Q77" s="112"/>
      <c r="R77" s="112"/>
    </row>
    <row r="78" spans="1:18">
      <c r="B78" s="8" t="s">
        <v>3</v>
      </c>
      <c r="C78" s="112">
        <f>+CE!C26</f>
        <v>2401.8323600000003</v>
      </c>
      <c r="D78" s="112">
        <f>+CE!D26</f>
        <v>2609.6740699999991</v>
      </c>
      <c r="E78" s="112">
        <f>+CE!E26</f>
        <v>2756.2255499999992</v>
      </c>
      <c r="F78" s="112">
        <f>+CE!F26</f>
        <v>4165.0582699999977</v>
      </c>
      <c r="G78" s="112"/>
      <c r="H78" s="112">
        <f>+CE!H26</f>
        <v>3821.8763799999979</v>
      </c>
      <c r="I78" s="112">
        <f>+CE!I26</f>
        <v>7956.0884499999956</v>
      </c>
      <c r="J78" s="112">
        <f>+CE!J26</f>
        <v>4170.5961900000057</v>
      </c>
      <c r="K78" s="112">
        <f>+CE!L26</f>
        <v>11038.339659597004</v>
      </c>
      <c r="L78" s="112">
        <f>+CE!M26</f>
        <v>11663.811800158066</v>
      </c>
      <c r="M78" s="112">
        <f>+CE!N26</f>
        <v>12391.978505040883</v>
      </c>
      <c r="N78" s="112">
        <f>+CE!O26</f>
        <v>13488.938163424144</v>
      </c>
      <c r="O78" s="112">
        <f>+CE!P26</f>
        <v>14498.335613542804</v>
      </c>
      <c r="P78" s="112"/>
      <c r="Q78" s="112"/>
      <c r="R78" s="112"/>
    </row>
    <row r="79" spans="1:18">
      <c r="B79" s="123" t="s">
        <v>440</v>
      </c>
      <c r="C79" s="137">
        <f t="shared" ref="C79:O79" si="97">+C77/C78</f>
        <v>4.1111137123658361</v>
      </c>
      <c r="D79" s="137">
        <f t="shared" si="97"/>
        <v>3.2391642493501132</v>
      </c>
      <c r="E79" s="137">
        <f t="shared" si="97"/>
        <v>3.6275860261145914</v>
      </c>
      <c r="F79" s="137">
        <f t="shared" si="97"/>
        <v>2.1454440780248687</v>
      </c>
      <c r="G79" s="137"/>
      <c r="H79" s="137">
        <f t="shared" ref="H79" si="98">+H77/H78</f>
        <v>2.3402253790322769</v>
      </c>
      <c r="I79" s="137">
        <f t="shared" si="97"/>
        <v>0.83698838340591919</v>
      </c>
      <c r="J79" s="137">
        <f t="shared" ref="J79" si="99">+J77/J78</f>
        <v>2.1363593678437587</v>
      </c>
      <c r="K79" s="130">
        <f t="shared" si="97"/>
        <v>0.90312729296758087</v>
      </c>
      <c r="L79" s="130">
        <f t="shared" si="97"/>
        <v>0.51635186966647084</v>
      </c>
      <c r="M79" s="130">
        <f t="shared" si="97"/>
        <v>0.15580894241432974</v>
      </c>
      <c r="N79" s="130">
        <f t="shared" si="97"/>
        <v>-0.28228198721169251</v>
      </c>
      <c r="O79" s="130">
        <f t="shared" si="97"/>
        <v>-0.61724512204135207</v>
      </c>
      <c r="P79" s="138"/>
      <c r="Q79" s="138"/>
      <c r="R79" s="138"/>
    </row>
    <row r="80" spans="1:18">
      <c r="B80" s="8" t="s">
        <v>3729</v>
      </c>
      <c r="C80" s="139">
        <v>2.5</v>
      </c>
      <c r="D80" s="139">
        <v>2.5</v>
      </c>
      <c r="E80" s="139">
        <v>2.5</v>
      </c>
      <c r="F80" s="139">
        <v>2.5</v>
      </c>
      <c r="G80" s="139"/>
      <c r="H80" s="139">
        <v>2.5</v>
      </c>
      <c r="I80" s="139">
        <v>2.5</v>
      </c>
      <c r="J80" s="139">
        <v>2.5</v>
      </c>
      <c r="K80" s="139">
        <v>2.5</v>
      </c>
      <c r="L80" s="139">
        <v>2.5</v>
      </c>
      <c r="M80" s="139">
        <v>2.5</v>
      </c>
      <c r="N80" s="139">
        <v>2.5</v>
      </c>
      <c r="O80" s="139">
        <v>2.5</v>
      </c>
      <c r="P80" s="139"/>
      <c r="Q80" s="139"/>
      <c r="R80" s="139"/>
    </row>
    <row r="81" spans="2:18">
      <c r="B81" s="140" t="s">
        <v>405</v>
      </c>
      <c r="C81" s="141">
        <f>+IF(C79&lt;C80,1,0)</f>
        <v>0</v>
      </c>
      <c r="D81" s="141">
        <f t="shared" ref="D81:I81" si="100">+IF(D79&lt;D80,1,0)</f>
        <v>0</v>
      </c>
      <c r="E81" s="141">
        <f t="shared" si="100"/>
        <v>0</v>
      </c>
      <c r="F81" s="141">
        <f t="shared" si="100"/>
        <v>1</v>
      </c>
      <c r="G81" s="141"/>
      <c r="H81" s="141">
        <f t="shared" ref="H81" si="101">+IF(H79&lt;H80,1,0)</f>
        <v>1</v>
      </c>
      <c r="I81" s="141">
        <f t="shared" si="100"/>
        <v>1</v>
      </c>
      <c r="J81" s="141">
        <f t="shared" ref="J81" si="102">+IF(J79&lt;J80,1,0)</f>
        <v>1</v>
      </c>
      <c r="K81" s="141">
        <f>+IF(K79&lt;K80,1,0)</f>
        <v>1</v>
      </c>
      <c r="L81" s="141">
        <f>+IF(L79&lt;L80,1,0)</f>
        <v>1</v>
      </c>
      <c r="M81" s="141">
        <f>+IF(M79&lt;M80,1,0)</f>
        <v>1</v>
      </c>
      <c r="N81" s="141">
        <f t="shared" ref="N81:O81" si="103">+IF(N79&lt;N80,1,0)</f>
        <v>1</v>
      </c>
      <c r="O81" s="141">
        <f t="shared" si="103"/>
        <v>1</v>
      </c>
      <c r="P81" s="142"/>
      <c r="Q81" s="142"/>
      <c r="R81" s="142"/>
    </row>
  </sheetData>
  <conditionalFormatting sqref="C81:R81">
    <cfRule type="iconSet" priority="17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ignoredErrors>
    <ignoredError sqref="D34:D35 AG15:AO15 G15:H15 G31 I31 J11:J28 J30:J39" formula="1"/>
    <ignoredError sqref="L31:O3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499984740745262"/>
  </sheetPr>
  <dimension ref="B2:U43"/>
  <sheetViews>
    <sheetView showGridLines="0" zoomScaleNormal="100" workbookViewId="0">
      <selection activeCell="I30" sqref="I30"/>
    </sheetView>
  </sheetViews>
  <sheetFormatPr defaultColWidth="8.7109375" defaultRowHeight="10.5" outlineLevelRow="2" outlineLevelCol="2"/>
  <cols>
    <col min="1" max="1" width="2.85546875" style="8" customWidth="1"/>
    <col min="2" max="2" width="36" style="8" bestFit="1" customWidth="1"/>
    <col min="3" max="3" width="12.28515625" style="8" hidden="1" customWidth="1" outlineLevel="2"/>
    <col min="4" max="6" width="12.28515625" style="8" hidden="1" customWidth="1" outlineLevel="1"/>
    <col min="7" max="8" width="11.140625" style="8" hidden="1" customWidth="1" outlineLevel="1"/>
    <col min="9" max="9" width="11.140625" style="8" customWidth="1" collapsed="1"/>
    <col min="10" max="13" width="11.140625" style="8" customWidth="1"/>
    <col min="14" max="14" width="10.7109375" style="8" bestFit="1" customWidth="1"/>
    <col min="15" max="15" width="19.5703125" style="8" bestFit="1" customWidth="1"/>
    <col min="16" max="21" width="13" style="8" customWidth="1"/>
    <col min="22" max="22" width="8.140625" style="8" bestFit="1" customWidth="1"/>
    <col min="23" max="62" width="13" style="8" customWidth="1"/>
    <col min="63" max="16384" width="8.7109375" style="8"/>
  </cols>
  <sheetData>
    <row r="2" spans="2:14" ht="12.75">
      <c r="B2" s="46" t="s">
        <v>4549</v>
      </c>
      <c r="C2" s="47"/>
      <c r="D2" s="47"/>
      <c r="E2" s="47"/>
      <c r="F2" s="47"/>
      <c r="G2" s="47"/>
      <c r="H2" s="47"/>
      <c r="I2" s="47"/>
    </row>
    <row r="4" spans="2:14">
      <c r="B4" s="153"/>
      <c r="C4" s="871">
        <v>2018</v>
      </c>
      <c r="D4" s="871">
        <v>2019</v>
      </c>
      <c r="E4" s="871">
        <v>2020</v>
      </c>
      <c r="F4" s="871" t="s">
        <v>3881</v>
      </c>
      <c r="G4" s="871">
        <v>2022</v>
      </c>
      <c r="H4" s="1089">
        <v>45078</v>
      </c>
      <c r="I4" s="153">
        <f>+G4+1</f>
        <v>2023</v>
      </c>
      <c r="J4" s="153">
        <f t="shared" ref="J4:M4" si="0">+I4+1</f>
        <v>2024</v>
      </c>
      <c r="K4" s="153">
        <f t="shared" si="0"/>
        <v>2025</v>
      </c>
      <c r="L4" s="153">
        <f t="shared" si="0"/>
        <v>2026</v>
      </c>
      <c r="M4" s="153">
        <f t="shared" si="0"/>
        <v>2027</v>
      </c>
    </row>
    <row r="5" spans="2:14">
      <c r="B5" s="153" t="s">
        <v>354</v>
      </c>
      <c r="C5" s="53" t="s">
        <v>400</v>
      </c>
      <c r="D5" s="53" t="s">
        <v>400</v>
      </c>
      <c r="E5" s="53" t="s">
        <v>400</v>
      </c>
      <c r="F5" s="53" t="s">
        <v>400</v>
      </c>
      <c r="G5" s="53" t="s">
        <v>400</v>
      </c>
      <c r="H5" s="921" t="s">
        <v>400</v>
      </c>
      <c r="I5" s="53" t="s">
        <v>355</v>
      </c>
      <c r="J5" s="53" t="s">
        <v>355</v>
      </c>
      <c r="K5" s="53" t="s">
        <v>355</v>
      </c>
      <c r="L5" s="53" t="s">
        <v>355</v>
      </c>
      <c r="M5" s="53" t="s">
        <v>355</v>
      </c>
    </row>
    <row r="6" spans="2:14">
      <c r="H6" s="1038"/>
    </row>
    <row r="7" spans="2:14">
      <c r="B7" s="143" t="s">
        <v>3</v>
      </c>
      <c r="C7" s="144">
        <f>+CE!C26</f>
        <v>2401.8323600000003</v>
      </c>
      <c r="D7" s="144">
        <f>+CE!D26</f>
        <v>2609.6740699999991</v>
      </c>
      <c r="E7" s="144">
        <f>+CE!E26</f>
        <v>2756.2255499999992</v>
      </c>
      <c r="F7" s="144">
        <f>+CE!H26</f>
        <v>3821.8763799999979</v>
      </c>
      <c r="G7" s="144">
        <f>+CE!I26</f>
        <v>7956.0884499999956</v>
      </c>
      <c r="H7" s="1039">
        <f>+CE!J26</f>
        <v>4170.5961900000057</v>
      </c>
      <c r="I7" s="144">
        <f>+CE!L26</f>
        <v>11038.339659597004</v>
      </c>
      <c r="J7" s="144">
        <f>+CE!M26</f>
        <v>11663.811800158066</v>
      </c>
      <c r="K7" s="144">
        <f>+CE!N26</f>
        <v>12391.978505040883</v>
      </c>
      <c r="L7" s="144">
        <f>+CE!O26</f>
        <v>13488.938163424144</v>
      </c>
      <c r="M7" s="144">
        <f>+CE!P26</f>
        <v>14498.335613542804</v>
      </c>
    </row>
    <row r="8" spans="2:14">
      <c r="B8" s="7" t="s">
        <v>381</v>
      </c>
      <c r="C8" s="99">
        <f>+CE!C41</f>
        <v>-134.05699999999999</v>
      </c>
      <c r="D8" s="99">
        <f>+CE!D41</f>
        <v>-129.78514999999999</v>
      </c>
      <c r="E8" s="99">
        <f>+CE!E41</f>
        <v>-184.721</v>
      </c>
      <c r="F8" s="99">
        <f>+CE!H41</f>
        <v>-503.62</v>
      </c>
      <c r="G8" s="99">
        <f>+CE!I41</f>
        <v>-1678.249</v>
      </c>
      <c r="H8" s="1040">
        <f>+CE!J41</f>
        <v>-570.85536000000002</v>
      </c>
      <c r="I8" s="99">
        <f>+CE!L41</f>
        <v>-2155.3684719389676</v>
      </c>
      <c r="J8" s="99">
        <f>+CE!M41</f>
        <v>-2253.3552368620431</v>
      </c>
      <c r="K8" s="99">
        <f>+CE!N41</f>
        <v>-2362.8443853763551</v>
      </c>
      <c r="L8" s="99">
        <f>+CE!O41</f>
        <v>-2529.7765362446207</v>
      </c>
      <c r="M8" s="99">
        <f>+CE!P41</f>
        <v>-2710.2477095165459</v>
      </c>
    </row>
    <row r="9" spans="2:14">
      <c r="B9" s="145" t="s">
        <v>441</v>
      </c>
      <c r="C9" s="146">
        <f t="shared" ref="C9:K9" si="1">+SUM(C7:C8)</f>
        <v>2267.7753600000005</v>
      </c>
      <c r="D9" s="146">
        <f t="shared" si="1"/>
        <v>2479.888919999999</v>
      </c>
      <c r="E9" s="146">
        <f t="shared" si="1"/>
        <v>2571.5045499999992</v>
      </c>
      <c r="F9" s="146">
        <f t="shared" si="1"/>
        <v>3318.256379999998</v>
      </c>
      <c r="G9" s="146">
        <f t="shared" si="1"/>
        <v>6277.8394499999958</v>
      </c>
      <c r="H9" s="1041">
        <f t="shared" ref="H9" si="2">+SUM(H7:H8)</f>
        <v>3599.7408300000056</v>
      </c>
      <c r="I9" s="146">
        <f t="shared" si="1"/>
        <v>8882.9711876580368</v>
      </c>
      <c r="J9" s="146">
        <f t="shared" si="1"/>
        <v>9410.4565632960221</v>
      </c>
      <c r="K9" s="146">
        <f t="shared" si="1"/>
        <v>10029.134119664528</v>
      </c>
      <c r="L9" s="146">
        <f t="shared" ref="L9:M9" si="3">+SUM(L7:L8)</f>
        <v>10959.161627179523</v>
      </c>
      <c r="M9" s="146">
        <f t="shared" si="3"/>
        <v>11788.087904026259</v>
      </c>
    </row>
    <row r="10" spans="2:14" outlineLevel="1">
      <c r="B10" s="7" t="s">
        <v>2436</v>
      </c>
      <c r="C10" s="147"/>
      <c r="D10" s="147">
        <f>+SP!C12-SP!D12</f>
        <v>-305.79944999999998</v>
      </c>
      <c r="E10" s="147">
        <f>+SP!D12-SP!E12</f>
        <v>72.226250000000164</v>
      </c>
      <c r="F10" s="147">
        <f>+SP!E12-SP!H12</f>
        <v>42.950829999999883</v>
      </c>
      <c r="G10" s="147">
        <f>+SP!H12-SP!I12</f>
        <v>283.55836999999997</v>
      </c>
      <c r="H10" s="1042">
        <f>+SP!I12-SP!J12</f>
        <v>-162.61946</v>
      </c>
      <c r="I10" s="147">
        <f>+SP!I12-SP!K12</f>
        <v>-1417.7340451735463</v>
      </c>
      <c r="J10" s="147">
        <f>+SP!K12-SP!L12</f>
        <v>-122.84772406581078</v>
      </c>
      <c r="K10" s="147">
        <f>+SP!L12-SP!M12</f>
        <v>-83.603300029849379</v>
      </c>
      <c r="L10" s="147">
        <f>+SP!M12-SP!N12</f>
        <v>-102.67845825039558</v>
      </c>
      <c r="M10" s="147">
        <f>+SP!N12-SP!O12</f>
        <v>-107.4623902365156</v>
      </c>
    </row>
    <row r="11" spans="2:14" outlineLevel="1">
      <c r="B11" s="7" t="s">
        <v>6</v>
      </c>
      <c r="C11" s="147"/>
      <c r="D11" s="147">
        <f>+SP!C13-SP!D13</f>
        <v>1162.6454600000034</v>
      </c>
      <c r="E11" s="147">
        <f>+SP!D13-SP!E13</f>
        <v>-4439.3254699999979</v>
      </c>
      <c r="F11" s="147">
        <f>+SP!E13-SP!H13</f>
        <v>21.192689999999857</v>
      </c>
      <c r="G11" s="147">
        <f>+SP!H13-SP!I13</f>
        <v>-12940.915750000004</v>
      </c>
      <c r="H11" s="1042">
        <f>+SP!I13-SP!J13</f>
        <v>-1539.9103800000012</v>
      </c>
      <c r="I11" s="147">
        <f>+SP!I13-SP!K13</f>
        <v>-1847.5918061111151</v>
      </c>
      <c r="J11" s="147">
        <f>+SP!K13-SP!L13</f>
        <v>-2033.0171211111083</v>
      </c>
      <c r="K11" s="147">
        <f>+SP!L13-SP!M13</f>
        <v>-1268.3484199999948</v>
      </c>
      <c r="L11" s="147">
        <f>+SP!M13-SP!N13</f>
        <v>-1578.1352884534426</v>
      </c>
      <c r="M11" s="147">
        <f>+SP!N13-SP!O13</f>
        <v>-1647.9705216265138</v>
      </c>
      <c r="N11" s="148"/>
    </row>
    <row r="12" spans="2:14" outlineLevel="1">
      <c r="B12" s="7" t="s">
        <v>7</v>
      </c>
      <c r="C12" s="147"/>
      <c r="D12" s="147">
        <f>+SP!C14-SP!D14</f>
        <v>-68.655320000001666</v>
      </c>
      <c r="E12" s="147">
        <f>+SP!D14-SP!E14</f>
        <v>687.42335000000094</v>
      </c>
      <c r="F12" s="147">
        <f>+SP!E14-SP!H14</f>
        <v>1146.2600199999988</v>
      </c>
      <c r="G12" s="147">
        <f>+SP!H14-SP!I14</f>
        <v>9082.8490300000012</v>
      </c>
      <c r="H12" s="1042">
        <f>+SP!I14-SP!J14</f>
        <v>-4216.0594500000007</v>
      </c>
      <c r="I12" s="147">
        <f>+SP!I14-SP!K14</f>
        <v>-1448.3526491109187</v>
      </c>
      <c r="J12" s="147">
        <f>+SP!K14-SP!L14</f>
        <v>509.60311137734243</v>
      </c>
      <c r="K12" s="147">
        <f>+SP!L14-SP!M14</f>
        <v>-691.98392489360413</v>
      </c>
      <c r="L12" s="147">
        <f>+SP!M14-SP!N14</f>
        <v>532.44168501227978</v>
      </c>
      <c r="M12" s="147">
        <f>+SP!N14-SP!O14</f>
        <v>-669.71967736751321</v>
      </c>
    </row>
    <row r="13" spans="2:14" outlineLevel="1">
      <c r="B13" s="116" t="s">
        <v>2437</v>
      </c>
      <c r="C13" s="149">
        <f t="shared" ref="C13:K13" si="4">+SUM(C10:C12)</f>
        <v>0</v>
      </c>
      <c r="D13" s="149">
        <f t="shared" si="4"/>
        <v>788.19069000000172</v>
      </c>
      <c r="E13" s="149">
        <f t="shared" si="4"/>
        <v>-3679.6758699999973</v>
      </c>
      <c r="F13" s="149">
        <f t="shared" si="4"/>
        <v>1210.4035399999984</v>
      </c>
      <c r="G13" s="149">
        <f t="shared" si="4"/>
        <v>-3574.5083500000019</v>
      </c>
      <c r="H13" s="1043">
        <f t="shared" ref="H13" si="5">+SUM(H10:H12)</f>
        <v>-5918.5892900000017</v>
      </c>
      <c r="I13" s="149">
        <f t="shared" si="4"/>
        <v>-4713.6785003955802</v>
      </c>
      <c r="J13" s="149">
        <f t="shared" si="4"/>
        <v>-1646.2617337995766</v>
      </c>
      <c r="K13" s="149">
        <f t="shared" si="4"/>
        <v>-2043.9356449234483</v>
      </c>
      <c r="L13" s="149">
        <f t="shared" ref="L13:M13" si="6">+SUM(L10:L12)</f>
        <v>-1148.3720616915584</v>
      </c>
      <c r="M13" s="149">
        <f t="shared" si="6"/>
        <v>-2425.1525892305426</v>
      </c>
    </row>
    <row r="14" spans="2:14" outlineLevel="1">
      <c r="B14" s="7" t="s">
        <v>2438</v>
      </c>
      <c r="C14" s="99"/>
      <c r="D14" s="99">
        <f>+SP!C16+SP!C17-SP!D16-SP!D17</f>
        <v>-1141.5670799999996</v>
      </c>
      <c r="E14" s="99">
        <f>+SP!D16+SP!D17-SP!E16-SP!E17</f>
        <v>928.60321000000022</v>
      </c>
      <c r="F14" s="99">
        <f>+SP!E16+SP!E17-SP!H16-SP!H17</f>
        <v>-1218.3837699999995</v>
      </c>
      <c r="G14" s="99">
        <f>+SP!H16+SP!H17-SP!I16-SP!I17</f>
        <v>2510.3920299999982</v>
      </c>
      <c r="H14" s="1040">
        <f>+SP!I16+SP!I17-SP!J16-SP!J17</f>
        <v>2032.3679800000009</v>
      </c>
      <c r="I14" s="99">
        <f>+SP!I16+SP!I17-SP!K16-SP!K17</f>
        <v>-3780.063637468912</v>
      </c>
      <c r="J14" s="99">
        <f>+SP!K16+SP!K17-SP!L16-SP!L17</f>
        <v>-199.9974727649369</v>
      </c>
      <c r="K14" s="99">
        <f>+SP!L16+SP!L17-SP!M16-SP!M17</f>
        <v>-179.31835503085767</v>
      </c>
      <c r="L14" s="99">
        <f>+SP!M16+SP!M17-SP!N16-SP!N17</f>
        <v>-237.32681966587734</v>
      </c>
      <c r="M14" s="99">
        <f>+SP!N16+SP!N17-SP!O16-SP!O17</f>
        <v>-245.1191744538437</v>
      </c>
    </row>
    <row r="15" spans="2:14" outlineLevel="1">
      <c r="B15" s="116" t="s">
        <v>2439</v>
      </c>
      <c r="C15" s="149">
        <f t="shared" ref="C15:M15" si="7">+SUM(C13:C14)</f>
        <v>0</v>
      </c>
      <c r="D15" s="149">
        <f t="shared" si="7"/>
        <v>-353.37638999999785</v>
      </c>
      <c r="E15" s="149">
        <f t="shared" si="7"/>
        <v>-2751.0726599999971</v>
      </c>
      <c r="F15" s="149">
        <f t="shared" si="7"/>
        <v>-7.9802300000010291</v>
      </c>
      <c r="G15" s="149">
        <f t="shared" si="7"/>
        <v>-1064.1163200000037</v>
      </c>
      <c r="H15" s="1043">
        <f t="shared" si="7"/>
        <v>-3886.2213100000008</v>
      </c>
      <c r="I15" s="149">
        <f t="shared" si="7"/>
        <v>-8493.7421378644922</v>
      </c>
      <c r="J15" s="149">
        <f t="shared" si="7"/>
        <v>-1846.2592065645135</v>
      </c>
      <c r="K15" s="149">
        <f t="shared" si="7"/>
        <v>-2223.253999954306</v>
      </c>
      <c r="L15" s="149">
        <f t="shared" si="7"/>
        <v>-1385.6988813574358</v>
      </c>
      <c r="M15" s="149">
        <f t="shared" si="7"/>
        <v>-2670.2717636843863</v>
      </c>
    </row>
    <row r="16" spans="2:14" outlineLevel="1">
      <c r="B16" s="7" t="s">
        <v>2440</v>
      </c>
      <c r="C16" s="99"/>
      <c r="D16" s="99">
        <f>+SP!C21-SP!D21+CE!D31</f>
        <v>-61.098080000000003</v>
      </c>
      <c r="E16" s="99">
        <f>+SP!D21-SP!E21+CE!E31</f>
        <v>-82.573999999999998</v>
      </c>
      <c r="F16" s="99">
        <f>+SP!E21-SP!H21+CE!H31</f>
        <v>2037.8620000000001</v>
      </c>
      <c r="G16" s="99">
        <f>+SP!H21-SP!I21+CE!I31</f>
        <v>-229.91296999999975</v>
      </c>
      <c r="H16" s="1040">
        <f>+SP!I21-SP!J21+CE!J31</f>
        <v>-459.22032000000036</v>
      </c>
      <c r="I16" s="99">
        <f>+SP!I21-SP!K21+CE!L31</f>
        <v>-577.3458607790642</v>
      </c>
      <c r="J16" s="99">
        <f>+SP!K21-SP!L21+CE!M31</f>
        <v>-728.89190624524224</v>
      </c>
      <c r="K16" s="99">
        <f>+SP!L21-SP!M21+CE!N31</f>
        <v>-765.85871479419484</v>
      </c>
      <c r="L16" s="99">
        <f>+SP!M21-SP!N21+CE!O31</f>
        <v>-790.51994863975619</v>
      </c>
      <c r="M16" s="99">
        <f>+SP!N21-SP!O21+CE!P31</f>
        <v>-820.56333799047309</v>
      </c>
    </row>
    <row r="17" spans="2:21" outlineLevel="1">
      <c r="B17" s="7" t="s">
        <v>2441</v>
      </c>
      <c r="C17" s="99"/>
      <c r="D17" s="99">
        <f>+SP!C22-SP!D22</f>
        <v>101.71364999999992</v>
      </c>
      <c r="E17" s="99">
        <f>+SP!D22-SP!E22</f>
        <v>36.089020000000119</v>
      </c>
      <c r="F17" s="99">
        <f>+SP!E22-SP!H22</f>
        <v>195.10356999999999</v>
      </c>
      <c r="G17" s="99">
        <f>+SP!H22-SP!I22</f>
        <v>282.37301000000002</v>
      </c>
      <c r="H17" s="1040">
        <f>+SP!I22-SP!J22</f>
        <v>-6.462289999999939</v>
      </c>
      <c r="I17" s="99">
        <f>+SP!I22-SP!K22</f>
        <v>784.82341904886289</v>
      </c>
      <c r="J17" s="99">
        <f>+SP!K22-SP!L22</f>
        <v>834.12796330086621</v>
      </c>
      <c r="K17" s="99">
        <f>+SP!L22-SP!M22</f>
        <v>864.88783253731981</v>
      </c>
      <c r="L17" s="99">
        <f>+SP!M22-SP!N22</f>
        <v>903.16062441753547</v>
      </c>
      <c r="M17" s="99">
        <f>+SP!N22-SP!O22</f>
        <v>943.12705395017292</v>
      </c>
    </row>
    <row r="18" spans="2:21">
      <c r="B18" s="145" t="s">
        <v>442</v>
      </c>
      <c r="C18" s="150">
        <f t="shared" ref="C18:M18" si="8">+C9+C15+C16+C17</f>
        <v>2267.7753600000005</v>
      </c>
      <c r="D18" s="150">
        <f t="shared" si="8"/>
        <v>2167.1281000000008</v>
      </c>
      <c r="E18" s="150">
        <f t="shared" si="8"/>
        <v>-226.05308999999778</v>
      </c>
      <c r="F18" s="150">
        <f t="shared" si="8"/>
        <v>5543.2417199999973</v>
      </c>
      <c r="G18" s="150">
        <f t="shared" si="8"/>
        <v>5266.183169999993</v>
      </c>
      <c r="H18" s="1044">
        <f t="shared" si="8"/>
        <v>-752.16308999999546</v>
      </c>
      <c r="I18" s="150">
        <f t="shared" si="8"/>
        <v>596.70660806334331</v>
      </c>
      <c r="J18" s="150">
        <f t="shared" si="8"/>
        <v>7669.4334137871328</v>
      </c>
      <c r="K18" s="150">
        <f t="shared" si="8"/>
        <v>7904.9092374533475</v>
      </c>
      <c r="L18" s="150">
        <f t="shared" si="8"/>
        <v>9686.1034215998661</v>
      </c>
      <c r="M18" s="150">
        <f t="shared" si="8"/>
        <v>9240.3798563015716</v>
      </c>
    </row>
    <row r="19" spans="2:21">
      <c r="B19" s="7" t="s">
        <v>443</v>
      </c>
      <c r="C19" s="99"/>
      <c r="D19" s="99">
        <f>+SP!C9-SP!D9</f>
        <v>-0.20000000000000284</v>
      </c>
      <c r="E19" s="99">
        <f>+SP!D9-SP!E9</f>
        <v>-0.20000000000000284</v>
      </c>
      <c r="F19" s="99">
        <f>+SP!E9-SP!H9</f>
        <v>-20.200000000000003</v>
      </c>
      <c r="G19" s="99">
        <f>+SP!H9-SP!I9</f>
        <v>-153.84780999999998</v>
      </c>
      <c r="H19" s="1040">
        <f>+SP!I9-SP!J9</f>
        <v>22.248299999999972</v>
      </c>
      <c r="I19" s="99">
        <f>+SP!I9-SP!K9</f>
        <v>22.248299999999972</v>
      </c>
      <c r="J19" s="99">
        <f>+SP!K9-SP!L9</f>
        <v>0</v>
      </c>
      <c r="K19" s="99">
        <f>+SP!L9-SP!M9</f>
        <v>0</v>
      </c>
      <c r="L19" s="99">
        <f>+SP!M9-SP!N9</f>
        <v>0</v>
      </c>
      <c r="M19" s="99">
        <f>+SP!N9-SP!O9</f>
        <v>0</v>
      </c>
    </row>
    <row r="20" spans="2:21">
      <c r="B20" s="7" t="s">
        <v>9</v>
      </c>
      <c r="C20" s="102"/>
      <c r="D20" s="102">
        <f>+SP!C7+SP!C8-SP!D7-SP!D8+CE!D29+CE!D30</f>
        <v>-590.35722000000305</v>
      </c>
      <c r="E20" s="102">
        <f>+SP!D7+SP!D8-SP!E7-SP!E8+CE!E29+CE!E30</f>
        <v>-1280.6294299999965</v>
      </c>
      <c r="F20" s="102">
        <f>+SP!E7+SP!E8-SP!H7-SP!H8+CE!H29+CE!H30</f>
        <v>-10188.243470000001</v>
      </c>
      <c r="G20" s="102">
        <f>+SP!H7+SP!H8-SP!I7-SP!I8+CE!I29+CE!I30</f>
        <v>-2817.5203100000012</v>
      </c>
      <c r="H20" s="922">
        <f>+SP!I7+SP!I8-SP!J7-SP!J8+CE!J29+CE!J30</f>
        <v>-1323.7795299999991</v>
      </c>
      <c r="I20" s="102">
        <f>+SP!I7+SP!I8-SP!K7-SP!K8+CE!L29+CE!L30</f>
        <v>-3388.9515802000014</v>
      </c>
      <c r="J20" s="102">
        <f>+SP!K7+SP!K8-SP!L7-SP!L8+CE!M29+CE!M30</f>
        <v>-3314.5784831694918</v>
      </c>
      <c r="K20" s="102">
        <f>+SP!L7+SP!L8-SP!M7-SP!M8+CE!N29+CE!N30</f>
        <v>-3436.8091302668408</v>
      </c>
      <c r="L20" s="102">
        <f>+SP!M7+SP!M8-SP!N7-SP!N8+CE!O29+CE!O30</f>
        <v>-3588.8939158613352</v>
      </c>
      <c r="M20" s="102">
        <f>+SP!N7+SP!N8-SP!O7-SP!O8+CE!P29+CE!P30</f>
        <v>-3747.7087179137243</v>
      </c>
    </row>
    <row r="21" spans="2:21">
      <c r="B21" s="145" t="s">
        <v>444</v>
      </c>
      <c r="C21" s="150">
        <f t="shared" ref="C21:G21" si="9">+SUM(C18:C20)</f>
        <v>2267.7753600000005</v>
      </c>
      <c r="D21" s="150">
        <f>+SUM(D18:D20)</f>
        <v>1576.5708799999979</v>
      </c>
      <c r="E21" s="150">
        <f t="shared" si="9"/>
        <v>-1506.8825199999942</v>
      </c>
      <c r="F21" s="150">
        <f t="shared" si="9"/>
        <v>-4665.2017500000038</v>
      </c>
      <c r="G21" s="150">
        <f t="shared" si="9"/>
        <v>2294.8150499999915</v>
      </c>
      <c r="H21" s="1044">
        <f t="shared" ref="H21" si="10">+SUM(H18:H20)</f>
        <v>-2053.6943199999946</v>
      </c>
      <c r="I21" s="150">
        <f>+SUM(I18:I20)</f>
        <v>-2769.9966721366582</v>
      </c>
      <c r="J21" s="150">
        <f t="shared" ref="J21:M21" si="11">+SUM(J18:J20)</f>
        <v>4354.854930617641</v>
      </c>
      <c r="K21" s="150">
        <f t="shared" si="11"/>
        <v>4468.1001071865066</v>
      </c>
      <c r="L21" s="150">
        <f t="shared" si="11"/>
        <v>6097.2095057385304</v>
      </c>
      <c r="M21" s="150">
        <f t="shared" si="11"/>
        <v>5492.6711383878473</v>
      </c>
      <c r="O21" s="112"/>
      <c r="P21" s="112"/>
      <c r="Q21" s="112"/>
      <c r="R21" s="112"/>
      <c r="S21" s="112"/>
      <c r="T21" s="112"/>
      <c r="U21" s="112"/>
    </row>
    <row r="22" spans="2:21">
      <c r="B22" s="7" t="s">
        <v>445</v>
      </c>
      <c r="C22" s="102"/>
      <c r="D22" s="102">
        <f>+CE!D36+CE!D37+CE!D38</f>
        <v>-155.35613000000001</v>
      </c>
      <c r="E22" s="102">
        <f>+CE!E36+CE!E37+CE!E38</f>
        <v>-40.733060000000002</v>
      </c>
      <c r="F22" s="102">
        <f>+CE!H36+CE!H37+CE!H38</f>
        <v>-49.136220000000044</v>
      </c>
      <c r="G22" s="102">
        <f>+CE!I36+CE!I37+CE!I38</f>
        <v>-105.61643000000002</v>
      </c>
      <c r="H22" s="922">
        <f>+CE!J36+CE!J37+CE!J38</f>
        <v>-184.79653999999999</v>
      </c>
      <c r="I22" s="102">
        <f>+CE!L36+CE!L37+CE!L38</f>
        <v>-444.07848349185718</v>
      </c>
      <c r="J22" s="102">
        <f>+CE!M36+CE!M37+CE!M38</f>
        <v>-408.46014543857149</v>
      </c>
      <c r="K22" s="102">
        <f>+CE!N36+CE!N37+CE!N38</f>
        <v>-376.25014202857147</v>
      </c>
      <c r="L22" s="102">
        <f>+CE!O36+CE!O37+CE!O38</f>
        <v>-358.74417030000001</v>
      </c>
      <c r="M22" s="102">
        <f>+CE!P36+CE!P37+CE!P38</f>
        <v>-351.32847335714291</v>
      </c>
    </row>
    <row r="23" spans="2:21" hidden="1" outlineLevel="2">
      <c r="B23" s="8" t="s">
        <v>424</v>
      </c>
      <c r="C23" s="102"/>
      <c r="D23" s="102"/>
      <c r="E23" s="102"/>
      <c r="F23" s="102"/>
      <c r="G23" s="102"/>
      <c r="H23" s="922"/>
      <c r="I23" s="102"/>
      <c r="J23" s="102"/>
      <c r="K23" s="102"/>
      <c r="L23" s="102"/>
      <c r="M23" s="102"/>
    </row>
    <row r="24" spans="2:21" hidden="1" outlineLevel="1">
      <c r="B24" s="8" t="s">
        <v>425</v>
      </c>
      <c r="C24" s="102"/>
      <c r="D24" s="102"/>
      <c r="E24" s="102"/>
      <c r="F24" s="102"/>
      <c r="G24" s="102"/>
      <c r="H24" s="922"/>
      <c r="I24" s="102"/>
      <c r="J24" s="102"/>
      <c r="K24" s="102"/>
      <c r="L24" s="102"/>
      <c r="M24" s="102"/>
    </row>
    <row r="25" spans="2:21" hidden="1" outlineLevel="1">
      <c r="B25" s="8" t="s">
        <v>426</v>
      </c>
      <c r="C25" s="102"/>
      <c r="D25" s="102"/>
      <c r="E25" s="102"/>
      <c r="F25" s="102"/>
      <c r="G25" s="102"/>
      <c r="H25" s="922"/>
      <c r="I25" s="102"/>
      <c r="J25" s="102"/>
      <c r="K25" s="102"/>
      <c r="L25" s="102"/>
      <c r="M25" s="102"/>
    </row>
    <row r="26" spans="2:21" hidden="1" outlineLevel="1">
      <c r="B26" s="8" t="s">
        <v>427</v>
      </c>
      <c r="C26" s="102"/>
      <c r="D26" s="102"/>
      <c r="E26" s="102"/>
      <c r="F26" s="102"/>
      <c r="G26" s="102"/>
      <c r="H26" s="922"/>
      <c r="I26" s="102"/>
      <c r="J26" s="102"/>
      <c r="K26" s="102"/>
      <c r="L26" s="102"/>
      <c r="M26" s="102"/>
    </row>
    <row r="27" spans="2:21" hidden="1" outlineLevel="1">
      <c r="B27" s="8" t="s">
        <v>428</v>
      </c>
      <c r="C27" s="102"/>
      <c r="D27" s="102"/>
      <c r="E27" s="102"/>
      <c r="F27" s="102"/>
      <c r="G27" s="102"/>
      <c r="H27" s="922"/>
      <c r="I27" s="102"/>
      <c r="J27" s="102"/>
      <c r="K27" s="102"/>
      <c r="L27" s="102"/>
      <c r="M27" s="102"/>
    </row>
    <row r="28" spans="2:21" hidden="1" outlineLevel="2">
      <c r="B28" s="8" t="s">
        <v>429</v>
      </c>
      <c r="C28" s="102"/>
      <c r="D28" s="102"/>
      <c r="E28" s="102"/>
      <c r="F28" s="102"/>
      <c r="G28" s="102"/>
      <c r="H28" s="922"/>
      <c r="I28" s="102"/>
      <c r="J28" s="102"/>
      <c r="K28" s="102"/>
      <c r="L28" s="102"/>
      <c r="M28" s="102"/>
    </row>
    <row r="29" spans="2:21" hidden="1" outlineLevel="1">
      <c r="B29" s="8" t="s">
        <v>446</v>
      </c>
      <c r="C29" s="102"/>
      <c r="D29" s="102"/>
      <c r="E29" s="102"/>
      <c r="F29" s="102"/>
      <c r="G29" s="102"/>
      <c r="H29" s="922"/>
      <c r="I29" s="102"/>
      <c r="J29" s="102"/>
      <c r="K29" s="102"/>
      <c r="L29" s="102"/>
      <c r="M29" s="102"/>
    </row>
    <row r="30" spans="2:21" outlineLevel="1">
      <c r="B30" s="7" t="s">
        <v>447</v>
      </c>
      <c r="C30" s="102"/>
      <c r="D30" s="102">
        <f>+SP!D31-SP!C31-CE!D42</f>
        <v>1.9999999999299689E-2</v>
      </c>
      <c r="E30" s="102">
        <f>+SP!E31-SP!D31-CE!E42</f>
        <v>2.1620000000009441</v>
      </c>
      <c r="F30" s="102">
        <f>+SP!H31-SP!E31-CE!H42</f>
        <v>5768.7126400000006</v>
      </c>
      <c r="G30" s="102">
        <f>+SP!I31-SP!H31-CE!I42</f>
        <v>95.721109999998589</v>
      </c>
      <c r="H30" s="922">
        <f>+SP!J31-SP!I31-CE!J42</f>
        <v>-12.24778000000606</v>
      </c>
      <c r="I30" s="102">
        <f>+SP!K31-SP!I31-CE!L42</f>
        <v>-95.820280000004459</v>
      </c>
      <c r="J30" s="102">
        <f>+SP!L31-SP!K31-CE!M42</f>
        <v>0</v>
      </c>
      <c r="K30" s="102">
        <f>+SP!M31-SP!L31-CE!N42</f>
        <v>0</v>
      </c>
      <c r="L30" s="102">
        <f>+SP!N31-SP!M31-CE!O42</f>
        <v>0</v>
      </c>
      <c r="M30" s="102">
        <f>+SP!O31-SP!N31-CE!P42</f>
        <v>0</v>
      </c>
    </row>
    <row r="31" spans="2:21">
      <c r="B31" s="7" t="s">
        <v>424</v>
      </c>
      <c r="C31" s="99"/>
      <c r="D31" s="99">
        <f>+SP!D32-SP!C32</f>
        <v>-639</v>
      </c>
      <c r="E31" s="99">
        <f>+SP!E32-SP!D32</f>
        <v>1122</v>
      </c>
      <c r="F31" s="99">
        <f>+SP!H32-SP!E32</f>
        <v>-1324.335</v>
      </c>
      <c r="G31" s="99">
        <f>+SP!I32-SP!H32</f>
        <v>1458.7518100000007</v>
      </c>
      <c r="H31" s="1040">
        <f>+SP!J32-SP!I32</f>
        <v>3812.5047999999988</v>
      </c>
      <c r="I31" s="99">
        <f>+SP!K32-SP!I32</f>
        <v>3190.844549999998</v>
      </c>
      <c r="J31" s="99">
        <f>+SP!L32-SP!K32</f>
        <v>-660.34131999999954</v>
      </c>
      <c r="K31" s="99">
        <f>+SP!M32-SP!L32</f>
        <v>8.1436000000012427</v>
      </c>
      <c r="L31" s="99">
        <f>+SP!N32-SP!M32</f>
        <v>-702.98056999999972</v>
      </c>
      <c r="M31" s="99">
        <f>+SP!O32-SP!N32</f>
        <v>89.651929999999993</v>
      </c>
    </row>
    <row r="32" spans="2:21">
      <c r="B32" s="7" t="s">
        <v>425</v>
      </c>
      <c r="C32" s="99"/>
      <c r="D32" s="99">
        <f>+SP!D33-SP!C33</f>
        <v>272.44000000000051</v>
      </c>
      <c r="E32" s="99">
        <f>+SP!E33-SP!D33</f>
        <v>392.48433999999997</v>
      </c>
      <c r="F32" s="99">
        <f>+SP!H33-SP!E33</f>
        <v>933.79970999999932</v>
      </c>
      <c r="G32" s="99">
        <f>+SP!I33-SP!H33</f>
        <v>-337.53511999999955</v>
      </c>
      <c r="H32" s="1040">
        <f>+SP!J33-SP!I33</f>
        <v>-186.03827999999976</v>
      </c>
      <c r="I32" s="99">
        <f>+SP!K33-SP!I33</f>
        <v>-1161.0701300000001</v>
      </c>
      <c r="J32" s="99">
        <f>+SP!L33-SP!K33</f>
        <v>-1568.33104</v>
      </c>
      <c r="K32" s="99">
        <f>+SP!M33-SP!L33</f>
        <v>-1304.67164</v>
      </c>
      <c r="L32" s="99">
        <f>+SP!N33-SP!M33</f>
        <v>-263.50206999999995</v>
      </c>
      <c r="M32" s="99">
        <f>+SP!O33-SP!N33</f>
        <v>0</v>
      </c>
    </row>
    <row r="33" spans="2:13">
      <c r="B33" s="7" t="s">
        <v>427</v>
      </c>
      <c r="C33" s="99"/>
      <c r="D33" s="99">
        <f>+SP!D34-SP!C34</f>
        <v>0</v>
      </c>
      <c r="E33" s="99">
        <f>+SP!E34-SP!D34</f>
        <v>0</v>
      </c>
      <c r="F33" s="99">
        <f>+SP!H34-SP!E34</f>
        <v>41.035179999999997</v>
      </c>
      <c r="G33" s="99">
        <f>+SP!I34-SP!H34</f>
        <v>67.458680000000001</v>
      </c>
      <c r="H33" s="1040">
        <f>+SP!J34-SP!I34</f>
        <v>-1.2196999999999889</v>
      </c>
      <c r="I33" s="99">
        <f>+SP!K34-SP!I34</f>
        <v>-26.18495999999999</v>
      </c>
      <c r="J33" s="99">
        <f>+SP!L34-SP!K34</f>
        <v>-32.637360000000015</v>
      </c>
      <c r="K33" s="99">
        <f>+SP!M34-SP!L34</f>
        <v>-27.445309999999999</v>
      </c>
      <c r="L33" s="99">
        <f>+SP!N34-SP!M34</f>
        <v>-19.395159999999994</v>
      </c>
      <c r="M33" s="99">
        <f>+SP!O34-SP!N34</f>
        <v>-2.8310699999999995</v>
      </c>
    </row>
    <row r="34" spans="2:13">
      <c r="B34" s="8" t="s">
        <v>2350</v>
      </c>
      <c r="C34" s="99"/>
      <c r="D34" s="99">
        <f>+SP!D35-SP!C35</f>
        <v>-308.20000000000005</v>
      </c>
      <c r="E34" s="99">
        <f>+SP!E35-SP!D35</f>
        <v>-330.29999999999984</v>
      </c>
      <c r="F34" s="99">
        <f>+SP!H35-SP!E35</f>
        <v>-630.6400000000001</v>
      </c>
      <c r="G34" s="99">
        <f>+SP!I35-SP!H35</f>
        <v>-224.68</v>
      </c>
      <c r="H34" s="1040">
        <f>+SP!J35-SP!I35</f>
        <v>0</v>
      </c>
      <c r="I34" s="99">
        <f>+SP!K35-SP!I35</f>
        <v>0</v>
      </c>
      <c r="J34" s="99">
        <f>+SP!L35-SP!K35</f>
        <v>0</v>
      </c>
      <c r="K34" s="99">
        <f>+SP!M35-SP!L35</f>
        <v>0</v>
      </c>
      <c r="L34" s="99">
        <f>+SP!N35-SP!M35</f>
        <v>0</v>
      </c>
      <c r="M34" s="99">
        <f>+SP!O35-SP!N35</f>
        <v>0</v>
      </c>
    </row>
    <row r="35" spans="2:13">
      <c r="B35" s="8" t="s">
        <v>429</v>
      </c>
      <c r="C35" s="99"/>
      <c r="D35" s="99">
        <f>+SP!D36-SP!C36</f>
        <v>-0.28299999999999997</v>
      </c>
      <c r="E35" s="99">
        <f>+SP!E36-SP!D36</f>
        <v>0</v>
      </c>
      <c r="F35" s="99">
        <f>+SP!H36-SP!E36</f>
        <v>-0.71208000000000005</v>
      </c>
      <c r="G35" s="99">
        <f>+SP!I36-SP!H36</f>
        <v>-0.81527999999999989</v>
      </c>
      <c r="H35" s="1040">
        <f>+SP!J36-SP!I36</f>
        <v>-1.4765600000000003</v>
      </c>
      <c r="I35" s="99">
        <f>+SP!K36-SP!I36</f>
        <v>1.81036</v>
      </c>
      <c r="J35" s="99">
        <f>+SP!L36-SP!K36</f>
        <v>0</v>
      </c>
      <c r="K35" s="99">
        <f>+SP!M36-SP!L36</f>
        <v>0</v>
      </c>
      <c r="L35" s="99">
        <f>+SP!N36-SP!M36</f>
        <v>0</v>
      </c>
      <c r="M35" s="99">
        <f>+SP!O36-SP!N36</f>
        <v>0</v>
      </c>
    </row>
    <row r="36" spans="2:13" ht="4.5" customHeight="1">
      <c r="B36" s="7"/>
      <c r="C36" s="99"/>
      <c r="D36" s="99"/>
      <c r="E36" s="99"/>
      <c r="F36" s="99"/>
      <c r="G36" s="99"/>
      <c r="H36" s="1040"/>
      <c r="I36" s="99"/>
      <c r="J36" s="99"/>
      <c r="K36" s="99"/>
      <c r="L36" s="99"/>
      <c r="M36" s="99"/>
    </row>
    <row r="37" spans="2:13">
      <c r="B37" s="145" t="s">
        <v>448</v>
      </c>
      <c r="C37" s="150">
        <f>+SUM(C22:C30)</f>
        <v>0</v>
      </c>
      <c r="D37" s="150">
        <f>+SUM(D22:D35)</f>
        <v>-830.37913000000026</v>
      </c>
      <c r="E37" s="150">
        <f t="shared" ref="E37:M37" si="12">+SUM(E22:E35)</f>
        <v>1145.6132800000009</v>
      </c>
      <c r="F37" s="150">
        <f t="shared" si="12"/>
        <v>4738.7242299999989</v>
      </c>
      <c r="G37" s="150">
        <f t="shared" si="12"/>
        <v>953.28476999999953</v>
      </c>
      <c r="H37" s="1044">
        <f t="shared" ref="H37" si="13">+SUM(H22:H35)</f>
        <v>3426.725939999993</v>
      </c>
      <c r="I37" s="150">
        <f t="shared" si="12"/>
        <v>1465.5010565081361</v>
      </c>
      <c r="J37" s="150">
        <f t="shared" si="12"/>
        <v>-2669.7698654385713</v>
      </c>
      <c r="K37" s="150">
        <f t="shared" si="12"/>
        <v>-1700.2234920285703</v>
      </c>
      <c r="L37" s="150">
        <f t="shared" si="12"/>
        <v>-1344.6219702999997</v>
      </c>
      <c r="M37" s="150">
        <f t="shared" si="12"/>
        <v>-264.50761335714293</v>
      </c>
    </row>
    <row r="38" spans="2:13" ht="5.65" customHeight="1" outlineLevel="1">
      <c r="B38" s="116"/>
      <c r="C38" s="151"/>
      <c r="D38" s="151"/>
      <c r="E38" s="151"/>
      <c r="F38" s="151"/>
      <c r="G38" s="151"/>
      <c r="H38" s="1043"/>
      <c r="I38" s="151"/>
      <c r="J38" s="151"/>
      <c r="K38" s="151"/>
      <c r="L38" s="151"/>
      <c r="M38" s="151"/>
    </row>
    <row r="39" spans="2:13">
      <c r="B39" s="145" t="s">
        <v>449</v>
      </c>
      <c r="C39" s="150">
        <v>602.77300000000002</v>
      </c>
      <c r="D39" s="150">
        <f t="shared" ref="D39:H39" si="14">+C41</f>
        <v>447</v>
      </c>
      <c r="E39" s="150">
        <f t="shared" si="14"/>
        <v>1193.1917499999977</v>
      </c>
      <c r="F39" s="150">
        <f t="shared" si="14"/>
        <v>831.92251000000442</v>
      </c>
      <c r="G39" s="150">
        <f t="shared" si="14"/>
        <v>905.44498999999951</v>
      </c>
      <c r="H39" s="1044">
        <f t="shared" si="14"/>
        <v>4153.5448099999903</v>
      </c>
      <c r="I39" s="150">
        <f>+G41</f>
        <v>4153.5448099999903</v>
      </c>
      <c r="J39" s="150">
        <f>+I41</f>
        <v>2849.0491943714683</v>
      </c>
      <c r="K39" s="150">
        <f t="shared" ref="K39:M39" si="15">+J41</f>
        <v>4534.1342595505375</v>
      </c>
      <c r="L39" s="150">
        <f t="shared" si="15"/>
        <v>7302.0108747084741</v>
      </c>
      <c r="M39" s="150">
        <f t="shared" si="15"/>
        <v>12054.598410147006</v>
      </c>
    </row>
    <row r="40" spans="2:13">
      <c r="B40" s="7" t="s">
        <v>450</v>
      </c>
      <c r="C40" s="102"/>
      <c r="D40" s="102">
        <f t="shared" ref="D40:M40" si="16">+D21+D37</f>
        <v>746.19174999999768</v>
      </c>
      <c r="E40" s="102">
        <f t="shared" si="16"/>
        <v>-361.26923999999326</v>
      </c>
      <c r="F40" s="102">
        <f t="shared" si="16"/>
        <v>73.522479999995085</v>
      </c>
      <c r="G40" s="102">
        <f t="shared" si="16"/>
        <v>3248.0998199999913</v>
      </c>
      <c r="H40" s="922">
        <f t="shared" ref="H40" si="17">+H21+H37</f>
        <v>1373.0316199999984</v>
      </c>
      <c r="I40" s="102">
        <f t="shared" si="16"/>
        <v>-1304.495615628522</v>
      </c>
      <c r="J40" s="102">
        <f t="shared" si="16"/>
        <v>1685.0850651790697</v>
      </c>
      <c r="K40" s="102">
        <f t="shared" si="16"/>
        <v>2767.8766151579366</v>
      </c>
      <c r="L40" s="102">
        <f t="shared" si="16"/>
        <v>4752.5875354385307</v>
      </c>
      <c r="M40" s="102">
        <f t="shared" si="16"/>
        <v>5228.1635250307045</v>
      </c>
    </row>
    <row r="41" spans="2:13">
      <c r="B41" s="145" t="s">
        <v>451</v>
      </c>
      <c r="C41" s="150">
        <f>-SP!C37</f>
        <v>447</v>
      </c>
      <c r="D41" s="150">
        <f>+D39+D40</f>
        <v>1193.1917499999977</v>
      </c>
      <c r="E41" s="150">
        <f t="shared" ref="E41:G41" si="18">+E39+E40</f>
        <v>831.92251000000442</v>
      </c>
      <c r="F41" s="150">
        <f t="shared" si="18"/>
        <v>905.44498999999951</v>
      </c>
      <c r="G41" s="150">
        <f t="shared" si="18"/>
        <v>4153.5448099999903</v>
      </c>
      <c r="H41" s="1044">
        <f>+H39+H40</f>
        <v>5526.5764299999882</v>
      </c>
      <c r="I41" s="150">
        <f>+I39+I40</f>
        <v>2849.0491943714683</v>
      </c>
      <c r="J41" s="150">
        <f t="shared" ref="J41:M41" si="19">+J39+J40</f>
        <v>4534.1342595505375</v>
      </c>
      <c r="K41" s="150">
        <f t="shared" si="19"/>
        <v>7302.0108747084741</v>
      </c>
      <c r="L41" s="150">
        <f t="shared" si="19"/>
        <v>12054.598410147006</v>
      </c>
      <c r="M41" s="150">
        <f t="shared" si="19"/>
        <v>17282.76193517771</v>
      </c>
    </row>
    <row r="42" spans="2:13">
      <c r="B42" s="47"/>
      <c r="C42" s="47"/>
      <c r="D42" s="152">
        <f>+D41+SP!D37</f>
        <v>0.19174999999768261</v>
      </c>
      <c r="E42" s="152">
        <f>+E41+SP!E37</f>
        <v>2.0510000004378526E-2</v>
      </c>
      <c r="F42" s="152">
        <f>+F41+SP!H37</f>
        <v>1.9899999995232065E-3</v>
      </c>
      <c r="G42" s="83">
        <f>+G41+SP!I37</f>
        <v>2.3229999990689976E-2</v>
      </c>
      <c r="H42" s="1045">
        <f>+H41+SP!J37</f>
        <v>2.3219999989123608E-2</v>
      </c>
      <c r="I42" s="152">
        <f>+I41+SP!K37</f>
        <v>0</v>
      </c>
      <c r="J42" s="152">
        <f>+J41+SP!L37</f>
        <v>0</v>
      </c>
      <c r="K42" s="152">
        <f>+K41+SP!M37</f>
        <v>0</v>
      </c>
      <c r="L42" s="152">
        <f>+L41+SP!N37</f>
        <v>0</v>
      </c>
      <c r="M42" s="152">
        <f>+M41+SP!O37</f>
        <v>0</v>
      </c>
    </row>
    <row r="43" spans="2:13">
      <c r="I43" s="112"/>
      <c r="J43" s="112"/>
      <c r="K43" s="112"/>
      <c r="L43" s="112"/>
      <c r="M43" s="112"/>
    </row>
  </sheetData>
  <pageMargins left="0.7" right="0.7" top="0.75" bottom="0.75" header="0.3" footer="0.3"/>
  <ignoredErrors>
    <ignoredError sqref="I39 H9:H30" formula="1"/>
  </ignoredErrors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2"/>
  <sheetViews>
    <sheetView workbookViewId="0">
      <selection activeCell="C11" sqref="C11"/>
    </sheetView>
  </sheetViews>
  <sheetFormatPr defaultColWidth="8.7109375" defaultRowHeight="15"/>
  <cols>
    <col min="1" max="16384" width="8.7109375" style="9"/>
  </cols>
  <sheetData>
    <row r="2" spans="2:2" ht="49.5">
      <c r="B2" s="593" t="s">
        <v>238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1"/>
  </sheetPr>
  <dimension ref="B2:AD92"/>
  <sheetViews>
    <sheetView showGridLines="0" topLeftCell="A53" zoomScale="95" zoomScaleNormal="150" workbookViewId="0">
      <selection activeCell="E86" sqref="E86"/>
    </sheetView>
  </sheetViews>
  <sheetFormatPr defaultRowHeight="15" outlineLevelRow="1" outlineLevelCol="2"/>
  <cols>
    <col min="1" max="1" width="3.140625" customWidth="1"/>
    <col min="2" max="2" width="39.85546875" style="598" bestFit="1" customWidth="1"/>
    <col min="3" max="7" width="12.28515625" style="603" customWidth="1"/>
    <col min="8" max="8" width="12.28515625" style="603" customWidth="1" outlineLevel="1"/>
    <col min="9" max="9" width="12.28515625" style="603" customWidth="1" outlineLevel="2"/>
    <col min="10" max="14" width="12.28515625" style="598" customWidth="1"/>
    <col min="15" max="15" width="2.140625" customWidth="1"/>
    <col min="16" max="16" width="10.42578125" style="598" bestFit="1" customWidth="1"/>
    <col min="17" max="17" width="9" bestFit="1" customWidth="1"/>
    <col min="20" max="20" width="3.140625" customWidth="1"/>
    <col min="21" max="26" width="8.7109375" style="598"/>
    <col min="27" max="27" width="2.5703125" customWidth="1"/>
    <col min="28" max="28" width="9.28515625" style="598" bestFit="1" customWidth="1"/>
  </cols>
  <sheetData>
    <row r="2" spans="2:28">
      <c r="B2" s="597" t="s">
        <v>396</v>
      </c>
      <c r="C2" s="605"/>
      <c r="D2" s="605"/>
      <c r="E2" s="605"/>
      <c r="F2" s="605"/>
      <c r="G2" s="605"/>
      <c r="H2" s="605"/>
      <c r="I2" s="605"/>
      <c r="J2" s="597"/>
      <c r="K2" s="597"/>
      <c r="L2" s="597"/>
      <c r="M2" s="597"/>
      <c r="N2" s="597"/>
    </row>
    <row r="3" spans="2:28">
      <c r="D3" s="730"/>
      <c r="E3" s="730"/>
      <c r="F3" s="730"/>
      <c r="I3" s="603">
        <v>2</v>
      </c>
      <c r="J3" s="720"/>
      <c r="K3" s="720"/>
      <c r="L3" s="720"/>
      <c r="M3" s="720"/>
      <c r="N3" s="720"/>
      <c r="U3" s="1522" t="s">
        <v>2495</v>
      </c>
      <c r="V3" s="1522"/>
      <c r="W3" s="1522"/>
      <c r="X3" s="1522"/>
      <c r="Y3" s="1522"/>
      <c r="Z3"/>
      <c r="AB3"/>
    </row>
    <row r="4" spans="2:28">
      <c r="B4" s="599" t="s">
        <v>2452</v>
      </c>
      <c r="C4" s="606">
        <v>2018</v>
      </c>
      <c r="D4" s="606">
        <f>+C4+1</f>
        <v>2019</v>
      </c>
      <c r="E4" s="606">
        <f t="shared" ref="E4:N4" si="0">+D4+1</f>
        <v>2020</v>
      </c>
      <c r="F4" s="606">
        <f t="shared" si="0"/>
        <v>2021</v>
      </c>
      <c r="G4" s="606">
        <f t="shared" si="0"/>
        <v>2022</v>
      </c>
      <c r="H4" s="1049">
        <v>45078</v>
      </c>
      <c r="I4" s="1054" t="s">
        <v>4174</v>
      </c>
      <c r="J4" s="599">
        <f>+G4+1</f>
        <v>2023</v>
      </c>
      <c r="K4" s="599">
        <f t="shared" si="0"/>
        <v>2024</v>
      </c>
      <c r="L4" s="599">
        <f t="shared" si="0"/>
        <v>2025</v>
      </c>
      <c r="M4" s="599">
        <f t="shared" si="0"/>
        <v>2026</v>
      </c>
      <c r="N4" s="599">
        <f t="shared" si="0"/>
        <v>2027</v>
      </c>
      <c r="P4" s="607" t="s">
        <v>2492</v>
      </c>
      <c r="Q4" s="607" t="s">
        <v>2493</v>
      </c>
      <c r="R4" s="607" t="s">
        <v>2494</v>
      </c>
      <c r="S4" s="638" t="s">
        <v>2496</v>
      </c>
      <c r="U4" s="606">
        <v>2018</v>
      </c>
      <c r="V4" s="606">
        <f>+U4+1</f>
        <v>2019</v>
      </c>
      <c r="W4" s="606">
        <f t="shared" ref="W4:Y4" si="1">+V4+1</f>
        <v>2020</v>
      </c>
      <c r="X4" s="606">
        <f t="shared" si="1"/>
        <v>2021</v>
      </c>
      <c r="Y4" s="606">
        <f t="shared" si="1"/>
        <v>2022</v>
      </c>
      <c r="Z4" s="1049">
        <v>45078</v>
      </c>
      <c r="AB4" s="606" t="s">
        <v>2451</v>
      </c>
    </row>
    <row r="5" spans="2:28">
      <c r="B5" s="604" t="s">
        <v>2397</v>
      </c>
      <c r="C5" s="613">
        <f>+BdV!E447</f>
        <v>24156026.16</v>
      </c>
      <c r="D5" s="613">
        <f>+BdV!F447</f>
        <v>23727212.98</v>
      </c>
      <c r="E5" s="613">
        <f>+BdV!G447</f>
        <v>24957098.82</v>
      </c>
      <c r="F5" s="613">
        <f>+BdV!H447</f>
        <v>28909167.91</v>
      </c>
      <c r="G5" s="613">
        <f>+BdV!I447</f>
        <v>47924038.689999998</v>
      </c>
      <c r="H5" s="613">
        <f>+BdV!J447</f>
        <v>25647986.760000002</v>
      </c>
      <c r="I5" s="613">
        <f t="shared" ref="I5:I11" si="2">+H5*$I$3</f>
        <v>51295973.520000003</v>
      </c>
      <c r="J5" s="788">
        <f>+J64</f>
        <v>61316158.900000006</v>
      </c>
      <c r="K5" s="788">
        <f t="shared" ref="K5:N5" si="3">+K64</f>
        <v>65168191.340000004</v>
      </c>
      <c r="L5" s="788">
        <f t="shared" si="3"/>
        <v>67571377.819999993</v>
      </c>
      <c r="M5" s="788">
        <f t="shared" si="3"/>
        <v>70561528.892859146</v>
      </c>
      <c r="N5" s="788">
        <f t="shared" si="3"/>
        <v>73683999.354888335</v>
      </c>
      <c r="P5" s="608">
        <f>IF(G5*C5&lt;=0,"n/a",IF(C5&gt;G5,-ABS((G5/C5)^(1/(4))-1),ABS((G5/C5)^(1/(4))-1)))</f>
        <v>0.18681213893532633</v>
      </c>
      <c r="Q5" s="608">
        <f>IF(G5*E5&lt;=0,"n/a",IF(E5&gt;G5,-ABS((G5/E5)^(1/(2))-1),ABS((G5/E5)^(1/(2))-1)))</f>
        <v>0.38573330727923194</v>
      </c>
      <c r="R5" s="608">
        <f>IF(F5*C5&lt;=0,"n/a",IF(C5&gt;F5,-ABS((F5/C5)^(1/(3))-1),ABS((F5/C5)^(1/(3))-1)))</f>
        <v>6.1703787803313537E-2</v>
      </c>
      <c r="S5" s="608">
        <f>IF(N5*G5&lt;=0,"n/a",IF(G5&gt;N5,-ABS((N5/G5)^(1/(5))-1),ABS((N5/G5)^(1/(5))-1)))</f>
        <v>8.9843042414508911E-2</v>
      </c>
      <c r="U5" s="635">
        <f t="shared" ref="U5:Z11" si="4">+C5/C$12</f>
        <v>0.93068593115518194</v>
      </c>
      <c r="V5" s="635">
        <f t="shared" si="4"/>
        <v>0.94814180605401932</v>
      </c>
      <c r="W5" s="635">
        <f t="shared" si="4"/>
        <v>0.92958288778658171</v>
      </c>
      <c r="X5" s="635">
        <f t="shared" si="4"/>
        <v>0.9282879172127223</v>
      </c>
      <c r="Y5" s="635">
        <f t="shared" si="4"/>
        <v>0.93930126100430011</v>
      </c>
      <c r="Z5" s="635">
        <f t="shared" si="4"/>
        <v>0.99633828476501396</v>
      </c>
      <c r="AB5" s="635">
        <f>+AVERAGE(U5:Y5)</f>
        <v>0.93519996064256117</v>
      </c>
    </row>
    <row r="6" spans="2:28">
      <c r="B6" s="604" t="s">
        <v>2455</v>
      </c>
      <c r="C6" s="613">
        <f>+BdV!E448</f>
        <v>-13179.17</v>
      </c>
      <c r="D6" s="613">
        <f>+BdV!F448</f>
        <v>0</v>
      </c>
      <c r="E6" s="613">
        <f>+BdV!G448</f>
        <v>-51669.97</v>
      </c>
      <c r="F6" s="613">
        <f>+BdV!H448</f>
        <v>-5000</v>
      </c>
      <c r="G6" s="613">
        <f>+BdV!I448</f>
        <v>0</v>
      </c>
      <c r="H6" s="613">
        <f>+BdV!J448</f>
        <v>0</v>
      </c>
      <c r="I6" s="613">
        <f t="shared" si="2"/>
        <v>0</v>
      </c>
      <c r="J6" s="609"/>
      <c r="K6" s="609"/>
      <c r="L6" s="609"/>
      <c r="M6" s="609"/>
      <c r="N6" s="609"/>
      <c r="P6" s="608" t="str">
        <f t="shared" ref="P6:P55" si="5">IF(G6*C6&lt;=0,"n/a",IF(C6&gt;G6,-ABS((G6/C6)^(1/(4))-1),ABS((G6/C6)^(1/(4))-1)))</f>
        <v>n/a</v>
      </c>
      <c r="Q6" s="608" t="str">
        <f t="shared" ref="Q6:Q55" si="6">IF(G6*E6&lt;=0,"n/a",IF(E6&gt;G6,-ABS((G6/E6)^(1/(2))-1),ABS((G6/E6)^(1/(2))-1)))</f>
        <v>n/a</v>
      </c>
      <c r="R6" s="608">
        <f t="shared" ref="R6:R55" si="7">IF(F6*C6&lt;=0,"n/a",IF(C6&gt;F6,-ABS((F6/C6)^(1/(3))-1),ABS((F6/C6)^(1/(3))-1)))</f>
        <v>0.27607432218538341</v>
      </c>
      <c r="S6" s="608" t="str">
        <f t="shared" ref="S6:S54" si="8">IF(N6*G6&lt;=0,"n/a",IF(G6&gt;N6,-ABS((N6/G6)^(1/(5))-1),ABS((N6/G6)^(1/(5))-1)))</f>
        <v>n/a</v>
      </c>
      <c r="U6" s="635">
        <f t="shared" si="4"/>
        <v>-5.0776845587347387E-4</v>
      </c>
      <c r="V6" s="635">
        <f t="shared" si="4"/>
        <v>0</v>
      </c>
      <c r="W6" s="635">
        <f t="shared" si="4"/>
        <v>-1.9245634386780076E-3</v>
      </c>
      <c r="X6" s="635">
        <f t="shared" si="4"/>
        <v>-1.6055251401608437E-4</v>
      </c>
      <c r="Y6" s="635">
        <f t="shared" si="4"/>
        <v>0</v>
      </c>
      <c r="Z6" s="635">
        <f t="shared" si="4"/>
        <v>0</v>
      </c>
      <c r="AB6" s="635">
        <f t="shared" ref="AB6:AB55" si="9">+AVERAGE(U6:Y6)</f>
        <v>-5.1857688171351316E-4</v>
      </c>
    </row>
    <row r="7" spans="2:28">
      <c r="B7" s="604" t="s">
        <v>2456</v>
      </c>
      <c r="C7" s="613">
        <f>+BdV!E449</f>
        <v>440000</v>
      </c>
      <c r="D7" s="613">
        <f>+BdV!F449</f>
        <v>13000</v>
      </c>
      <c r="E7" s="613">
        <f>+BdV!G449</f>
        <v>380000</v>
      </c>
      <c r="F7" s="613">
        <f>+BdV!H449</f>
        <v>195000</v>
      </c>
      <c r="G7" s="613">
        <f>+BdV!I449</f>
        <v>42000</v>
      </c>
      <c r="H7" s="613">
        <f>+BdV!J449</f>
        <v>14859.84</v>
      </c>
      <c r="I7" s="613">
        <f t="shared" si="2"/>
        <v>29719.68</v>
      </c>
      <c r="J7" s="609">
        <f>+J$5*$AB7</f>
        <v>474716.27476323704</v>
      </c>
      <c r="K7" s="609">
        <f t="shared" ref="J7:N8" si="10">+K$5*$AB7</f>
        <v>504539.12281812297</v>
      </c>
      <c r="L7" s="609">
        <f t="shared" si="10"/>
        <v>523144.85014699143</v>
      </c>
      <c r="M7" s="609">
        <f t="shared" si="10"/>
        <v>546294.92027127952</v>
      </c>
      <c r="N7" s="609">
        <f t="shared" si="10"/>
        <v>570469.42129001091</v>
      </c>
      <c r="P7" s="608">
        <f t="shared" si="5"/>
        <v>-0.44416082332507156</v>
      </c>
      <c r="Q7" s="608">
        <f t="shared" si="6"/>
        <v>-0.66754501689781565</v>
      </c>
      <c r="R7" s="608">
        <f t="shared" si="7"/>
        <v>-0.23758053019574188</v>
      </c>
      <c r="S7" s="608">
        <f t="shared" si="8"/>
        <v>0.68498723810042583</v>
      </c>
      <c r="U7" s="635">
        <f t="shared" si="4"/>
        <v>1.6952366543896806E-2</v>
      </c>
      <c r="V7" s="635">
        <f t="shared" si="4"/>
        <v>5.1948130145297198E-4</v>
      </c>
      <c r="W7" s="635">
        <f t="shared" si="4"/>
        <v>1.4153948738457616E-2</v>
      </c>
      <c r="X7" s="635">
        <f t="shared" si="4"/>
        <v>6.2615480466272902E-3</v>
      </c>
      <c r="Y7" s="635">
        <f t="shared" si="4"/>
        <v>8.231913261186086E-4</v>
      </c>
      <c r="Z7" s="635">
        <f t="shared" si="4"/>
        <v>5.7725495712485086E-4</v>
      </c>
      <c r="AB7" s="635">
        <f>+AVERAGE(U7:Y7)</f>
        <v>7.7421071913106581E-3</v>
      </c>
    </row>
    <row r="8" spans="2:28">
      <c r="B8" s="604" t="s">
        <v>2457</v>
      </c>
      <c r="C8" s="613">
        <f>+BdV!E450</f>
        <v>175637.73</v>
      </c>
      <c r="D8" s="613">
        <f>+BdV!F450</f>
        <v>61606.16</v>
      </c>
      <c r="E8" s="613">
        <f>+BdV!G450</f>
        <v>209197.92</v>
      </c>
      <c r="F8" s="613">
        <f>+BdV!H450</f>
        <v>142138.97</v>
      </c>
      <c r="G8" s="613">
        <f>+BdV!I450</f>
        <v>45665.94</v>
      </c>
      <c r="H8" s="613">
        <f>+BdV!J450</f>
        <v>1610.82</v>
      </c>
      <c r="I8" s="613">
        <f t="shared" si="2"/>
        <v>3221.64</v>
      </c>
      <c r="J8" s="609">
        <f t="shared" si="10"/>
        <v>275677.6702701787</v>
      </c>
      <c r="K8" s="609">
        <f t="shared" si="10"/>
        <v>292996.42193230137</v>
      </c>
      <c r="L8" s="609">
        <f t="shared" si="10"/>
        <v>303801.15696326864</v>
      </c>
      <c r="M8" s="609">
        <f t="shared" si="10"/>
        <v>317244.88690835639</v>
      </c>
      <c r="N8" s="609">
        <f t="shared" si="10"/>
        <v>331283.52530159819</v>
      </c>
      <c r="P8" s="608">
        <f t="shared" si="5"/>
        <v>-0.28592529924256271</v>
      </c>
      <c r="Q8" s="608">
        <f t="shared" si="6"/>
        <v>-0.53278420135129578</v>
      </c>
      <c r="R8" s="608">
        <f t="shared" si="7"/>
        <v>-6.8109002694403564E-2</v>
      </c>
      <c r="S8" s="608">
        <f t="shared" si="8"/>
        <v>0.48635136894616249</v>
      </c>
      <c r="U8" s="635">
        <f t="shared" si="4"/>
        <v>6.7669890406772291E-3</v>
      </c>
      <c r="V8" s="635">
        <f t="shared" si="4"/>
        <v>2.4617883211015407E-3</v>
      </c>
      <c r="W8" s="635">
        <f t="shared" si="4"/>
        <v>7.7920437786104142E-3</v>
      </c>
      <c r="X8" s="635">
        <f t="shared" si="4"/>
        <v>4.5641537946313586E-3</v>
      </c>
      <c r="Y8" s="635">
        <f t="shared" si="4"/>
        <v>8.950429930250671E-4</v>
      </c>
      <c r="Z8" s="635">
        <f t="shared" si="4"/>
        <v>6.2574955721989763E-5</v>
      </c>
      <c r="AB8" s="635">
        <f t="shared" si="9"/>
        <v>4.4960035856091221E-3</v>
      </c>
    </row>
    <row r="9" spans="2:28">
      <c r="B9" s="604" t="s">
        <v>2458</v>
      </c>
      <c r="C9" s="613">
        <f>+BdV!E451</f>
        <v>1196593.52</v>
      </c>
      <c r="D9" s="613">
        <f>+BdV!F451</f>
        <v>1223143.19</v>
      </c>
      <c r="E9" s="613">
        <f>+BdV!G451</f>
        <v>1353004.73</v>
      </c>
      <c r="F9" s="613">
        <f>+BdV!H451</f>
        <v>1696641.59</v>
      </c>
      <c r="G9" s="613">
        <f>+BdV!I451</f>
        <v>2427386.02</v>
      </c>
      <c r="H9" s="613">
        <f>+BdV!J451</f>
        <v>0</v>
      </c>
      <c r="I9" s="613">
        <f t="shared" si="2"/>
        <v>0</v>
      </c>
      <c r="J9" s="609">
        <f t="shared" ref="J9:J11" si="11">+J$5*$AB9</f>
        <v>3034308.2202357231</v>
      </c>
      <c r="K9" s="609">
        <f t="shared" ref="K9:N11" si="12">+K$5*$AB9</f>
        <v>3224930.9517797674</v>
      </c>
      <c r="L9" s="609">
        <f t="shared" si="12"/>
        <v>3343855.6956293583</v>
      </c>
      <c r="M9" s="609">
        <f t="shared" si="12"/>
        <v>3491827.1299607283</v>
      </c>
      <c r="N9" s="609">
        <f t="shared" si="12"/>
        <v>3646346.5577975297</v>
      </c>
      <c r="P9" s="608">
        <f t="shared" si="5"/>
        <v>0.19343302045820754</v>
      </c>
      <c r="Q9" s="608">
        <f t="shared" si="6"/>
        <v>0.33942921016790284</v>
      </c>
      <c r="R9" s="608">
        <f t="shared" si="7"/>
        <v>0.12343466561073635</v>
      </c>
      <c r="S9" s="608">
        <f t="shared" si="8"/>
        <v>8.4785369575117064E-2</v>
      </c>
      <c r="U9" s="635">
        <f t="shared" si="4"/>
        <v>4.6102481716117534E-2</v>
      </c>
      <c r="V9" s="635">
        <f t="shared" si="4"/>
        <v>4.8876924323426135E-2</v>
      </c>
      <c r="W9" s="635">
        <f t="shared" si="4"/>
        <v>5.0395683135028124E-2</v>
      </c>
      <c r="X9" s="635">
        <f t="shared" si="4"/>
        <v>5.4480014531749332E-2</v>
      </c>
      <c r="Y9" s="635">
        <f t="shared" si="4"/>
        <v>4.7576264685846942E-2</v>
      </c>
      <c r="Z9" s="635">
        <f t="shared" si="4"/>
        <v>0</v>
      </c>
      <c r="AB9" s="635">
        <f t="shared" si="9"/>
        <v>4.9486273678433612E-2</v>
      </c>
    </row>
    <row r="10" spans="2:28">
      <c r="B10" s="604" t="s">
        <v>2459</v>
      </c>
      <c r="C10" s="613">
        <f>+BdV!E452</f>
        <v>0</v>
      </c>
      <c r="D10" s="613">
        <f>+BdV!F452</f>
        <v>0</v>
      </c>
      <c r="E10" s="613">
        <f>+BdV!G452</f>
        <v>0</v>
      </c>
      <c r="F10" s="613">
        <f>+BdV!H452</f>
        <v>204510</v>
      </c>
      <c r="G10" s="613">
        <f>+BdV!I452</f>
        <v>581855.11</v>
      </c>
      <c r="H10" s="613">
        <f>+BdV!J452</f>
        <v>60577</v>
      </c>
      <c r="I10" s="613">
        <f t="shared" si="2"/>
        <v>121154</v>
      </c>
      <c r="J10" s="609">
        <f t="shared" si="11"/>
        <v>220384.48717885168</v>
      </c>
      <c r="K10" s="609">
        <f t="shared" si="12"/>
        <v>234229.58460692459</v>
      </c>
      <c r="L10" s="609">
        <f t="shared" si="12"/>
        <v>242867.19383573666</v>
      </c>
      <c r="M10" s="609">
        <f t="shared" si="12"/>
        <v>253614.48986016779</v>
      </c>
      <c r="N10" s="609">
        <f t="shared" si="12"/>
        <v>264837.37243876676</v>
      </c>
      <c r="P10" s="608" t="str">
        <f t="shared" si="5"/>
        <v>n/a</v>
      </c>
      <c r="Q10" s="608" t="str">
        <f t="shared" si="6"/>
        <v>n/a</v>
      </c>
      <c r="R10" s="608" t="str">
        <f t="shared" si="7"/>
        <v>n/a</v>
      </c>
      <c r="S10" s="608">
        <f t="shared" si="8"/>
        <v>-0.14565578405237833</v>
      </c>
      <c r="U10" s="635">
        <f t="shared" si="4"/>
        <v>0</v>
      </c>
      <c r="V10" s="635">
        <f t="shared" si="4"/>
        <v>0</v>
      </c>
      <c r="W10" s="635">
        <f t="shared" si="4"/>
        <v>0</v>
      </c>
      <c r="X10" s="635">
        <f t="shared" si="4"/>
        <v>6.5669189282858828E-3</v>
      </c>
      <c r="Y10" s="635">
        <f t="shared" si="4"/>
        <v>1.1404239990709259E-2</v>
      </c>
      <c r="Z10" s="635">
        <f t="shared" si="4"/>
        <v>2.3532133278522578E-3</v>
      </c>
      <c r="AB10" s="635">
        <f t="shared" si="9"/>
        <v>3.5942317837990281E-3</v>
      </c>
    </row>
    <row r="11" spans="2:28">
      <c r="B11" s="604" t="str">
        <f>+BdV!D453</f>
        <v>5800050107 RICAVI C/CESSIONE BENI USATI</v>
      </c>
      <c r="C11" s="613">
        <f>+BdV!E453</f>
        <v>0</v>
      </c>
      <c r="D11" s="613">
        <f>+BdV!F453</f>
        <v>0</v>
      </c>
      <c r="E11" s="613">
        <f>+BdV!G453</f>
        <v>0</v>
      </c>
      <c r="F11" s="613">
        <f>+BdV!H453</f>
        <v>0</v>
      </c>
      <c r="G11" s="613">
        <f>+BdV!I453</f>
        <v>0</v>
      </c>
      <c r="H11" s="613">
        <f>+BdV!J453</f>
        <v>17213.12</v>
      </c>
      <c r="I11" s="613">
        <f t="shared" si="2"/>
        <v>34426.239999999998</v>
      </c>
      <c r="J11" s="609">
        <f t="shared" si="11"/>
        <v>0</v>
      </c>
      <c r="K11" s="609">
        <f t="shared" si="12"/>
        <v>0</v>
      </c>
      <c r="L11" s="609">
        <f t="shared" si="12"/>
        <v>0</v>
      </c>
      <c r="M11" s="609">
        <f t="shared" si="12"/>
        <v>0</v>
      </c>
      <c r="N11" s="609">
        <f t="shared" si="12"/>
        <v>0</v>
      </c>
      <c r="P11" s="608" t="str">
        <f t="shared" ref="P11" si="13">IF(G11*C11&lt;=0,"n/a",IF(C11&gt;G11,-ABS((G11/C11)^(1/(4))-1),ABS((G11/C11)^(1/(4))-1)))</f>
        <v>n/a</v>
      </c>
      <c r="Q11" s="608" t="str">
        <f t="shared" ref="Q11" si="14">IF(G11*E11&lt;=0,"n/a",IF(E11&gt;G11,-ABS((G11/E11)^(1/(2))-1),ABS((G11/E11)^(1/(2))-1)))</f>
        <v>n/a</v>
      </c>
      <c r="R11" s="608" t="str">
        <f t="shared" ref="R11" si="15">IF(F11*C11&lt;=0,"n/a",IF(C11&gt;F11,-ABS((F11/C11)^(1/(3))-1),ABS((F11/C11)^(1/(3))-1)))</f>
        <v>n/a</v>
      </c>
      <c r="S11" s="608" t="str">
        <f t="shared" ref="S11" si="16">IF(N11*G11&lt;=0,"n/a",IF(G11&gt;N11,-ABS((N11/G11)^(1/(5))-1),ABS((N11/G11)^(1/(5))-1)))</f>
        <v>n/a</v>
      </c>
      <c r="U11" s="635">
        <f t="shared" si="4"/>
        <v>0</v>
      </c>
      <c r="V11" s="635">
        <f t="shared" si="4"/>
        <v>0</v>
      </c>
      <c r="W11" s="635">
        <f t="shared" si="4"/>
        <v>0</v>
      </c>
      <c r="X11" s="635">
        <f t="shared" si="4"/>
        <v>0</v>
      </c>
      <c r="Y11" s="635">
        <f t="shared" si="4"/>
        <v>0</v>
      </c>
      <c r="Z11" s="635">
        <f t="shared" si="4"/>
        <v>6.6867199428694468E-4</v>
      </c>
      <c r="AB11" s="635">
        <f t="shared" ref="AB11" si="17">+AVERAGE(U11:Y11)</f>
        <v>0</v>
      </c>
    </row>
    <row r="12" spans="2:28">
      <c r="B12" s="600" t="s">
        <v>2488</v>
      </c>
      <c r="C12" s="610">
        <f>+SUM(C5:C11)</f>
        <v>25955078.239999998</v>
      </c>
      <c r="D12" s="610">
        <f t="shared" ref="D12:N12" si="18">+SUM(D5:D11)</f>
        <v>25024962.330000002</v>
      </c>
      <c r="E12" s="610">
        <f t="shared" si="18"/>
        <v>26847631.500000004</v>
      </c>
      <c r="F12" s="610">
        <f t="shared" si="18"/>
        <v>31142458.469999999</v>
      </c>
      <c r="G12" s="610">
        <f t="shared" si="18"/>
        <v>51020945.759999998</v>
      </c>
      <c r="H12" s="610">
        <f t="shared" si="18"/>
        <v>25742247.540000003</v>
      </c>
      <c r="I12" s="610">
        <f t="shared" si="18"/>
        <v>51484495.080000006</v>
      </c>
      <c r="J12" s="610">
        <f t="shared" si="18"/>
        <v>65321245.552447997</v>
      </c>
      <c r="K12" s="610">
        <f t="shared" si="18"/>
        <v>69424887.421137124</v>
      </c>
      <c r="L12" s="610">
        <f t="shared" si="18"/>
        <v>71985046.716575354</v>
      </c>
      <c r="M12" s="610">
        <f t="shared" si="18"/>
        <v>75170510.319859669</v>
      </c>
      <c r="N12" s="610">
        <f t="shared" si="18"/>
        <v>78496936.23171626</v>
      </c>
      <c r="P12" s="608">
        <f t="shared" si="5"/>
        <v>0.18408134951931232</v>
      </c>
      <c r="Q12" s="608">
        <f t="shared" si="6"/>
        <v>0.37854600258719051</v>
      </c>
      <c r="R12" s="608">
        <f t="shared" si="7"/>
        <v>6.2617222548901008E-2</v>
      </c>
      <c r="S12" s="608">
        <f t="shared" si="8"/>
        <v>8.9985800518602277E-2</v>
      </c>
      <c r="U12" s="635"/>
      <c r="V12" s="635"/>
      <c r="W12" s="635"/>
      <c r="X12" s="635"/>
      <c r="Y12" s="635"/>
      <c r="Z12" s="635"/>
      <c r="AB12" s="635"/>
    </row>
    <row r="13" spans="2:28">
      <c r="B13" s="604" t="s">
        <v>2460</v>
      </c>
      <c r="C13" s="613">
        <f>+BdV!E455</f>
        <v>0</v>
      </c>
      <c r="D13" s="613">
        <f>+BdV!F455</f>
        <v>0</v>
      </c>
      <c r="E13" s="613">
        <f>+BdV!G455</f>
        <v>-290000</v>
      </c>
      <c r="F13" s="613">
        <f>+BdV!H455</f>
        <v>-437594.14</v>
      </c>
      <c r="G13" s="613">
        <f>+BdV!I455</f>
        <v>-657594.14</v>
      </c>
      <c r="H13" s="613">
        <f>+BdV!J455</f>
        <v>-293016.96999999997</v>
      </c>
      <c r="I13" s="613">
        <f>-G15</f>
        <v>-293016.96999999997</v>
      </c>
      <c r="J13" s="609">
        <f>-G15</f>
        <v>-293016.96999999997</v>
      </c>
      <c r="K13" s="609">
        <f>-J15</f>
        <v>-718836.43412940681</v>
      </c>
      <c r="L13" s="609">
        <f t="shared" ref="L13:N13" si="19">-K15</f>
        <v>-763995.51312253659</v>
      </c>
      <c r="M13" s="609">
        <f t="shared" si="19"/>
        <v>-792169.13049880695</v>
      </c>
      <c r="N13" s="609">
        <f t="shared" si="19"/>
        <v>-827223.99325085536</v>
      </c>
      <c r="P13" s="608" t="str">
        <f t="shared" si="5"/>
        <v>n/a</v>
      </c>
      <c r="Q13" s="608">
        <f t="shared" si="6"/>
        <v>-0.50584394941839839</v>
      </c>
      <c r="R13" s="608" t="str">
        <f t="shared" si="7"/>
        <v>n/a</v>
      </c>
      <c r="S13" s="608">
        <f t="shared" si="8"/>
        <v>-4.6967107286674636E-2</v>
      </c>
      <c r="U13" s="635">
        <f t="shared" ref="U13:Z14" si="20">+C13/C$12</f>
        <v>0</v>
      </c>
      <c r="V13" s="635">
        <f t="shared" si="20"/>
        <v>0</v>
      </c>
      <c r="W13" s="635">
        <f t="shared" si="20"/>
        <v>-1.0801697721454496E-2</v>
      </c>
      <c r="X13" s="635">
        <f t="shared" si="20"/>
        <v>-1.4051367859141278E-2</v>
      </c>
      <c r="Y13" s="635">
        <f t="shared" si="20"/>
        <v>-1.2888709337010142E-2</v>
      </c>
      <c r="Z13" s="635">
        <f t="shared" si="20"/>
        <v>-1.1382726762482214E-2</v>
      </c>
      <c r="AB13" s="635">
        <f t="shared" si="9"/>
        <v>-7.5483549835211831E-3</v>
      </c>
    </row>
    <row r="14" spans="2:28">
      <c r="B14" s="604" t="s">
        <v>2461</v>
      </c>
      <c r="C14" s="613">
        <f>+BdV!E456</f>
        <v>-1231260</v>
      </c>
      <c r="D14" s="613">
        <f>+BdV!F456</f>
        <v>-713225</v>
      </c>
      <c r="E14" s="613">
        <f>+BdV!G456</f>
        <v>-697725</v>
      </c>
      <c r="F14" s="613">
        <f>+BdV!H456</f>
        <v>-490276</v>
      </c>
      <c r="G14" s="613">
        <f>+BdV!I456</f>
        <v>-247500</v>
      </c>
      <c r="H14" s="613">
        <f>+BdV!J456</f>
        <v>-210000</v>
      </c>
      <c r="I14" s="613">
        <f>+H14</f>
        <v>-210000</v>
      </c>
      <c r="J14" s="609">
        <f>-G16</f>
        <v>-210000</v>
      </c>
      <c r="K14" s="609">
        <f t="shared" ref="K14:N14" si="21">-J16</f>
        <v>-1122329.1459110857</v>
      </c>
      <c r="L14" s="609">
        <f t="shared" si="21"/>
        <v>-1192836.6329416698</v>
      </c>
      <c r="M14" s="609">
        <f t="shared" si="21"/>
        <v>-1236824.4866812075</v>
      </c>
      <c r="N14" s="609">
        <f t="shared" si="21"/>
        <v>-1291556.122842897</v>
      </c>
      <c r="P14" s="608">
        <f t="shared" si="5"/>
        <v>0.33041401006908011</v>
      </c>
      <c r="Q14" s="608">
        <f t="shared" si="6"/>
        <v>0.40441265754759403</v>
      </c>
      <c r="R14" s="608">
        <f t="shared" si="7"/>
        <v>0.26430643987579228</v>
      </c>
      <c r="S14" s="608">
        <f t="shared" si="8"/>
        <v>-0.39157819759919388</v>
      </c>
      <c r="U14" s="635">
        <f t="shared" si="20"/>
        <v>-4.7438115524632687E-2</v>
      </c>
      <c r="V14" s="635">
        <f t="shared" si="20"/>
        <v>-2.8500542402215074E-2</v>
      </c>
      <c r="W14" s="635">
        <f t="shared" si="20"/>
        <v>-2.5988326009316685E-2</v>
      </c>
      <c r="X14" s="635">
        <f t="shared" si="20"/>
        <v>-1.5743008872349955E-2</v>
      </c>
      <c r="Y14" s="635">
        <f t="shared" si="20"/>
        <v>-4.8509488860560869E-3</v>
      </c>
      <c r="Z14" s="635">
        <f t="shared" si="20"/>
        <v>-8.1577958441153269E-3</v>
      </c>
      <c r="AB14" s="635">
        <f t="shared" si="9"/>
        <v>-2.4504188338914098E-2</v>
      </c>
    </row>
    <row r="15" spans="2:28">
      <c r="B15" s="604" t="s">
        <v>2462</v>
      </c>
      <c r="C15" s="613">
        <f>+BdV!E457</f>
        <v>0</v>
      </c>
      <c r="D15" s="613">
        <f>+BdV!F457</f>
        <v>290000</v>
      </c>
      <c r="E15" s="613">
        <f>+BdV!G457</f>
        <v>437594.14</v>
      </c>
      <c r="F15" s="613">
        <f>+BdV!H457</f>
        <v>657594.14</v>
      </c>
      <c r="G15" s="613">
        <f>+BdV!I457</f>
        <v>293016.96999999997</v>
      </c>
      <c r="H15" s="613">
        <f>+BdV!J457</f>
        <v>754189.01</v>
      </c>
      <c r="I15" s="613">
        <f t="shared" ref="I15:I16" si="22">+H15*$I$3</f>
        <v>1508378.02</v>
      </c>
      <c r="J15" s="609">
        <f>+J5*$AB$15</f>
        <v>718836.43412940681</v>
      </c>
      <c r="K15" s="609">
        <f t="shared" ref="K15:N15" si="23">+K5*$AB$15</f>
        <v>763995.51312253659</v>
      </c>
      <c r="L15" s="609">
        <f t="shared" si="23"/>
        <v>792169.13049880695</v>
      </c>
      <c r="M15" s="609">
        <f t="shared" si="23"/>
        <v>827223.99325085536</v>
      </c>
      <c r="N15" s="609">
        <f t="shared" si="23"/>
        <v>863830.09469077224</v>
      </c>
      <c r="P15" s="608" t="str">
        <f t="shared" si="5"/>
        <v>n/a</v>
      </c>
      <c r="Q15" s="608">
        <f t="shared" si="6"/>
        <v>-0.18170360520379214</v>
      </c>
      <c r="R15" s="608" t="str">
        <f t="shared" si="7"/>
        <v>n/a</v>
      </c>
      <c r="S15" s="608">
        <f t="shared" si="8"/>
        <v>0.2413867665942957</v>
      </c>
      <c r="U15" s="635">
        <f>+C15/C$5</f>
        <v>0</v>
      </c>
      <c r="V15" s="635">
        <f t="shared" ref="V15:Z16" si="24">+D15/D$5</f>
        <v>1.2222252998885502E-2</v>
      </c>
      <c r="W15" s="635">
        <f t="shared" si="24"/>
        <v>1.7533854521957614E-2</v>
      </c>
      <c r="X15" s="635">
        <f t="shared" si="24"/>
        <v>2.2746906519316695E-2</v>
      </c>
      <c r="Y15" s="635">
        <f t="shared" si="24"/>
        <v>6.1141960905131722E-3</v>
      </c>
      <c r="Z15" s="635">
        <f t="shared" si="24"/>
        <v>2.9405388308146489E-2</v>
      </c>
      <c r="AB15" s="635">
        <f>+AVERAGE(U15:Y15)</f>
        <v>1.1723442026134595E-2</v>
      </c>
    </row>
    <row r="16" spans="2:28">
      <c r="B16" s="604" t="s">
        <v>2463</v>
      </c>
      <c r="C16" s="613">
        <f>+BdV!E458</f>
        <v>713225</v>
      </c>
      <c r="D16" s="613">
        <f>+BdV!F458</f>
        <v>697725</v>
      </c>
      <c r="E16" s="613">
        <f>+BdV!G458</f>
        <v>490276</v>
      </c>
      <c r="F16" s="613">
        <f>+BdV!H458</f>
        <v>247500</v>
      </c>
      <c r="G16" s="613">
        <f>+BdV!I458</f>
        <v>210000</v>
      </c>
      <c r="H16" s="613">
        <f>+BdV!J458</f>
        <v>210000</v>
      </c>
      <c r="I16" s="613">
        <f t="shared" si="22"/>
        <v>420000</v>
      </c>
      <c r="J16" s="609">
        <f>+J5*$AB$16</f>
        <v>1122329.1459110857</v>
      </c>
      <c r="K16" s="609">
        <f t="shared" ref="K16:N16" si="25">+K5*$AB$16</f>
        <v>1192836.6329416698</v>
      </c>
      <c r="L16" s="609">
        <f t="shared" si="25"/>
        <v>1236824.4866812075</v>
      </c>
      <c r="M16" s="609">
        <f t="shared" si="25"/>
        <v>1291556.122842897</v>
      </c>
      <c r="N16" s="609">
        <f t="shared" si="25"/>
        <v>1348709.7291621899</v>
      </c>
      <c r="P16" s="608">
        <f t="shared" si="5"/>
        <v>-0.26337206539836688</v>
      </c>
      <c r="Q16" s="608">
        <f t="shared" si="6"/>
        <v>-0.34553062329098216</v>
      </c>
      <c r="R16" s="608">
        <f t="shared" si="7"/>
        <v>-0.2972790813156555</v>
      </c>
      <c r="S16" s="608">
        <f t="shared" si="8"/>
        <v>0.45057383366821036</v>
      </c>
      <c r="U16" s="635">
        <f>+C16/C$5</f>
        <v>2.9525758718585524E-2</v>
      </c>
      <c r="V16" s="635">
        <f t="shared" si="24"/>
        <v>2.9406108529818575E-2</v>
      </c>
      <c r="W16" s="635">
        <f t="shared" si="24"/>
        <v>1.9644751320498238E-2</v>
      </c>
      <c r="X16" s="635">
        <f t="shared" si="24"/>
        <v>8.561297951242209E-3</v>
      </c>
      <c r="Y16" s="635">
        <f t="shared" si="24"/>
        <v>4.3819345309855815E-3</v>
      </c>
      <c r="Z16" s="635">
        <f t="shared" si="24"/>
        <v>8.1877771524551425E-3</v>
      </c>
      <c r="AB16" s="635">
        <f t="shared" si="9"/>
        <v>1.8303970210226027E-2</v>
      </c>
    </row>
    <row r="17" spans="2:30">
      <c r="B17" s="600" t="s">
        <v>2489</v>
      </c>
      <c r="C17" s="610">
        <f>+SUM(C13:C16)</f>
        <v>-518035</v>
      </c>
      <c r="D17" s="610">
        <f t="shared" ref="D17:N17" si="26">+SUM(D13:D16)</f>
        <v>274500</v>
      </c>
      <c r="E17" s="610">
        <f t="shared" si="26"/>
        <v>-59854.859999999986</v>
      </c>
      <c r="F17" s="610">
        <f t="shared" si="26"/>
        <v>-22776</v>
      </c>
      <c r="G17" s="610">
        <f t="shared" si="26"/>
        <v>-402077.17000000004</v>
      </c>
      <c r="H17" s="610">
        <f t="shared" ref="H17:I17" si="27">+SUM(H13:H16)</f>
        <v>461172.04000000004</v>
      </c>
      <c r="I17" s="610">
        <f t="shared" si="27"/>
        <v>1425361.05</v>
      </c>
      <c r="J17" s="610">
        <f t="shared" si="26"/>
        <v>1338148.6100404924</v>
      </c>
      <c r="K17" s="610">
        <f t="shared" si="26"/>
        <v>115666.56602371391</v>
      </c>
      <c r="L17" s="610">
        <f t="shared" si="26"/>
        <v>72161.471115808003</v>
      </c>
      <c r="M17" s="610">
        <f t="shared" si="26"/>
        <v>89786.498913737712</v>
      </c>
      <c r="N17" s="610">
        <f t="shared" si="26"/>
        <v>93759.707759209676</v>
      </c>
      <c r="P17" s="608">
        <f t="shared" si="5"/>
        <v>6.1384810909153709E-2</v>
      </c>
      <c r="Q17" s="608">
        <f t="shared" si="6"/>
        <v>-1.59182095947518</v>
      </c>
      <c r="R17" s="608">
        <f t="shared" si="7"/>
        <v>0.64705574505530916</v>
      </c>
      <c r="S17" s="608" t="str">
        <f t="shared" si="8"/>
        <v>n/a</v>
      </c>
      <c r="U17" s="635"/>
      <c r="V17" s="635"/>
      <c r="W17" s="635"/>
      <c r="X17" s="635"/>
      <c r="Y17" s="635"/>
      <c r="Z17" s="635"/>
      <c r="AB17" s="635"/>
    </row>
    <row r="18" spans="2:30">
      <c r="B18" s="604" t="s">
        <v>2490</v>
      </c>
      <c r="C18" s="613">
        <f>+BdV!E460</f>
        <v>0</v>
      </c>
      <c r="D18" s="613">
        <f>+BdV!F460</f>
        <v>0</v>
      </c>
      <c r="E18" s="613">
        <f>+BdV!G460</f>
        <v>0</v>
      </c>
      <c r="F18" s="613">
        <f>+BdV!H460</f>
        <v>0</v>
      </c>
      <c r="G18" s="613">
        <f>+BdV!I460</f>
        <v>0</v>
      </c>
      <c r="H18" s="613">
        <f>+BdV!J460</f>
        <v>0</v>
      </c>
      <c r="I18" s="613">
        <f t="shared" ref="I18:I24" si="28">+H18*$I$3</f>
        <v>0</v>
      </c>
      <c r="J18" s="609"/>
      <c r="K18" s="609"/>
      <c r="L18" s="609"/>
      <c r="M18" s="609"/>
      <c r="N18" s="609"/>
      <c r="P18" s="608" t="str">
        <f t="shared" si="5"/>
        <v>n/a</v>
      </c>
      <c r="Q18" s="608" t="str">
        <f t="shared" si="6"/>
        <v>n/a</v>
      </c>
      <c r="R18" s="608" t="str">
        <f t="shared" si="7"/>
        <v>n/a</v>
      </c>
      <c r="S18" s="608" t="str">
        <f t="shared" si="8"/>
        <v>n/a</v>
      </c>
      <c r="U18" s="635">
        <f t="shared" ref="U18:Z24" si="29">+C18/C$12</f>
        <v>0</v>
      </c>
      <c r="V18" s="635">
        <f t="shared" si="29"/>
        <v>0</v>
      </c>
      <c r="W18" s="635">
        <f t="shared" si="29"/>
        <v>0</v>
      </c>
      <c r="X18" s="635">
        <f t="shared" si="29"/>
        <v>0</v>
      </c>
      <c r="Y18" s="635">
        <f t="shared" si="29"/>
        <v>0</v>
      </c>
      <c r="Z18" s="635">
        <f t="shared" si="29"/>
        <v>0</v>
      </c>
      <c r="AB18" s="635">
        <f t="shared" si="9"/>
        <v>0</v>
      </c>
    </row>
    <row r="19" spans="2:30">
      <c r="B19" s="604" t="s">
        <v>2464</v>
      </c>
      <c r="C19" s="613">
        <f>+BdV!E461</f>
        <v>0</v>
      </c>
      <c r="D19" s="613">
        <f>+BdV!F461</f>
        <v>18410</v>
      </c>
      <c r="E19" s="613">
        <f>+BdV!G461</f>
        <v>9800</v>
      </c>
      <c r="F19" s="613">
        <f>+BdV!H461</f>
        <v>31293.94</v>
      </c>
      <c r="G19" s="613">
        <f>+BdV!I461</f>
        <v>0</v>
      </c>
      <c r="H19" s="613">
        <f>+BdV!J461</f>
        <v>0</v>
      </c>
      <c r="I19" s="613">
        <f t="shared" si="28"/>
        <v>0</v>
      </c>
      <c r="J19" s="609"/>
      <c r="K19" s="609"/>
      <c r="L19" s="609"/>
      <c r="M19" s="609"/>
      <c r="N19" s="609"/>
      <c r="P19" s="608" t="str">
        <f t="shared" si="5"/>
        <v>n/a</v>
      </c>
      <c r="Q19" s="608" t="str">
        <f t="shared" si="6"/>
        <v>n/a</v>
      </c>
      <c r="R19" s="608" t="str">
        <f t="shared" si="7"/>
        <v>n/a</v>
      </c>
      <c r="S19" s="608" t="str">
        <f t="shared" si="8"/>
        <v>n/a</v>
      </c>
      <c r="U19" s="635">
        <f t="shared" si="29"/>
        <v>0</v>
      </c>
      <c r="V19" s="635">
        <f t="shared" si="29"/>
        <v>7.3566544305763196E-4</v>
      </c>
      <c r="W19" s="635">
        <f t="shared" si="29"/>
        <v>3.6502288851811748E-4</v>
      </c>
      <c r="X19" s="635">
        <f t="shared" si="29"/>
        <v>1.0048641480937006E-3</v>
      </c>
      <c r="Y19" s="635">
        <f t="shared" si="29"/>
        <v>0</v>
      </c>
      <c r="Z19" s="635">
        <f t="shared" si="29"/>
        <v>0</v>
      </c>
      <c r="AB19" s="635">
        <f t="shared" si="9"/>
        <v>4.2111049593389002E-4</v>
      </c>
    </row>
    <row r="20" spans="2:30">
      <c r="B20" s="604" t="s">
        <v>2422</v>
      </c>
      <c r="C20" s="613">
        <f>+BdV!E462</f>
        <v>0</v>
      </c>
      <c r="D20" s="613">
        <f>+BdV!F462</f>
        <v>0</v>
      </c>
      <c r="E20" s="613">
        <f>+BdV!G462</f>
        <v>1477.08</v>
      </c>
      <c r="F20" s="613">
        <f>+BdV!H462</f>
        <v>0</v>
      </c>
      <c r="G20" s="613">
        <f>+BdV!I462</f>
        <v>0</v>
      </c>
      <c r="H20" s="613">
        <f>+BdV!J462</f>
        <v>0</v>
      </c>
      <c r="I20" s="613">
        <f t="shared" si="28"/>
        <v>0</v>
      </c>
      <c r="J20" s="609"/>
      <c r="K20" s="609"/>
      <c r="L20" s="609"/>
      <c r="M20" s="609"/>
      <c r="N20" s="609"/>
      <c r="P20" s="608" t="str">
        <f t="shared" si="5"/>
        <v>n/a</v>
      </c>
      <c r="Q20" s="608" t="str">
        <f t="shared" si="6"/>
        <v>n/a</v>
      </c>
      <c r="R20" s="608" t="str">
        <f t="shared" si="7"/>
        <v>n/a</v>
      </c>
      <c r="S20" s="608" t="str">
        <f t="shared" si="8"/>
        <v>n/a</v>
      </c>
      <c r="U20" s="635">
        <f t="shared" si="29"/>
        <v>0</v>
      </c>
      <c r="V20" s="635">
        <f t="shared" si="29"/>
        <v>0</v>
      </c>
      <c r="W20" s="635">
        <f t="shared" si="29"/>
        <v>5.5017143691055194E-5</v>
      </c>
      <c r="X20" s="635">
        <f t="shared" si="29"/>
        <v>0</v>
      </c>
      <c r="Y20" s="635">
        <f t="shared" si="29"/>
        <v>0</v>
      </c>
      <c r="Z20" s="635">
        <f t="shared" si="29"/>
        <v>0</v>
      </c>
      <c r="AB20" s="635">
        <f t="shared" si="9"/>
        <v>1.1003428738211039E-5</v>
      </c>
    </row>
    <row r="21" spans="2:30">
      <c r="B21" s="604" t="s">
        <v>2423</v>
      </c>
      <c r="C21" s="613">
        <f>+BdV!E463</f>
        <v>0</v>
      </c>
      <c r="D21" s="613">
        <f>+BdV!F463</f>
        <v>0</v>
      </c>
      <c r="E21" s="613">
        <f>+BdV!G463</f>
        <v>989</v>
      </c>
      <c r="F21" s="613">
        <f>+BdV!H463</f>
        <v>0</v>
      </c>
      <c r="G21" s="613">
        <f>+BdV!I463</f>
        <v>0</v>
      </c>
      <c r="H21" s="613">
        <f>+BdV!J463</f>
        <v>0</v>
      </c>
      <c r="I21" s="613">
        <f t="shared" si="28"/>
        <v>0</v>
      </c>
      <c r="J21" s="609"/>
      <c r="K21" s="609"/>
      <c r="L21" s="609"/>
      <c r="M21" s="609"/>
      <c r="N21" s="609"/>
      <c r="P21" s="608" t="str">
        <f t="shared" si="5"/>
        <v>n/a</v>
      </c>
      <c r="Q21" s="608" t="str">
        <f t="shared" si="6"/>
        <v>n/a</v>
      </c>
      <c r="R21" s="608" t="str">
        <f t="shared" si="7"/>
        <v>n/a</v>
      </c>
      <c r="S21" s="608" t="str">
        <f t="shared" si="8"/>
        <v>n/a</v>
      </c>
      <c r="U21" s="635">
        <f t="shared" si="29"/>
        <v>0</v>
      </c>
      <c r="V21" s="635">
        <f t="shared" si="29"/>
        <v>0</v>
      </c>
      <c r="W21" s="635">
        <f t="shared" si="29"/>
        <v>3.683751395351206E-5</v>
      </c>
      <c r="X21" s="635">
        <f t="shared" si="29"/>
        <v>0</v>
      </c>
      <c r="Y21" s="635">
        <f t="shared" si="29"/>
        <v>0</v>
      </c>
      <c r="Z21" s="635">
        <f t="shared" si="29"/>
        <v>0</v>
      </c>
      <c r="AB21" s="635">
        <f t="shared" si="9"/>
        <v>7.3675027907024117E-6</v>
      </c>
    </row>
    <row r="22" spans="2:30">
      <c r="B22" s="604" t="s">
        <v>2424</v>
      </c>
      <c r="C22" s="613">
        <f>+BdV!E464</f>
        <v>0</v>
      </c>
      <c r="D22" s="613">
        <f>+BdV!F464</f>
        <v>0</v>
      </c>
      <c r="E22" s="613">
        <f>+BdV!G464</f>
        <v>8851.56</v>
      </c>
      <c r="F22" s="613">
        <f>+BdV!H464</f>
        <v>0</v>
      </c>
      <c r="G22" s="613">
        <f>+BdV!I464</f>
        <v>0</v>
      </c>
      <c r="H22" s="613">
        <f>+BdV!J464</f>
        <v>0</v>
      </c>
      <c r="I22" s="613">
        <f t="shared" si="28"/>
        <v>0</v>
      </c>
      <c r="J22" s="609"/>
      <c r="K22" s="609"/>
      <c r="L22" s="609"/>
      <c r="M22" s="609"/>
      <c r="N22" s="609"/>
      <c r="P22" s="608" t="str">
        <f t="shared" si="5"/>
        <v>n/a</v>
      </c>
      <c r="Q22" s="608" t="str">
        <f t="shared" si="6"/>
        <v>n/a</v>
      </c>
      <c r="R22" s="608" t="str">
        <f t="shared" si="7"/>
        <v>n/a</v>
      </c>
      <c r="S22" s="608" t="str">
        <f t="shared" si="8"/>
        <v>n/a</v>
      </c>
      <c r="U22" s="635">
        <f t="shared" si="29"/>
        <v>0</v>
      </c>
      <c r="V22" s="635">
        <f t="shared" si="29"/>
        <v>0</v>
      </c>
      <c r="W22" s="635">
        <f t="shared" si="29"/>
        <v>3.2969612235626811E-4</v>
      </c>
      <c r="X22" s="635">
        <f t="shared" si="29"/>
        <v>0</v>
      </c>
      <c r="Y22" s="635">
        <f t="shared" si="29"/>
        <v>0</v>
      </c>
      <c r="Z22" s="635">
        <f t="shared" si="29"/>
        <v>0</v>
      </c>
      <c r="AB22" s="635">
        <f t="shared" si="9"/>
        <v>6.5939224471253617E-5</v>
      </c>
    </row>
    <row r="23" spans="2:30">
      <c r="B23" s="604" t="s">
        <v>2425</v>
      </c>
      <c r="C23" s="613">
        <f>+BdV!E465</f>
        <v>0</v>
      </c>
      <c r="D23" s="613">
        <f>+BdV!F465</f>
        <v>0</v>
      </c>
      <c r="E23" s="613">
        <f>+BdV!G465</f>
        <v>6824.16</v>
      </c>
      <c r="F23" s="613">
        <f>+BdV!H465</f>
        <v>0</v>
      </c>
      <c r="G23" s="613">
        <f>+BdV!I465</f>
        <v>0</v>
      </c>
      <c r="H23" s="613">
        <f>+BdV!J465</f>
        <v>0</v>
      </c>
      <c r="I23" s="613">
        <f t="shared" si="28"/>
        <v>0</v>
      </c>
      <c r="J23" s="609"/>
      <c r="K23" s="609"/>
      <c r="L23" s="609"/>
      <c r="M23" s="609"/>
      <c r="N23" s="609"/>
      <c r="P23" s="608" t="str">
        <f t="shared" si="5"/>
        <v>n/a</v>
      </c>
      <c r="Q23" s="608" t="str">
        <f t="shared" si="6"/>
        <v>n/a</v>
      </c>
      <c r="R23" s="608" t="str">
        <f t="shared" si="7"/>
        <v>n/a</v>
      </c>
      <c r="S23" s="608" t="str">
        <f t="shared" si="8"/>
        <v>n/a</v>
      </c>
      <c r="U23" s="635">
        <f t="shared" si="29"/>
        <v>0</v>
      </c>
      <c r="V23" s="635">
        <f t="shared" si="29"/>
        <v>0</v>
      </c>
      <c r="W23" s="635">
        <f t="shared" si="29"/>
        <v>2.5418108111324451E-4</v>
      </c>
      <c r="X23" s="635">
        <f t="shared" si="29"/>
        <v>0</v>
      </c>
      <c r="Y23" s="635">
        <f t="shared" si="29"/>
        <v>0</v>
      </c>
      <c r="Z23" s="635">
        <f t="shared" si="29"/>
        <v>0</v>
      </c>
      <c r="AB23" s="635">
        <f t="shared" si="9"/>
        <v>5.0836216222648902E-5</v>
      </c>
    </row>
    <row r="24" spans="2:30">
      <c r="B24" s="604" t="s">
        <v>2426</v>
      </c>
      <c r="C24" s="613">
        <f>+BdV!E466</f>
        <v>0</v>
      </c>
      <c r="D24" s="613">
        <f>+BdV!F466</f>
        <v>0</v>
      </c>
      <c r="E24" s="613">
        <f>+BdV!G466</f>
        <v>17073</v>
      </c>
      <c r="F24" s="613">
        <f>+BdV!H466</f>
        <v>0</v>
      </c>
      <c r="G24" s="613">
        <f>+BdV!I466</f>
        <v>0</v>
      </c>
      <c r="H24" s="613">
        <f>+BdV!J466</f>
        <v>0</v>
      </c>
      <c r="I24" s="613">
        <f t="shared" si="28"/>
        <v>0</v>
      </c>
      <c r="J24" s="609"/>
      <c r="K24" s="609"/>
      <c r="L24" s="609"/>
      <c r="M24" s="609"/>
      <c r="N24" s="609"/>
      <c r="P24" s="608" t="str">
        <f t="shared" si="5"/>
        <v>n/a</v>
      </c>
      <c r="Q24" s="608" t="str">
        <f t="shared" si="6"/>
        <v>n/a</v>
      </c>
      <c r="R24" s="608" t="str">
        <f t="shared" si="7"/>
        <v>n/a</v>
      </c>
      <c r="S24" s="608" t="str">
        <f t="shared" si="8"/>
        <v>n/a</v>
      </c>
      <c r="U24" s="635">
        <f t="shared" si="29"/>
        <v>0</v>
      </c>
      <c r="V24" s="635">
        <f t="shared" si="29"/>
        <v>0</v>
      </c>
      <c r="W24" s="635">
        <f t="shared" si="29"/>
        <v>6.3592201792549174E-4</v>
      </c>
      <c r="X24" s="635">
        <f t="shared" si="29"/>
        <v>0</v>
      </c>
      <c r="Y24" s="635">
        <f t="shared" si="29"/>
        <v>0</v>
      </c>
      <c r="Z24" s="635">
        <f t="shared" si="29"/>
        <v>0</v>
      </c>
      <c r="AB24" s="635">
        <f t="shared" si="9"/>
        <v>1.2718440358509836E-4</v>
      </c>
    </row>
    <row r="25" spans="2:30">
      <c r="B25" s="600" t="s">
        <v>2453</v>
      </c>
      <c r="C25" s="610">
        <f>+SUM(C19:C24)</f>
        <v>0</v>
      </c>
      <c r="D25" s="610">
        <f t="shared" ref="D25:N25" si="30">+SUM(D19:D24)</f>
        <v>18410</v>
      </c>
      <c r="E25" s="610">
        <f t="shared" si="30"/>
        <v>45014.8</v>
      </c>
      <c r="F25" s="610">
        <f t="shared" si="30"/>
        <v>31293.94</v>
      </c>
      <c r="G25" s="610">
        <f t="shared" si="30"/>
        <v>0</v>
      </c>
      <c r="H25" s="610">
        <f t="shared" ref="H25:I25" si="31">+SUM(H19:H24)</f>
        <v>0</v>
      </c>
      <c r="I25" s="610">
        <f t="shared" si="31"/>
        <v>0</v>
      </c>
      <c r="J25" s="610">
        <f t="shared" si="30"/>
        <v>0</v>
      </c>
      <c r="K25" s="610">
        <f t="shared" si="30"/>
        <v>0</v>
      </c>
      <c r="L25" s="610">
        <f t="shared" si="30"/>
        <v>0</v>
      </c>
      <c r="M25" s="610">
        <f t="shared" si="30"/>
        <v>0</v>
      </c>
      <c r="N25" s="610">
        <f t="shared" si="30"/>
        <v>0</v>
      </c>
      <c r="P25" s="608" t="str">
        <f t="shared" si="5"/>
        <v>n/a</v>
      </c>
      <c r="Q25" s="608" t="str">
        <f t="shared" si="6"/>
        <v>n/a</v>
      </c>
      <c r="R25" s="608" t="str">
        <f t="shared" si="7"/>
        <v>n/a</v>
      </c>
      <c r="S25" s="608" t="str">
        <f t="shared" si="8"/>
        <v>n/a</v>
      </c>
      <c r="U25" s="635"/>
      <c r="V25" s="635"/>
      <c r="W25" s="635"/>
      <c r="X25" s="635"/>
      <c r="Y25" s="635"/>
      <c r="Z25" s="635"/>
      <c r="AB25" s="635"/>
    </row>
    <row r="26" spans="2:30">
      <c r="B26" s="604" t="s">
        <v>2465</v>
      </c>
      <c r="C26" s="613">
        <f>+BdV!E468</f>
        <v>0</v>
      </c>
      <c r="D26" s="613">
        <f>+BdV!F468</f>
        <v>0</v>
      </c>
      <c r="E26" s="613">
        <f>+BdV!G468</f>
        <v>0</v>
      </c>
      <c r="F26" s="613">
        <f>+BdV!H468</f>
        <v>0</v>
      </c>
      <c r="G26" s="613">
        <f>+BdV!I468</f>
        <v>0</v>
      </c>
      <c r="H26" s="613">
        <f>+BdV!J468</f>
        <v>22967.62</v>
      </c>
      <c r="I26" s="613">
        <f t="shared" ref="I26:I52" si="32">+H26*$I$3</f>
        <v>45935.24</v>
      </c>
      <c r="J26" s="609">
        <v>0</v>
      </c>
      <c r="K26" s="609">
        <v>0</v>
      </c>
      <c r="L26" s="609">
        <v>0</v>
      </c>
      <c r="M26" s="609">
        <v>0</v>
      </c>
      <c r="N26" s="609">
        <v>0</v>
      </c>
      <c r="P26" s="608" t="str">
        <f t="shared" si="5"/>
        <v>n/a</v>
      </c>
      <c r="Q26" s="608" t="str">
        <f t="shared" si="6"/>
        <v>n/a</v>
      </c>
      <c r="R26" s="608" t="str">
        <f t="shared" si="7"/>
        <v>n/a</v>
      </c>
      <c r="S26" s="608" t="str">
        <f t="shared" si="8"/>
        <v>n/a</v>
      </c>
      <c r="U26" s="635">
        <f t="shared" ref="U26:U51" si="33">+C26/C$12</f>
        <v>0</v>
      </c>
      <c r="V26" s="635">
        <f t="shared" ref="V26:V51" si="34">+D26/D$12</f>
        <v>0</v>
      </c>
      <c r="W26" s="635">
        <f t="shared" ref="W26:W51" si="35">+E26/E$12</f>
        <v>0</v>
      </c>
      <c r="X26" s="635">
        <f t="shared" ref="X26:X51" si="36">+F26/F$12</f>
        <v>0</v>
      </c>
      <c r="Y26" s="635">
        <f t="shared" ref="Y26:Y51" si="37">+G26/G$12</f>
        <v>0</v>
      </c>
      <c r="Z26" s="635">
        <f t="shared" ref="Z26:Z51" si="38">+H26/H$12</f>
        <v>8.9221502373914305E-4</v>
      </c>
      <c r="AB26" s="635">
        <f t="shared" si="9"/>
        <v>0</v>
      </c>
    </row>
    <row r="27" spans="2:30">
      <c r="B27" s="604" t="s">
        <v>2466</v>
      </c>
      <c r="C27" s="613">
        <f>+BdV!E469</f>
        <v>582.08000000000004</v>
      </c>
      <c r="D27" s="613">
        <f>+BdV!F469</f>
        <v>0</v>
      </c>
      <c r="E27" s="613">
        <f>+BdV!G469</f>
        <v>594.86</v>
      </c>
      <c r="F27" s="613">
        <f>+BdV!H469</f>
        <v>839.5</v>
      </c>
      <c r="G27" s="613">
        <f>+BdV!I469</f>
        <v>815.28</v>
      </c>
      <c r="H27" s="613">
        <f>+BdV!J469</f>
        <v>1501.56</v>
      </c>
      <c r="I27" s="613">
        <f t="shared" si="32"/>
        <v>3003.12</v>
      </c>
      <c r="J27" s="609">
        <f>+J$5*$AB27</f>
        <v>1073.2708821531182</v>
      </c>
      <c r="K27" s="609">
        <f>+K$5*$AB27</f>
        <v>1140.6964079709337</v>
      </c>
      <c r="L27" s="609">
        <f>+L$5*$AB27</f>
        <v>1182.7615033656818</v>
      </c>
      <c r="M27" s="609">
        <f>+M$5*$AB27</f>
        <v>1235.1007584219642</v>
      </c>
      <c r="N27" s="609">
        <f>+N$5*$AB27</f>
        <v>1289.7561166081261</v>
      </c>
      <c r="P27" s="608">
        <f t="shared" si="5"/>
        <v>8.7880088188353689E-2</v>
      </c>
      <c r="Q27" s="608">
        <f t="shared" si="6"/>
        <v>0.17070105817951409</v>
      </c>
      <c r="R27" s="608">
        <f t="shared" si="7"/>
        <v>0.12982888689260963</v>
      </c>
      <c r="S27" s="608">
        <f t="shared" si="8"/>
        <v>9.6074720689744542E-2</v>
      </c>
      <c r="U27" s="635">
        <f t="shared" si="33"/>
        <v>2.2426439813344213E-5</v>
      </c>
      <c r="V27" s="635">
        <f t="shared" si="34"/>
        <v>0</v>
      </c>
      <c r="W27" s="635">
        <f t="shared" si="35"/>
        <v>2.2156889333049731E-5</v>
      </c>
      <c r="X27" s="635">
        <f t="shared" si="36"/>
        <v>2.6956767103300566E-5</v>
      </c>
      <c r="Y27" s="635">
        <f t="shared" si="37"/>
        <v>1.5979319627570932E-5</v>
      </c>
      <c r="Z27" s="635">
        <f t="shared" si="38"/>
        <v>5.8330571084237184E-5</v>
      </c>
      <c r="AB27" s="635">
        <f t="shared" si="9"/>
        <v>1.7503883175453087E-5</v>
      </c>
    </row>
    <row r="28" spans="2:30">
      <c r="B28" s="604" t="s">
        <v>2467</v>
      </c>
      <c r="C28" s="613">
        <f>+BdV!E470</f>
        <v>142052.34</v>
      </c>
      <c r="D28" s="613">
        <f>+BdV!F470</f>
        <v>214327.4</v>
      </c>
      <c r="E28" s="613">
        <f>+BdV!G470</f>
        <v>144202.39000000001</v>
      </c>
      <c r="F28" s="613">
        <f>+BdV!H470</f>
        <v>166575.26</v>
      </c>
      <c r="G28" s="613">
        <f>+BdV!I470</f>
        <v>133851.42000000001</v>
      </c>
      <c r="H28" s="613">
        <f>+BdV!J470</f>
        <v>0</v>
      </c>
      <c r="I28" s="613">
        <f t="shared" si="32"/>
        <v>0</v>
      </c>
      <c r="J28" s="609"/>
      <c r="K28" s="609"/>
      <c r="L28" s="609"/>
      <c r="M28" s="609"/>
      <c r="N28" s="609"/>
      <c r="P28" s="608">
        <f t="shared" si="5"/>
        <v>-1.4756342725638416E-2</v>
      </c>
      <c r="Q28" s="608">
        <f t="shared" si="6"/>
        <v>-3.6558693601225434E-2</v>
      </c>
      <c r="R28" s="608">
        <f t="shared" si="7"/>
        <v>5.4518093708556536E-2</v>
      </c>
      <c r="S28" s="608" t="str">
        <f t="shared" si="8"/>
        <v>n/a</v>
      </c>
      <c r="U28" s="635">
        <f t="shared" si="33"/>
        <v>5.4730075820414864E-3</v>
      </c>
      <c r="V28" s="635">
        <f t="shared" si="34"/>
        <v>8.564544360694747E-3</v>
      </c>
      <c r="W28" s="635">
        <f t="shared" si="35"/>
        <v>5.3711400947975612E-3</v>
      </c>
      <c r="X28" s="635">
        <f t="shared" si="36"/>
        <v>5.3488153531765798E-3</v>
      </c>
      <c r="Y28" s="635">
        <f t="shared" si="37"/>
        <v>2.6234601888728299E-3</v>
      </c>
      <c r="Z28" s="635">
        <f t="shared" si="38"/>
        <v>0</v>
      </c>
      <c r="AB28" s="635">
        <f t="shared" si="9"/>
        <v>5.47619351591664E-3</v>
      </c>
    </row>
    <row r="29" spans="2:30">
      <c r="B29" s="604" t="s">
        <v>2468</v>
      </c>
      <c r="C29" s="613">
        <f>+BdV!E471</f>
        <v>2394.5300000000002</v>
      </c>
      <c r="D29" s="613">
        <f>+BdV!F471</f>
        <v>58307.48</v>
      </c>
      <c r="E29" s="613">
        <f>+BdV!G471</f>
        <v>53693.33</v>
      </c>
      <c r="F29" s="613">
        <f>+BdV!H471</f>
        <v>50920.94</v>
      </c>
      <c r="G29" s="613">
        <f>+BdV!I471</f>
        <v>0</v>
      </c>
      <c r="H29" s="613">
        <f>+BdV!J471</f>
        <v>0</v>
      </c>
      <c r="I29" s="613">
        <f t="shared" si="32"/>
        <v>0</v>
      </c>
      <c r="J29" s="609"/>
      <c r="K29" s="609"/>
      <c r="L29" s="609"/>
      <c r="M29" s="609"/>
      <c r="N29" s="609"/>
      <c r="P29" s="608" t="str">
        <f t="shared" si="5"/>
        <v>n/a</v>
      </c>
      <c r="Q29" s="608" t="str">
        <f t="shared" si="6"/>
        <v>n/a</v>
      </c>
      <c r="R29" s="608">
        <f t="shared" si="7"/>
        <v>1.77050354295393</v>
      </c>
      <c r="S29" s="608" t="str">
        <f t="shared" si="8"/>
        <v>n/a</v>
      </c>
      <c r="U29" s="635">
        <f t="shared" si="33"/>
        <v>9.2256705137175516E-5</v>
      </c>
      <c r="V29" s="635">
        <f t="shared" si="34"/>
        <v>2.3299727380648567E-3</v>
      </c>
      <c r="W29" s="635">
        <f t="shared" si="35"/>
        <v>1.9999280010976014E-3</v>
      </c>
      <c r="X29" s="635">
        <f t="shared" si="36"/>
        <v>1.6350969866124382E-3</v>
      </c>
      <c r="Y29" s="635">
        <f t="shared" si="37"/>
        <v>0</v>
      </c>
      <c r="Z29" s="635">
        <f t="shared" si="38"/>
        <v>0</v>
      </c>
      <c r="AB29" s="635">
        <f t="shared" si="9"/>
        <v>1.2114508861824143E-3</v>
      </c>
    </row>
    <row r="30" spans="2:30">
      <c r="B30" s="604" t="s">
        <v>2469</v>
      </c>
      <c r="C30" s="613">
        <f>+BdV!E472</f>
        <v>15553.45</v>
      </c>
      <c r="D30" s="613">
        <f>+BdV!F472</f>
        <v>140721.19</v>
      </c>
      <c r="E30" s="613">
        <f>+BdV!G472</f>
        <v>17577.96</v>
      </c>
      <c r="F30" s="613">
        <f>+BdV!H472</f>
        <v>161921.87</v>
      </c>
      <c r="G30" s="613">
        <f>+BdV!I472</f>
        <v>46674.92</v>
      </c>
      <c r="H30" s="613">
        <f>+BdV!J472</f>
        <v>88000.51</v>
      </c>
      <c r="I30" s="613">
        <f t="shared" si="32"/>
        <v>176001.02</v>
      </c>
      <c r="J30" s="609">
        <f>+J$5*$AB30</f>
        <v>159316.79021210296</v>
      </c>
      <c r="K30" s="609">
        <f>+K$5*$AB30</f>
        <v>169325.46419206576</v>
      </c>
      <c r="L30" s="609">
        <f>+L$5*$AB30</f>
        <v>175569.62499964563</v>
      </c>
      <c r="M30" s="609">
        <f>+M$5*$AB30</f>
        <v>183338.88647530531</v>
      </c>
      <c r="N30" s="609">
        <f>+N$5*$AB30</f>
        <v>191451.95129324176</v>
      </c>
      <c r="P30" s="608">
        <f t="shared" si="5"/>
        <v>0.3161767391077539</v>
      </c>
      <c r="Q30" s="608">
        <f t="shared" si="6"/>
        <v>0.62951197058527919</v>
      </c>
      <c r="R30" s="608">
        <f t="shared" si="7"/>
        <v>1.1835321516529307</v>
      </c>
      <c r="S30" s="608">
        <f t="shared" si="8"/>
        <v>0.32615791897393875</v>
      </c>
      <c r="U30" s="635">
        <f t="shared" si="33"/>
        <v>5.9924496686857226E-4</v>
      </c>
      <c r="V30" s="635">
        <f t="shared" si="34"/>
        <v>5.6232328402469967E-3</v>
      </c>
      <c r="W30" s="635">
        <f t="shared" si="35"/>
        <v>6.5473038096489056E-4</v>
      </c>
      <c r="X30" s="635">
        <f t="shared" si="36"/>
        <v>5.1993926605371178E-3</v>
      </c>
      <c r="Y30" s="635">
        <f t="shared" si="37"/>
        <v>9.1481879264952303E-4</v>
      </c>
      <c r="Z30" s="635">
        <f t="shared" si="38"/>
        <v>3.4185247369429958E-3</v>
      </c>
      <c r="AB30" s="635">
        <f t="shared" si="9"/>
        <v>2.5982839282534206E-3</v>
      </c>
    </row>
    <row r="31" spans="2:30">
      <c r="B31" s="604" t="s">
        <v>2470</v>
      </c>
      <c r="C31" s="613">
        <f>+BdV!E473</f>
        <v>0</v>
      </c>
      <c r="D31" s="613">
        <f>+BdV!F473</f>
        <v>0</v>
      </c>
      <c r="E31" s="613">
        <f>+BdV!G473</f>
        <v>0</v>
      </c>
      <c r="F31" s="613">
        <f>+BdV!H473</f>
        <v>3451.5</v>
      </c>
      <c r="G31" s="613">
        <f>+BdV!I473</f>
        <v>1943.5</v>
      </c>
      <c r="H31" s="613">
        <f>+BdV!J473</f>
        <v>1856.6</v>
      </c>
      <c r="I31" s="613">
        <f t="shared" si="32"/>
        <v>3713.2</v>
      </c>
      <c r="J31" s="609"/>
      <c r="K31" s="609"/>
      <c r="L31" s="609"/>
      <c r="M31" s="609"/>
      <c r="N31" s="609"/>
      <c r="P31" s="608" t="str">
        <f t="shared" si="5"/>
        <v>n/a</v>
      </c>
      <c r="Q31" s="608" t="str">
        <f t="shared" si="6"/>
        <v>n/a</v>
      </c>
      <c r="R31" s="608" t="str">
        <f t="shared" si="7"/>
        <v>n/a</v>
      </c>
      <c r="S31" s="608" t="str">
        <f t="shared" si="8"/>
        <v>n/a</v>
      </c>
      <c r="U31" s="635">
        <f t="shared" si="33"/>
        <v>0</v>
      </c>
      <c r="V31" s="635">
        <f t="shared" si="34"/>
        <v>0</v>
      </c>
      <c r="W31" s="635">
        <f t="shared" si="35"/>
        <v>0</v>
      </c>
      <c r="X31" s="635">
        <f t="shared" si="36"/>
        <v>1.1082940042530304E-4</v>
      </c>
      <c r="Y31" s="635">
        <f t="shared" si="37"/>
        <v>3.8092198626464662E-5</v>
      </c>
      <c r="Z31" s="635">
        <f t="shared" si="38"/>
        <v>7.2122684591354822E-5</v>
      </c>
      <c r="AB31" s="635">
        <f t="shared" si="9"/>
        <v>2.9784319810353541E-5</v>
      </c>
    </row>
    <row r="32" spans="2:30">
      <c r="B32" s="1480" t="s">
        <v>2471</v>
      </c>
      <c r="C32" s="788">
        <f>+BdV!E474</f>
        <v>388676.98</v>
      </c>
      <c r="D32" s="788">
        <f>+BdV!F474</f>
        <v>659913.34</v>
      </c>
      <c r="E32" s="788">
        <f>+BdV!G474</f>
        <v>355616</v>
      </c>
      <c r="F32" s="788">
        <f>+BdV!H474</f>
        <v>559802.42000000004</v>
      </c>
      <c r="G32" s="788">
        <f>+BdV!I474</f>
        <v>908956.44</v>
      </c>
      <c r="H32" s="788">
        <f>+BdV!J474</f>
        <v>500035.49</v>
      </c>
      <c r="I32" s="788">
        <f t="shared" si="32"/>
        <v>1000070.98</v>
      </c>
      <c r="J32" s="609">
        <f>+J$5*$AB32</f>
        <v>1108372.9475019006</v>
      </c>
      <c r="K32" s="609">
        <f t="shared" ref="K32:N32" si="39">+K$5*$AB32</f>
        <v>1178003.6717023323</v>
      </c>
      <c r="L32" s="609">
        <f t="shared" si="39"/>
        <v>1221444.5350900469</v>
      </c>
      <c r="M32" s="609">
        <f t="shared" si="39"/>
        <v>1275495.5816258544</v>
      </c>
      <c r="N32" s="609">
        <f t="shared" si="39"/>
        <v>1331938.4810437909</v>
      </c>
      <c r="P32" s="608">
        <f t="shared" si="5"/>
        <v>0.23662653976569903</v>
      </c>
      <c r="Q32" s="608">
        <f t="shared" si="6"/>
        <v>0.5987512209755097</v>
      </c>
      <c r="R32" s="608">
        <f t="shared" si="7"/>
        <v>0.12931557381269609</v>
      </c>
      <c r="S32" s="608">
        <f t="shared" si="8"/>
        <v>7.9414428734584153E-2</v>
      </c>
      <c r="U32" s="635">
        <f t="shared" si="33"/>
        <v>1.4974987800306473E-2</v>
      </c>
      <c r="V32" s="635">
        <f t="shared" si="34"/>
        <v>2.6370203131490584E-2</v>
      </c>
      <c r="W32" s="635">
        <f t="shared" si="35"/>
        <v>1.3245712196250904E-2</v>
      </c>
      <c r="X32" s="635">
        <f t="shared" si="36"/>
        <v>1.7975537176657591E-2</v>
      </c>
      <c r="Y32" s="635">
        <f t="shared" si="37"/>
        <v>1.7815358505420226E-2</v>
      </c>
      <c r="Z32" s="635">
        <f t="shared" si="38"/>
        <v>1.942470210586748E-2</v>
      </c>
      <c r="AB32" s="635">
        <f t="shared" si="9"/>
        <v>1.8076359762025155E-2</v>
      </c>
      <c r="AD32" s="3" t="s">
        <v>4253</v>
      </c>
    </row>
    <row r="33" spans="2:28">
      <c r="B33" s="604" t="s">
        <v>2472</v>
      </c>
      <c r="C33" s="613">
        <f>+BdV!E475</f>
        <v>20755</v>
      </c>
      <c r="D33" s="613">
        <f>+BdV!F475</f>
        <v>39417.89</v>
      </c>
      <c r="E33" s="613">
        <f>+BdV!G475</f>
        <v>110418.85</v>
      </c>
      <c r="F33" s="613">
        <f>+BdV!H475</f>
        <v>28920.21</v>
      </c>
      <c r="G33" s="613">
        <f>+BdV!I475</f>
        <v>147526.28</v>
      </c>
      <c r="H33" s="613">
        <f>+BdV!J475</f>
        <v>4000</v>
      </c>
      <c r="I33" s="613">
        <f t="shared" si="32"/>
        <v>8000</v>
      </c>
      <c r="J33" s="609">
        <f>+J$5*$AB33</f>
        <v>126405.92836296692</v>
      </c>
      <c r="K33" s="609">
        <f>+K$5*$AB33</f>
        <v>134347.06077239552</v>
      </c>
      <c r="L33" s="609">
        <f>+L$5*$AB33</f>
        <v>139301.33422140847</v>
      </c>
      <c r="M33" s="609">
        <f>+M$5*$AB33</f>
        <v>145465.66070713496</v>
      </c>
      <c r="N33" s="609">
        <f>+N$5*$AB33</f>
        <v>151902.76936853124</v>
      </c>
      <c r="P33" s="608">
        <f t="shared" si="5"/>
        <v>0.63281380450150282</v>
      </c>
      <c r="Q33" s="608">
        <f t="shared" si="6"/>
        <v>0.15588089587220511</v>
      </c>
      <c r="R33" s="608">
        <f t="shared" si="7"/>
        <v>0.11693071721112291</v>
      </c>
      <c r="S33" s="608">
        <f t="shared" si="8"/>
        <v>5.8639885732079122E-3</v>
      </c>
      <c r="U33" s="635">
        <f t="shared" si="33"/>
        <v>7.9965083549676872E-4</v>
      </c>
      <c r="V33" s="635">
        <f t="shared" si="34"/>
        <v>1.5751428305946225E-3</v>
      </c>
      <c r="W33" s="635">
        <f t="shared" si="35"/>
        <v>4.1127966912090546E-3</v>
      </c>
      <c r="X33" s="635">
        <f t="shared" si="36"/>
        <v>9.2864248427462065E-4</v>
      </c>
      <c r="Y33" s="635">
        <f t="shared" si="37"/>
        <v>2.8914846207272657E-3</v>
      </c>
      <c r="Z33" s="635">
        <f t="shared" si="38"/>
        <v>1.5538658750695859E-4</v>
      </c>
      <c r="AB33" s="635">
        <f>+AVERAGE(U33:Y33)</f>
        <v>2.0615434924604664E-3</v>
      </c>
    </row>
    <row r="34" spans="2:28">
      <c r="B34" s="604" t="s">
        <v>2473</v>
      </c>
      <c r="C34" s="613">
        <f>+BdV!E476</f>
        <v>350</v>
      </c>
      <c r="D34" s="613">
        <f>+BdV!F476</f>
        <v>0</v>
      </c>
      <c r="E34" s="613">
        <f>+BdV!G476</f>
        <v>0</v>
      </c>
      <c r="F34" s="613">
        <f>+BdV!H476</f>
        <v>587.35</v>
      </c>
      <c r="G34" s="613">
        <f>+BdV!I476</f>
        <v>0</v>
      </c>
      <c r="H34" s="613">
        <f>+BdV!J476</f>
        <v>0</v>
      </c>
      <c r="I34" s="613">
        <f t="shared" si="32"/>
        <v>0</v>
      </c>
      <c r="J34" s="609"/>
      <c r="K34" s="609"/>
      <c r="L34" s="609"/>
      <c r="M34" s="609"/>
      <c r="N34" s="609"/>
      <c r="P34" s="608" t="str">
        <f t="shared" si="5"/>
        <v>n/a</v>
      </c>
      <c r="Q34" s="608" t="str">
        <f t="shared" si="6"/>
        <v>n/a</v>
      </c>
      <c r="R34" s="608">
        <f t="shared" si="7"/>
        <v>0.18834618490776345</v>
      </c>
      <c r="S34" s="608" t="str">
        <f t="shared" si="8"/>
        <v>n/a</v>
      </c>
      <c r="U34" s="635">
        <f t="shared" si="33"/>
        <v>1.3484837023554278E-5</v>
      </c>
      <c r="V34" s="635">
        <f t="shared" si="34"/>
        <v>0</v>
      </c>
      <c r="W34" s="635">
        <f t="shared" si="35"/>
        <v>0</v>
      </c>
      <c r="X34" s="635">
        <f t="shared" si="36"/>
        <v>1.8860103821469429E-5</v>
      </c>
      <c r="Y34" s="635">
        <f t="shared" si="37"/>
        <v>0</v>
      </c>
      <c r="Z34" s="635">
        <f t="shared" si="38"/>
        <v>0</v>
      </c>
      <c r="AB34" s="635">
        <f t="shared" si="9"/>
        <v>6.4689881690047417E-6</v>
      </c>
    </row>
    <row r="35" spans="2:28">
      <c r="B35" s="604" t="s">
        <v>2474</v>
      </c>
      <c r="C35" s="613">
        <f>+BdV!E477</f>
        <v>0</v>
      </c>
      <c r="D35" s="613">
        <f>+BdV!F477</f>
        <v>13715</v>
      </c>
      <c r="E35" s="613">
        <f>+BdV!G477</f>
        <v>4535.01</v>
      </c>
      <c r="F35" s="613">
        <f>+BdV!H477</f>
        <v>296.93</v>
      </c>
      <c r="G35" s="651">
        <f>+BdV!I477</f>
        <v>657616.73</v>
      </c>
      <c r="H35" s="651">
        <f>+BdV!J477</f>
        <v>245575.98</v>
      </c>
      <c r="I35" s="613">
        <f t="shared" si="32"/>
        <v>491151.96</v>
      </c>
      <c r="J35" s="609">
        <f>+J$5*$AB35</f>
        <v>11136.607467308948</v>
      </c>
      <c r="K35" s="609">
        <f>+K$5*$AB35</f>
        <v>11836.2366353001</v>
      </c>
      <c r="L35" s="609">
        <f>+L$5*$AB35</f>
        <v>12272.717735529353</v>
      </c>
      <c r="M35" s="609">
        <f>+M$5*$AB35</f>
        <v>12815.806855327188</v>
      </c>
      <c r="N35" s="609">
        <f>+N$5*$AB35</f>
        <v>13382.928613893278</v>
      </c>
      <c r="P35" s="608" t="str">
        <f t="shared" si="5"/>
        <v>n/a</v>
      </c>
      <c r="Q35" s="608">
        <f t="shared" si="6"/>
        <v>11.04196337849773</v>
      </c>
      <c r="R35" s="608" t="str">
        <f t="shared" si="7"/>
        <v>n/a</v>
      </c>
      <c r="S35" s="608">
        <f t="shared" si="8"/>
        <v>-0.54110253181752754</v>
      </c>
      <c r="U35" s="635">
        <f t="shared" si="33"/>
        <v>0</v>
      </c>
      <c r="V35" s="635">
        <f t="shared" si="34"/>
        <v>5.4805277303288547E-4</v>
      </c>
      <c r="W35" s="635">
        <f t="shared" si="35"/>
        <v>1.689165764957702E-4</v>
      </c>
      <c r="X35" s="635">
        <f t="shared" si="36"/>
        <v>9.5345715973591855E-6</v>
      </c>
      <c r="Y35" s="635">
        <f t="shared" si="37"/>
        <v>1.2889152096344832E-2</v>
      </c>
      <c r="Z35" s="635">
        <f t="shared" si="38"/>
        <v>9.5398033764692788E-3</v>
      </c>
      <c r="AB35" s="635">
        <f>+AVERAGE(U35:X35)</f>
        <v>1.8162598028150369E-4</v>
      </c>
    </row>
    <row r="36" spans="2:28">
      <c r="B36" s="604" t="s">
        <v>2475</v>
      </c>
      <c r="C36" s="613">
        <f>+BdV!E478</f>
        <v>0</v>
      </c>
      <c r="D36" s="613">
        <f>+BdV!F478</f>
        <v>0</v>
      </c>
      <c r="E36" s="613">
        <f>+BdV!G478</f>
        <v>0</v>
      </c>
      <c r="F36" s="613">
        <f>+BdV!H478</f>
        <v>0</v>
      </c>
      <c r="G36" s="613">
        <f>+BdV!I478</f>
        <v>84750</v>
      </c>
      <c r="H36" s="613">
        <f>+BdV!J478</f>
        <v>0</v>
      </c>
      <c r="I36" s="613">
        <f t="shared" si="32"/>
        <v>0</v>
      </c>
      <c r="J36" s="609"/>
      <c r="K36" s="609"/>
      <c r="L36" s="609"/>
      <c r="M36" s="609"/>
      <c r="N36" s="609"/>
      <c r="P36" s="608" t="str">
        <f t="shared" si="5"/>
        <v>n/a</v>
      </c>
      <c r="Q36" s="608" t="str">
        <f t="shared" si="6"/>
        <v>n/a</v>
      </c>
      <c r="R36" s="608" t="str">
        <f t="shared" si="7"/>
        <v>n/a</v>
      </c>
      <c r="S36" s="608" t="str">
        <f t="shared" si="8"/>
        <v>n/a</v>
      </c>
      <c r="U36" s="635">
        <f t="shared" si="33"/>
        <v>0</v>
      </c>
      <c r="V36" s="635">
        <f t="shared" si="34"/>
        <v>0</v>
      </c>
      <c r="W36" s="635">
        <f t="shared" si="35"/>
        <v>0</v>
      </c>
      <c r="X36" s="635">
        <f t="shared" si="36"/>
        <v>0</v>
      </c>
      <c r="Y36" s="635">
        <f t="shared" si="37"/>
        <v>1.6610824973464782E-3</v>
      </c>
      <c r="Z36" s="635">
        <f t="shared" si="38"/>
        <v>0</v>
      </c>
      <c r="AB36" s="635">
        <f t="shared" si="9"/>
        <v>3.3221649946929565E-4</v>
      </c>
    </row>
    <row r="37" spans="2:28">
      <c r="B37" s="604" t="s">
        <v>2476</v>
      </c>
      <c r="C37" s="613">
        <f>+BdV!E479</f>
        <v>33525.589999999997</v>
      </c>
      <c r="D37" s="613">
        <f>+BdV!F479</f>
        <v>48025.75</v>
      </c>
      <c r="E37" s="613">
        <f>+BdV!G479</f>
        <v>52419.64</v>
      </c>
      <c r="F37" s="613">
        <f>+BdV!H479</f>
        <v>38850.01</v>
      </c>
      <c r="G37" s="613">
        <f>+BdV!I479</f>
        <v>197213.39</v>
      </c>
      <c r="H37" s="613">
        <f>+BdV!J479</f>
        <v>27253.63</v>
      </c>
      <c r="I37" s="613">
        <f t="shared" si="32"/>
        <v>54507.26</v>
      </c>
      <c r="J37" s="609">
        <f>+J$5*$AB37</f>
        <v>126018.35427042482</v>
      </c>
      <c r="K37" s="609">
        <f>+K$5*$AB37</f>
        <v>133935.13831876626</v>
      </c>
      <c r="L37" s="609">
        <f>+L$5*$AB37</f>
        <v>138874.22143563995</v>
      </c>
      <c r="M37" s="609">
        <f>+M$5*$AB37</f>
        <v>145019.64743722946</v>
      </c>
      <c r="N37" s="609">
        <f>+N$5*$AB37</f>
        <v>151437.0192351705</v>
      </c>
      <c r="P37" s="608">
        <f t="shared" si="5"/>
        <v>0.55736350120486566</v>
      </c>
      <c r="Q37" s="608">
        <f t="shared" si="6"/>
        <v>0.93964022550017234</v>
      </c>
      <c r="R37" s="608">
        <f t="shared" si="7"/>
        <v>5.0360146610486378E-2</v>
      </c>
      <c r="S37" s="608">
        <f t="shared" si="8"/>
        <v>-5.1452397107496495E-2</v>
      </c>
      <c r="U37" s="635">
        <f t="shared" si="33"/>
        <v>1.291677477910003E-3</v>
      </c>
      <c r="V37" s="635">
        <f t="shared" si="34"/>
        <v>1.9191137779426977E-3</v>
      </c>
      <c r="W37" s="635">
        <f t="shared" si="35"/>
        <v>1.9524865722326378E-3</v>
      </c>
      <c r="X37" s="635">
        <f t="shared" si="36"/>
        <v>1.2474933550100035E-3</v>
      </c>
      <c r="Y37" s="635">
        <f t="shared" si="37"/>
        <v>3.8653417152963417E-3</v>
      </c>
      <c r="Z37" s="635">
        <f t="shared" si="38"/>
        <v>1.058712140719318E-3</v>
      </c>
      <c r="AB37" s="635">
        <f t="shared" si="9"/>
        <v>2.0552225796783368E-3</v>
      </c>
    </row>
    <row r="38" spans="2:28">
      <c r="B38" s="604" t="s">
        <v>2477</v>
      </c>
      <c r="C38" s="613">
        <f>+BdV!E480</f>
        <v>212</v>
      </c>
      <c r="D38" s="613">
        <f>+BdV!F480</f>
        <v>0</v>
      </c>
      <c r="E38" s="613">
        <f>+BdV!G480</f>
        <v>0</v>
      </c>
      <c r="F38" s="613">
        <f>+BdV!H480</f>
        <v>1089.31</v>
      </c>
      <c r="G38" s="613">
        <f>+BdV!I480</f>
        <v>794</v>
      </c>
      <c r="H38" s="613">
        <f>+BdV!J480</f>
        <v>347</v>
      </c>
      <c r="I38" s="613">
        <f t="shared" si="32"/>
        <v>694</v>
      </c>
      <c r="J38" s="609"/>
      <c r="K38" s="609"/>
      <c r="L38" s="609"/>
      <c r="M38" s="609"/>
      <c r="N38" s="609"/>
      <c r="P38" s="608">
        <f t="shared" si="5"/>
        <v>0.39114103187918903</v>
      </c>
      <c r="Q38" s="608" t="str">
        <f t="shared" si="6"/>
        <v>n/a</v>
      </c>
      <c r="R38" s="608">
        <f t="shared" si="7"/>
        <v>0.72559368679080305</v>
      </c>
      <c r="S38" s="608" t="str">
        <f t="shared" si="8"/>
        <v>n/a</v>
      </c>
      <c r="U38" s="635">
        <f t="shared" si="33"/>
        <v>8.1679584256957341E-6</v>
      </c>
      <c r="V38" s="635">
        <f t="shared" si="34"/>
        <v>0</v>
      </c>
      <c r="W38" s="635">
        <f t="shared" si="35"/>
        <v>0</v>
      </c>
      <c r="X38" s="635">
        <f t="shared" si="36"/>
        <v>3.4978291808572168E-5</v>
      </c>
      <c r="Y38" s="635">
        <f t="shared" si="37"/>
        <v>1.5562236022337506E-5</v>
      </c>
      <c r="Z38" s="635">
        <f t="shared" si="38"/>
        <v>1.3479786466228658E-5</v>
      </c>
      <c r="AB38" s="635">
        <f t="shared" si="9"/>
        <v>1.1741697251321082E-5</v>
      </c>
    </row>
    <row r="39" spans="2:28">
      <c r="B39" s="604" t="s">
        <v>2398</v>
      </c>
      <c r="C39" s="613">
        <f>+BdV!E481</f>
        <v>18359.23</v>
      </c>
      <c r="D39" s="613">
        <f>+BdV!F481</f>
        <v>18896.63</v>
      </c>
      <c r="E39" s="613">
        <f>+BdV!G481</f>
        <v>13842.27</v>
      </c>
      <c r="F39" s="613">
        <f>+BdV!H481</f>
        <v>0</v>
      </c>
      <c r="G39" s="613">
        <f>+BdV!I481</f>
        <v>0</v>
      </c>
      <c r="H39" s="613">
        <f>+BdV!J481</f>
        <v>0</v>
      </c>
      <c r="I39" s="613">
        <f t="shared" si="32"/>
        <v>0</v>
      </c>
      <c r="J39" s="609"/>
      <c r="K39" s="609"/>
      <c r="L39" s="609"/>
      <c r="M39" s="609"/>
      <c r="N39" s="609"/>
      <c r="P39" s="608" t="str">
        <f t="shared" si="5"/>
        <v>n/a</v>
      </c>
      <c r="Q39" s="608" t="str">
        <f t="shared" si="6"/>
        <v>n/a</v>
      </c>
      <c r="R39" s="608" t="str">
        <f t="shared" si="7"/>
        <v>n/a</v>
      </c>
      <c r="S39" s="608" t="str">
        <f t="shared" si="8"/>
        <v>n/a</v>
      </c>
      <c r="U39" s="635">
        <f t="shared" si="33"/>
        <v>7.07346355508424E-4</v>
      </c>
      <c r="V39" s="635">
        <f t="shared" si="34"/>
        <v>7.5511122657502116E-4</v>
      </c>
      <c r="W39" s="635">
        <f t="shared" si="35"/>
        <v>5.1558626316813079E-4</v>
      </c>
      <c r="X39" s="635">
        <f t="shared" si="36"/>
        <v>0</v>
      </c>
      <c r="Y39" s="635">
        <f t="shared" si="37"/>
        <v>0</v>
      </c>
      <c r="Z39" s="635">
        <f t="shared" si="38"/>
        <v>0</v>
      </c>
      <c r="AB39" s="635">
        <f t="shared" si="9"/>
        <v>3.9560876905031517E-4</v>
      </c>
    </row>
    <row r="40" spans="2:28">
      <c r="B40" s="604" t="s">
        <v>2400</v>
      </c>
      <c r="C40" s="613">
        <f>+BdV!E482</f>
        <v>36637.9</v>
      </c>
      <c r="D40" s="613">
        <f>+BdV!F482</f>
        <v>19868.68</v>
      </c>
      <c r="E40" s="613">
        <f>+BdV!G482</f>
        <v>241.89</v>
      </c>
      <c r="F40" s="613">
        <f>+BdV!H482</f>
        <v>0</v>
      </c>
      <c r="G40" s="613">
        <f>+BdV!I482</f>
        <v>3693.73</v>
      </c>
      <c r="H40" s="613">
        <f>+BdV!J482</f>
        <v>0</v>
      </c>
      <c r="I40" s="613">
        <f t="shared" si="32"/>
        <v>0</v>
      </c>
      <c r="J40" s="609"/>
      <c r="K40" s="609"/>
      <c r="L40" s="609"/>
      <c r="M40" s="609"/>
      <c r="N40" s="609"/>
      <c r="P40" s="608">
        <f t="shared" si="5"/>
        <v>-0.43651333424387828</v>
      </c>
      <c r="Q40" s="608">
        <f t="shared" si="6"/>
        <v>2.9077216056808686</v>
      </c>
      <c r="R40" s="608" t="str">
        <f t="shared" si="7"/>
        <v>n/a</v>
      </c>
      <c r="S40" s="608" t="str">
        <f t="shared" si="8"/>
        <v>n/a</v>
      </c>
      <c r="U40" s="635">
        <f t="shared" si="33"/>
        <v>1.4115888868150837E-3</v>
      </c>
      <c r="V40" s="635">
        <f t="shared" si="34"/>
        <v>7.9395444188866437E-4</v>
      </c>
      <c r="W40" s="635">
        <f t="shared" si="35"/>
        <v>9.0097333166987171E-6</v>
      </c>
      <c r="X40" s="635">
        <f t="shared" si="36"/>
        <v>0</v>
      </c>
      <c r="Y40" s="635">
        <f t="shared" si="37"/>
        <v>7.2396345167240197E-5</v>
      </c>
      <c r="Z40" s="635">
        <f t="shared" si="38"/>
        <v>0</v>
      </c>
      <c r="AB40" s="635">
        <f t="shared" si="9"/>
        <v>4.5738988143753732E-4</v>
      </c>
    </row>
    <row r="41" spans="2:28">
      <c r="B41" s="604" t="s">
        <v>2478</v>
      </c>
      <c r="C41" s="613">
        <f>+BdV!E483</f>
        <v>0</v>
      </c>
      <c r="D41" s="613">
        <f>+BdV!F483</f>
        <v>0</v>
      </c>
      <c r="E41" s="613">
        <f>+BdV!G483</f>
        <v>24600</v>
      </c>
      <c r="F41" s="613">
        <f>+BdV!H483</f>
        <v>119523.49</v>
      </c>
      <c r="G41" s="613">
        <f>+BdV!I483</f>
        <v>255002.86</v>
      </c>
      <c r="H41" s="613">
        <f>+BdV!J483</f>
        <v>105</v>
      </c>
      <c r="I41" s="613">
        <f t="shared" si="32"/>
        <v>210</v>
      </c>
      <c r="J41" s="609">
        <f>+J$5*$AB41</f>
        <v>119594.03710563394</v>
      </c>
      <c r="K41" s="609">
        <f>+K$5*$AB41</f>
        <v>127107.22969346032</v>
      </c>
      <c r="L41" s="609">
        <f>+L$5*$AB41</f>
        <v>131794.5222149897</v>
      </c>
      <c r="M41" s="609">
        <f>+M$5*$AB41</f>
        <v>137626.65920423233</v>
      </c>
      <c r="N41" s="609">
        <f>+N$5*$AB41</f>
        <v>143716.87840576755</v>
      </c>
      <c r="P41" s="608" t="str">
        <f t="shared" si="5"/>
        <v>n/a</v>
      </c>
      <c r="Q41" s="608">
        <f t="shared" si="6"/>
        <v>2.2196226360707532</v>
      </c>
      <c r="R41" s="608" t="str">
        <f t="shared" si="7"/>
        <v>n/a</v>
      </c>
      <c r="S41" s="608">
        <f t="shared" si="8"/>
        <v>-0.10835383735469295</v>
      </c>
      <c r="U41" s="635">
        <f t="shared" si="33"/>
        <v>0</v>
      </c>
      <c r="V41" s="635">
        <f t="shared" si="34"/>
        <v>0</v>
      </c>
      <c r="W41" s="635">
        <f t="shared" si="35"/>
        <v>9.162819446475193E-4</v>
      </c>
      <c r="X41" s="635">
        <f t="shared" si="36"/>
        <v>3.8379593606952642E-3</v>
      </c>
      <c r="Y41" s="635">
        <f t="shared" si="37"/>
        <v>4.9980033925580451E-3</v>
      </c>
      <c r="Z41" s="635">
        <f t="shared" si="38"/>
        <v>4.0788979220576634E-6</v>
      </c>
      <c r="AB41" s="635">
        <f>+AVERAGE(U41:Y41)</f>
        <v>1.9504489395801654E-3</v>
      </c>
    </row>
    <row r="42" spans="2:28">
      <c r="B42" s="604" t="s">
        <v>2399</v>
      </c>
      <c r="C42" s="613">
        <f>+BdV!E484</f>
        <v>28338.05</v>
      </c>
      <c r="D42" s="613">
        <f>+BdV!F484</f>
        <v>0</v>
      </c>
      <c r="E42" s="613">
        <f>+BdV!G484</f>
        <v>0</v>
      </c>
      <c r="F42" s="613">
        <f>+BdV!H484</f>
        <v>0</v>
      </c>
      <c r="G42" s="613">
        <f>+BdV!I484</f>
        <v>0</v>
      </c>
      <c r="H42" s="613">
        <f>+BdV!J484</f>
        <v>26.97</v>
      </c>
      <c r="I42" s="613">
        <f t="shared" si="32"/>
        <v>53.94</v>
      </c>
      <c r="J42" s="609">
        <v>0</v>
      </c>
      <c r="K42" s="609">
        <v>0</v>
      </c>
      <c r="L42" s="609">
        <v>0</v>
      </c>
      <c r="M42" s="609">
        <v>0</v>
      </c>
      <c r="N42" s="609">
        <v>0</v>
      </c>
      <c r="P42" s="608" t="str">
        <f t="shared" si="5"/>
        <v>n/a</v>
      </c>
      <c r="Q42" s="608" t="str">
        <f t="shared" si="6"/>
        <v>n/a</v>
      </c>
      <c r="R42" s="608" t="str">
        <f t="shared" si="7"/>
        <v>n/a</v>
      </c>
      <c r="S42" s="608" t="str">
        <f t="shared" si="8"/>
        <v>n/a</v>
      </c>
      <c r="U42" s="635">
        <f t="shared" si="33"/>
        <v>1.0918113880438065E-3</v>
      </c>
      <c r="V42" s="635">
        <f t="shared" si="34"/>
        <v>0</v>
      </c>
      <c r="W42" s="635">
        <f t="shared" si="35"/>
        <v>0</v>
      </c>
      <c r="X42" s="635">
        <f t="shared" si="36"/>
        <v>0</v>
      </c>
      <c r="Y42" s="635">
        <f t="shared" si="37"/>
        <v>0</v>
      </c>
      <c r="Z42" s="635">
        <f t="shared" si="38"/>
        <v>1.0476940662656683E-6</v>
      </c>
      <c r="AB42" s="635">
        <f t="shared" si="9"/>
        <v>2.183622776087613E-4</v>
      </c>
    </row>
    <row r="43" spans="2:28">
      <c r="B43" s="604" t="s">
        <v>2479</v>
      </c>
      <c r="C43" s="613">
        <f>+BdV!E485</f>
        <v>7917.25</v>
      </c>
      <c r="D43" s="613">
        <f>+BdV!F485</f>
        <v>6777.31</v>
      </c>
      <c r="E43" s="613">
        <f>+BdV!G485</f>
        <v>6422.41</v>
      </c>
      <c r="F43" s="613">
        <f>+BdV!H485</f>
        <v>5415.32</v>
      </c>
      <c r="G43" s="613">
        <f>+BdV!I485</f>
        <v>2510.4</v>
      </c>
      <c r="H43" s="613">
        <f>+BdV!J485</f>
        <v>1369.9</v>
      </c>
      <c r="I43" s="613">
        <f t="shared" si="32"/>
        <v>2739.8</v>
      </c>
      <c r="J43" s="609"/>
      <c r="K43" s="609"/>
      <c r="L43" s="609"/>
      <c r="M43" s="609"/>
      <c r="N43" s="609"/>
      <c r="P43" s="608">
        <f t="shared" si="5"/>
        <v>-0.24960118096947315</v>
      </c>
      <c r="Q43" s="608">
        <f t="shared" si="6"/>
        <v>-0.37479498987805937</v>
      </c>
      <c r="R43" s="608">
        <f t="shared" si="7"/>
        <v>-0.11891747296991306</v>
      </c>
      <c r="S43" s="608" t="str">
        <f t="shared" si="8"/>
        <v>n/a</v>
      </c>
      <c r="U43" s="635">
        <f t="shared" si="33"/>
        <v>3.0503664549924315E-4</v>
      </c>
      <c r="V43" s="635">
        <f t="shared" si="34"/>
        <v>2.7082198608848016E-4</v>
      </c>
      <c r="W43" s="635">
        <f t="shared" si="35"/>
        <v>2.3921700504567783E-4</v>
      </c>
      <c r="X43" s="635">
        <f t="shared" si="36"/>
        <v>1.738886480403164E-4</v>
      </c>
      <c r="Y43" s="635">
        <f t="shared" si="37"/>
        <v>4.920332154971798E-5</v>
      </c>
      <c r="Z43" s="635">
        <f t="shared" si="38"/>
        <v>5.3216021556445648E-5</v>
      </c>
      <c r="AB43" s="635">
        <f t="shared" si="9"/>
        <v>2.0763352124468712E-4</v>
      </c>
    </row>
    <row r="44" spans="2:28">
      <c r="B44" s="604" t="s">
        <v>2480</v>
      </c>
      <c r="C44" s="613">
        <f>+BdV!E486</f>
        <v>228.66</v>
      </c>
      <c r="D44" s="613">
        <f>+BdV!F486</f>
        <v>93.54</v>
      </c>
      <c r="E44" s="613">
        <f>+BdV!G486</f>
        <v>180.48</v>
      </c>
      <c r="F44" s="613">
        <f>+BdV!H486</f>
        <v>61.14</v>
      </c>
      <c r="G44" s="613">
        <f>+BdV!I486</f>
        <v>780.42</v>
      </c>
      <c r="H44" s="613">
        <f>+BdV!J486</f>
        <v>0</v>
      </c>
      <c r="I44" s="613">
        <f t="shared" si="32"/>
        <v>0</v>
      </c>
      <c r="J44" s="609"/>
      <c r="K44" s="609"/>
      <c r="L44" s="609"/>
      <c r="M44" s="609"/>
      <c r="N44" s="609"/>
      <c r="P44" s="608">
        <f t="shared" si="5"/>
        <v>0.35920369930146023</v>
      </c>
      <c r="Q44" s="608">
        <f t="shared" si="6"/>
        <v>1.0794556110429174</v>
      </c>
      <c r="R44" s="608">
        <f t="shared" si="7"/>
        <v>-0.35576386825586859</v>
      </c>
      <c r="S44" s="608" t="str">
        <f t="shared" si="8"/>
        <v>n/a</v>
      </c>
      <c r="U44" s="635">
        <f t="shared" si="33"/>
        <v>8.8098366680169182E-6</v>
      </c>
      <c r="V44" s="635">
        <f t="shared" si="34"/>
        <v>3.7378677644546926E-6</v>
      </c>
      <c r="W44" s="635">
        <f t="shared" si="35"/>
        <v>6.7223807060969221E-6</v>
      </c>
      <c r="X44" s="635">
        <f t="shared" si="36"/>
        <v>1.9632361413886795E-6</v>
      </c>
      <c r="Y44" s="635">
        <f t="shared" si="37"/>
        <v>1.5296070826892488E-5</v>
      </c>
      <c r="Z44" s="635">
        <f t="shared" si="38"/>
        <v>0</v>
      </c>
      <c r="AB44" s="635">
        <f t="shared" si="9"/>
        <v>7.305878421369941E-6</v>
      </c>
    </row>
    <row r="45" spans="2:28">
      <c r="B45" s="604" t="s">
        <v>2481</v>
      </c>
      <c r="C45" s="613">
        <f>+BdV!E487</f>
        <v>0</v>
      </c>
      <c r="D45" s="613">
        <f>+BdV!F487</f>
        <v>0</v>
      </c>
      <c r="E45" s="613">
        <f>+BdV!G487</f>
        <v>1.1000000000000001</v>
      </c>
      <c r="F45" s="613">
        <f>+BdV!H487</f>
        <v>0.54</v>
      </c>
      <c r="G45" s="613">
        <f>+BdV!I487</f>
        <v>0</v>
      </c>
      <c r="H45" s="613">
        <f>+BdV!J487</f>
        <v>0</v>
      </c>
      <c r="I45" s="613">
        <f t="shared" si="32"/>
        <v>0</v>
      </c>
      <c r="J45" s="609">
        <v>0</v>
      </c>
      <c r="K45" s="609">
        <v>0</v>
      </c>
      <c r="L45" s="609">
        <v>0</v>
      </c>
      <c r="M45" s="609">
        <v>0</v>
      </c>
      <c r="N45" s="609">
        <v>0</v>
      </c>
      <c r="P45" s="608" t="str">
        <f t="shared" si="5"/>
        <v>n/a</v>
      </c>
      <c r="Q45" s="608" t="str">
        <f t="shared" si="6"/>
        <v>n/a</v>
      </c>
      <c r="R45" s="608" t="str">
        <f t="shared" si="7"/>
        <v>n/a</v>
      </c>
      <c r="S45" s="608" t="str">
        <f t="shared" si="8"/>
        <v>n/a</v>
      </c>
      <c r="U45" s="635">
        <f t="shared" si="33"/>
        <v>0</v>
      </c>
      <c r="V45" s="635">
        <f t="shared" si="34"/>
        <v>0</v>
      </c>
      <c r="W45" s="635">
        <f t="shared" si="35"/>
        <v>4.0971956874482576E-8</v>
      </c>
      <c r="X45" s="635">
        <f t="shared" si="36"/>
        <v>1.7339671513737112E-8</v>
      </c>
      <c r="Y45" s="635">
        <f t="shared" si="37"/>
        <v>0</v>
      </c>
      <c r="Z45" s="635">
        <f t="shared" si="38"/>
        <v>0</v>
      </c>
      <c r="AB45" s="635">
        <f t="shared" si="9"/>
        <v>1.1662325677643937E-8</v>
      </c>
    </row>
    <row r="46" spans="2:28">
      <c r="B46" s="604" t="s">
        <v>2482</v>
      </c>
      <c r="C46" s="613">
        <f>+BdV!E488</f>
        <v>27106.16</v>
      </c>
      <c r="D46" s="613">
        <f>+BdV!F488</f>
        <v>4902</v>
      </c>
      <c r="E46" s="613">
        <f>+BdV!G488</f>
        <v>17549.939999999999</v>
      </c>
      <c r="F46" s="613">
        <f>+BdV!H488</f>
        <v>2573.2800000000002</v>
      </c>
      <c r="G46" s="613">
        <f>+BdV!I488</f>
        <v>0</v>
      </c>
      <c r="H46" s="613">
        <f>+BdV!J488</f>
        <v>0</v>
      </c>
      <c r="I46" s="613">
        <f t="shared" si="32"/>
        <v>0</v>
      </c>
      <c r="J46" s="609">
        <f t="shared" ref="J46:N47" si="40">+J$5*$AB46</f>
        <v>24238.883891351485</v>
      </c>
      <c r="K46" s="609">
        <f t="shared" si="40"/>
        <v>25761.630402775234</v>
      </c>
      <c r="L46" s="609">
        <f t="shared" si="40"/>
        <v>26711.633780400138</v>
      </c>
      <c r="M46" s="609">
        <f t="shared" si="40"/>
        <v>27893.670065335024</v>
      </c>
      <c r="N46" s="609">
        <f t="shared" si="40"/>
        <v>29128.01351314842</v>
      </c>
      <c r="P46" s="608" t="str">
        <f t="shared" si="5"/>
        <v>n/a</v>
      </c>
      <c r="Q46" s="608" t="str">
        <f t="shared" si="6"/>
        <v>n/a</v>
      </c>
      <c r="R46" s="608">
        <f t="shared" si="7"/>
        <v>-0.5438163850666653</v>
      </c>
      <c r="S46" s="608" t="str">
        <f t="shared" si="8"/>
        <v>n/a</v>
      </c>
      <c r="U46" s="635">
        <f t="shared" si="33"/>
        <v>1.0443489998125314E-3</v>
      </c>
      <c r="V46" s="635">
        <f t="shared" si="34"/>
        <v>1.9588441074788222E-4</v>
      </c>
      <c r="W46" s="635">
        <f t="shared" si="35"/>
        <v>6.5368671348159694E-4</v>
      </c>
      <c r="X46" s="635">
        <f t="shared" si="36"/>
        <v>8.2629314653461921E-5</v>
      </c>
      <c r="Y46" s="635">
        <f t="shared" si="37"/>
        <v>0</v>
      </c>
      <c r="Z46" s="635">
        <f t="shared" si="38"/>
        <v>0</v>
      </c>
      <c r="AB46" s="635">
        <f t="shared" si="9"/>
        <v>3.9530988773909452E-4</v>
      </c>
    </row>
    <row r="47" spans="2:28">
      <c r="B47" s="604" t="s">
        <v>2483</v>
      </c>
      <c r="C47" s="613">
        <f>+BdV!E489</f>
        <v>5509.52</v>
      </c>
      <c r="D47" s="613">
        <f>+BdV!F489</f>
        <v>3706.06</v>
      </c>
      <c r="E47" s="613">
        <f>+BdV!G489</f>
        <v>13403.25</v>
      </c>
      <c r="F47" s="613">
        <f>+BdV!H489</f>
        <v>7628.08</v>
      </c>
      <c r="G47" s="613">
        <f>+BdV!I489</f>
        <v>8876.74</v>
      </c>
      <c r="H47" s="613">
        <f>+BdV!J489</f>
        <v>1866.75</v>
      </c>
      <c r="I47" s="613">
        <f t="shared" si="32"/>
        <v>3733.5</v>
      </c>
      <c r="J47" s="609">
        <f>+J$5*$AB47</f>
        <v>15678.831680591675</v>
      </c>
      <c r="K47" s="609">
        <f t="shared" si="40"/>
        <v>16663.814584583379</v>
      </c>
      <c r="L47" s="609">
        <f t="shared" si="40"/>
        <v>17278.320727710252</v>
      </c>
      <c r="M47" s="609">
        <f t="shared" si="40"/>
        <v>18042.916491893047</v>
      </c>
      <c r="N47" s="609">
        <f t="shared" si="40"/>
        <v>18841.346949378454</v>
      </c>
      <c r="P47" s="608">
        <f t="shared" si="5"/>
        <v>0.12663939719699591</v>
      </c>
      <c r="Q47" s="608">
        <f t="shared" si="6"/>
        <v>-0.18619249491901735</v>
      </c>
      <c r="R47" s="608">
        <f t="shared" si="7"/>
        <v>0.11455240085963125</v>
      </c>
      <c r="S47" s="608">
        <f t="shared" si="8"/>
        <v>0.16244306117753515</v>
      </c>
      <c r="U47" s="635">
        <f t="shared" si="33"/>
        <v>2.1227136936575078E-4</v>
      </c>
      <c r="V47" s="635">
        <f t="shared" si="34"/>
        <v>1.4809452862021551E-4</v>
      </c>
      <c r="W47" s="635">
        <f t="shared" si="35"/>
        <v>4.9923398270718957E-4</v>
      </c>
      <c r="X47" s="635">
        <f t="shared" si="36"/>
        <v>2.4494148422316258E-4</v>
      </c>
      <c r="Y47" s="635">
        <f t="shared" si="37"/>
        <v>1.7398227076690709E-4</v>
      </c>
      <c r="Z47" s="635">
        <f t="shared" si="38"/>
        <v>7.2516978057153735E-5</v>
      </c>
      <c r="AB47" s="635">
        <f t="shared" si="9"/>
        <v>2.557047271366451E-4</v>
      </c>
    </row>
    <row r="48" spans="2:28">
      <c r="B48" s="604" t="s">
        <v>2484</v>
      </c>
      <c r="C48" s="613">
        <f>+BdV!E490</f>
        <v>0</v>
      </c>
      <c r="D48" s="613">
        <f>+BdV!F490</f>
        <v>0</v>
      </c>
      <c r="E48" s="613">
        <f>+BdV!G490</f>
        <v>0</v>
      </c>
      <c r="F48" s="613">
        <f>+BdV!H490</f>
        <v>56653</v>
      </c>
      <c r="G48" s="613">
        <f>+BdV!I490</f>
        <v>0</v>
      </c>
      <c r="H48" s="613">
        <f>+BdV!J490</f>
        <v>0</v>
      </c>
      <c r="I48" s="613">
        <f t="shared" si="32"/>
        <v>0</v>
      </c>
      <c r="J48" s="609">
        <v>0</v>
      </c>
      <c r="K48" s="609">
        <v>0</v>
      </c>
      <c r="L48" s="609">
        <v>0</v>
      </c>
      <c r="M48" s="609">
        <v>0</v>
      </c>
      <c r="N48" s="609">
        <v>0</v>
      </c>
      <c r="P48" s="608" t="str">
        <f t="shared" si="5"/>
        <v>n/a</v>
      </c>
      <c r="Q48" s="608" t="str">
        <f t="shared" si="6"/>
        <v>n/a</v>
      </c>
      <c r="R48" s="608" t="str">
        <f t="shared" si="7"/>
        <v>n/a</v>
      </c>
      <c r="S48" s="608" t="str">
        <f t="shared" si="8"/>
        <v>n/a</v>
      </c>
      <c r="U48" s="635">
        <f t="shared" si="33"/>
        <v>0</v>
      </c>
      <c r="V48" s="635">
        <f t="shared" si="34"/>
        <v>0</v>
      </c>
      <c r="W48" s="635">
        <f t="shared" si="35"/>
        <v>0</v>
      </c>
      <c r="X48" s="635">
        <f t="shared" si="36"/>
        <v>1.8191563153106456E-3</v>
      </c>
      <c r="Y48" s="635">
        <f t="shared" si="37"/>
        <v>0</v>
      </c>
      <c r="Z48" s="635">
        <f t="shared" si="38"/>
        <v>0</v>
      </c>
      <c r="AB48" s="635">
        <f t="shared" si="9"/>
        <v>3.6383126306212911E-4</v>
      </c>
    </row>
    <row r="49" spans="2:28">
      <c r="B49" s="604" t="s">
        <v>2485</v>
      </c>
      <c r="C49" s="613">
        <f>+BdV!E491</f>
        <v>0</v>
      </c>
      <c r="D49" s="613">
        <f>+BdV!F491</f>
        <v>0</v>
      </c>
      <c r="E49" s="613">
        <f>+BdV!G491</f>
        <v>0</v>
      </c>
      <c r="F49" s="613">
        <f>+BdV!H491</f>
        <v>6824.16</v>
      </c>
      <c r="G49" s="613">
        <f>+BdV!I491</f>
        <v>6444.36</v>
      </c>
      <c r="H49" s="613">
        <f>+BdV!J491</f>
        <v>3032.28</v>
      </c>
      <c r="I49" s="613">
        <f t="shared" si="32"/>
        <v>6064.56</v>
      </c>
      <c r="J49" s="609">
        <f>+H49</f>
        <v>3032.28</v>
      </c>
      <c r="K49" s="609">
        <v>0</v>
      </c>
      <c r="L49" s="609">
        <v>0</v>
      </c>
      <c r="M49" s="609">
        <v>0</v>
      </c>
      <c r="N49" s="609">
        <v>0</v>
      </c>
      <c r="P49" s="608" t="str">
        <f t="shared" si="5"/>
        <v>n/a</v>
      </c>
      <c r="Q49" s="608" t="str">
        <f t="shared" si="6"/>
        <v>n/a</v>
      </c>
      <c r="R49" s="608" t="str">
        <f t="shared" si="7"/>
        <v>n/a</v>
      </c>
      <c r="S49" s="608" t="str">
        <f t="shared" si="8"/>
        <v>n/a</v>
      </c>
      <c r="U49" s="635">
        <f t="shared" si="33"/>
        <v>0</v>
      </c>
      <c r="V49" s="635">
        <f t="shared" si="34"/>
        <v>0</v>
      </c>
      <c r="W49" s="635">
        <f t="shared" si="35"/>
        <v>0</v>
      </c>
      <c r="X49" s="635">
        <f t="shared" si="36"/>
        <v>2.1912720880960045E-4</v>
      </c>
      <c r="Y49" s="635">
        <f t="shared" si="37"/>
        <v>1.2630812510442183E-4</v>
      </c>
      <c r="Z49" s="635">
        <f t="shared" si="38"/>
        <v>1.1779391039140011E-4</v>
      </c>
      <c r="AB49" s="635">
        <f t="shared" si="9"/>
        <v>6.908706678280445E-5</v>
      </c>
    </row>
    <row r="50" spans="2:28">
      <c r="B50" s="604" t="s">
        <v>2421</v>
      </c>
      <c r="C50" s="613">
        <f>+BdV!E492</f>
        <v>0</v>
      </c>
      <c r="D50" s="613">
        <f>+BdV!F492</f>
        <v>0</v>
      </c>
      <c r="E50" s="613">
        <f>+BdV!G492</f>
        <v>691.49</v>
      </c>
      <c r="F50" s="613">
        <f>+BdV!H492</f>
        <v>0</v>
      </c>
      <c r="G50" s="613">
        <f>+BdV!I492</f>
        <v>0</v>
      </c>
      <c r="H50" s="613">
        <f>+BdV!J492</f>
        <v>0</v>
      </c>
      <c r="I50" s="613">
        <f t="shared" si="32"/>
        <v>0</v>
      </c>
      <c r="J50" s="609">
        <v>0</v>
      </c>
      <c r="K50" s="609">
        <v>0</v>
      </c>
      <c r="L50" s="609">
        <v>0</v>
      </c>
      <c r="M50" s="609">
        <v>0</v>
      </c>
      <c r="N50" s="609">
        <v>0</v>
      </c>
      <c r="P50" s="608" t="str">
        <f t="shared" si="5"/>
        <v>n/a</v>
      </c>
      <c r="Q50" s="608" t="str">
        <f t="shared" si="6"/>
        <v>n/a</v>
      </c>
      <c r="R50" s="608" t="str">
        <f t="shared" si="7"/>
        <v>n/a</v>
      </c>
      <c r="S50" s="608" t="str">
        <f t="shared" si="8"/>
        <v>n/a</v>
      </c>
      <c r="U50" s="635">
        <f t="shared" si="33"/>
        <v>0</v>
      </c>
      <c r="V50" s="635">
        <f t="shared" si="34"/>
        <v>0</v>
      </c>
      <c r="W50" s="635">
        <f t="shared" si="35"/>
        <v>2.5756089508305412E-5</v>
      </c>
      <c r="X50" s="635">
        <f t="shared" si="36"/>
        <v>0</v>
      </c>
      <c r="Y50" s="635">
        <f t="shared" si="37"/>
        <v>0</v>
      </c>
      <c r="Z50" s="635">
        <f t="shared" si="38"/>
        <v>0</v>
      </c>
      <c r="AB50" s="635">
        <f t="shared" si="9"/>
        <v>5.1512179016610825E-6</v>
      </c>
    </row>
    <row r="51" spans="2:28">
      <c r="B51" s="604" t="s">
        <v>2486</v>
      </c>
      <c r="C51" s="613">
        <f>+BdV!E493</f>
        <v>0</v>
      </c>
      <c r="D51" s="613">
        <f>+BdV!F493</f>
        <v>0</v>
      </c>
      <c r="E51" s="613">
        <f>+BdV!G493</f>
        <v>0</v>
      </c>
      <c r="F51" s="613">
        <f>+BdV!H493</f>
        <v>165938.41</v>
      </c>
      <c r="G51" s="613">
        <f>+BdV!I493</f>
        <v>197740.89</v>
      </c>
      <c r="H51" s="613">
        <f>+BdV!J493</f>
        <v>142891.57</v>
      </c>
      <c r="I51" s="613">
        <f t="shared" si="32"/>
        <v>285783.14</v>
      </c>
      <c r="J51" s="609">
        <f>+H51</f>
        <v>142891.57</v>
      </c>
      <c r="K51" s="609"/>
      <c r="L51" s="609"/>
      <c r="M51" s="609"/>
      <c r="N51" s="609"/>
      <c r="P51" s="608" t="str">
        <f t="shared" si="5"/>
        <v>n/a</v>
      </c>
      <c r="Q51" s="608" t="str">
        <f t="shared" si="6"/>
        <v>n/a</v>
      </c>
      <c r="R51" s="608" t="str">
        <f t="shared" si="7"/>
        <v>n/a</v>
      </c>
      <c r="S51" s="608" t="str">
        <f t="shared" si="8"/>
        <v>n/a</v>
      </c>
      <c r="U51" s="635">
        <f t="shared" si="33"/>
        <v>0</v>
      </c>
      <c r="V51" s="635">
        <f t="shared" si="34"/>
        <v>0</v>
      </c>
      <c r="W51" s="635">
        <f t="shared" si="35"/>
        <v>0</v>
      </c>
      <c r="X51" s="635">
        <f t="shared" si="36"/>
        <v>5.3283657794663507E-3</v>
      </c>
      <c r="Y51" s="635">
        <f t="shared" si="37"/>
        <v>3.8756806063565221E-3</v>
      </c>
      <c r="Z51" s="635">
        <f t="shared" si="38"/>
        <v>5.5508583614529254E-3</v>
      </c>
      <c r="AB51" s="635">
        <f t="shared" si="9"/>
        <v>1.8408092771645744E-3</v>
      </c>
    </row>
    <row r="52" spans="2:28">
      <c r="B52" s="604" t="str">
        <f>+BdV!D494</f>
        <v>6400050051 CESSIONE CTR. LEASING AUTO</v>
      </c>
      <c r="C52" s="613">
        <f>+BdV!E494</f>
        <v>0</v>
      </c>
      <c r="D52" s="613">
        <f>+BdV!F494</f>
        <v>0</v>
      </c>
      <c r="E52" s="613">
        <f>+BdV!G494</f>
        <v>0</v>
      </c>
      <c r="F52" s="613">
        <f>+BdV!H494</f>
        <v>0</v>
      </c>
      <c r="G52" s="613">
        <f>+BdV!I494</f>
        <v>0</v>
      </c>
      <c r="H52" s="613">
        <f>+BdV!J494</f>
        <v>17871.36</v>
      </c>
      <c r="I52" s="613">
        <f t="shared" si="32"/>
        <v>35742.720000000001</v>
      </c>
      <c r="J52" s="609">
        <f>+H52</f>
        <v>17871.36</v>
      </c>
      <c r="K52" s="609"/>
      <c r="L52" s="609"/>
      <c r="M52" s="609"/>
      <c r="N52" s="609"/>
      <c r="P52" s="608" t="str">
        <f t="shared" ref="P52" si="41">IF(G52*C52&lt;=0,"n/a",IF(C52&gt;G52,-ABS((G52/C52)^(1/(4))-1),ABS((G52/C52)^(1/(4))-1)))</f>
        <v>n/a</v>
      </c>
      <c r="Q52" s="608" t="str">
        <f t="shared" ref="Q52" si="42">IF(G52*E52&lt;=0,"n/a",IF(E52&gt;G52,-ABS((G52/E52)^(1/(2))-1),ABS((G52/E52)^(1/(2))-1)))</f>
        <v>n/a</v>
      </c>
      <c r="R52" s="608" t="str">
        <f t="shared" ref="R52" si="43">IF(F52*C52&lt;=0,"n/a",IF(C52&gt;F52,-ABS((F52/C52)^(1/(3))-1),ABS((F52/C52)^(1/(3))-1)))</f>
        <v>n/a</v>
      </c>
      <c r="S52" s="608" t="str">
        <f t="shared" ref="S52" si="44">IF(N52*G52&lt;=0,"n/a",IF(G52&gt;N52,-ABS((N52/G52)^(1/(5))-1),ABS((N52/G52)^(1/(5))-1)))</f>
        <v>n/a</v>
      </c>
      <c r="U52" s="635">
        <f t="shared" ref="U52" si="45">+C52/C$12</f>
        <v>0</v>
      </c>
      <c r="V52" s="635">
        <f t="shared" ref="V52" si="46">+D52/D$12</f>
        <v>0</v>
      </c>
      <c r="W52" s="635">
        <f t="shared" ref="W52" si="47">+E52/E$12</f>
        <v>0</v>
      </c>
      <c r="X52" s="635">
        <f t="shared" ref="X52" si="48">+F52/F$12</f>
        <v>0</v>
      </c>
      <c r="Y52" s="635">
        <f>+G52/G$12</f>
        <v>0</v>
      </c>
      <c r="Z52" s="635">
        <f>+H52/H$12</f>
        <v>6.9424241112708992E-4</v>
      </c>
      <c r="AB52" s="635">
        <f t="shared" ref="AB52" si="49">+AVERAGE(U52:Y52)</f>
        <v>0</v>
      </c>
    </row>
    <row r="53" spans="2:28">
      <c r="B53" s="600" t="s">
        <v>2491</v>
      </c>
      <c r="C53" s="610">
        <f>+SUM(C26:C52)</f>
        <v>728198.74000000011</v>
      </c>
      <c r="D53" s="610">
        <f t="shared" ref="D53:N53" si="50">+SUM(D26:D52)</f>
        <v>1228672.2699999998</v>
      </c>
      <c r="E53" s="610">
        <f t="shared" si="50"/>
        <v>815990.87</v>
      </c>
      <c r="F53" s="610">
        <f t="shared" si="50"/>
        <v>1377872.72</v>
      </c>
      <c r="G53" s="610">
        <f t="shared" si="50"/>
        <v>2655191.36</v>
      </c>
      <c r="H53" s="610">
        <f t="shared" si="50"/>
        <v>1058702.2200000002</v>
      </c>
      <c r="I53" s="610">
        <f t="shared" si="50"/>
        <v>2117404.4400000004</v>
      </c>
      <c r="J53" s="610">
        <f t="shared" si="50"/>
        <v>1855630.8613744348</v>
      </c>
      <c r="K53" s="610">
        <f t="shared" si="50"/>
        <v>1798120.9427096494</v>
      </c>
      <c r="L53" s="610">
        <f t="shared" si="50"/>
        <v>1864429.6717087359</v>
      </c>
      <c r="M53" s="610">
        <f t="shared" si="50"/>
        <v>1946933.9296207337</v>
      </c>
      <c r="N53" s="610">
        <f t="shared" si="50"/>
        <v>2033089.1445395302</v>
      </c>
      <c r="P53" s="608">
        <f t="shared" si="5"/>
        <v>0.38185182284933594</v>
      </c>
      <c r="Q53" s="608">
        <f t="shared" si="6"/>
        <v>0.80387011392623275</v>
      </c>
      <c r="R53" s="608">
        <f t="shared" si="7"/>
        <v>0.23685766902484984</v>
      </c>
      <c r="S53" s="608">
        <f t="shared" si="8"/>
        <v>-5.1991745034231096E-2</v>
      </c>
      <c r="U53" s="635"/>
      <c r="V53" s="635"/>
      <c r="W53" s="635"/>
      <c r="X53" s="635"/>
      <c r="Y53" s="635"/>
      <c r="Z53" s="635"/>
      <c r="AB53" s="635"/>
    </row>
    <row r="54" spans="2:28">
      <c r="B54" s="601" t="s">
        <v>2487</v>
      </c>
      <c r="C54" s="611">
        <f>+C25+C53</f>
        <v>728198.74000000011</v>
      </c>
      <c r="D54" s="611">
        <f t="shared" ref="D54:N54" si="51">+D25+D53</f>
        <v>1247082.2699999998</v>
      </c>
      <c r="E54" s="611">
        <f t="shared" si="51"/>
        <v>861005.67</v>
      </c>
      <c r="F54" s="611">
        <f t="shared" si="51"/>
        <v>1409166.66</v>
      </c>
      <c r="G54" s="611">
        <f t="shared" si="51"/>
        <v>2655191.36</v>
      </c>
      <c r="H54" s="611">
        <f>+H25+H53</f>
        <v>1058702.2200000002</v>
      </c>
      <c r="I54" s="611">
        <f>+I25+I53</f>
        <v>2117404.4400000004</v>
      </c>
      <c r="J54" s="611">
        <f t="shared" si="51"/>
        <v>1855630.8613744348</v>
      </c>
      <c r="K54" s="611">
        <f t="shared" si="51"/>
        <v>1798120.9427096494</v>
      </c>
      <c r="L54" s="611">
        <f t="shared" si="51"/>
        <v>1864429.6717087359</v>
      </c>
      <c r="M54" s="611">
        <f t="shared" si="51"/>
        <v>1946933.9296207337</v>
      </c>
      <c r="N54" s="611">
        <f t="shared" si="51"/>
        <v>2033089.1445395302</v>
      </c>
      <c r="P54" s="608">
        <f t="shared" si="5"/>
        <v>0.38185182284933594</v>
      </c>
      <c r="Q54" s="608">
        <f t="shared" si="6"/>
        <v>0.7560824691493544</v>
      </c>
      <c r="R54" s="608">
        <f t="shared" si="7"/>
        <v>0.24615140685050974</v>
      </c>
      <c r="S54" s="608">
        <f t="shared" si="8"/>
        <v>-5.1991745034231096E-2</v>
      </c>
      <c r="U54" s="635"/>
      <c r="V54" s="635"/>
      <c r="W54" s="635"/>
      <c r="X54" s="635"/>
      <c r="Y54" s="635"/>
      <c r="Z54" s="635"/>
      <c r="AB54" s="635"/>
    </row>
    <row r="55" spans="2:28">
      <c r="B55" s="602" t="s">
        <v>2454</v>
      </c>
      <c r="C55" s="612">
        <f>+C54+C17+C12</f>
        <v>26165241.979999997</v>
      </c>
      <c r="D55" s="612">
        <f t="shared" ref="D55:N55" si="52">+D54+D17+D12</f>
        <v>26546544.600000001</v>
      </c>
      <c r="E55" s="612">
        <f t="shared" si="52"/>
        <v>27648782.310000002</v>
      </c>
      <c r="F55" s="612">
        <f t="shared" si="52"/>
        <v>32528849.129999999</v>
      </c>
      <c r="G55" s="612">
        <f t="shared" si="52"/>
        <v>53274059.949999996</v>
      </c>
      <c r="H55" s="612">
        <f t="shared" ref="H55:I55" si="53">+H54+H17+H12</f>
        <v>27262121.800000004</v>
      </c>
      <c r="I55" s="612">
        <f t="shared" si="53"/>
        <v>55027260.570000008</v>
      </c>
      <c r="J55" s="612">
        <f t="shared" si="52"/>
        <v>68515025.023862928</v>
      </c>
      <c r="K55" s="612">
        <f t="shared" si="52"/>
        <v>71338674.929870486</v>
      </c>
      <c r="L55" s="612">
        <f t="shared" si="52"/>
        <v>73921637.8593999</v>
      </c>
      <c r="M55" s="612">
        <f t="shared" si="52"/>
        <v>77207230.748394147</v>
      </c>
      <c r="N55" s="612">
        <f t="shared" si="52"/>
        <v>80623785.084014997</v>
      </c>
      <c r="P55" s="608">
        <f t="shared" si="5"/>
        <v>0.19453192148103926</v>
      </c>
      <c r="Q55" s="608">
        <f t="shared" si="6"/>
        <v>0.38809724727336881</v>
      </c>
      <c r="R55" s="608">
        <f t="shared" si="7"/>
        <v>7.5262865469448714E-2</v>
      </c>
      <c r="S55" s="887">
        <f>IF(N55*G55&lt;=0,"n/a",IF(G55&gt;N55,-ABS((N55/G55)^(1/(5))-1),ABS((N55/G55)^(1/(5))-1)))</f>
        <v>8.6399301352356961E-2</v>
      </c>
      <c r="U55" s="637">
        <f t="shared" ref="U55:Z55" si="54">+C55/C$12</f>
        <v>1.0080972108061732</v>
      </c>
      <c r="V55" s="637">
        <f t="shared" si="54"/>
        <v>1.0608025798374898</v>
      </c>
      <c r="W55" s="637">
        <f t="shared" si="54"/>
        <v>1.0298406513066152</v>
      </c>
      <c r="X55" s="637">
        <f t="shared" si="54"/>
        <v>1.0445177011742837</v>
      </c>
      <c r="Y55" s="637">
        <f t="shared" si="54"/>
        <v>1.0441605728086369</v>
      </c>
      <c r="Z55" s="637">
        <f t="shared" si="54"/>
        <v>1.059042018675266</v>
      </c>
      <c r="AB55" s="635">
        <f t="shared" si="9"/>
        <v>1.0374837431866397</v>
      </c>
    </row>
    <row r="56" spans="2:28">
      <c r="B56" s="840" t="s">
        <v>363</v>
      </c>
      <c r="C56" s="909">
        <f>+C55-BdV!E497</f>
        <v>0</v>
      </c>
      <c r="D56" s="909">
        <f>+D55-BdV!F497</f>
        <v>0</v>
      </c>
      <c r="E56" s="909">
        <f>+E55-BdV!G497</f>
        <v>0</v>
      </c>
      <c r="F56" s="909">
        <f>+F55-BdV!H497</f>
        <v>0</v>
      </c>
      <c r="G56" s="909">
        <f>+G55-BdV!I497</f>
        <v>0</v>
      </c>
      <c r="H56" s="909">
        <f>+H55-BdV!J497</f>
        <v>0</v>
      </c>
      <c r="I56" s="909"/>
      <c r="J56" s="782">
        <f>+J55/G55-1</f>
        <v>0.28608604428059792</v>
      </c>
      <c r="K56" s="782">
        <f>+K55/J55-1</f>
        <v>4.1212126902443913E-2</v>
      </c>
      <c r="L56" s="782">
        <f>+L55/K55-1</f>
        <v>3.620704943102182E-2</v>
      </c>
      <c r="M56" s="782">
        <f>+M55/L55-1</f>
        <v>4.4446970929452378E-2</v>
      </c>
      <c r="N56" s="782">
        <f>+N55/M55-1</f>
        <v>4.4251740445850896E-2</v>
      </c>
      <c r="P56" s="608"/>
      <c r="Q56" s="608"/>
      <c r="R56" s="608"/>
      <c r="S56" s="608"/>
    </row>
    <row r="57" spans="2:28">
      <c r="J57" s="603"/>
      <c r="K57" s="603"/>
      <c r="L57" s="603"/>
      <c r="M57" s="603"/>
    </row>
    <row r="58" spans="2:28">
      <c r="J58" s="603"/>
      <c r="K58" s="603"/>
      <c r="L58" s="603"/>
      <c r="M58" s="603"/>
    </row>
    <row r="59" spans="2:28">
      <c r="J59" s="603"/>
      <c r="K59" s="603"/>
      <c r="L59" s="603"/>
      <c r="M59" s="603"/>
    </row>
    <row r="60" spans="2:28">
      <c r="J60" s="603"/>
      <c r="K60" s="603"/>
      <c r="L60" s="603"/>
      <c r="M60" s="603"/>
    </row>
    <row r="61" spans="2:28">
      <c r="J61" s="10" t="s">
        <v>3711</v>
      </c>
      <c r="K61" s="11">
        <v>6</v>
      </c>
      <c r="L61" s="12"/>
      <c r="M61" s="603"/>
    </row>
    <row r="62" spans="2:28">
      <c r="J62" s="603"/>
      <c r="K62" s="603"/>
      <c r="L62" s="603"/>
      <c r="M62" s="603"/>
    </row>
    <row r="63" spans="2:28">
      <c r="C63" s="606">
        <v>2018</v>
      </c>
      <c r="D63" s="606">
        <f>+C63+1</f>
        <v>2019</v>
      </c>
      <c r="E63" s="606">
        <f t="shared" ref="E63" si="55">+D63+1</f>
        <v>2020</v>
      </c>
      <c r="F63" s="606">
        <f t="shared" ref="F63" si="56">+E63+1</f>
        <v>2021</v>
      </c>
      <c r="G63" s="606">
        <f t="shared" ref="G63" si="57">+F63+1</f>
        <v>2022</v>
      </c>
      <c r="H63" s="1049">
        <v>45078</v>
      </c>
      <c r="I63" s="1058"/>
      <c r="J63" s="599">
        <f t="shared" ref="J63" si="58">+G63+1</f>
        <v>2023</v>
      </c>
      <c r="K63" s="599">
        <f t="shared" ref="K63" si="59">+J63+1</f>
        <v>2024</v>
      </c>
      <c r="L63" s="599">
        <f t="shared" ref="L63" si="60">+K63+1</f>
        <v>2025</v>
      </c>
      <c r="M63" s="599">
        <f t="shared" ref="M63" si="61">+L63+1</f>
        <v>2026</v>
      </c>
      <c r="N63" s="599">
        <f t="shared" ref="N63" si="62">+M63+1</f>
        <v>2027</v>
      </c>
      <c r="P63" s="607" t="s">
        <v>2492</v>
      </c>
      <c r="Q63" s="607" t="s">
        <v>2493</v>
      </c>
      <c r="R63" s="607" t="s">
        <v>2494</v>
      </c>
      <c r="S63" s="638" t="s">
        <v>2496</v>
      </c>
      <c r="U63" s="606">
        <v>2023</v>
      </c>
      <c r="V63" s="606">
        <f>+U63+1</f>
        <v>2024</v>
      </c>
      <c r="W63" s="606">
        <f t="shared" ref="W63" si="63">+V63+1</f>
        <v>2025</v>
      </c>
      <c r="X63" s="606">
        <f t="shared" ref="X63" si="64">+W63+1</f>
        <v>2026</v>
      </c>
      <c r="Y63" s="606">
        <f t="shared" ref="Y63:Z63" si="65">+X63+1</f>
        <v>2027</v>
      </c>
      <c r="Z63" s="606">
        <f t="shared" si="65"/>
        <v>2028</v>
      </c>
      <c r="AB63" s="606" t="s">
        <v>2451</v>
      </c>
    </row>
    <row r="64" spans="2:28">
      <c r="B64" s="604" t="s">
        <v>2397</v>
      </c>
      <c r="C64" s="613">
        <f>+C5</f>
        <v>24156026.16</v>
      </c>
      <c r="D64" s="613">
        <f t="shared" ref="D64:G64" si="66">+D5</f>
        <v>23727212.98</v>
      </c>
      <c r="E64" s="613">
        <f t="shared" si="66"/>
        <v>24957098.82</v>
      </c>
      <c r="F64" s="613">
        <f t="shared" si="66"/>
        <v>28909167.91</v>
      </c>
      <c r="G64" s="613">
        <f t="shared" si="66"/>
        <v>47924038.689999998</v>
      </c>
      <c r="H64" s="613">
        <f t="shared" ref="H64" si="67">+H5</f>
        <v>25647986.760000002</v>
      </c>
      <c r="I64" s="1059"/>
      <c r="J64" s="788">
        <f>+IFERROR(G64*(1+CHOOSE($K$61,U67,U68,U69,U70,U71,U72)),0)</f>
        <v>61316158.900000006</v>
      </c>
      <c r="K64" s="788">
        <f>+IFERROR(J64*(1+CHOOSE($K$61,V67,V68,V69,V70,V71,V72)),0)</f>
        <v>65168191.340000004</v>
      </c>
      <c r="L64" s="788">
        <f>+IFERROR(K64*(1+CHOOSE($K$61,W67,W68,W69,W70,W71,W72)),0)</f>
        <v>67571377.819999993</v>
      </c>
      <c r="M64" s="788">
        <f t="shared" ref="M64:N64" si="68">+IFERROR(L64*(1+CHOOSE($K$61,X67,X68,X69,X70,X71,X72)),0)</f>
        <v>70561528.892859146</v>
      </c>
      <c r="N64" s="788">
        <f t="shared" si="68"/>
        <v>73683999.354888335</v>
      </c>
      <c r="P64" s="608">
        <f>IF(G64*C64&lt;=0,"n/a",IF(C64&gt;G64,-ABS((G64/C64)^(1/(4))-1),ABS((G64/C64)^(1/(4))-1)))</f>
        <v>0.18681213893532633</v>
      </c>
      <c r="Q64" s="608">
        <f>IF(G64*E64&lt;=0,"n/a",IF(E64&gt;G64,-ABS((G64/E64)^(1/(2))-1),ABS((G64/E64)^(1/(2))-1)))</f>
        <v>0.38573330727923194</v>
      </c>
      <c r="R64" s="608">
        <f>IF(F64*C64&lt;=0,"n/a",IF(C64&gt;F64,-ABS((F64/C64)^(1/(3))-1),ABS((F64/C64)^(1/(3))-1)))</f>
        <v>6.1703787803313537E-2</v>
      </c>
      <c r="S64" s="608">
        <f>IF(N64*G64&lt;=0,"n/a",IF(G64&gt;N64,-ABS((N64/G64)^(1/(5))-1),ABS((N64/G64)^(1/(5))-1)))</f>
        <v>8.9843042414508911E-2</v>
      </c>
      <c r="U64" s="635">
        <f t="shared" ref="U64:Z64" si="69">+C64/C$12</f>
        <v>0.93068593115518194</v>
      </c>
      <c r="V64" s="635">
        <f t="shared" si="69"/>
        <v>0.94814180605401932</v>
      </c>
      <c r="W64" s="635">
        <f t="shared" si="69"/>
        <v>0.92958288778658171</v>
      </c>
      <c r="X64" s="635">
        <f t="shared" si="69"/>
        <v>0.9282879172127223</v>
      </c>
      <c r="Y64" s="635">
        <f t="shared" si="69"/>
        <v>0.93930126100430011</v>
      </c>
      <c r="Z64" s="635">
        <f t="shared" si="69"/>
        <v>0.99633828476501396</v>
      </c>
      <c r="AB64" s="635">
        <f>+AVERAGE(U64:Y64)</f>
        <v>0.93519996064256117</v>
      </c>
    </row>
    <row r="65" spans="2:26">
      <c r="D65" s="730">
        <f>+D64/C64-1</f>
        <v>-1.7751809720676359E-2</v>
      </c>
      <c r="E65" s="730">
        <f t="shared" ref="E65:G65" si="70">+E64/D64-1</f>
        <v>5.1834399642161522E-2</v>
      </c>
      <c r="F65" s="730">
        <f t="shared" si="70"/>
        <v>0.15835450740904666</v>
      </c>
      <c r="G65" s="730">
        <f t="shared" si="70"/>
        <v>0.65774535051292649</v>
      </c>
      <c r="J65" s="730">
        <f>+J64/G64-1</f>
        <v>0.27944473329194719</v>
      </c>
      <c r="K65" s="730">
        <f>+K64/J64-1</f>
        <v>6.2822468156921607E-2</v>
      </c>
      <c r="L65" s="730">
        <f t="shared" ref="L65:N65" si="71">+L64/K64-1</f>
        <v>3.6876679106558674E-2</v>
      </c>
      <c r="M65" s="730">
        <f t="shared" si="71"/>
        <v>4.4251740445850674E-2</v>
      </c>
      <c r="N65" s="730">
        <f t="shared" si="71"/>
        <v>4.4251740445850674E-2</v>
      </c>
    </row>
    <row r="66" spans="2:26">
      <c r="B66" s="728" t="s">
        <v>3710</v>
      </c>
    </row>
    <row r="67" spans="2:26">
      <c r="B67" s="598" t="s">
        <v>3722</v>
      </c>
      <c r="C67" s="613">
        <f>+C64</f>
        <v>24156026.16</v>
      </c>
      <c r="D67" s="613">
        <f t="shared" ref="D67:G67" si="72">+D64</f>
        <v>23727212.98</v>
      </c>
      <c r="E67" s="613">
        <f t="shared" si="72"/>
        <v>24957098.82</v>
      </c>
      <c r="F67" s="613">
        <f t="shared" si="72"/>
        <v>28909167.91</v>
      </c>
      <c r="G67" s="613">
        <f t="shared" si="72"/>
        <v>47924038.689999998</v>
      </c>
      <c r="H67" s="613">
        <f t="shared" ref="H67" si="73">+H64</f>
        <v>25647986.760000002</v>
      </c>
      <c r="I67" s="1059"/>
      <c r="J67" s="609">
        <f>+G67*(1+U67)</f>
        <v>56954256.876198195</v>
      </c>
      <c r="K67" s="609">
        <f t="shared" ref="K67:N70" si="74">+J67*(1+V67)</f>
        <v>63308340.501081698</v>
      </c>
      <c r="L67" s="609">
        <f t="shared" si="74"/>
        <v>67940910.416842863</v>
      </c>
      <c r="M67" s="609">
        <f t="shared" si="74"/>
        <v>73333205.396632835</v>
      </c>
      <c r="N67" s="609">
        <f t="shared" si="74"/>
        <v>76999865.666464478</v>
      </c>
      <c r="P67" s="608">
        <f t="shared" ref="P67:P72" si="75">IF(G67*C67&lt;=0,"n/a",IF(C67&gt;G67,-ABS((G67/C67)^(1/(4))-1),ABS((G67/C67)^(1/(4))-1)))</f>
        <v>0.18681213893532633</v>
      </c>
      <c r="Q67" s="608">
        <f t="shared" ref="Q67:Q72" si="76">IF(G67*E67&lt;=0,"n/a",IF(E67&gt;G67,-ABS((G67/E67)^(1/(2))-1),ABS((G67/E67)^(1/(2))-1)))</f>
        <v>0.38573330727923194</v>
      </c>
      <c r="R67" s="608">
        <f t="shared" ref="R67:R72" si="77">IF(F67*C67&lt;=0,"n/a",IF(C67&gt;F67,-ABS((F67/C67)^(1/(3))-1),ABS((F67/C67)^(1/(3))-1)))</f>
        <v>6.1703787803313537E-2</v>
      </c>
      <c r="S67" s="608">
        <f t="shared" ref="S67:S72" si="78">IF(N67*G67&lt;=0,"n/a",IF(G67&gt;N67,-ABS((N67/G67)^(1/(5))-1),ABS((N67/G67)^(1/(5))-1)))</f>
        <v>9.9479943565753626E-2</v>
      </c>
      <c r="U67" s="701">
        <f>+'Mercato vs Società'!H113</f>
        <v>0.18842773758302789</v>
      </c>
      <c r="V67" s="701">
        <f>+'Mercato vs Società'!I113</f>
        <v>0.11156468319295976</v>
      </c>
      <c r="W67" s="701">
        <f>+'Mercato vs Società'!J113</f>
        <v>7.3174717250438892E-2</v>
      </c>
      <c r="X67" s="701">
        <f>+'Mercato vs Società'!K113</f>
        <v>7.9367423054919728E-2</v>
      </c>
      <c r="Y67" s="701">
        <v>0.05</v>
      </c>
      <c r="Z67" s="701">
        <v>0.05</v>
      </c>
    </row>
    <row r="68" spans="2:26">
      <c r="B68" s="598" t="s">
        <v>3712</v>
      </c>
      <c r="C68" s="613">
        <f t="shared" ref="C68:G71" si="79">+C67</f>
        <v>24156026.16</v>
      </c>
      <c r="D68" s="613">
        <f t="shared" si="79"/>
        <v>23727212.98</v>
      </c>
      <c r="E68" s="613">
        <f t="shared" si="79"/>
        <v>24957098.82</v>
      </c>
      <c r="F68" s="613">
        <f t="shared" si="79"/>
        <v>28909167.91</v>
      </c>
      <c r="G68" s="613">
        <f t="shared" si="79"/>
        <v>47924038.689999998</v>
      </c>
      <c r="H68" s="613">
        <f t="shared" ref="H68" si="80">+H67</f>
        <v>25647986.760000002</v>
      </c>
      <c r="I68" s="1059"/>
      <c r="J68" s="609">
        <f>+G68*(1+U68)</f>
        <v>50881133.404005542</v>
      </c>
      <c r="K68" s="609">
        <f t="shared" si="74"/>
        <v>54020692.062758386</v>
      </c>
      <c r="L68" s="609">
        <f t="shared" si="74"/>
        <v>57353973.382786974</v>
      </c>
      <c r="M68" s="609">
        <f t="shared" si="74"/>
        <v>60892930.786075354</v>
      </c>
      <c r="N68" s="609">
        <f t="shared" si="74"/>
        <v>64650255.266021207</v>
      </c>
      <c r="P68" s="608">
        <f t="shared" si="75"/>
        <v>0.18681213893532633</v>
      </c>
      <c r="Q68" s="608">
        <f t="shared" si="76"/>
        <v>0.38573330727923194</v>
      </c>
      <c r="R68" s="608">
        <f t="shared" si="77"/>
        <v>6.1703787803313537E-2</v>
      </c>
      <c r="S68" s="608">
        <f t="shared" si="78"/>
        <v>6.1703787803313537E-2</v>
      </c>
      <c r="U68" s="701">
        <f>+R5</f>
        <v>6.1703787803313537E-2</v>
      </c>
      <c r="V68" s="701">
        <f>+U68</f>
        <v>6.1703787803313537E-2</v>
      </c>
      <c r="W68" s="701">
        <f t="shared" ref="W68:Z68" si="81">+V68</f>
        <v>6.1703787803313537E-2</v>
      </c>
      <c r="X68" s="701">
        <f t="shared" si="81"/>
        <v>6.1703787803313537E-2</v>
      </c>
      <c r="Y68" s="701">
        <f t="shared" si="81"/>
        <v>6.1703787803313537E-2</v>
      </c>
      <c r="Z68" s="701">
        <f t="shared" si="81"/>
        <v>6.1703787803313537E-2</v>
      </c>
    </row>
    <row r="69" spans="2:26">
      <c r="B69" s="598" t="s">
        <v>3713</v>
      </c>
      <c r="C69" s="613">
        <f t="shared" si="79"/>
        <v>24156026.16</v>
      </c>
      <c r="D69" s="613">
        <f t="shared" si="79"/>
        <v>23727212.98</v>
      </c>
      <c r="E69" s="613">
        <f t="shared" si="79"/>
        <v>24957098.82</v>
      </c>
      <c r="F69" s="613">
        <f t="shared" si="79"/>
        <v>28909167.91</v>
      </c>
      <c r="G69" s="613">
        <f t="shared" si="79"/>
        <v>47924038.689999998</v>
      </c>
      <c r="H69" s="613">
        <f t="shared" ref="H69" si="82">+H68</f>
        <v>25647986.760000002</v>
      </c>
      <c r="I69" s="1059"/>
      <c r="J69" s="609">
        <f>+G69*(1+U69)</f>
        <v>50496130.326999985</v>
      </c>
      <c r="K69" s="609">
        <f t="shared" si="74"/>
        <v>53611932.837585658</v>
      </c>
      <c r="L69" s="609">
        <f t="shared" si="74"/>
        <v>56919992.16512154</v>
      </c>
      <c r="M69" s="609">
        <f t="shared" si="74"/>
        <v>60432171.283444472</v>
      </c>
      <c r="N69" s="609">
        <f t="shared" si="74"/>
        <v>64161065.156811625</v>
      </c>
      <c r="P69" s="608">
        <f t="shared" si="75"/>
        <v>0.18681213893532633</v>
      </c>
      <c r="Q69" s="608">
        <f t="shared" si="76"/>
        <v>0.38573330727923194</v>
      </c>
      <c r="R69" s="608">
        <f t="shared" si="77"/>
        <v>6.1703787803313537E-2</v>
      </c>
      <c r="S69" s="608">
        <f t="shared" si="78"/>
        <v>6.0092180394103467E-2</v>
      </c>
      <c r="U69" s="701">
        <f>+('Commesse in essere dic22'!J170/G64)-1</f>
        <v>5.3670176957283156E-2</v>
      </c>
      <c r="V69" s="701">
        <f>+R5</f>
        <v>6.1703787803313537E-2</v>
      </c>
      <c r="W69" s="701">
        <f>+V69</f>
        <v>6.1703787803313537E-2</v>
      </c>
      <c r="X69" s="701">
        <f>+W69</f>
        <v>6.1703787803313537E-2</v>
      </c>
      <c r="Y69" s="701">
        <f>+X69</f>
        <v>6.1703787803313537E-2</v>
      </c>
      <c r="Z69" s="701">
        <f>+Y69</f>
        <v>6.1703787803313537E-2</v>
      </c>
    </row>
    <row r="70" spans="2:26">
      <c r="B70" s="598" t="s">
        <v>3720</v>
      </c>
      <c r="C70" s="613">
        <f t="shared" si="79"/>
        <v>24156026.16</v>
      </c>
      <c r="D70" s="613">
        <f t="shared" si="79"/>
        <v>23727212.98</v>
      </c>
      <c r="E70" s="613">
        <f t="shared" si="79"/>
        <v>24957098.82</v>
      </c>
      <c r="F70" s="613">
        <f t="shared" si="79"/>
        <v>28909167.91</v>
      </c>
      <c r="G70" s="613">
        <f t="shared" si="79"/>
        <v>47924038.689999998</v>
      </c>
      <c r="H70" s="613">
        <f t="shared" ref="H70" si="83">+H69</f>
        <v>25647986.760000002</v>
      </c>
      <c r="I70" s="1059"/>
      <c r="J70" s="609">
        <f>+G70*(1+U70)</f>
        <v>59910890.857463829</v>
      </c>
      <c r="K70" s="609">
        <f t="shared" si="74"/>
        <v>66021801.724925146</v>
      </c>
      <c r="L70" s="609">
        <f t="shared" si="74"/>
        <v>69586979.0180711</v>
      </c>
      <c r="M70" s="609">
        <f t="shared" si="74"/>
        <v>73762197.759155363</v>
      </c>
      <c r="N70" s="609">
        <f>+M70*(1+Y70)</f>
        <v>77450307.647113129</v>
      </c>
      <c r="P70" s="608">
        <f t="shared" si="75"/>
        <v>0.18681213893532633</v>
      </c>
      <c r="Q70" s="608">
        <f t="shared" si="76"/>
        <v>0.38573330727923194</v>
      </c>
      <c r="R70" s="608">
        <f t="shared" si="77"/>
        <v>6.1703787803313537E-2</v>
      </c>
      <c r="S70" s="608">
        <f t="shared" si="78"/>
        <v>0.10076331490487056</v>
      </c>
      <c r="U70" s="701">
        <f>+'Mercato vs Società'!H125</f>
        <v>0.25012191157347208</v>
      </c>
      <c r="V70" s="701">
        <f>+'Mercato vs Società'!I125</f>
        <v>0.10200000000000009</v>
      </c>
      <c r="W70" s="701">
        <f>+'Mercato vs Società'!J125</f>
        <v>5.4000000000000048E-2</v>
      </c>
      <c r="X70" s="701">
        <f>+'Mercato vs Società'!K125</f>
        <v>6.0000000000000053E-2</v>
      </c>
      <c r="Y70" s="701">
        <v>0.05</v>
      </c>
      <c r="Z70" s="701">
        <v>0.05</v>
      </c>
    </row>
    <row r="71" spans="2:26">
      <c r="B71" s="598" t="s">
        <v>3721</v>
      </c>
      <c r="C71" s="613">
        <f t="shared" si="79"/>
        <v>24156026.16</v>
      </c>
      <c r="D71" s="613">
        <f t="shared" si="79"/>
        <v>23727212.98</v>
      </c>
      <c r="E71" s="613">
        <f t="shared" si="79"/>
        <v>24957098.82</v>
      </c>
      <c r="F71" s="613">
        <f t="shared" si="79"/>
        <v>28909167.91</v>
      </c>
      <c r="G71" s="613">
        <f t="shared" si="79"/>
        <v>47924038.689999998</v>
      </c>
      <c r="H71" s="613">
        <f t="shared" ref="H71" si="84">+H70</f>
        <v>25647986.760000002</v>
      </c>
      <c r="I71" s="1059"/>
      <c r="J71" s="1055">
        <f>+G71*(1+U71)</f>
        <v>56876830.864098229</v>
      </c>
      <c r="K71" s="1055">
        <f t="shared" ref="K71" si="85">+J71*(1+V71)</f>
        <v>62678267.612236254</v>
      </c>
      <c r="L71" s="1055">
        <f t="shared" ref="L71" si="86">+K71*(1+W71)</f>
        <v>66062894.063297011</v>
      </c>
      <c r="M71" s="1055">
        <f t="shared" ref="M71" si="87">+L71*(1+X71)</f>
        <v>70026667.707094833</v>
      </c>
      <c r="N71" s="1055">
        <f>+M71*(1+Y71)</f>
        <v>73528001.092449576</v>
      </c>
      <c r="P71" s="608">
        <f t="shared" si="75"/>
        <v>0.18681213893532633</v>
      </c>
      <c r="Q71" s="608">
        <f t="shared" si="76"/>
        <v>0.38573330727923194</v>
      </c>
      <c r="R71" s="608">
        <f t="shared" si="77"/>
        <v>6.1703787803313537E-2</v>
      </c>
      <c r="S71" s="608">
        <f t="shared" si="78"/>
        <v>8.9381184258989999E-2</v>
      </c>
      <c r="U71" s="701">
        <f>+P71</f>
        <v>0.18681213893532633</v>
      </c>
      <c r="V71" s="1052">
        <f>+'Mercato vs Società'!I125</f>
        <v>0.10200000000000009</v>
      </c>
      <c r="W71" s="1052">
        <f>+'Mercato vs Società'!J125</f>
        <v>5.4000000000000048E-2</v>
      </c>
      <c r="X71" s="1052">
        <f>+'Mercato vs Società'!K125</f>
        <v>6.0000000000000053E-2</v>
      </c>
      <c r="Y71" s="1052">
        <v>0.05</v>
      </c>
      <c r="Z71" s="1052">
        <v>0.05</v>
      </c>
    </row>
    <row r="72" spans="2:26">
      <c r="B72" s="598" t="s">
        <v>4183</v>
      </c>
      <c r="C72" s="613">
        <f>+C71</f>
        <v>24156026.16</v>
      </c>
      <c r="D72" s="613">
        <f t="shared" ref="D72:G72" si="88">+D71</f>
        <v>23727212.98</v>
      </c>
      <c r="E72" s="613">
        <f t="shared" si="88"/>
        <v>24957098.82</v>
      </c>
      <c r="F72" s="613">
        <f t="shared" si="88"/>
        <v>28909167.91</v>
      </c>
      <c r="G72" s="613">
        <f t="shared" si="88"/>
        <v>47924038.689999998</v>
      </c>
      <c r="H72" s="613">
        <f t="shared" ref="H72" si="89">+H71</f>
        <v>25647986.760000002</v>
      </c>
      <c r="I72" s="1060"/>
      <c r="J72" s="1055">
        <f>+J77</f>
        <v>61316158.900000006</v>
      </c>
      <c r="K72" s="1055">
        <f t="shared" ref="K72:N72" si="90">+K77</f>
        <v>65168191.340000004</v>
      </c>
      <c r="L72" s="1055">
        <f t="shared" si="90"/>
        <v>67571377.819999993</v>
      </c>
      <c r="M72" s="1055">
        <f t="shared" si="90"/>
        <v>70561528.892859146</v>
      </c>
      <c r="N72" s="1055">
        <f t="shared" si="90"/>
        <v>73683999.354888335</v>
      </c>
      <c r="P72" s="608">
        <f t="shared" si="75"/>
        <v>0.18681213893532633</v>
      </c>
      <c r="Q72" s="608">
        <f t="shared" si="76"/>
        <v>0.38573330727923194</v>
      </c>
      <c r="R72" s="608">
        <f t="shared" si="77"/>
        <v>6.1703787803313537E-2</v>
      </c>
      <c r="S72" s="608">
        <f t="shared" si="78"/>
        <v>8.9843042414508911E-2</v>
      </c>
      <c r="U72" s="1051">
        <f>+J72/G72-1</f>
        <v>0.27944473329194719</v>
      </c>
      <c r="V72" s="1051">
        <f>+K72/J72-1</f>
        <v>6.2822468156921607E-2</v>
      </c>
      <c r="W72" s="1051">
        <f t="shared" ref="W72:Z72" si="91">+L72/K72-1</f>
        <v>3.6876679106558674E-2</v>
      </c>
      <c r="X72" s="1051">
        <f>+M72/L72-1</f>
        <v>4.4251740445850674E-2</v>
      </c>
      <c r="Y72" s="1051">
        <f t="shared" si="91"/>
        <v>4.4251740445850674E-2</v>
      </c>
      <c r="Z72" s="1051">
        <f t="shared" si="91"/>
        <v>-1</v>
      </c>
    </row>
    <row r="73" spans="2:26" ht="15.75" thickBot="1">
      <c r="J73" s="1050">
        <v>0</v>
      </c>
      <c r="K73" s="1050"/>
      <c r="L73" s="1050"/>
      <c r="M73" s="1050"/>
      <c r="N73" s="1050"/>
    </row>
    <row r="74" spans="2:26">
      <c r="B74" s="1066" t="s">
        <v>4175</v>
      </c>
      <c r="C74" s="1067"/>
      <c r="D74" s="1067"/>
      <c r="E74" s="1067"/>
      <c r="F74" s="1067"/>
      <c r="G74" s="1067"/>
      <c r="H74" s="1067"/>
      <c r="I74" s="1067"/>
      <c r="J74" s="1068">
        <v>2023</v>
      </c>
      <c r="K74" s="1068">
        <f>+J74+1</f>
        <v>2024</v>
      </c>
      <c r="L74" s="1068">
        <f t="shared" ref="L74:N74" si="92">+K74+1</f>
        <v>2025</v>
      </c>
      <c r="M74" s="1068">
        <f t="shared" si="92"/>
        <v>2026</v>
      </c>
      <c r="N74" s="1069">
        <f t="shared" si="92"/>
        <v>2027</v>
      </c>
    </row>
    <row r="75" spans="2:26">
      <c r="B75" s="1056" t="s">
        <v>4178</v>
      </c>
      <c r="C75" s="1057"/>
      <c r="D75" s="1057"/>
      <c r="E75" s="1057"/>
      <c r="F75" s="1057"/>
      <c r="G75" s="1057"/>
      <c r="H75" s="1057"/>
      <c r="I75" s="1057"/>
      <c r="J75" s="1057">
        <f>+'Commese al 30 giugno 23'!M220</f>
        <v>61316158.900000006</v>
      </c>
      <c r="K75" s="1057">
        <f>+'Commese al 30 giugno 23'!P218</f>
        <v>48668191.339999996</v>
      </c>
      <c r="L75" s="1057">
        <f>+'Commese al 30 giugno 23'!Q218</f>
        <v>5571377.8199999994</v>
      </c>
      <c r="M75" s="1057">
        <v>0</v>
      </c>
      <c r="N75" s="1061">
        <v>0</v>
      </c>
    </row>
    <row r="76" spans="2:26">
      <c r="B76" s="1056" t="s">
        <v>4176</v>
      </c>
      <c r="C76" s="1057"/>
      <c r="D76" s="1057"/>
      <c r="E76" s="1057"/>
      <c r="F76" s="1057"/>
      <c r="G76" s="1057"/>
      <c r="H76" s="1057"/>
      <c r="I76" s="1057"/>
      <c r="J76" s="1057">
        <v>0</v>
      </c>
      <c r="K76" s="1057">
        <f>+J77*(1+K78)-K75</f>
        <v>16500000.000000007</v>
      </c>
      <c r="L76" s="1057">
        <f>+K77*(1+L78)-L75</f>
        <v>61999999.999999993</v>
      </c>
      <c r="M76" s="1057">
        <f>+L77*(1+M87)</f>
        <v>70561528.892859146</v>
      </c>
      <c r="N76" s="1061">
        <f>+M77*(1+N87)</f>
        <v>73683999.354888335</v>
      </c>
    </row>
    <row r="77" spans="2:26" ht="15.75" thickBot="1">
      <c r="B77" s="1062" t="s">
        <v>0</v>
      </c>
      <c r="C77" s="1063"/>
      <c r="D77" s="1063"/>
      <c r="E77" s="1063"/>
      <c r="F77" s="1063"/>
      <c r="G77" s="1063"/>
      <c r="H77" s="1063"/>
      <c r="I77" s="1063"/>
      <c r="J77" s="1064">
        <f>+J75+J76</f>
        <v>61316158.900000006</v>
      </c>
      <c r="K77" s="1064">
        <f t="shared" ref="K77:N77" si="93">+K75+K76</f>
        <v>65168191.340000004</v>
      </c>
      <c r="L77" s="1064">
        <f>+L75+L76</f>
        <v>67571377.819999993</v>
      </c>
      <c r="M77" s="1064">
        <f t="shared" si="93"/>
        <v>70561528.892859146</v>
      </c>
      <c r="N77" s="1065">
        <f t="shared" si="93"/>
        <v>73683999.354888335</v>
      </c>
    </row>
    <row r="78" spans="2:26">
      <c r="B78" s="840" t="s">
        <v>4177</v>
      </c>
      <c r="C78" s="909"/>
      <c r="D78" s="909"/>
      <c r="E78" s="909"/>
      <c r="F78" s="909"/>
      <c r="G78" s="909"/>
      <c r="H78" s="909"/>
      <c r="I78" s="909"/>
      <c r="J78" s="782">
        <f>+J77/G64-1</f>
        <v>0.27944473329194719</v>
      </c>
      <c r="K78" s="1479">
        <v>6.2822468156921607E-2</v>
      </c>
      <c r="L78" s="1479">
        <v>3.6876679106558674E-2</v>
      </c>
      <c r="M78" s="782">
        <f t="shared" ref="M78:N78" si="94">+M77/L77-1</f>
        <v>4.4251740445850674E-2</v>
      </c>
      <c r="N78" s="782">
        <f t="shared" si="94"/>
        <v>4.4251740445850674E-2</v>
      </c>
    </row>
    <row r="79" spans="2:26">
      <c r="B79" s="598" t="s">
        <v>4182</v>
      </c>
      <c r="J79" s="635">
        <f>+J87</f>
        <v>0.18447216517948806</v>
      </c>
      <c r="K79" s="635">
        <f t="shared" ref="K79:N79" si="95">+K87</f>
        <v>7.5227958757946106E-2</v>
      </c>
      <c r="L79" s="635">
        <f t="shared" si="95"/>
        <v>3.9826566401265584E-2</v>
      </c>
      <c r="M79" s="635">
        <f t="shared" si="95"/>
        <v>4.4251740445850646E-2</v>
      </c>
      <c r="N79" s="635">
        <f t="shared" si="95"/>
        <v>4.4251740445850646E-2</v>
      </c>
    </row>
    <row r="80" spans="2:26" ht="15.75" thickBot="1">
      <c r="B80" s="1070" t="s">
        <v>875</v>
      </c>
      <c r="C80" s="1063"/>
      <c r="D80" s="1063"/>
      <c r="E80" s="1063"/>
      <c r="F80" s="1063"/>
      <c r="G80" s="1063"/>
      <c r="H80" s="1063"/>
      <c r="I80" s="1063"/>
      <c r="J80" s="1071">
        <f>+J78-J79</f>
        <v>9.4972568112459133E-2</v>
      </c>
      <c r="K80" s="1071">
        <f t="shared" ref="K80:N80" si="96">+K78-K79</f>
        <v>-1.2405490601024499E-2</v>
      </c>
      <c r="L80" s="1071">
        <f t="shared" si="96"/>
        <v>-2.9498872947069099E-3</v>
      </c>
      <c r="M80" s="1071">
        <f t="shared" si="96"/>
        <v>0</v>
      </c>
      <c r="N80" s="1071">
        <f t="shared" si="96"/>
        <v>0</v>
      </c>
    </row>
    <row r="81" spans="2:14" ht="7.5" customHeight="1"/>
    <row r="82" spans="2:14">
      <c r="B82" s="760" t="s">
        <v>4550</v>
      </c>
      <c r="C82" s="762"/>
      <c r="D82" s="762"/>
      <c r="E82" s="762"/>
      <c r="F82" s="762"/>
      <c r="G82" s="762"/>
      <c r="H82" s="762"/>
      <c r="I82" s="762"/>
      <c r="J82" s="1085">
        <f>+'Società - PubblicoPrivato'!C201</f>
        <v>0.73752900743084349</v>
      </c>
      <c r="K82" s="1085">
        <f>+J82</f>
        <v>0.73752900743084349</v>
      </c>
      <c r="L82" s="1085">
        <f t="shared" ref="L82:N82" si="97">+K82</f>
        <v>0.73752900743084349</v>
      </c>
      <c r="M82" s="1085">
        <f t="shared" si="97"/>
        <v>0.73752900743084349</v>
      </c>
      <c r="N82" s="1086">
        <f t="shared" si="97"/>
        <v>0.73752900743084349</v>
      </c>
    </row>
    <row r="83" spans="2:14">
      <c r="B83" s="1076" t="s">
        <v>4551</v>
      </c>
      <c r="C83" s="605"/>
      <c r="D83" s="605"/>
      <c r="E83" s="605"/>
      <c r="F83" s="605"/>
      <c r="G83" s="605"/>
      <c r="H83" s="605"/>
      <c r="I83" s="605"/>
      <c r="J83" s="1077">
        <f>100%-J82</f>
        <v>0.26247099256915651</v>
      </c>
      <c r="K83" s="1077">
        <f>+J83</f>
        <v>0.26247099256915651</v>
      </c>
      <c r="L83" s="1077">
        <f t="shared" ref="L83:N83" si="98">+K83</f>
        <v>0.26247099256915651</v>
      </c>
      <c r="M83" s="1077">
        <f t="shared" si="98"/>
        <v>0.26247099256915651</v>
      </c>
      <c r="N83" s="1078">
        <f t="shared" si="98"/>
        <v>0.26247099256915651</v>
      </c>
    </row>
    <row r="84" spans="2:14" ht="10.15" customHeight="1"/>
    <row r="85" spans="2:14">
      <c r="B85" s="1072" t="s">
        <v>4179</v>
      </c>
      <c r="C85" s="1073"/>
      <c r="D85" s="1073"/>
      <c r="E85" s="1073"/>
      <c r="F85" s="1073"/>
      <c r="G85" s="1073"/>
      <c r="H85" s="1073"/>
      <c r="I85" s="1073"/>
      <c r="J85" s="1083">
        <f>+'Mercato vs Società'!H120</f>
        <v>0.25012191157347208</v>
      </c>
      <c r="K85" s="1083">
        <f>+'Mercato vs Società'!I120</f>
        <v>0.10200000000000009</v>
      </c>
      <c r="L85" s="1083">
        <f>+'Mercato vs Società'!J120</f>
        <v>5.4000000000000048E-2</v>
      </c>
      <c r="M85" s="1083">
        <f>+'Mercato vs Società'!K120</f>
        <v>6.0000000000000053E-2</v>
      </c>
      <c r="N85" s="1084">
        <f>+M85</f>
        <v>6.0000000000000053E-2</v>
      </c>
    </row>
    <row r="86" spans="2:14">
      <c r="B86" s="1074" t="s">
        <v>4180</v>
      </c>
      <c r="C86" s="1050"/>
      <c r="D86" s="1050"/>
      <c r="E86" s="1050"/>
      <c r="F86" s="1050"/>
      <c r="G86" s="1050"/>
      <c r="H86" s="1050"/>
      <c r="I86" s="1050"/>
      <c r="J86" s="720">
        <v>0</v>
      </c>
      <c r="K86" s="720">
        <v>0</v>
      </c>
      <c r="L86" s="720">
        <v>0</v>
      </c>
      <c r="M86" s="720">
        <v>0</v>
      </c>
      <c r="N86" s="1075">
        <v>0</v>
      </c>
    </row>
    <row r="87" spans="2:14">
      <c r="B87" s="1079" t="s">
        <v>4181</v>
      </c>
      <c r="C87" s="1080"/>
      <c r="D87" s="1080"/>
      <c r="E87" s="1080"/>
      <c r="F87" s="1080"/>
      <c r="G87" s="1080"/>
      <c r="H87" s="1080"/>
      <c r="I87" s="1080"/>
      <c r="J87" s="1081">
        <f>+(J82*J85)+(J83*J86)</f>
        <v>0.18447216517948806</v>
      </c>
      <c r="K87" s="1081">
        <f>+(K82*K85)+(K83*K86)</f>
        <v>7.5227958757946106E-2</v>
      </c>
      <c r="L87" s="1081">
        <f t="shared" ref="L87:N87" si="99">+(L82*L85)+(L83*L86)</f>
        <v>3.9826566401265584E-2</v>
      </c>
      <c r="M87" s="1081">
        <f t="shared" si="99"/>
        <v>4.4251740445850646E-2</v>
      </c>
      <c r="N87" s="1082">
        <f t="shared" si="99"/>
        <v>4.4251740445850646E-2</v>
      </c>
    </row>
    <row r="90" spans="2:14" outlineLevel="1">
      <c r="C90" s="1087">
        <f>+C63</f>
        <v>2018</v>
      </c>
      <c r="D90" s="1087">
        <f t="shared" ref="D90:N90" si="100">+D63</f>
        <v>2019</v>
      </c>
      <c r="E90" s="1087">
        <f t="shared" si="100"/>
        <v>2020</v>
      </c>
      <c r="F90" s="1087">
        <f t="shared" si="100"/>
        <v>2021</v>
      </c>
      <c r="G90" s="1087">
        <f t="shared" si="100"/>
        <v>2022</v>
      </c>
      <c r="H90" s="1087"/>
      <c r="I90" s="1087"/>
      <c r="J90" s="1087">
        <f t="shared" si="100"/>
        <v>2023</v>
      </c>
      <c r="K90" s="1087">
        <f t="shared" si="100"/>
        <v>2024</v>
      </c>
      <c r="L90" s="1087">
        <f t="shared" si="100"/>
        <v>2025</v>
      </c>
      <c r="M90" s="1087">
        <f t="shared" si="100"/>
        <v>2026</v>
      </c>
      <c r="N90" s="1087">
        <f t="shared" si="100"/>
        <v>2027</v>
      </c>
    </row>
    <row r="91" spans="2:14" outlineLevel="1">
      <c r="B91" s="598" t="s">
        <v>4184</v>
      </c>
      <c r="C91" s="1088">
        <f>+C64/1000000</f>
        <v>24.15602616</v>
      </c>
      <c r="D91" s="1088">
        <f t="shared" ref="D91:G91" si="101">+D64/1000000</f>
        <v>23.727212980000001</v>
      </c>
      <c r="E91" s="1088">
        <f t="shared" si="101"/>
        <v>24.957098819999999</v>
      </c>
      <c r="F91" s="1088">
        <f t="shared" si="101"/>
        <v>28.909167910000001</v>
      </c>
      <c r="G91" s="1088">
        <f t="shared" si="101"/>
        <v>47.924038689999996</v>
      </c>
      <c r="J91" s="1088">
        <f t="shared" ref="J91:N91" si="102">+J64/1000000</f>
        <v>61.316158900000005</v>
      </c>
      <c r="K91" s="1088">
        <f t="shared" si="102"/>
        <v>65.168191340000007</v>
      </c>
      <c r="L91" s="1088">
        <f t="shared" si="102"/>
        <v>67.571377819999995</v>
      </c>
      <c r="M91" s="1088">
        <f t="shared" si="102"/>
        <v>70.561528892859144</v>
      </c>
      <c r="N91" s="1088">
        <f t="shared" si="102"/>
        <v>73.683999354888329</v>
      </c>
    </row>
    <row r="92" spans="2:14" outlineLevel="1">
      <c r="B92" s="598" t="s">
        <v>3705</v>
      </c>
      <c r="C92" s="635">
        <f>+C65</f>
        <v>0</v>
      </c>
      <c r="D92" s="635">
        <f t="shared" ref="D92:G92" si="103">+D65</f>
        <v>-1.7751809720676359E-2</v>
      </c>
      <c r="E92" s="635">
        <f t="shared" si="103"/>
        <v>5.1834399642161522E-2</v>
      </c>
      <c r="F92" s="635">
        <f t="shared" si="103"/>
        <v>0.15835450740904666</v>
      </c>
      <c r="G92" s="635">
        <f t="shared" si="103"/>
        <v>0.65774535051292649</v>
      </c>
      <c r="H92" s="635"/>
      <c r="I92" s="635"/>
      <c r="J92" s="635">
        <f t="shared" ref="J92:N92" si="104">+J65</f>
        <v>0.27944473329194719</v>
      </c>
      <c r="K92" s="635">
        <f t="shared" si="104"/>
        <v>6.2822468156921607E-2</v>
      </c>
      <c r="L92" s="635">
        <f t="shared" si="104"/>
        <v>3.6876679106558674E-2</v>
      </c>
      <c r="M92" s="635">
        <f t="shared" si="104"/>
        <v>4.4251740445850674E-2</v>
      </c>
      <c r="N92" s="635">
        <f t="shared" si="104"/>
        <v>4.4251740445850674E-2</v>
      </c>
    </row>
  </sheetData>
  <mergeCells count="1">
    <mergeCell ref="U3:Y3"/>
  </mergeCells>
  <pageMargins left="0.7" right="0.7" top="0.75" bottom="0.75" header="0.3" footer="0.3"/>
  <pageSetup orientation="portrait" r:id="rId1"/>
  <ignoredErrors>
    <ignoredError sqref="AB35 C91:N91 I17 I25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8305" r:id="rId4" name="Drop Down 1">
              <controlPr defaultSize="0" autoLine="0" autoPict="0">
                <anchor moveWithCells="1">
                  <from>
                    <xdr:col>10</xdr:col>
                    <xdr:colOff>9525</xdr:colOff>
                    <xdr:row>60</xdr:row>
                    <xdr:rowOff>9525</xdr:rowOff>
                  </from>
                  <to>
                    <xdr:col>11</xdr:col>
                    <xdr:colOff>228600</xdr:colOff>
                    <xdr:row>60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33</vt:i4>
      </vt:variant>
      <vt:variant>
        <vt:lpstr>Named Ranges</vt:lpstr>
      </vt:variant>
      <vt:variant>
        <vt:i4>2</vt:i4>
      </vt:variant>
    </vt:vector>
  </HeadingPairs>
  <TitlesOfParts>
    <vt:vector size="35" baseType="lpstr">
      <vt:lpstr>Mercato</vt:lpstr>
      <vt:lpstr>Mercato vs Società</vt:lpstr>
      <vt:lpstr>Società - PubblicoPrivato</vt:lpstr>
      <vt:lpstr>Business Plan--&gt;</vt:lpstr>
      <vt:lpstr>CE</vt:lpstr>
      <vt:lpstr>SP</vt:lpstr>
      <vt:lpstr>RF</vt:lpstr>
      <vt:lpstr>Input BP--&gt;</vt:lpstr>
      <vt:lpstr>Ricavi</vt:lpstr>
      <vt:lpstr>Costi</vt:lpstr>
      <vt:lpstr>Personale</vt:lpstr>
      <vt:lpstr>Capex</vt:lpstr>
      <vt:lpstr>Immobilizzazioni</vt:lpstr>
      <vt:lpstr>Immobilizzazioni acquisti23</vt:lpstr>
      <vt:lpstr>Calcolo Aliquota media Imm.Mate</vt:lpstr>
      <vt:lpstr>CCN</vt:lpstr>
      <vt:lpstr>Finanziamenti</vt:lpstr>
      <vt:lpstr>Altri Finanziatori</vt:lpstr>
      <vt:lpstr>Dettaglio Affidamenti</vt:lpstr>
      <vt:lpstr>Inflazione</vt:lpstr>
      <vt:lpstr>DatiBilancio--&gt;</vt:lpstr>
      <vt:lpstr>BdV</vt:lpstr>
      <vt:lpstr>Commesse--&gt;</vt:lpstr>
      <vt:lpstr>Commese al 30 giugno 23</vt:lpstr>
      <vt:lpstr>Analisi Commesse</vt:lpstr>
      <vt:lpstr>Commesse in essere dic22</vt:lpstr>
      <vt:lpstr>DatiSoc--&gt;</vt:lpstr>
      <vt:lpstr>Finanziamenti al 30.06</vt:lpstr>
      <vt:lpstr>Leasing al 30.06</vt:lpstr>
      <vt:lpstr>Leasing attrezzature</vt:lpstr>
      <vt:lpstr>Finanziamenti2023</vt:lpstr>
      <vt:lpstr>Leasing costo annu</vt:lpstr>
      <vt:lpstr>Leasing in essere</vt:lpstr>
      <vt:lpstr>'Commesse in essere dic22'!Print_Area</vt:lpstr>
      <vt:lpstr>'Commesse in essere dic22'!Print_Titles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Tommaso Ferraro</dc:creator>
  <cp:lastModifiedBy>USER</cp:lastModifiedBy>
  <dcterms:created xsi:type="dcterms:W3CDTF">2015-06-05T18:19:34Z</dcterms:created>
  <dcterms:modified xsi:type="dcterms:W3CDTF">2024-06-01T08:39:36Z</dcterms:modified>
</cp:coreProperties>
</file>